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rishsivakumar/Downloads/"/>
    </mc:Choice>
  </mc:AlternateContent>
  <xr:revisionPtr revIDLastSave="0" documentId="13_ncr:1_{1653274C-0612-6040-9C00-AF03CD8ECDB1}" xr6:coauthVersionLast="36" xr6:coauthVersionMax="36" xr10:uidLastSave="{00000000-0000-0000-0000-000000000000}"/>
  <bookViews>
    <workbookView xWindow="0" yWindow="460" windowWidth="38400" windowHeight="19760" xr2:uid="{00000000-000D-0000-FFFF-FFFF00000000}"/>
  </bookViews>
  <sheets>
    <sheet name="Form Responses 1" sheetId="1" r:id="rId1"/>
    <sheet name="your reg No" sheetId="2" r:id="rId2"/>
  </sheets>
  <definedNames>
    <definedName name="_xlnm._FilterDatabase" localSheetId="0" hidden="1">'Form Responses 1'!$A$1:$V$1189</definedName>
  </definedNames>
  <calcPr calcId="181029"/>
</workbook>
</file>

<file path=xl/calcChain.xml><?xml version="1.0" encoding="utf-8"?>
<calcChain xmlns="http://schemas.openxmlformats.org/spreadsheetml/2006/main">
  <c r="Q1189" i="2" l="1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<sst xmlns="http://schemas.openxmlformats.org/spreadsheetml/2006/main" count="8728" uniqueCount="3583">
  <si>
    <t>Your Anert Registration Number</t>
  </si>
  <si>
    <t>2017-18 / Solar Connect/ R.No /00001</t>
  </si>
  <si>
    <t>2017-18 / Solar Connect/ R.No /00002</t>
  </si>
  <si>
    <t>2017-18 / Solar Connect/ R.No /00003</t>
  </si>
  <si>
    <t>2017-18 / Solar Connect/ R.No /00004</t>
  </si>
  <si>
    <t>Timestamp</t>
  </si>
  <si>
    <t xml:space="preserve">Email address ഇമെയിൽ അഡ്രസ് </t>
  </si>
  <si>
    <t>Application Number allotted by ANERT(Digits Only)അനെർട്ടിൽ നിന്നു ലഭിച്ച ആപ്പിളിക്കേഷൻ നമ്പർ (സംഖ്യ മാത്രം )</t>
  </si>
  <si>
    <t xml:space="preserve">Name of the beneficiary(It should be same as in application)പേര്,അപ്ലിക്കേഷൻ -ൽ ഉള്ളതു പോലെ </t>
  </si>
  <si>
    <t xml:space="preserve">Mobile number of the beneficiary(Registration number will be send to this mobile number)മൊബൈൽ നമ്പർ </t>
  </si>
  <si>
    <t xml:space="preserve">District ജില്ലാ </t>
  </si>
  <si>
    <t>Name of the Agency Selected by the Beneficiary തിരഞ്ഞടുത്ത ഏജൻസിയുടെ പേര്</t>
  </si>
  <si>
    <t xml:space="preserve">Empanelment No.of the agency Selected by the Beneficiary തിരഞ്ഞടുത്ത ഏജൻസിയുടെ എംപാനൽമെൻറ് നമ്പർ </t>
  </si>
  <si>
    <t xml:space="preserve">Date of execution of work order &amp; Purchase agreement between Beneficiary &amp; Agency വർക്ക് ഓർഡർ തിയതി </t>
  </si>
  <si>
    <t>Capacity of the system Ordered in kW(Less than or Equal to Feasibility Granted by KSEBL) കപ്പാസിറ്റി -സൗരോർജനിലയം,KSEBL നിന്നു ലഭിച്ച അനുമയിൽ    നിന്നു കൂടാൻ പാടില്ല</t>
  </si>
  <si>
    <t>Consumer Number കൺസ്യൂമർ നമ്പർ</t>
  </si>
  <si>
    <t xml:space="preserve">Electrical Section ഇലക്ട്രിക്കൽ സെക്ഷൻ </t>
  </si>
  <si>
    <t>Declaration by the applicant. I have selected the agency based on my choice. My site has been inspected by me a the agency and found feasible for the installation of the Solar Power plant proposed by me . I have also executed a purchase agreement with the agency in this regard.If any dispute arises regarding implementation ,repair and maintenance or warrantee,that will be sorted out between me and the agency . Officials from ANERT,representatives of ANERT or any officials from Govt. agency will be allowed to inspect the installation whenever required under prior intimation. I have received application number from ANERT and this application for registration number is made ad placing work order with the empanelled agency mentioned above.</t>
  </si>
  <si>
    <t>Date of receiving feasibility report from KSEBL/electrical utility</t>
  </si>
  <si>
    <t>Capacity allowed by KSEBL/Electrical utility         ( Number only)</t>
  </si>
  <si>
    <t>Email Address</t>
  </si>
  <si>
    <t>REMARKS</t>
  </si>
  <si>
    <t>info@wattsun.in</t>
  </si>
  <si>
    <t>Mathew T J</t>
  </si>
  <si>
    <t>Thiruvananthapuram</t>
  </si>
  <si>
    <t>Wattsun Energy India Pvt Ltd</t>
  </si>
  <si>
    <t>Sreekariyam</t>
  </si>
  <si>
    <t>I Accept</t>
  </si>
  <si>
    <t>managerbethany@gmail.com</t>
  </si>
  <si>
    <t>Fr. Solaman</t>
  </si>
  <si>
    <t>Thrissur</t>
  </si>
  <si>
    <t>Reecco Energy India Pvt Ltd, Thodupuzha</t>
  </si>
  <si>
    <t>Kunnamkulam Section 1</t>
  </si>
  <si>
    <t>vichuvenu_18@yahoo.co.in</t>
  </si>
  <si>
    <t>P K VENU</t>
  </si>
  <si>
    <t>Ernakulam</t>
  </si>
  <si>
    <t>TATA POWER SOLAR SYSTEMS LTD</t>
  </si>
  <si>
    <t>EDAPPALLY</t>
  </si>
  <si>
    <t xml:space="preserve">bmurali1503@gmail.com </t>
  </si>
  <si>
    <t>P.K MURALI</t>
  </si>
  <si>
    <t>Alappuzha</t>
  </si>
  <si>
    <t>TECHNO GUARD INDUSTRIES</t>
  </si>
  <si>
    <t>ARTHUNKAL(5518)</t>
  </si>
  <si>
    <t>bmurali1503@gmail.com</t>
  </si>
  <si>
    <t>jeev.sahadevan@gmail.com</t>
  </si>
  <si>
    <t>Mr.SAHADEVAN.N</t>
  </si>
  <si>
    <t>Palakkad</t>
  </si>
  <si>
    <t>IGA TECH INDUSTRIAL ELECTRONICS Pvt.Ltd.</t>
  </si>
  <si>
    <t>VADAVANNUR ELECTRICAL SECTION</t>
  </si>
  <si>
    <t>igatechsales@gmail.com</t>
  </si>
  <si>
    <t>lakshararayan@gmail.com</t>
  </si>
  <si>
    <t>M.SAMBAN</t>
  </si>
  <si>
    <t>RENERGY SYSTEMS INDIA Pvt Ltd</t>
  </si>
  <si>
    <t>varkala</t>
  </si>
  <si>
    <t>er.vjcyriac@gmail.com</t>
  </si>
  <si>
    <t>V J Cyriac</t>
  </si>
  <si>
    <t>Kottayam</t>
  </si>
  <si>
    <t>Nordic(India)Solutions Pvt Ltd.</t>
  </si>
  <si>
    <t>Marangattupilly</t>
  </si>
  <si>
    <t>mathew4235@gmail.com</t>
  </si>
  <si>
    <t xml:space="preserve">Mathew Philip, Puthenparambil,Kadapra.P.O,Kumbanadu, Thiruvalla, Pathanamthitta, Pin.689547, </t>
  </si>
  <si>
    <t>Pathanamthitta</t>
  </si>
  <si>
    <t>Solgen Energy Pvt Ltd</t>
  </si>
  <si>
    <t>2017-18 / Solar Connect/ R.No /00005</t>
  </si>
  <si>
    <t>Kumbanadu (4619)</t>
  </si>
  <si>
    <t>warmncoolplr@gmail.com</t>
  </si>
  <si>
    <t>chithra287@gmail.com</t>
  </si>
  <si>
    <t>Hariharan Pillai G D</t>
  </si>
  <si>
    <t>55240180208101150</t>
  </si>
  <si>
    <t>N . Viswakumar</t>
  </si>
  <si>
    <t xml:space="preserve">Wattsun Energy India Private Limited </t>
  </si>
  <si>
    <t>Thripunithura</t>
  </si>
  <si>
    <t>Kuruvila Philip</t>
  </si>
  <si>
    <t>Kollam</t>
  </si>
  <si>
    <t>Wattsun Energy India   Private Limited</t>
  </si>
  <si>
    <t>Kottarakkara East</t>
  </si>
  <si>
    <t>drcsjmds@gmail.com</t>
  </si>
  <si>
    <t>C S JAYAPALAN</t>
  </si>
  <si>
    <t>PARAVOOR</t>
  </si>
  <si>
    <t>raju_kuruvilla@hotmail.com</t>
  </si>
  <si>
    <t>RAJU KURUVILLA</t>
  </si>
  <si>
    <t>ENARKA INDIA PVT LTD</t>
  </si>
  <si>
    <t>KOOTHATTUKULAM</t>
  </si>
  <si>
    <t>jinurd@gmail.com</t>
  </si>
  <si>
    <t>sree@greenturncw.com</t>
  </si>
  <si>
    <t>Ajay</t>
  </si>
  <si>
    <t>RAIDCO KERALA Ltd</t>
  </si>
  <si>
    <t>malampuzha</t>
  </si>
  <si>
    <t>sreenathmpz@gmail.com</t>
  </si>
  <si>
    <t>P.C. Alayamma</t>
  </si>
  <si>
    <t>eljopanangadan@gmail.com</t>
  </si>
  <si>
    <t>P.K. Sebastian</t>
  </si>
  <si>
    <t>2017-18 / Solar Connect/ R.No /00006</t>
  </si>
  <si>
    <t>pksnijo@gmail.com</t>
  </si>
  <si>
    <t>cgnayar@gmail.com</t>
  </si>
  <si>
    <t>Vijayalakshmi Amma</t>
  </si>
  <si>
    <t>RAIDCO Kerala Ltd</t>
  </si>
  <si>
    <t>Koduvayur</t>
  </si>
  <si>
    <t>vivekkuthanazhi@gmail.com</t>
  </si>
  <si>
    <t>Padmanabhan C</t>
  </si>
  <si>
    <t>RADHA NAGARAJAN</t>
  </si>
  <si>
    <t>Wattsun Energy India Private Limited</t>
  </si>
  <si>
    <t>VELLAYAMBALAM</t>
  </si>
  <si>
    <t>vpasprasad@yahoo.com</t>
  </si>
  <si>
    <t>M.U.PANKAJAM</t>
  </si>
  <si>
    <t>POWERONE MICROSYSTEMS Pvt.ltd</t>
  </si>
  <si>
    <t>MOOTHAKUNNAM</t>
  </si>
  <si>
    <t>dilip.sasikumar@outlook.com</t>
  </si>
  <si>
    <t>SASIKUMAR K P</t>
  </si>
  <si>
    <t>RENEWABLE ENRGY SOLUTIONS PVT LTD</t>
  </si>
  <si>
    <t>ELAPULLY</t>
  </si>
  <si>
    <t>mathewajster@gmail.com</t>
  </si>
  <si>
    <t>Mathew A J</t>
  </si>
  <si>
    <t>Thevakkal</t>
  </si>
  <si>
    <t>krishnagopalgopi@gmail.com</t>
  </si>
  <si>
    <t>S Sreekala</t>
  </si>
  <si>
    <t>2017-18 / Solar Connect/ R.No /00007</t>
  </si>
  <si>
    <t>salukurian@hotmail.com</t>
  </si>
  <si>
    <t>Salu Tomy Kurian</t>
  </si>
  <si>
    <t>rksmissionsarada@yahoo.in</t>
  </si>
  <si>
    <t>The secretary,Pravrajika chetanaprana,Ramakrishana sarada mission,Thycaud,TVM-695014</t>
  </si>
  <si>
    <t>KELTRON</t>
  </si>
  <si>
    <t>Thycaud</t>
  </si>
  <si>
    <t>kecsolar2017@gmail.com</t>
  </si>
  <si>
    <t>sales@dyuthirenewables.in</t>
  </si>
  <si>
    <t>Venugopal S</t>
  </si>
  <si>
    <t>Renewable Energy Solutions P Ltd</t>
  </si>
  <si>
    <t>venugopals001@bharatpetroleum.in</t>
  </si>
  <si>
    <t>PRABHA SHENOY V</t>
  </si>
  <si>
    <t>prabhabaliga@gmail.com</t>
  </si>
  <si>
    <t>VENUGOPAL E. B.</t>
  </si>
  <si>
    <t>venugopaleb@gmail.com</t>
  </si>
  <si>
    <t>mohanakumarkayamkulam@gmail.com</t>
  </si>
  <si>
    <t>Mohana Kumar Narayana Pillai</t>
  </si>
  <si>
    <t>Reecco Energy India Pvt. Ltd</t>
  </si>
  <si>
    <t>Kayamkulam East</t>
  </si>
  <si>
    <t>RENEWABLE ENERGY SOLUTIONS PVT LTD.</t>
  </si>
  <si>
    <t>asmadhavan.warrier@gmail.com</t>
  </si>
  <si>
    <t>Warrier Foundation</t>
  </si>
  <si>
    <t>Kottathara</t>
  </si>
  <si>
    <t>vivukkuttan@gmail.com</t>
  </si>
  <si>
    <t>2017-18 / Solar Connect/ R.No /00008</t>
  </si>
  <si>
    <t>silverwoodsekm@gmail.com</t>
  </si>
  <si>
    <t>MATHEW A J</t>
  </si>
  <si>
    <t>THEVAKKAL</t>
  </si>
  <si>
    <t>JAMES MATHEW</t>
  </si>
  <si>
    <t>Chegamanad,PBVR[5571]</t>
  </si>
  <si>
    <t>JAYAN MATHEW</t>
  </si>
  <si>
    <t>FORT KOCHI</t>
  </si>
  <si>
    <t>SURESH KUMAR D</t>
  </si>
  <si>
    <t>vennala</t>
  </si>
  <si>
    <t>akhilalezz@gmail.com</t>
  </si>
  <si>
    <t>Lily KOshy</t>
  </si>
  <si>
    <t>Alappuzha Town</t>
  </si>
  <si>
    <t>SIJU RAJAPPAN</t>
  </si>
  <si>
    <t>ALAPPUZHA SOUTH</t>
  </si>
  <si>
    <t>RAJASREE S</t>
  </si>
  <si>
    <t>SOLGEN ENERGY PVT LTD</t>
  </si>
  <si>
    <t>AMBALAPPUZHA</t>
  </si>
  <si>
    <t>BOBAN K V</t>
  </si>
  <si>
    <t>ALAPPUZHA TOWN</t>
  </si>
  <si>
    <t>2017-18 / Solar Connect/ R.No /00009</t>
  </si>
  <si>
    <t>sibu_sreedharan@yahoo.in</t>
  </si>
  <si>
    <t>SIBU M S</t>
  </si>
  <si>
    <t>Pettah,4514</t>
  </si>
  <si>
    <t>sales@dyuthirenewabes.in</t>
  </si>
  <si>
    <t>K P RAVI VARMA</t>
  </si>
  <si>
    <t>muralikalithody@gmail.com</t>
  </si>
  <si>
    <t>girijanair1958@gmail.com</t>
  </si>
  <si>
    <t>S.G.NAIR</t>
  </si>
  <si>
    <t>Kraftwork Solar Pvt. Ltd.</t>
  </si>
  <si>
    <t>Aluva North</t>
  </si>
  <si>
    <t>drginil@gmail.com</t>
  </si>
  <si>
    <t>DR.GINIL KUMAR POOLERI</t>
  </si>
  <si>
    <t>CHERANELLORE</t>
  </si>
  <si>
    <t>Arun K Nrayan</t>
  </si>
  <si>
    <t>nestromarketing@gmail.com</t>
  </si>
  <si>
    <t>Harikrishnan. G.</t>
  </si>
  <si>
    <t>Nestro Marketing LLP</t>
  </si>
  <si>
    <t>Cherpulassery</t>
  </si>
  <si>
    <t>abdullahpv1962@gmail.com</t>
  </si>
  <si>
    <t>kahdeeja Abdullah</t>
  </si>
  <si>
    <t>Malappuram</t>
  </si>
  <si>
    <t>TECHNOGUARD INDUSTRIES</t>
  </si>
  <si>
    <t>CHANGARAMKULAM</t>
  </si>
  <si>
    <t>suncitycustomercare@gmail.com</t>
  </si>
  <si>
    <t>rajendran p k</t>
  </si>
  <si>
    <t>pattikad</t>
  </si>
  <si>
    <t>2017-18 / Solar Connect/ R.No /00010</t>
  </si>
  <si>
    <t>sudhinanbrarath@gmail.com</t>
  </si>
  <si>
    <t>BRARATH RAMAN SUDHINAN</t>
  </si>
  <si>
    <t>PERINJANAM</t>
  </si>
  <si>
    <t>arun8943674152@gmail.com</t>
  </si>
  <si>
    <t>Brother Thomas</t>
  </si>
  <si>
    <t>Kuriachira</t>
  </si>
  <si>
    <t>principalohss11054@ymail.com</t>
  </si>
  <si>
    <t>The Principal, Oriental Higher Secondary School, Tirurangadi -676306, Malappuram DT</t>
  </si>
  <si>
    <t>Tirurangadi</t>
  </si>
  <si>
    <t>Theyyamma Paul</t>
  </si>
  <si>
    <t>solgen Energy Pvt Ltd</t>
  </si>
  <si>
    <t>TCED</t>
  </si>
  <si>
    <t>Mary george</t>
  </si>
  <si>
    <t>muthuvara</t>
  </si>
  <si>
    <t>CHANDRASEKHARAN K. B.</t>
  </si>
  <si>
    <t>2017-18 / Solar Connect/ R.No /00011</t>
  </si>
  <si>
    <t>KURIACHIRA</t>
  </si>
  <si>
    <t>elsolpowersolutions@gmail.com</t>
  </si>
  <si>
    <t>SUJATHA</t>
  </si>
  <si>
    <t>RENERGY SYSTEMS INDIA PVT LTD</t>
  </si>
  <si>
    <t>CHEPPAD</t>
  </si>
  <si>
    <t xml:space="preserve">johntsimon29@gmail.com </t>
  </si>
  <si>
    <t>JOHN T SIMON</t>
  </si>
  <si>
    <t>VENGIDANGE</t>
  </si>
  <si>
    <t>emailgreenol@gmail.com</t>
  </si>
  <si>
    <t>Sukumaran</t>
  </si>
  <si>
    <t>FERT</t>
  </si>
  <si>
    <t>Chirakkal</t>
  </si>
  <si>
    <t>johnsonjamesjjc@gmail.com</t>
  </si>
  <si>
    <t>lija johnson</t>
  </si>
  <si>
    <t>TECHNOGUARDE INDUSTRIES</t>
  </si>
  <si>
    <t>MUTHUVARA</t>
  </si>
  <si>
    <t>PRADEEPKUMAR K K</t>
  </si>
  <si>
    <t>2017-18 / Solar Connect/ R.No /00012</t>
  </si>
  <si>
    <t xml:space="preserve">kuravilangad </t>
  </si>
  <si>
    <t>SAJEEVAN NJALIYIL GEORGE</t>
  </si>
  <si>
    <t>THIRUVALLA</t>
  </si>
  <si>
    <t>TOMY JOSEPH</t>
  </si>
  <si>
    <t>jose.dilip@gmail.com</t>
  </si>
  <si>
    <t>A P SELVIN</t>
  </si>
  <si>
    <t>K J GEORGE</t>
  </si>
  <si>
    <t>NARAYANAN NAMBOOTHIRI</t>
  </si>
  <si>
    <t>thrissur.dist@gmail.com</t>
  </si>
  <si>
    <t>JAYARAJAN . P.C</t>
  </si>
  <si>
    <t>2017-18 / Solar Connect/ R.No /00013</t>
  </si>
  <si>
    <t>M/S WATTSUN ENERGY INDIA (PVT) LTD</t>
  </si>
  <si>
    <t>PARAPPUR ( 5686 )</t>
  </si>
  <si>
    <t>Thrissur.dist@gmail.com</t>
  </si>
  <si>
    <t>JAYARAJAN P.C</t>
  </si>
  <si>
    <t>M/S WATTSUN ENERGY INDIA ( PVT ) LTD</t>
  </si>
  <si>
    <t>PARAPPUR (5686 )</t>
  </si>
  <si>
    <t>JESSY LANSE</t>
  </si>
  <si>
    <t>OLLUR</t>
  </si>
  <si>
    <t>A J JOY</t>
  </si>
  <si>
    <t>PAVARATTY</t>
  </si>
  <si>
    <t>BABY K</t>
  </si>
  <si>
    <t>KATTANAM</t>
  </si>
  <si>
    <t>SAJEEV KUMAR R</t>
  </si>
  <si>
    <t>THRIPUNITHURA</t>
  </si>
  <si>
    <t>shinecchinnan@gmail.com</t>
  </si>
  <si>
    <t>Shine C Chinnan</t>
  </si>
  <si>
    <t>2017-18 / Solar Connect/ R.No /00014</t>
  </si>
  <si>
    <t>Pazhanji</t>
  </si>
  <si>
    <t>alishoukkath100@gmail.com</t>
  </si>
  <si>
    <t>Shoukathali.P.M</t>
  </si>
  <si>
    <t>Chalissery</t>
  </si>
  <si>
    <t>celinejacob121@gmail.com</t>
  </si>
  <si>
    <t>Celine Jacob</t>
  </si>
  <si>
    <t>Pala</t>
  </si>
  <si>
    <t>tomykjoseph07@gmail.com</t>
  </si>
  <si>
    <t>TOMY K JOSEPH</t>
  </si>
  <si>
    <t>Bharananganam</t>
  </si>
  <si>
    <t>s.kanakarathinam@gmail.com</t>
  </si>
  <si>
    <t>Kanakarathinam</t>
  </si>
  <si>
    <t>THOMAS MATHEW</t>
  </si>
  <si>
    <t>NALANCHIRA</t>
  </si>
  <si>
    <t>PRAKASAN</t>
  </si>
  <si>
    <t>Kozhikode</t>
  </si>
  <si>
    <t>KATTANGAL</t>
  </si>
  <si>
    <t>jismathew2018@gmail.com</t>
  </si>
  <si>
    <t>JIS MATHEW</t>
  </si>
  <si>
    <t>Idukki</t>
  </si>
  <si>
    <t>2017-18 / Solar Connect/ R.No /00015</t>
  </si>
  <si>
    <t>Reecco Energy India Pvt Ltd</t>
  </si>
  <si>
    <t>Thodupuzha - Section II</t>
  </si>
  <si>
    <t>amanmr30@gmail.com</t>
  </si>
  <si>
    <t>Renju Udayabhanu</t>
  </si>
  <si>
    <t>SOURA Natural Energy Solutions I Pvt Ltd</t>
  </si>
  <si>
    <t>Pallimukku</t>
  </si>
  <si>
    <t>puthoorsteephan@gmail.com</t>
  </si>
  <si>
    <t>STEEPHAN P P</t>
  </si>
  <si>
    <t>SPECTRUM TECHNO PRODUCTS</t>
  </si>
  <si>
    <t>SIVADASAN M V</t>
  </si>
  <si>
    <t>KODUNGALLOOR-2</t>
  </si>
  <si>
    <t>BINU JAYARAJAN</t>
  </si>
  <si>
    <t>NADATHARA</t>
  </si>
  <si>
    <t>binoy222c@gmail.com</t>
  </si>
  <si>
    <t>USHA DILEEP</t>
  </si>
  <si>
    <t>Kannur</t>
  </si>
  <si>
    <t>CHOVVA</t>
  </si>
  <si>
    <t>priya.c2005@gmail.com</t>
  </si>
  <si>
    <t>PRIYA.C</t>
  </si>
  <si>
    <t>Perinad</t>
  </si>
  <si>
    <t>2017-18 / Solar Connect/ R.No /00016</t>
  </si>
  <si>
    <t>birty_mb@hotmail.com</t>
  </si>
  <si>
    <t>BARTHALOMEW BIRTY</t>
  </si>
  <si>
    <t>MOOPENS ENERGY SOLUTIONS PVT LTD</t>
  </si>
  <si>
    <t>ELECTRICAL SECTION, KALOOR, KOCHI</t>
  </si>
  <si>
    <t>Rajesh Raj Paul</t>
  </si>
  <si>
    <t>Girinagar</t>
  </si>
  <si>
    <t>C K MANOHARAN</t>
  </si>
  <si>
    <t>VIYYUR</t>
  </si>
  <si>
    <t xml:space="preserve">Sivagiri Vidyaniketan Senior Secondary School </t>
  </si>
  <si>
    <t>Aluva Town</t>
  </si>
  <si>
    <t>solarconnect2018@gmail.com</t>
  </si>
  <si>
    <t>Olly Viego</t>
  </si>
  <si>
    <t>Thalassey North</t>
  </si>
  <si>
    <t>SHAHJAHAN.S</t>
  </si>
  <si>
    <t>2017-18 / Solar Connect/ R.No /00017</t>
  </si>
  <si>
    <t>KALLARA</t>
  </si>
  <si>
    <t>THANKAMAMA KOSHY</t>
  </si>
  <si>
    <t>VENNALA</t>
  </si>
  <si>
    <t>T J MATHEW</t>
  </si>
  <si>
    <t>ALAPPUZHA NORTH</t>
  </si>
  <si>
    <t>abhilashkarayil@gmail.com</t>
  </si>
  <si>
    <t>abhilash  K A</t>
  </si>
  <si>
    <t>INDEX INFORMATICS  SYSTEMS PVT LTD</t>
  </si>
  <si>
    <t>CHOTTANIKARA</t>
  </si>
  <si>
    <t>Abdu Razak N</t>
  </si>
  <si>
    <t>Kottakkal</t>
  </si>
  <si>
    <t>Hamzakoya N.V</t>
  </si>
  <si>
    <t>Kadalundi</t>
  </si>
  <si>
    <t>SYAMALA DEVI</t>
  </si>
  <si>
    <t>THRISSUR CORPORATION</t>
  </si>
  <si>
    <t>Tahnsilaus Francis(T Alphones)</t>
  </si>
  <si>
    <t xml:space="preserve">Beach </t>
  </si>
  <si>
    <t>Omana B(Omana Vishwambharan)</t>
  </si>
  <si>
    <t>Nalanchira</t>
  </si>
  <si>
    <t>Jayasekhar S</t>
  </si>
  <si>
    <t>2017-18 / Solar Connect/ R.No /00018</t>
  </si>
  <si>
    <t>Kudappanakkunnu</t>
  </si>
  <si>
    <t>Jubilee Memorial Hospital</t>
  </si>
  <si>
    <t>Cantonment</t>
  </si>
  <si>
    <t>Mohan P Mathews</t>
  </si>
  <si>
    <t>SURESH KUMAR R</t>
  </si>
  <si>
    <t>PEROORKADA</t>
  </si>
  <si>
    <t>Kamalasanan M</t>
  </si>
  <si>
    <t>Poojappura</t>
  </si>
  <si>
    <t xml:space="preserve">chandrasnair@gmail.com </t>
  </si>
  <si>
    <t>chandrasekharan nair</t>
  </si>
  <si>
    <t>chandrasnair@gmail.com</t>
  </si>
  <si>
    <t>technoguardes@gmail.com</t>
  </si>
  <si>
    <t>N K RAJENDRAN</t>
  </si>
  <si>
    <t>2017-18 / Solar Connect/ R.No /00019</t>
  </si>
  <si>
    <t>technoguard industries</t>
  </si>
  <si>
    <t>Geetha Gopinath R</t>
  </si>
  <si>
    <t>ULLOOR</t>
  </si>
  <si>
    <t>Joseph Josua</t>
  </si>
  <si>
    <t>Contonment</t>
  </si>
  <si>
    <t>Marian Engineering College Kaazhakoottam</t>
  </si>
  <si>
    <t>Kazhakootam</t>
  </si>
  <si>
    <t>arunmathew2446@gmail.com</t>
  </si>
  <si>
    <t>ARUN MATHEW</t>
  </si>
  <si>
    <t>Ramapuram</t>
  </si>
  <si>
    <t>tonnyvishnu@yahoo.com</t>
  </si>
  <si>
    <t>C.K. MANOHARAN</t>
  </si>
  <si>
    <t>VIYUR</t>
  </si>
  <si>
    <t>Subramanian Kalichat</t>
  </si>
  <si>
    <t>2017-18 / Solar Connect/ R.No /00020</t>
  </si>
  <si>
    <t>Tirur West</t>
  </si>
  <si>
    <t xml:space="preserve">dullforester@gmail.com </t>
  </si>
  <si>
    <t>ANOOP K.R.</t>
  </si>
  <si>
    <t>IRINJAKAKUDA</t>
  </si>
  <si>
    <t>taxwatchktd@gmail.com</t>
  </si>
  <si>
    <t xml:space="preserve">Biju p h </t>
  </si>
  <si>
    <t>Kuthiyathode</t>
  </si>
  <si>
    <t>THULASIDASAN PALANCHERY</t>
  </si>
  <si>
    <t>GURUVAYOOR</t>
  </si>
  <si>
    <t>SUNIL PRAKASH P B</t>
  </si>
  <si>
    <t>Badusha Beevi</t>
  </si>
  <si>
    <t>Renergy Systems India Pvt Ltd</t>
  </si>
  <si>
    <t>Avanavanchery</t>
  </si>
  <si>
    <t>connectdsk@gmail.com</t>
  </si>
  <si>
    <t>Remani Mathew</t>
  </si>
  <si>
    <t>Puthur</t>
  </si>
  <si>
    <t>Navas A M</t>
  </si>
  <si>
    <t>Kesavadasapuram</t>
  </si>
  <si>
    <t>2017-18 / Solar Connect/ R.No /00021</t>
  </si>
  <si>
    <t>Mohammed Iqbal</t>
  </si>
  <si>
    <t>Kovoor</t>
  </si>
  <si>
    <t>sales@energivops.com</t>
  </si>
  <si>
    <t>T.S Jayan</t>
  </si>
  <si>
    <t>Ulloor</t>
  </si>
  <si>
    <t>info@solartechind.com</t>
  </si>
  <si>
    <t>MOLLY PAULY</t>
  </si>
  <si>
    <t>SOLARTECH</t>
  </si>
  <si>
    <t>josesamuelayur@gmail.com</t>
  </si>
  <si>
    <t>JOSE SAMUEL</t>
  </si>
  <si>
    <t>CHADAYAMANGALAM</t>
  </si>
  <si>
    <t>KURIAN  K.R</t>
  </si>
  <si>
    <t>GOPINATHAN CHERANGADA</t>
  </si>
  <si>
    <t>MEDICAL COLLEGE</t>
  </si>
  <si>
    <t>MADHU D</t>
  </si>
  <si>
    <t>2017-18 / Solar Connect/ R.No /00022</t>
  </si>
  <si>
    <t>KODUNGALLOOR</t>
  </si>
  <si>
    <t>U.K.CHANDRAN MOOSAD</t>
  </si>
  <si>
    <t>IRIKKUR</t>
  </si>
  <si>
    <t>radhakrishnanpk@gmail.com</t>
  </si>
  <si>
    <t>radhakrishnan p k</t>
  </si>
  <si>
    <t>ARTHUNKAL</t>
  </si>
  <si>
    <t>premvk65@hotmail.com</t>
  </si>
  <si>
    <t>PREMDAS -V.K</t>
  </si>
  <si>
    <t>KALLAI</t>
  </si>
  <si>
    <t>Pulikkal, Thrithalloor, Puthuppalli, Purathur, Malappuram District - 676102</t>
  </si>
  <si>
    <t>Purathur</t>
  </si>
  <si>
    <t>alexmk@yahoo.com</t>
  </si>
  <si>
    <t>ALEXANDER.M.K</t>
  </si>
  <si>
    <t>AYUR</t>
  </si>
  <si>
    <t>igridsystems@gmail.com</t>
  </si>
  <si>
    <t>Dinesh Babu</t>
  </si>
  <si>
    <t xml:space="preserve">RENERGY SYSTEMS INDIA Pvt.Ltd </t>
  </si>
  <si>
    <t>R DIVAKARAN</t>
  </si>
  <si>
    <t>NEMOM</t>
  </si>
  <si>
    <t>2017-18 / Solar Connect/ R.No /00023</t>
  </si>
  <si>
    <t>SREELAKSHMI NAMBIAR</t>
  </si>
  <si>
    <t>KODIYERI</t>
  </si>
  <si>
    <t>mtrschool@gmail.com</t>
  </si>
  <si>
    <t>Mar Thoma Residential School, 174, THIRUVALLA to Manappally Rd, Kuttappuzha R S P O, THIRUVALLA, Pathanamthitta</t>
  </si>
  <si>
    <t>+919446193139</t>
  </si>
  <si>
    <t>ORB ENERGY PVT LTD</t>
  </si>
  <si>
    <t>abyrel@gmail.com</t>
  </si>
  <si>
    <t>ZAKEER N P</t>
  </si>
  <si>
    <t>FEROKE</t>
  </si>
  <si>
    <t>Dr. Vinu C George</t>
  </si>
  <si>
    <t>Pallimukku[4566]</t>
  </si>
  <si>
    <t>K R Manilal</t>
  </si>
  <si>
    <t>Pallimukku [4566]</t>
  </si>
  <si>
    <t>Manickalal R</t>
  </si>
  <si>
    <t>johnsonantony1818@gmail.com</t>
  </si>
  <si>
    <t>Johnson Antony</t>
  </si>
  <si>
    <t>mathachanvadana@gmail.com</t>
  </si>
  <si>
    <t>MATHACHANVADANA</t>
  </si>
  <si>
    <t>Ecomate Energy Solutions</t>
  </si>
  <si>
    <t>kidangoor</t>
  </si>
  <si>
    <t>ashraffkk@gmail.com</t>
  </si>
  <si>
    <t>K.K.Ashraf</t>
  </si>
  <si>
    <t>Thrikkakkara West</t>
  </si>
  <si>
    <t>info@kraftworksolar.com</t>
  </si>
  <si>
    <t>Balakrishnan Nair</t>
  </si>
  <si>
    <t>Thattarambalam</t>
  </si>
  <si>
    <t>akhilalezz@gmai.com</t>
  </si>
  <si>
    <t>Rajasree S</t>
  </si>
  <si>
    <t>Ambalappuzha</t>
  </si>
  <si>
    <t>2017-18 / Solar Connect/ R.No /00024</t>
  </si>
  <si>
    <t>GOPI K</t>
  </si>
  <si>
    <t>SHIRLY MATHEWS</t>
  </si>
  <si>
    <t>joshygv73@yahoo.com</t>
  </si>
  <si>
    <t>Joshy George</t>
  </si>
  <si>
    <t>Alternate Energy Coporation</t>
  </si>
  <si>
    <t xml:space="preserve">Koovappady </t>
  </si>
  <si>
    <t>Chinchusooraj7@gmail.com</t>
  </si>
  <si>
    <t>Hariharan Pillai G.D</t>
  </si>
  <si>
    <t>chinchusooraj7@gmail.com</t>
  </si>
  <si>
    <t>pparun@gmail.com</t>
  </si>
  <si>
    <t>P. V. Prabhakaran</t>
  </si>
  <si>
    <t>Ayyanthole</t>
  </si>
  <si>
    <t>tsjayapal@gmail.com</t>
  </si>
  <si>
    <t>T S JAYAPALAN</t>
  </si>
  <si>
    <t>Muralikumar</t>
  </si>
  <si>
    <t>Fort,Thiruvananthapuram</t>
  </si>
  <si>
    <t>M.J Geetha Bai</t>
  </si>
  <si>
    <t>Vellayambalam</t>
  </si>
  <si>
    <t>Vinod G</t>
  </si>
  <si>
    <t>Pettah</t>
  </si>
  <si>
    <t>2017-18 / Solar Connect/ R.No /00025</t>
  </si>
  <si>
    <t>Bhaskaran.K</t>
  </si>
  <si>
    <t>Sreekaryam</t>
  </si>
  <si>
    <t>lazarpc@hotmail.com</t>
  </si>
  <si>
    <t>P C LAZAR</t>
  </si>
  <si>
    <t>RAMAVARMAPURAM</t>
  </si>
  <si>
    <t>contactvinova@gmail.com</t>
  </si>
  <si>
    <t>Sunny A k</t>
  </si>
  <si>
    <t xml:space="preserve">Vinova Energy Systems Pvt Ltd </t>
  </si>
  <si>
    <t>info@reecco.com</t>
  </si>
  <si>
    <t>Sreeram J</t>
  </si>
  <si>
    <t>Manacaud</t>
  </si>
  <si>
    <t>smitha.soura@gmail.com</t>
  </si>
  <si>
    <t>Asa Kumari</t>
  </si>
  <si>
    <t>ambalappuzha</t>
  </si>
  <si>
    <t>zabab100@gmail.com</t>
  </si>
  <si>
    <t>James Antony</t>
  </si>
  <si>
    <t>SL Puram</t>
  </si>
  <si>
    <t>PAUL B D</t>
  </si>
  <si>
    <t>Sobha Kuriakose</t>
  </si>
  <si>
    <t>2017-18 / Solar Connect/ R.No /00026</t>
  </si>
  <si>
    <t>Lalitha Kailas</t>
  </si>
  <si>
    <t>Peroorkada</t>
  </si>
  <si>
    <t>aneesakamar@gmail.com</t>
  </si>
  <si>
    <t>Aneesa Kamaruddin</t>
  </si>
  <si>
    <t>ALTERNATE ENERGY CORPORATION</t>
  </si>
  <si>
    <t>Aluva West</t>
  </si>
  <si>
    <t>info@raidcorenewables.in</t>
  </si>
  <si>
    <t>Dr.Muralikrishnan Nambiar</t>
  </si>
  <si>
    <t>RAIDCO Kerala Ltd.</t>
  </si>
  <si>
    <t>PALLIKUNNU</t>
  </si>
  <si>
    <t>akmuralinambiar@gmail.com</t>
  </si>
  <si>
    <t>lalitker@gmail.com</t>
  </si>
  <si>
    <t>Sandhya A Kamath</t>
  </si>
  <si>
    <t>Kaloor</t>
  </si>
  <si>
    <t>2017-18 / Solar Connect/ R.No /00027</t>
  </si>
  <si>
    <t>krishnanck@ymail.com</t>
  </si>
  <si>
    <t>Krishnan.C.K</t>
  </si>
  <si>
    <t>Pushpakumari. R</t>
  </si>
  <si>
    <t>SOLAR TECH</t>
  </si>
  <si>
    <t xml:space="preserve">Anil Kumar </t>
  </si>
  <si>
    <t>Krchani</t>
  </si>
  <si>
    <t>Manoj Kumar M</t>
  </si>
  <si>
    <t>2017-18 / Solar Connect/ R.No /00028</t>
  </si>
  <si>
    <t>usha.karthik@srilankan.com</t>
  </si>
  <si>
    <t>USHA KARTHIK</t>
  </si>
  <si>
    <t>INDEX INFORMATICS SYSTEMS PVT LTD</t>
  </si>
  <si>
    <t>GIRINAGAR</t>
  </si>
  <si>
    <t>RAJEEV KUMAR T B</t>
  </si>
  <si>
    <t>5540-COLLEGE ERNAKULAM</t>
  </si>
  <si>
    <t>JAISANKAR MOORTHI. A</t>
  </si>
  <si>
    <t>COLLEGE ERNAKULAM</t>
  </si>
  <si>
    <t>Jobu88@gmail.com</t>
  </si>
  <si>
    <t>SADASIVAN R</t>
  </si>
  <si>
    <t>RENEWABLE ENERGY SOLUTIONS P LTD</t>
  </si>
  <si>
    <t>Biju.P.Thomas</t>
  </si>
  <si>
    <t>2017-18 / Solar Connect/ R.No /00029</t>
  </si>
  <si>
    <t>Vijayakumar.K</t>
  </si>
  <si>
    <t>Trivandrum</t>
  </si>
  <si>
    <t>Theruvathu Prasad Joseph</t>
  </si>
  <si>
    <t>RENERGY SYSTEMS INDIA Pvt.Ltd</t>
  </si>
  <si>
    <t>Jameelath.P</t>
  </si>
  <si>
    <t>Peyad</t>
  </si>
  <si>
    <t>A.NALINI</t>
  </si>
  <si>
    <t>kotnisab@gmail.com</t>
  </si>
  <si>
    <t>SREEJA T K</t>
  </si>
  <si>
    <t>MUHAMMA</t>
  </si>
  <si>
    <t>2017-18 / Solar Connect/ R.No /00030</t>
  </si>
  <si>
    <t>shaji.thaliyath@gmail.com</t>
  </si>
  <si>
    <t>SHAJI T M</t>
  </si>
  <si>
    <t>VARAPUZHA</t>
  </si>
  <si>
    <t>M.Lohidakshan Unnithan</t>
  </si>
  <si>
    <t>CANTONMENT</t>
  </si>
  <si>
    <t>vvpoulose@mm.co.in</t>
  </si>
  <si>
    <t>POULOSE V V</t>
  </si>
  <si>
    <t>VYTILLA</t>
  </si>
  <si>
    <t>sunnyglobalpackers@gmail.com</t>
  </si>
  <si>
    <t>DAVID T E</t>
  </si>
  <si>
    <t>KOOVAPPADY</t>
  </si>
  <si>
    <t>sanjuxavierk@gmail.com</t>
  </si>
  <si>
    <t>RUGMINI .C.S</t>
  </si>
  <si>
    <t>Vellimadukunnu</t>
  </si>
  <si>
    <t>spscochin@gmail.com</t>
  </si>
  <si>
    <t>JOSEPH RAPHEL</t>
  </si>
  <si>
    <t>2017-18 / Solar Connect/ R.No /00031</t>
  </si>
  <si>
    <t>sirinsaju10@gmail.com</t>
  </si>
  <si>
    <t>SAJU E P</t>
  </si>
  <si>
    <t>UDAYAMPEROOR</t>
  </si>
  <si>
    <t>anilkumar.mnn@gmail.com</t>
  </si>
  <si>
    <t>ANIL KUMAR MENON</t>
  </si>
  <si>
    <t>kv.jacob@yahoo.com</t>
  </si>
  <si>
    <t>jacob k v</t>
  </si>
  <si>
    <t>spectrum techno products</t>
  </si>
  <si>
    <t>udayamperoor</t>
  </si>
  <si>
    <t>abimrajan@yahoo.co.in</t>
  </si>
  <si>
    <t>ABI M RAJAN</t>
  </si>
  <si>
    <t xml:space="preserve">UDAYAMPEROOR </t>
  </si>
  <si>
    <t>bobbypramod@yahoo.com</t>
  </si>
  <si>
    <t>BOBBY PRAMOD T.S</t>
  </si>
  <si>
    <t>Beypore</t>
  </si>
  <si>
    <t>projects.basta@gmail.com</t>
  </si>
  <si>
    <t>Haridas C</t>
  </si>
  <si>
    <t>BOSCH LTD</t>
  </si>
  <si>
    <t>Pariyaram</t>
  </si>
  <si>
    <t>mvambikadevesan@gmail.com</t>
  </si>
  <si>
    <t>Devesan V V</t>
  </si>
  <si>
    <t>KC Kopar Energy Solutions Pvt Ltd</t>
  </si>
  <si>
    <t>Thiruvillwamala</t>
  </si>
  <si>
    <t>Senni Prabhakaran</t>
  </si>
  <si>
    <t>Attingal</t>
  </si>
  <si>
    <t>roychristi99@gmail.com</t>
  </si>
  <si>
    <t>P B BHUVANACHANDRAN NAIR</t>
  </si>
  <si>
    <t>VATTAPPARA</t>
  </si>
  <si>
    <t>vidyodayaschool90@gmail.com</t>
  </si>
  <si>
    <t>Dr.P.Sreekumar,Executive Trustee</t>
  </si>
  <si>
    <t>2017-18 / Solar Connect/ R.No /00032</t>
  </si>
  <si>
    <t>Bindu OM</t>
  </si>
  <si>
    <t>Vellangallur</t>
  </si>
  <si>
    <t>SAJU SIMON P</t>
  </si>
  <si>
    <t>Vijayan . K.R</t>
  </si>
  <si>
    <t>Viyur</t>
  </si>
  <si>
    <t>THOMAS VARGHESE</t>
  </si>
  <si>
    <t>PALA</t>
  </si>
  <si>
    <t xml:space="preserve">Vellayambalam </t>
  </si>
  <si>
    <t>Nandini Kishore</t>
  </si>
  <si>
    <t>wattsun Energy India Private Limited</t>
  </si>
  <si>
    <t>noorakshaya@gmail.com</t>
  </si>
  <si>
    <t>2017-18 / Solar Connect/ R.No /00033</t>
  </si>
  <si>
    <t xml:space="preserve"> FRANCIS S</t>
  </si>
  <si>
    <t>VIZHINJAM</t>
  </si>
  <si>
    <t>shibisisu@gmail.com</t>
  </si>
  <si>
    <t>Sisupalan K</t>
  </si>
  <si>
    <t>Raidco Kerala Ltd</t>
  </si>
  <si>
    <t>Kollengode</t>
  </si>
  <si>
    <t>JACOB GEORGE</t>
  </si>
  <si>
    <t>KUDAPPANAKUNNU</t>
  </si>
  <si>
    <t>Raveendran Nair R</t>
  </si>
  <si>
    <t>Vamanapuram</t>
  </si>
  <si>
    <t>Christian</t>
  </si>
  <si>
    <t>Vizhinjam</t>
  </si>
  <si>
    <t>PRADEEP DESAPALAN</t>
  </si>
  <si>
    <t>2017-18 / Solar Connect/ R.No /00034</t>
  </si>
  <si>
    <t>Kadakkavoor</t>
  </si>
  <si>
    <t>Josephine</t>
  </si>
  <si>
    <t>Dr.Aneesh</t>
  </si>
  <si>
    <t>Kbmncy@gmail.com</t>
  </si>
  <si>
    <t>Amaredran</t>
  </si>
  <si>
    <t>kbmncy@gmail.com</t>
  </si>
  <si>
    <t>George.alp@gmail.com</t>
  </si>
  <si>
    <t>George k jhon</t>
  </si>
  <si>
    <t>george.alp@gmail.com</t>
  </si>
  <si>
    <t>georgie777@gmail.com</t>
  </si>
  <si>
    <t>Dr.P.V George</t>
  </si>
  <si>
    <t>Smart Solar Homes</t>
  </si>
  <si>
    <t>okkodungallur@yahoo.in</t>
  </si>
  <si>
    <t>The Secretary</t>
  </si>
  <si>
    <t>Kodungalloor-II</t>
  </si>
  <si>
    <t>binsmath@gmail.com</t>
  </si>
  <si>
    <t xml:space="preserve">Binu Mathew </t>
  </si>
  <si>
    <t>Smatdecorations@gmail.com</t>
  </si>
  <si>
    <t>Thajudeen</t>
  </si>
  <si>
    <t>smatdecorations@gmail.com</t>
  </si>
  <si>
    <t>lesliejojo190@gmail.com</t>
  </si>
  <si>
    <t>Girija Devi Padmanivas</t>
  </si>
  <si>
    <t>Thirumala</t>
  </si>
  <si>
    <t>Joseph John</t>
  </si>
  <si>
    <t>2017-18 / Solar Connect/ R.No /00035</t>
  </si>
  <si>
    <t>O. U. CHERIYAN</t>
  </si>
  <si>
    <t>ARAKKUNNAM-5553</t>
  </si>
  <si>
    <t>AMMINI P.K</t>
  </si>
  <si>
    <t>PIRAVOM-5597</t>
  </si>
  <si>
    <t>Anu Vasudevaru</t>
  </si>
  <si>
    <t>Manju S</t>
  </si>
  <si>
    <t>Sreevaraham</t>
  </si>
  <si>
    <t>ASHA G SREEKUMAR</t>
  </si>
  <si>
    <t>MARADU-5550</t>
  </si>
  <si>
    <t xml:space="preserve">JAYAN MATHEW </t>
  </si>
  <si>
    <t>Padmanabha Pillai K</t>
  </si>
  <si>
    <t>Thycaud[4505]</t>
  </si>
  <si>
    <t>ajithtemco@gmail.com</t>
  </si>
  <si>
    <t>Sushama CV</t>
  </si>
  <si>
    <t>Temco Renewable Energy Solutions Pvt Ltd</t>
  </si>
  <si>
    <t>karunagapally South</t>
  </si>
  <si>
    <t>Kamalam P</t>
  </si>
  <si>
    <t>SUNDARAN NATHAN</t>
  </si>
  <si>
    <t>T A ABRAHAM</t>
  </si>
  <si>
    <t>THRIKKAKKARA WEST</t>
  </si>
  <si>
    <t>MATHEW J</t>
  </si>
  <si>
    <t>2017-18 / Solar Connect/ R.No /00036</t>
  </si>
  <si>
    <t>THRIKKODITHANAM</t>
  </si>
  <si>
    <t>ASHRAF K E</t>
  </si>
  <si>
    <t>SPECTRUM TECHNO  PRODUCTS</t>
  </si>
  <si>
    <t>CHOKLI</t>
  </si>
  <si>
    <t>AJOSH GEORGE</t>
  </si>
  <si>
    <t>THIRUVANIYOOR</t>
  </si>
  <si>
    <t>BALACHANDRAN M S</t>
  </si>
  <si>
    <t>AYYANTHOLE</t>
  </si>
  <si>
    <t>ann90johnny@gmail.com</t>
  </si>
  <si>
    <t>Annie Johnny</t>
  </si>
  <si>
    <t>Angamaly</t>
  </si>
  <si>
    <t>sojanjoseph1965@gmail.com</t>
  </si>
  <si>
    <t>Joseph</t>
  </si>
  <si>
    <t>ANGAMALY</t>
  </si>
  <si>
    <t>binoysolgen@gmail.com</t>
  </si>
  <si>
    <t>BALACHANDRAN.C</t>
  </si>
  <si>
    <t>2017-18 / Solar Connect/ R.No /00037</t>
  </si>
  <si>
    <t>VALAPATTANAM</t>
  </si>
  <si>
    <t>VYAS GEORGE</t>
  </si>
  <si>
    <t>solarconnect20182gmail.com</t>
  </si>
  <si>
    <t>RASHEEDA K M</t>
  </si>
  <si>
    <t>VALAPPATANAM</t>
  </si>
  <si>
    <t>K A SIMON</t>
  </si>
  <si>
    <t xml:space="preserve">SOLGEN ENERGY PVT LTD </t>
  </si>
  <si>
    <t>Thevara</t>
  </si>
  <si>
    <t>Fr Reji Mathew</t>
  </si>
  <si>
    <t>Thannermukom</t>
  </si>
  <si>
    <t>2017-18 / Solar Connect/ R.No /00038</t>
  </si>
  <si>
    <t>Raghuvaran T</t>
  </si>
  <si>
    <t>SOLGEN ENRGY PVT LTD</t>
  </si>
  <si>
    <t>Pareeth Jaleel</t>
  </si>
  <si>
    <t>Nizamudeen A</t>
  </si>
  <si>
    <t>Kilimanoor</t>
  </si>
  <si>
    <t>sureshbabupr@ymail.com</t>
  </si>
  <si>
    <t>BHAVANAKUMARY D</t>
  </si>
  <si>
    <t>Bosch.Ltd</t>
  </si>
  <si>
    <t>Muthukulam(5741)</t>
  </si>
  <si>
    <t>Noushad</t>
  </si>
  <si>
    <t>Varkala</t>
  </si>
  <si>
    <t>Vinod MB</t>
  </si>
  <si>
    <t>Bosch Ltd</t>
  </si>
  <si>
    <t>Pilicode</t>
  </si>
  <si>
    <t>thankappankr0@gmail.com</t>
  </si>
  <si>
    <t>K R Thankappan</t>
  </si>
  <si>
    <t>pettah</t>
  </si>
  <si>
    <t>SURESH BABU M</t>
  </si>
  <si>
    <t>Dharmasala</t>
  </si>
  <si>
    <t>greenlightpala@gmail.com</t>
  </si>
  <si>
    <t>Thomas Joseph</t>
  </si>
  <si>
    <t>2017-18 / Solar Connect/ R.No /00039</t>
  </si>
  <si>
    <t>Jacob K J</t>
  </si>
  <si>
    <t>kotthattukulam</t>
  </si>
  <si>
    <t>Abraham KM</t>
  </si>
  <si>
    <t>velloorkunnam</t>
  </si>
  <si>
    <t>jacobsimon0123@gmail.com</t>
  </si>
  <si>
    <t>Simon Jacob</t>
  </si>
  <si>
    <t>Neendoor</t>
  </si>
  <si>
    <t>hykonkollam@gmail.com</t>
  </si>
  <si>
    <t>LIJU G.S.</t>
  </si>
  <si>
    <t>HYKON INDIA (PVT) LTD</t>
  </si>
  <si>
    <t>Kottarakkara East (4683)</t>
  </si>
  <si>
    <t>pr.sreeram@gmail.com</t>
  </si>
  <si>
    <t>Lions Club of Palghat</t>
  </si>
  <si>
    <t>Sulthanpet</t>
  </si>
  <si>
    <t>RAMESH</t>
  </si>
  <si>
    <t>2017-18 / Solar Connect/ R.No /00040</t>
  </si>
  <si>
    <t>KUDAPPANAKKUNNU</t>
  </si>
  <si>
    <t>SUGUMARI V.P</t>
  </si>
  <si>
    <t>rahul.parur@gmail.com</t>
  </si>
  <si>
    <t>K K Padmavathy Amma</t>
  </si>
  <si>
    <t>Hykon India Ltd.</t>
  </si>
  <si>
    <t>North Paravur</t>
  </si>
  <si>
    <t>adv.babypaul@gmail.com</t>
  </si>
  <si>
    <t>Baby Paul</t>
  </si>
  <si>
    <t>gkrishna88@yahoo.com</t>
  </si>
  <si>
    <t>B GOPALAKRISHNAN</t>
  </si>
  <si>
    <t>ALUVA TOWN</t>
  </si>
  <si>
    <t>kunnilatte@gmail.com</t>
  </si>
  <si>
    <t>LUCKOSE ABRAHAM KUNNILATTE</t>
  </si>
  <si>
    <t>Thomas V J</t>
  </si>
  <si>
    <t>sujojk@gmail.com</t>
  </si>
  <si>
    <t>Sujo Joseph K</t>
  </si>
  <si>
    <t>2017-18 / Solar Connect/ R.No /00041</t>
  </si>
  <si>
    <t>Kachani</t>
  </si>
  <si>
    <t>josephtjohn@gmail.com</t>
  </si>
  <si>
    <t>aiswaryamr@gmail.com</t>
  </si>
  <si>
    <t>Aiswarya Menon Rajendran</t>
  </si>
  <si>
    <t>drvrsn@gmail.com</t>
  </si>
  <si>
    <t>Raji R</t>
  </si>
  <si>
    <t>ulloor</t>
  </si>
  <si>
    <t>nithulxavier@hotmail.com</t>
  </si>
  <si>
    <t>T F Xavier</t>
  </si>
  <si>
    <t>Kraftwork Solar Pvt Ltd</t>
  </si>
  <si>
    <t>Marathakkara</t>
  </si>
  <si>
    <t>biji.rani@gmail.com</t>
  </si>
  <si>
    <t>Jacob Mathews</t>
  </si>
  <si>
    <t>Kodappanakunnu</t>
  </si>
  <si>
    <t>vsscanoop@gmail.com</t>
  </si>
  <si>
    <t>Anoop V</t>
  </si>
  <si>
    <t>Kazhakuttam</t>
  </si>
  <si>
    <t>Velammal Harihar</t>
  </si>
  <si>
    <t>2017-18 / Solar Connect/ R.No /00042</t>
  </si>
  <si>
    <t>haripillailic@yahoo.com</t>
  </si>
  <si>
    <t>Hari T Pillai</t>
  </si>
  <si>
    <t>Puthenchantha</t>
  </si>
  <si>
    <t>bijusoman@gmail.com</t>
  </si>
  <si>
    <t>Dr. Biju Soman</t>
  </si>
  <si>
    <t>sree.kumar@kw.g4s.com</t>
  </si>
  <si>
    <t>Somadevan Sreekumar</t>
  </si>
  <si>
    <t>kdantees@gmail.com</t>
  </si>
  <si>
    <t>Kalarani D M</t>
  </si>
  <si>
    <t>Avanavancherry</t>
  </si>
  <si>
    <t>linsalal@gmail.com</t>
  </si>
  <si>
    <t>Linsa Ratnalal S</t>
  </si>
  <si>
    <t>roop_asha@yahoo.com</t>
  </si>
  <si>
    <t>Roop Kumar Anacletus</t>
  </si>
  <si>
    <t>sudleycardoza@gmail.com</t>
  </si>
  <si>
    <t>2017-18 / Solar Connect/ R.No /00043</t>
  </si>
  <si>
    <t>Angus Sudley Cardoza</t>
  </si>
  <si>
    <t>R J Williams</t>
  </si>
  <si>
    <t>vinova energy systems</t>
  </si>
  <si>
    <t>ollur</t>
  </si>
  <si>
    <t>thomsonsanitations@hotmail.com</t>
  </si>
  <si>
    <t>Thomas A Cruz</t>
  </si>
  <si>
    <t>ronsujeff@gmail.com</t>
  </si>
  <si>
    <t>K George Geevarghese</t>
  </si>
  <si>
    <t>vebinodkumar@gmail.com</t>
  </si>
  <si>
    <t>V E Binod Kumar</t>
  </si>
  <si>
    <t>muraleekrishna1960@gmail.com</t>
  </si>
  <si>
    <t>Usha N K</t>
  </si>
  <si>
    <t>Nemom</t>
  </si>
  <si>
    <t>jovarkripabhavan@hotmail.com</t>
  </si>
  <si>
    <t>Jovar K</t>
  </si>
  <si>
    <t>2017-18 / Solar Connect/ R.No /00044</t>
  </si>
  <si>
    <t>francisjacob2206@gmail.com</t>
  </si>
  <si>
    <t>FRANCIS JACOB</t>
  </si>
  <si>
    <t>aswinvijay@gmail.com</t>
  </si>
  <si>
    <t>Vijayakumar P V</t>
  </si>
  <si>
    <t>Poojapura</t>
  </si>
  <si>
    <t>abyvarkey_sapna@yahoo.com</t>
  </si>
  <si>
    <t>Asha T Varkey</t>
  </si>
  <si>
    <t>T A Varkey</t>
  </si>
  <si>
    <t>KK Mathew</t>
  </si>
  <si>
    <t>Manarcadu</t>
  </si>
  <si>
    <t>Thomas Varkey</t>
  </si>
  <si>
    <t>Thiruvalla</t>
  </si>
  <si>
    <t>Rajani Vasudevan</t>
  </si>
  <si>
    <t>2017-18 / Solar Connect/ R.No /00045</t>
  </si>
  <si>
    <t>vadanappally</t>
  </si>
  <si>
    <t>Jose Kanjamala</t>
  </si>
  <si>
    <t>alakode</t>
  </si>
  <si>
    <t>kmprabhakaran49@gmail.com</t>
  </si>
  <si>
    <t>K M Prabhakaran</t>
  </si>
  <si>
    <t>krajeshkumar456@gmail.com</t>
  </si>
  <si>
    <t>K Rajesh Kumar</t>
  </si>
  <si>
    <t>bimal.achu009@yahoo.in</t>
  </si>
  <si>
    <t>N B Jayachandran</t>
  </si>
  <si>
    <t>Beach, TVM</t>
  </si>
  <si>
    <t>gopinathanish@gmail.com</t>
  </si>
  <si>
    <t>Darly Gopinath</t>
  </si>
  <si>
    <t>Abraham Thomas</t>
  </si>
  <si>
    <t>2017-18 / Solar Connect/ R.No /00046</t>
  </si>
  <si>
    <t>Leelamma Mathew</t>
  </si>
  <si>
    <t>Seema K R</t>
  </si>
  <si>
    <t>Vattiyoorkavu</t>
  </si>
  <si>
    <t>LAKSHMI S</t>
  </si>
  <si>
    <t>babujacobpb@gmail.com</t>
  </si>
  <si>
    <t>Babu Jacob</t>
  </si>
  <si>
    <t>2017-18 / Solar Connect/ R.No /00047</t>
  </si>
  <si>
    <t>KOORKANCHERRY</t>
  </si>
  <si>
    <t>SREEKUMAR V PILLAI</t>
  </si>
  <si>
    <t>THIRUMALA</t>
  </si>
  <si>
    <t>REJI NAIR</t>
  </si>
  <si>
    <t>CHANDRAN POOVANPALLIL ACHUTHAN</t>
  </si>
  <si>
    <t>jaya@cusat.ac.in</t>
  </si>
  <si>
    <t>RAJEEV P N</t>
  </si>
  <si>
    <t>CHOTTANIKKARA</t>
  </si>
  <si>
    <t>sales.ecomate@gmail.com</t>
  </si>
  <si>
    <t>Reji Mathew</t>
  </si>
  <si>
    <t>Kothamangalam</t>
  </si>
  <si>
    <t>2017-18 / Solar Connect/ R.No /00048</t>
  </si>
  <si>
    <t>spalap@gmail.com</t>
  </si>
  <si>
    <t>SIRAJUDEEN V A</t>
  </si>
  <si>
    <t>CHENGAMANAD</t>
  </si>
  <si>
    <t>VARGHESE P K</t>
  </si>
  <si>
    <t>VYTTILA</t>
  </si>
  <si>
    <t>GEORGE JACOB</t>
  </si>
  <si>
    <t>Valayanchirangara</t>
  </si>
  <si>
    <t>V GANGADHARAN</t>
  </si>
  <si>
    <t>PERINGODE</t>
  </si>
  <si>
    <t>JOHN PJ</t>
  </si>
  <si>
    <t>W10</t>
  </si>
  <si>
    <t>sunnyphm501@gmail.com</t>
  </si>
  <si>
    <t>SUNNY M P</t>
  </si>
  <si>
    <t>PUNNAMPARAMBU</t>
  </si>
  <si>
    <t>2017-18 / Solar Connect/ R.No /00049</t>
  </si>
  <si>
    <t>shinysib@gmail.com</t>
  </si>
  <si>
    <t>SHINY J MENACHERY</t>
  </si>
  <si>
    <t>MANNUTHY</t>
  </si>
  <si>
    <t>PM FATHIMA</t>
  </si>
  <si>
    <t>THALASSERY NORTH</t>
  </si>
  <si>
    <t>M MOHAMMAD KOYA</t>
  </si>
  <si>
    <t>VELLIMADUKUNNU</t>
  </si>
  <si>
    <t>NOUSHITHA VM</t>
  </si>
  <si>
    <t>ERANHIKKAL</t>
  </si>
  <si>
    <t>tdncustomercare@gmail.com</t>
  </si>
  <si>
    <t>Jose mathew</t>
  </si>
  <si>
    <t>pallikkathode</t>
  </si>
  <si>
    <t>2017-18 / Solar Connect/ R.No /00050</t>
  </si>
  <si>
    <t>Nita Kumari T</t>
  </si>
  <si>
    <t>purunni@gmail.com</t>
  </si>
  <si>
    <t>NARAYANAN UNNI. P</t>
  </si>
  <si>
    <t>MARUTHAROAD ELECTRICAL SECTION</t>
  </si>
  <si>
    <t>Dr.R Rajkumar</t>
  </si>
  <si>
    <t>MOHAN JAIDAS</t>
  </si>
  <si>
    <t>KANNUR</t>
  </si>
  <si>
    <t>RAFEEK AT</t>
  </si>
  <si>
    <t>PAPPINISSERI</t>
  </si>
  <si>
    <t>A.K.S HAMEED</t>
  </si>
  <si>
    <t>2017-18 / Solar Connect/ R.No /00051</t>
  </si>
  <si>
    <t>POTTAMMAL</t>
  </si>
  <si>
    <t>jolly1951@gmail.com</t>
  </si>
  <si>
    <t>WILSON V M</t>
  </si>
  <si>
    <t>KALAMASSERY</t>
  </si>
  <si>
    <t>bobivenmony@gmail.com</t>
  </si>
  <si>
    <t>THOMAS GEORGE</t>
  </si>
  <si>
    <t>THRIKKAKARA WEST</t>
  </si>
  <si>
    <t>nayaknitha@gmail.com</t>
  </si>
  <si>
    <t>NIRMALA PRABHU</t>
  </si>
  <si>
    <t>FORT COCHIN</t>
  </si>
  <si>
    <t>leelammamulerikal53@gmail.com</t>
  </si>
  <si>
    <t>E K FRANCIS</t>
  </si>
  <si>
    <t>PALARIVATTOM</t>
  </si>
  <si>
    <t>vigimichael@gmail.com</t>
  </si>
  <si>
    <t>VIGI MICHAEL</t>
  </si>
  <si>
    <t>VADUTHALA</t>
  </si>
  <si>
    <t>sheelaolickal63@hotmail.com</t>
  </si>
  <si>
    <t>JAISON JOSEPH</t>
  </si>
  <si>
    <t>VELLOORKUNNAM</t>
  </si>
  <si>
    <t>T.S. Jayan</t>
  </si>
  <si>
    <t>Shimmi Rajeev</t>
  </si>
  <si>
    <t>Kavalayoor</t>
  </si>
  <si>
    <t>Aravind R</t>
  </si>
  <si>
    <t>CS BALAN</t>
  </si>
  <si>
    <t>2017-18 / Solar Connect/ R.No /00052</t>
  </si>
  <si>
    <t>BABY THOMAS</t>
  </si>
  <si>
    <t>Ayyappadasan Pillai</t>
  </si>
  <si>
    <t>drthomasabraham@gmail.com</t>
  </si>
  <si>
    <t>Dr Thomas Abraham</t>
  </si>
  <si>
    <t>Tata Power Solar Systems Ltd</t>
  </si>
  <si>
    <t>thodupuzha-1</t>
  </si>
  <si>
    <t>thomaskuttykurian1972@gmail.com</t>
  </si>
  <si>
    <t>THOMASKUTTY KURIAN</t>
  </si>
  <si>
    <t>Kooroppada</t>
  </si>
  <si>
    <t>matex@matexcarpet.com</t>
  </si>
  <si>
    <t>S Lalji</t>
  </si>
  <si>
    <t>Tata power solar</t>
  </si>
  <si>
    <t>alwinpaul91@gamil.com</t>
  </si>
  <si>
    <t>Thomas joseph</t>
  </si>
  <si>
    <t>Ahammed kunju</t>
  </si>
  <si>
    <t>A kabeer</t>
  </si>
  <si>
    <t>nestrokochi@gmail.com</t>
  </si>
  <si>
    <t>MANU JOSEPH</t>
  </si>
  <si>
    <t>2017-18 / Solar Connect/ R.No /00053</t>
  </si>
  <si>
    <t>NESTRO MARKETING LLP</t>
  </si>
  <si>
    <t>GIRINAGAR (5542)</t>
  </si>
  <si>
    <t>V K Gopi</t>
  </si>
  <si>
    <t>varantharappilly</t>
  </si>
  <si>
    <t>Bos charcoal Gopalan</t>
  </si>
  <si>
    <t>cherpu</t>
  </si>
  <si>
    <t>DR JOSE ZACHARIAS</t>
  </si>
  <si>
    <t>MARANGATTUPILLY</t>
  </si>
  <si>
    <t xml:space="preserve">cassia.execom@gmail.com </t>
  </si>
  <si>
    <t>CONDOR CYBER GARDENS CASSIA OWNERS ASSCIATION</t>
  </si>
  <si>
    <t>KULATHOOR</t>
  </si>
  <si>
    <t>cassia.execom@gmail.com</t>
  </si>
  <si>
    <t xml:space="preserve">aswathyconstruction9@gmail.com </t>
  </si>
  <si>
    <t>V J RAJAMMA</t>
  </si>
  <si>
    <t>CANTONMENT,TVPM</t>
  </si>
  <si>
    <t>aswathyconstruction9@gmail.com</t>
  </si>
  <si>
    <t>nathanrr2009@gmail.com</t>
  </si>
  <si>
    <t>SUJATHA M</t>
  </si>
  <si>
    <t>THATTARAMBALAM</t>
  </si>
  <si>
    <t>barker_nb@yahoo.com</t>
  </si>
  <si>
    <t xml:space="preserve">BARKER BHASKARAN </t>
  </si>
  <si>
    <t>THIRUVALLAM</t>
  </si>
  <si>
    <t>valsala raju</t>
  </si>
  <si>
    <t>s.s2354@gmail.com</t>
  </si>
  <si>
    <t>Girija K K</t>
  </si>
  <si>
    <t>2017-18 / Solar Connect/ R.No /00054</t>
  </si>
  <si>
    <t>Soura Natural Energy solutions India p ltd</t>
  </si>
  <si>
    <t>sulthanpet</t>
  </si>
  <si>
    <t>PUNNATH USHA</t>
  </si>
  <si>
    <t>BEYPUR</t>
  </si>
  <si>
    <t>Joypeter67@hotmail.com</t>
  </si>
  <si>
    <t>Joy Peter</t>
  </si>
  <si>
    <t>TATA Power Solar Systems Ltd</t>
  </si>
  <si>
    <t>Thankasserry</t>
  </si>
  <si>
    <t>joypeter67@hotmail.com</t>
  </si>
  <si>
    <t>P.P. RAJAN</t>
  </si>
  <si>
    <t>TATA POWER SOLAR SYSTEMS LIMITED</t>
  </si>
  <si>
    <t>C SULAIMAN</t>
  </si>
  <si>
    <t>KAKKODI</t>
  </si>
  <si>
    <t>K M CHERIYAN</t>
  </si>
  <si>
    <t>KARAPARAMBU</t>
  </si>
  <si>
    <t>JAYAKUMAR T S</t>
  </si>
  <si>
    <t>VATTIYOORKAVU</t>
  </si>
  <si>
    <t>JUDY JOSE</t>
  </si>
  <si>
    <t>KOORKANCHERY</t>
  </si>
  <si>
    <t>2017-18 / Solar Connect/ R.No /00055</t>
  </si>
  <si>
    <t>COLONEL ABRAHAM HABBI</t>
  </si>
  <si>
    <t>OACHIRA</t>
  </si>
  <si>
    <t>JAYASREE K R</t>
  </si>
  <si>
    <t>SOORANADU</t>
  </si>
  <si>
    <t>SANDHYA RADHAKRISHNAN</t>
  </si>
  <si>
    <t>KILIKOLLOOR</t>
  </si>
  <si>
    <t>pvyohannan75@gmail.com</t>
  </si>
  <si>
    <t>P V Yohannan</t>
  </si>
  <si>
    <t>Puthencruz</t>
  </si>
  <si>
    <t>premav3s@yahoo.com</t>
  </si>
  <si>
    <t>PREMALATHA VENUGOPALAN</t>
  </si>
  <si>
    <t>TATA POWER SOLAR SYSTEM LTD</t>
  </si>
  <si>
    <t>MARUTHA ROAD</t>
  </si>
  <si>
    <t>MANAGER,JAMA-ATH H S S</t>
  </si>
  <si>
    <t>VAZHAKULAM</t>
  </si>
  <si>
    <t>NAZARI A K</t>
  </si>
  <si>
    <t>2017-18 / Solar Connect/ R.No /00056</t>
  </si>
  <si>
    <t>KOOTHUPARAMBA</t>
  </si>
  <si>
    <t>JUSTIN J ALAPPAT</t>
  </si>
  <si>
    <t>SOUMYA BINESH</t>
  </si>
  <si>
    <t>sales.bbassociates@gmail.com</t>
  </si>
  <si>
    <t>Sanjay V H</t>
  </si>
  <si>
    <t>Kaipamangalam</t>
  </si>
  <si>
    <t>Shine V H</t>
  </si>
  <si>
    <t>Balan</t>
  </si>
  <si>
    <t>soura Natural Energy solutions India Pvt ltd</t>
  </si>
  <si>
    <t>Dharmassala</t>
  </si>
  <si>
    <t>Priyakumar K</t>
  </si>
  <si>
    <t>Ramavarmapuram</t>
  </si>
  <si>
    <t>Ditto Tom P</t>
  </si>
  <si>
    <t>kunnamkulam</t>
  </si>
  <si>
    <t xml:space="preserve">hari2745@gmail.com </t>
  </si>
  <si>
    <t>Beena Hareesh</t>
  </si>
  <si>
    <t>PARIYARAM</t>
  </si>
  <si>
    <t>2017-18 / Solar Connect/ R.No /00057</t>
  </si>
  <si>
    <t>nujoseph.maveli@gmail.com</t>
  </si>
  <si>
    <t>N U Joseph</t>
  </si>
  <si>
    <t>Soura Natural Energy Solutions India pvt ltd</t>
  </si>
  <si>
    <t>Peruva</t>
  </si>
  <si>
    <t>Cholamparambil Purushothaman</t>
  </si>
  <si>
    <t>sasikumar.ifs@gmail.com</t>
  </si>
  <si>
    <t>GEETHA KUMARI T K</t>
  </si>
  <si>
    <t>sheikazgar1@gmail.com</t>
  </si>
  <si>
    <t xml:space="preserve">SHEIK AZGAR HUSSAIN S </t>
  </si>
  <si>
    <t>D2</t>
  </si>
  <si>
    <t>sheikhyder@gmail.com</t>
  </si>
  <si>
    <t xml:space="preserve">SHEIK HYDER HUSSAIN S </t>
  </si>
  <si>
    <t>bukhariprincipal@gmail.com</t>
  </si>
  <si>
    <t>The General Secretary</t>
  </si>
  <si>
    <t>kondotty</t>
  </si>
  <si>
    <t>T K PREMLAL</t>
  </si>
  <si>
    <t>VARGHESE THOMAS</t>
  </si>
  <si>
    <t>MALLAPPALLY</t>
  </si>
  <si>
    <t>RAMESH CHANDRAN T</t>
  </si>
  <si>
    <t>POTHENCODE</t>
  </si>
  <si>
    <t>2017-18 / Solar Connect/ R.No /00058</t>
  </si>
  <si>
    <t>jojijohnt@gmail.com</t>
  </si>
  <si>
    <t>MATHAI T MATHAI , THEKKENEDUMPLACKAL,MALLAPPALLY,PATHANAMTHITTA,MALLAPPALLY WEST,KERALA-689585</t>
  </si>
  <si>
    <t>SIRET SOLAR PVT . LTD</t>
  </si>
  <si>
    <t>VENNIKULAM</t>
  </si>
  <si>
    <t>bismibijina@gmail.com</t>
  </si>
  <si>
    <t>C D NOUSHAD RAWTHER,SEETHAKULAM HOUSE , EZHUMATTOOR PO,MALLAPPALLY,PATHANAMTHITTA-689586</t>
  </si>
  <si>
    <t>SIRET SOLAR PVT.LTD</t>
  </si>
  <si>
    <t>VAIPUR</t>
  </si>
  <si>
    <t>vijayan1962pillai@gmail.com</t>
  </si>
  <si>
    <t>Sree Mahaganapathy Sevashram</t>
  </si>
  <si>
    <t>SAIRA FAISAL</t>
  </si>
  <si>
    <t>ALUVA TOWN (5567)</t>
  </si>
  <si>
    <t>SAJITH CHANDRAN</t>
  </si>
  <si>
    <t>EROOR</t>
  </si>
  <si>
    <t>GOPAKUMAR M</t>
  </si>
  <si>
    <t>rajanthundiamkulathu@yahoo.com</t>
  </si>
  <si>
    <t>K E THOMAS</t>
  </si>
  <si>
    <t>MOITHEENKUTTY</t>
  </si>
  <si>
    <t>CHATTIPRAMBA</t>
  </si>
  <si>
    <t>HYDROSSKUTTY</t>
  </si>
  <si>
    <t>MALAPPURAM EAST</t>
  </si>
  <si>
    <t>serin.soura@gmail.com</t>
  </si>
  <si>
    <t>Haseena</t>
  </si>
  <si>
    <t>2017-18 / Solar Connect/ R.No /00059</t>
  </si>
  <si>
    <t>kundannur</t>
  </si>
  <si>
    <t>sunilkumaralayil@gmail.com</t>
  </si>
  <si>
    <t>SUNIL KUMAR AS</t>
  </si>
  <si>
    <t>AYISHABI K P</t>
  </si>
  <si>
    <t>WESTHILL</t>
  </si>
  <si>
    <t>joseph.joejo@gmail.com</t>
  </si>
  <si>
    <t>joseph joseph</t>
  </si>
  <si>
    <t>Tata power solar systems ltd</t>
  </si>
  <si>
    <t>moolamattom</t>
  </si>
  <si>
    <t>binoyjose41@gmail.com</t>
  </si>
  <si>
    <t>Shanavas Elachola</t>
  </si>
  <si>
    <t>nestro marketing LLP</t>
  </si>
  <si>
    <t>Makkaraparamba</t>
  </si>
  <si>
    <t>Shahul Hameed</t>
  </si>
  <si>
    <t>Kalpakancheri</t>
  </si>
  <si>
    <t>St. Mary's Minor Seminary (Heralda of good news)</t>
  </si>
  <si>
    <t>Alakkode</t>
  </si>
  <si>
    <t>PRESIDENT- HERALDS OF GOOD NEWS</t>
  </si>
  <si>
    <t>PAMPADY</t>
  </si>
  <si>
    <t>bkrish07@gmail.com</t>
  </si>
  <si>
    <t>Biju Chandrasekharan</t>
  </si>
  <si>
    <t>enArka India Private Limited</t>
  </si>
  <si>
    <t>Purappuzha</t>
  </si>
  <si>
    <t>bijucsekhar@yahoo.com</t>
  </si>
  <si>
    <t>vargheseisac@gmail.com</t>
  </si>
  <si>
    <t>Mariamma Mathew</t>
  </si>
  <si>
    <t>fr.dominicpathiala@gmail.com</t>
  </si>
  <si>
    <t>2017-18 / Solar Connect/ R.No /00060</t>
  </si>
  <si>
    <t>Dominic Pathiala</t>
  </si>
  <si>
    <t>Maradu</t>
  </si>
  <si>
    <t>jagadeesan.ts@gmail.com</t>
  </si>
  <si>
    <t>Jagadeesan T.S.</t>
  </si>
  <si>
    <t>pjissac@gmail.com</t>
  </si>
  <si>
    <t>ANNES SHEELA JOY</t>
  </si>
  <si>
    <t>SIRET SOLAR PVT LTD</t>
  </si>
  <si>
    <t>The Director,Snehashramam</t>
  </si>
  <si>
    <t>Kulathoor</t>
  </si>
  <si>
    <t>ANIAMMA VARGHESE</t>
  </si>
  <si>
    <t>KALOOR</t>
  </si>
  <si>
    <t>K T DAVY</t>
  </si>
  <si>
    <t>MULANTHURUTHY</t>
  </si>
  <si>
    <t>Shobhana T</t>
  </si>
  <si>
    <t>Hykon India (Pvt) Ltd</t>
  </si>
  <si>
    <t>Thankassery (4562)</t>
  </si>
  <si>
    <t>amprojects@hykonindia.com</t>
  </si>
  <si>
    <t>Sister Superior</t>
  </si>
  <si>
    <t>Hykon India Ltd</t>
  </si>
  <si>
    <t>Parappur</t>
  </si>
  <si>
    <t>REETHA JOSE</t>
  </si>
  <si>
    <t>ALUVA WEST</t>
  </si>
  <si>
    <t>2017-18 / Solar Connect/ R.No /00061</t>
  </si>
  <si>
    <t>JAYASREE R NAIR</t>
  </si>
  <si>
    <t>PIRAVOM</t>
  </si>
  <si>
    <t>mathuputhusseril@gmail.com</t>
  </si>
  <si>
    <t>RAJU</t>
  </si>
  <si>
    <t>MOOVATTUPUZHA</t>
  </si>
  <si>
    <t>T K HARIDAS</t>
  </si>
  <si>
    <t>Thriprayar</t>
  </si>
  <si>
    <t>DEVIPRASAD P N</t>
  </si>
  <si>
    <t>KAIPAMANGALAM</t>
  </si>
  <si>
    <t>newtonluiz@gmail.com</t>
  </si>
  <si>
    <t>Newton Luiz</t>
  </si>
  <si>
    <t>Power One Microsystems Private Ltd</t>
  </si>
  <si>
    <t>Chalakkudy (5651)</t>
  </si>
  <si>
    <t>G Raghunath</t>
  </si>
  <si>
    <t>Kadappakkada</t>
  </si>
  <si>
    <t>kader866@gmail.com</t>
  </si>
  <si>
    <t>ABDUL KADER. P.H</t>
  </si>
  <si>
    <t>kizhakkencheri electrical section</t>
  </si>
  <si>
    <t>kvmtrustchla@gmail.com</t>
  </si>
  <si>
    <t>SARASWATHY PYARELAL</t>
  </si>
  <si>
    <t>POWER ONE MICRO SYSTEMS PVT LTD</t>
  </si>
  <si>
    <t>CHERTHALA EASR</t>
  </si>
  <si>
    <t>2017-18 / Solar Connect/ R.No /00062</t>
  </si>
  <si>
    <t>shivsree29@yahoo.com</t>
  </si>
  <si>
    <t>t.v shivdas</t>
  </si>
  <si>
    <t>tata power solar system ltd</t>
  </si>
  <si>
    <t>kalpathy elecreical section</t>
  </si>
  <si>
    <t>mannileth.vinodkm@gmail.com</t>
  </si>
  <si>
    <t>vinodh kumar.m</t>
  </si>
  <si>
    <t>kalpathy electrical section</t>
  </si>
  <si>
    <t>ABDULLA.E.M</t>
  </si>
  <si>
    <t>Kasaragod</t>
  </si>
  <si>
    <t>UDUMA</t>
  </si>
  <si>
    <t>raisonsolar2018@gmail.com</t>
  </si>
  <si>
    <t>RAISON J MATHEWS</t>
  </si>
  <si>
    <t>Alakode- Thodupuzha [5753]</t>
  </si>
  <si>
    <t>Rajeev.S</t>
  </si>
  <si>
    <t>IGA TECH INDUSTRIAL ELECTRONICS PVT LTD</t>
  </si>
  <si>
    <t xml:space="preserve">Kollengode </t>
  </si>
  <si>
    <t>sales.kodco@gmail.com</t>
  </si>
  <si>
    <t>BEENA MANNARAKKAL</t>
  </si>
  <si>
    <t>TATA POWER SOLAR</t>
  </si>
  <si>
    <t>philipsreni1@gmail.com</t>
  </si>
  <si>
    <t>GEETHA RENI PHILIP</t>
  </si>
  <si>
    <t>PANDALAM</t>
  </si>
  <si>
    <t>A.G.JOHN</t>
  </si>
  <si>
    <t>2017-18 / Solar Connect/ R.No /00063</t>
  </si>
  <si>
    <t>SUBHASHITHAN E P K</t>
  </si>
  <si>
    <t>THALIKULAM</t>
  </si>
  <si>
    <t>ISMAIL C</t>
  </si>
  <si>
    <t>CHERKALA</t>
  </si>
  <si>
    <t>Justin George</t>
  </si>
  <si>
    <t>Solartech</t>
  </si>
  <si>
    <t>Mulamkunnathukavu</t>
  </si>
  <si>
    <t>sooraj4suresh@gmail.com</t>
  </si>
  <si>
    <t>Carmel Hospital</t>
  </si>
  <si>
    <t>Aluva Town (5567)</t>
  </si>
  <si>
    <t>wesley.shalomclinic@gmail.com</t>
  </si>
  <si>
    <t>WESLEY KOSHY JOHN</t>
  </si>
  <si>
    <t>KARTHIKAPPALLY</t>
  </si>
  <si>
    <t>YATHINDRAN K V</t>
  </si>
  <si>
    <t>KADACHIRA</t>
  </si>
  <si>
    <t>ASHRAF</t>
  </si>
  <si>
    <t>PARAD</t>
  </si>
  <si>
    <t>ktpanicker@gmail.com</t>
  </si>
  <si>
    <t>THOMAS PANICKER K</t>
  </si>
  <si>
    <t>4585 PERUMPUZHA</t>
  </si>
  <si>
    <t xml:space="preserve">Vinu  Thomas Mathew </t>
  </si>
  <si>
    <t>Wattsun ?Energy India Private Limited</t>
  </si>
  <si>
    <t>S CLEMENT</t>
  </si>
  <si>
    <t>2017-18 / Solar Connect/ R.No /00064</t>
  </si>
  <si>
    <t>KADAPPANAKKUNNU</t>
  </si>
  <si>
    <t>The Secretary ,Cotton Hills Heights Cotton Hills Heights Apartment</t>
  </si>
  <si>
    <t>Hyder Arafath C.K</t>
  </si>
  <si>
    <t>PUTHENATHANI(6571)</t>
  </si>
  <si>
    <t xml:space="preserve">shpklm@yahoo.com </t>
  </si>
  <si>
    <t>Kothamangalam II</t>
  </si>
  <si>
    <t>shpklm@yahoo.com</t>
  </si>
  <si>
    <t>benny_kain@yahoo.co.in</t>
  </si>
  <si>
    <t>BENNY K A</t>
  </si>
  <si>
    <t>EDATHALA</t>
  </si>
  <si>
    <t>captgovind@gmail.com</t>
  </si>
  <si>
    <t>GOVIND AZHAKATH</t>
  </si>
  <si>
    <t>darsanasupermart@gmail.com</t>
  </si>
  <si>
    <t>T S UDAYAN</t>
  </si>
  <si>
    <t>faizalfaizu36@gmail.com</t>
  </si>
  <si>
    <t>MOHAMMED FAIZAL</t>
  </si>
  <si>
    <t>varghese.knth@gmail.com</t>
  </si>
  <si>
    <t>VARGHESE MATHEW</t>
  </si>
  <si>
    <t>2017-18 / Solar Connect/ R.No /00065</t>
  </si>
  <si>
    <t>pamathewpallath@gmail.com</t>
  </si>
  <si>
    <t>MATHEW P A</t>
  </si>
  <si>
    <t>ramgopalk13@yahoo.com</t>
  </si>
  <si>
    <t>PRASANNA RAMGOPAL</t>
  </si>
  <si>
    <t>PUTHENCRUZ</t>
  </si>
  <si>
    <t>bijupaul03@gmail.com</t>
  </si>
  <si>
    <t>VICAR ST AUGUSTINE CHURCH</t>
  </si>
  <si>
    <t>vharikn@gmail.com</t>
  </si>
  <si>
    <t>HARI KUMARAN NAIR V</t>
  </si>
  <si>
    <t>THOPUMPADY</t>
  </si>
  <si>
    <t>pajanchris@gmail.com</t>
  </si>
  <si>
    <t>JOSE THOMAS CHRISTO</t>
  </si>
  <si>
    <t>ani_kum2004@yahoo.com</t>
  </si>
  <si>
    <t>U.S. ANILKUMAR</t>
  </si>
  <si>
    <t xml:space="preserve">PUTHUKODE </t>
  </si>
  <si>
    <t>rejoyjose@gmail.com</t>
  </si>
  <si>
    <t>JOSE M P</t>
  </si>
  <si>
    <t>sreepree@yahoo.com</t>
  </si>
  <si>
    <t>ISMAIL C A</t>
  </si>
  <si>
    <t>VADAKKEKARA</t>
  </si>
  <si>
    <t>SAHIDA ISMAIL</t>
  </si>
  <si>
    <t>2017-18 / Solar Connect/ R.No /00066</t>
  </si>
  <si>
    <t>binros@gmail.com</t>
  </si>
  <si>
    <t>BINDU ROSHEN</t>
  </si>
  <si>
    <t>KUMBLANGI</t>
  </si>
  <si>
    <t>sreekumarsreeram@gmail.com</t>
  </si>
  <si>
    <t>GOPALAKRISHNAN P P</t>
  </si>
  <si>
    <t>PANAGAD</t>
  </si>
  <si>
    <t>SREE RAMAKRISHNAN</t>
  </si>
  <si>
    <t>PRIYALATHA K</t>
  </si>
  <si>
    <t>POOJAPPURA</t>
  </si>
  <si>
    <t>AJITH R</t>
  </si>
  <si>
    <t>2017-18 / Solar Connect/ R.No /00067</t>
  </si>
  <si>
    <t>KACHANI</t>
  </si>
  <si>
    <t>kovoor.kurian@gmail.com</t>
  </si>
  <si>
    <t>Thomas Kurian</t>
  </si>
  <si>
    <t>emmanuelsarto@yahoo.co.in</t>
  </si>
  <si>
    <t>EMMANUEL SARTO</t>
  </si>
  <si>
    <t>SPECTRUM TECHNOPRODUCTS</t>
  </si>
  <si>
    <t>JOSEPH M G</t>
  </si>
  <si>
    <t>THRIPONITHURA</t>
  </si>
  <si>
    <t>sanjeev.v.thomas@gmail.com</t>
  </si>
  <si>
    <t>Dr. Susan S Thomas</t>
  </si>
  <si>
    <t>Tata Power Solar Systems LTD</t>
  </si>
  <si>
    <t>chandrasenanp@yahoo.co.in</t>
  </si>
  <si>
    <t>Mini P</t>
  </si>
  <si>
    <t>Sindhia S</t>
  </si>
  <si>
    <t>Pothencode</t>
  </si>
  <si>
    <t>mward1992@reddifmail.com</t>
  </si>
  <si>
    <t>Mary Ward Educational Society</t>
  </si>
  <si>
    <t xml:space="preserve">SIRET SOLAR PVT.LTD </t>
  </si>
  <si>
    <t>2017-18 / Solar Connect/ R.No /00068</t>
  </si>
  <si>
    <t>Puthenvelikkara</t>
  </si>
  <si>
    <t>gm@dean_holdings.com</t>
  </si>
  <si>
    <t>Ansari MM</t>
  </si>
  <si>
    <t>Peringamala</t>
  </si>
  <si>
    <t>varunanparamu123@gmail.com</t>
  </si>
  <si>
    <t>P Varunan</t>
  </si>
  <si>
    <t>Vakkom</t>
  </si>
  <si>
    <t>Arun George Philip</t>
  </si>
  <si>
    <t>jacob3293@rediffmail.com</t>
  </si>
  <si>
    <t>Jacob John</t>
  </si>
  <si>
    <t>Tata Power Solar systems LTD</t>
  </si>
  <si>
    <t>TM George</t>
  </si>
  <si>
    <t>vivekvs1987@gmail.com</t>
  </si>
  <si>
    <t>Sugatha Kumari P</t>
  </si>
  <si>
    <t>2017-18 / Solar Connect/ R.No /00069</t>
  </si>
  <si>
    <t>ganapathhome@gmail.com</t>
  </si>
  <si>
    <t>R Ganesh</t>
  </si>
  <si>
    <t>Susan Antony</t>
  </si>
  <si>
    <t>vellayambalam</t>
  </si>
  <si>
    <t>MARY JOS</t>
  </si>
  <si>
    <t>Dhananjayan Krishnan</t>
  </si>
  <si>
    <t>Jolly</t>
  </si>
  <si>
    <t>soura natural energy solutions India pvt ltd</t>
  </si>
  <si>
    <t>Manjapra</t>
  </si>
  <si>
    <t>2017-18 / Solar Connect/ R.No /00070</t>
  </si>
  <si>
    <t>Manoj M</t>
  </si>
  <si>
    <t>Jayaprakash</t>
  </si>
  <si>
    <t>Soura natural energy solutions india pvt ltd</t>
  </si>
  <si>
    <t>Pampady</t>
  </si>
  <si>
    <t>girijagurudas@yahoo.com</t>
  </si>
  <si>
    <t>Gurudas N</t>
  </si>
  <si>
    <t>K B JAGADEESH</t>
  </si>
  <si>
    <t>VAKAYAR</t>
  </si>
  <si>
    <t>MATHAI SAMUEL</t>
  </si>
  <si>
    <t>2017-18 / Solar Connect/ R.No /00071</t>
  </si>
  <si>
    <t>srsuku@gmail.com</t>
  </si>
  <si>
    <t>R SUKU</t>
  </si>
  <si>
    <t>INKEL LIMITED</t>
  </si>
  <si>
    <t>PETTA</t>
  </si>
  <si>
    <t>SHAJI MATHEW</t>
  </si>
  <si>
    <t>KOZHENCHERRY</t>
  </si>
  <si>
    <t>JOHNSON MATHEW</t>
  </si>
  <si>
    <t>George Mathai</t>
  </si>
  <si>
    <t>soura natural energy solutions india pvt ltd</t>
  </si>
  <si>
    <t>aluva west</t>
  </si>
  <si>
    <t>Pieuse George</t>
  </si>
  <si>
    <t>Malayattoor</t>
  </si>
  <si>
    <t>2017-18 / Solar Connect/ R.No /00072</t>
  </si>
  <si>
    <t xml:space="preserve">kukenpupe@gmail.com </t>
  </si>
  <si>
    <t>SEN K S</t>
  </si>
  <si>
    <t>PUNNAPRA</t>
  </si>
  <si>
    <t>senju.sunsenz@gmail.com</t>
  </si>
  <si>
    <t>DINESH CHANDRA BABU NARAHARI</t>
  </si>
  <si>
    <t>cherthala</t>
  </si>
  <si>
    <t>smktm@hykonindia.com</t>
  </si>
  <si>
    <t>Bursar,BCM College,Kottayam</t>
  </si>
  <si>
    <t>HYKON INDIA LTD</t>
  </si>
  <si>
    <t>Kottayam Central Ecectrical Section</t>
  </si>
  <si>
    <t>REJI P SAMUEL</t>
  </si>
  <si>
    <t>FRANCY SEBASTIAN</t>
  </si>
  <si>
    <t>EDATHUA</t>
  </si>
  <si>
    <t>Fathahudeen M,Secretary</t>
  </si>
  <si>
    <t>unnimann@hotmail.com</t>
  </si>
  <si>
    <t>k.v. unnikrishnan</t>
  </si>
  <si>
    <t>BIGBAZAR ELECTRICAL SECTION</t>
  </si>
  <si>
    <t>Rajan Varghese</t>
  </si>
  <si>
    <t>2017-18 / Solar Connect/ R.No /00073</t>
  </si>
  <si>
    <t>solarcommect2018@gmail.com</t>
  </si>
  <si>
    <t>ABDULLA KUNHI</t>
  </si>
  <si>
    <t>CHITTARI</t>
  </si>
  <si>
    <t>VIJAYAN</t>
  </si>
  <si>
    <t>ANTONY C C</t>
  </si>
  <si>
    <t>FORT COCHI</t>
  </si>
  <si>
    <t xml:space="preserve">kishore.kottiyatil@yahoo.com </t>
  </si>
  <si>
    <t>Chandini Kishore</t>
  </si>
  <si>
    <t>Principal,Sacred Heart College</t>
  </si>
  <si>
    <t>Soura  Natural energy solution india (p) ltd</t>
  </si>
  <si>
    <t>chalakudy</t>
  </si>
  <si>
    <t>NITHYADAS V S</t>
  </si>
  <si>
    <t>Chalakkudy</t>
  </si>
  <si>
    <t>priya mol sureshkumar</t>
  </si>
  <si>
    <t>siret solar pvt ltd</t>
  </si>
  <si>
    <t>Thottabhagom</t>
  </si>
  <si>
    <t>ALLY SAM S</t>
  </si>
  <si>
    <t>Hykon India (P) Ltd</t>
  </si>
  <si>
    <t>Mayyanad</t>
  </si>
  <si>
    <t>keralasolarpes@gmail.com</t>
  </si>
  <si>
    <t>REENAROSE</t>
  </si>
  <si>
    <t>PROGEN ENERGY SOLUTIONS</t>
  </si>
  <si>
    <t>2017-18 / Solar Connect/ R.No /00074</t>
  </si>
  <si>
    <t>stsebastianschurchtdpa@gmail.com</t>
  </si>
  <si>
    <t>VICAR ST SEBASTIAN CHURCH</t>
  </si>
  <si>
    <t>REECCO ENERGY INDIA PVT LTD</t>
  </si>
  <si>
    <t>Thodupuzh - 1</t>
  </si>
  <si>
    <t>aruvithuraforanechurch@gmail.com</t>
  </si>
  <si>
    <t>VICAR ST GEORGE CHURCH</t>
  </si>
  <si>
    <t>Erattupetta</t>
  </si>
  <si>
    <t>JOSE PONMANI</t>
  </si>
  <si>
    <t>THRESSIAMMA K L ALIAS SISTER SUMA CHIRAYATH</t>
  </si>
  <si>
    <t>JAICY C ALIAS SISTER JAICY CLARE</t>
  </si>
  <si>
    <t>Jayalakshmy M K</t>
  </si>
  <si>
    <t>Puthumana Philip Joseph</t>
  </si>
  <si>
    <t>2017-18 / Solar Connect/ R.No /00075</t>
  </si>
  <si>
    <t>Benny M V</t>
  </si>
  <si>
    <t>Udayamperoor</t>
  </si>
  <si>
    <t>Shally Joseph</t>
  </si>
  <si>
    <t>VELLOORKUNNOM</t>
  </si>
  <si>
    <t>Alikutty K T</t>
  </si>
  <si>
    <t>KOTHATTUKULAM</t>
  </si>
  <si>
    <t>Prema Sahadevan</t>
  </si>
  <si>
    <t>SOLGEN ENERY PVT LTD</t>
  </si>
  <si>
    <t>Geo K John</t>
  </si>
  <si>
    <t>thevara</t>
  </si>
  <si>
    <t>Shelton</t>
  </si>
  <si>
    <t>Kunhalu</t>
  </si>
  <si>
    <t>peringathur</t>
  </si>
  <si>
    <t>SREEDHARAN AP</t>
  </si>
  <si>
    <t>2017-18 / Solar Connect/ R.No /00076</t>
  </si>
  <si>
    <t>arunmamachan.prime@gmail.com</t>
  </si>
  <si>
    <t>Alphi Joseph Cardoz</t>
  </si>
  <si>
    <t>kadappakkada</t>
  </si>
  <si>
    <t>stanleyvarghese@hotmail.com</t>
  </si>
  <si>
    <t>Stanely varghese</t>
  </si>
  <si>
    <t>Tata Power solar system</t>
  </si>
  <si>
    <t>pathanapuram</t>
  </si>
  <si>
    <t>Kotturethu George Mathew</t>
  </si>
  <si>
    <t>P. M. JAYARAJ</t>
  </si>
  <si>
    <t>THRISSUR</t>
  </si>
  <si>
    <t>K.R.Vikraman</t>
  </si>
  <si>
    <t>mamathacharly11@gmail.com</t>
  </si>
  <si>
    <t>Antony charly</t>
  </si>
  <si>
    <t>Tata Power solar system LTD</t>
  </si>
  <si>
    <t>kundara</t>
  </si>
  <si>
    <t>YESUDAS AUGUSTINE</t>
  </si>
  <si>
    <t>NJARAKKAL</t>
  </si>
  <si>
    <t>SAJU K V</t>
  </si>
  <si>
    <t>CHERAI</t>
  </si>
  <si>
    <t>A K JOSHY</t>
  </si>
  <si>
    <t>2017-18 / Solar Connect/ R.No /00077</t>
  </si>
  <si>
    <t>K H SIDDIK</t>
  </si>
  <si>
    <t>ALUVA NORTH</t>
  </si>
  <si>
    <t>asakhil615@gmail.com</t>
  </si>
  <si>
    <t>Sindhu kumari</t>
  </si>
  <si>
    <t>Tata power solar system LTD</t>
  </si>
  <si>
    <t>asishthampi1971@gmail.com</t>
  </si>
  <si>
    <t>ASISH THAMPI</t>
  </si>
  <si>
    <t>Velloorkunnam</t>
  </si>
  <si>
    <t>PUSHPALATHA S. PAI</t>
  </si>
  <si>
    <t>Ernakulam Central (5546)</t>
  </si>
  <si>
    <t>koshy153@hotmail.com</t>
  </si>
  <si>
    <t>Oommen Koshy</t>
  </si>
  <si>
    <t>IGA-TECH INDUSTRIAL ELECTRONICS PVT LTD</t>
  </si>
  <si>
    <t>WILSON K B</t>
  </si>
  <si>
    <t>SARAMMA VARGHESE</t>
  </si>
  <si>
    <t>KUMBANAD</t>
  </si>
  <si>
    <t>ejosephjohn@gmail.com</t>
  </si>
  <si>
    <t>SARAMMA JOSEPH</t>
  </si>
  <si>
    <t>2017-18 / Solar Connect/ R.No /00078</t>
  </si>
  <si>
    <t>SUMATHY KUTTY AMMA</t>
  </si>
  <si>
    <t>NORTH PARUR</t>
  </si>
  <si>
    <t>VINCENT VARGHESE</t>
  </si>
  <si>
    <t>AJITH C B</t>
  </si>
  <si>
    <t>GHOSH M G</t>
  </si>
  <si>
    <t>2017-18 / Solar Connect/ R.No /00079</t>
  </si>
  <si>
    <t>Santhakumariyamma</t>
  </si>
  <si>
    <t>ayiroor</t>
  </si>
  <si>
    <t>MUHAMMED IQBAL</t>
  </si>
  <si>
    <t>SANTHOSH P R</t>
  </si>
  <si>
    <t>N RAMAKRISHNAN NAIR</t>
  </si>
  <si>
    <t>MEENADOM</t>
  </si>
  <si>
    <t>2017-18 / Solar Connect/ R.No /00080</t>
  </si>
  <si>
    <t>VARGHESE ASSARIPARAMPIL VARGHESE</t>
  </si>
  <si>
    <t>RAJENESH CLEMENT</t>
  </si>
  <si>
    <t>CATONMENT</t>
  </si>
  <si>
    <t>Rama Brahspathy</t>
  </si>
  <si>
    <t>shibinva@gmail.com</t>
  </si>
  <si>
    <t>Shibin V A</t>
  </si>
  <si>
    <t>muralidharan_1952@yahoo.com</t>
  </si>
  <si>
    <t>rema .v</t>
  </si>
  <si>
    <t>TATA POWER NSOLAR SYSTEMS LTD</t>
  </si>
  <si>
    <t>SULTHANPET ELECTRICAL SECTION</t>
  </si>
  <si>
    <t>2017-18 / Solar Connect/ R.No /00081</t>
  </si>
  <si>
    <t>MUHAMMED SHAFEEK</t>
  </si>
  <si>
    <t>KOLACHERY</t>
  </si>
  <si>
    <t>SUMITH N A</t>
  </si>
  <si>
    <t>ANISH GEORGE</t>
  </si>
  <si>
    <t>Anvardeen I C</t>
  </si>
  <si>
    <t>Cantonment,Kollam</t>
  </si>
  <si>
    <t>vijayvalsan7@gmail.com</t>
  </si>
  <si>
    <t>VIJAYSHANKAR N V</t>
  </si>
  <si>
    <t>a.mendez28@yahoo.com</t>
  </si>
  <si>
    <t>VICTORIA AGNES CYNTHIA MENDEZ</t>
  </si>
  <si>
    <t>2017-18 / Solar Connect/ R.No /00082</t>
  </si>
  <si>
    <t>sniyer.math@gmail.com</t>
  </si>
  <si>
    <t>S NARAYANA IYER</t>
  </si>
  <si>
    <t>ERNAKULAM CENTRAL</t>
  </si>
  <si>
    <t>madhuchandran@yahoo.com</t>
  </si>
  <si>
    <t>B RAMACHANDRAN</t>
  </si>
  <si>
    <t>EDAPALLY</t>
  </si>
  <si>
    <t>manisusan@yahoo.com</t>
  </si>
  <si>
    <t>MATHEW K MANI</t>
  </si>
  <si>
    <t>MANARKADU</t>
  </si>
  <si>
    <t>sbthara@gmail.com</t>
  </si>
  <si>
    <t>D B KISHORE KUMAR</t>
  </si>
  <si>
    <t>THRIKAKKARA WEST</t>
  </si>
  <si>
    <t>DR VINAYAN M K</t>
  </si>
  <si>
    <t>JOY JACOB</t>
  </si>
  <si>
    <t>Muhammed Shareef</t>
  </si>
  <si>
    <t>2017-18 / Solar Connect/ R.No /00083</t>
  </si>
  <si>
    <t>muralimaya@yahoo.com</t>
  </si>
  <si>
    <t>MURALIDHIRAN NAIR C N</t>
  </si>
  <si>
    <t>Renewable Energy Solutions</t>
  </si>
  <si>
    <t>Ajaygosh</t>
  </si>
  <si>
    <t>Kodungallor I</t>
  </si>
  <si>
    <t>info@solartechind.comd</t>
  </si>
  <si>
    <t>SARITHA SAHADEVAN</t>
  </si>
  <si>
    <t>PRADEEPAN K M</t>
  </si>
  <si>
    <t>BHASKARAN M</t>
  </si>
  <si>
    <t>Habeeb Thangal</t>
  </si>
  <si>
    <t>2017-18 / Solar Connect/ R.No /00084</t>
  </si>
  <si>
    <t>kodungallur</t>
  </si>
  <si>
    <t>Betson baby</t>
  </si>
  <si>
    <t>Soura Natural Energy solutions India pvt ltd</t>
  </si>
  <si>
    <t>koratty</t>
  </si>
  <si>
    <t>Dr.C.Ramakrishnan Nair</t>
  </si>
  <si>
    <t>SOLGE ENERGY PVT LTD</t>
  </si>
  <si>
    <t>GRAICY JOSE</t>
  </si>
  <si>
    <t>ARIMBOOR</t>
  </si>
  <si>
    <t>Jerry Thomas</t>
  </si>
  <si>
    <t>Thrissur Corporation</t>
  </si>
  <si>
    <t>nandana2000r@gmail.com</t>
  </si>
  <si>
    <t>JAYAKRISHNAN KR</t>
  </si>
  <si>
    <t>THALAYAZHAM</t>
  </si>
  <si>
    <t>RAJIT VARGHESE</t>
  </si>
  <si>
    <t>KALLISSERY</t>
  </si>
  <si>
    <t>2017-18 / Solar Connect/ R.No /00085</t>
  </si>
  <si>
    <t xml:space="preserve">K P BHASI </t>
  </si>
  <si>
    <t>THANKASSERY</t>
  </si>
  <si>
    <t>ABDURAHIMAN T M</t>
  </si>
  <si>
    <t>KARAPARAMBA</t>
  </si>
  <si>
    <t>RAFEEK PARAMBATH</t>
  </si>
  <si>
    <t>MELADY</t>
  </si>
  <si>
    <t>info.indexinformatics@gmail.com</t>
  </si>
  <si>
    <t>BIJU JOSEPH</t>
  </si>
  <si>
    <t>KIZHAKKAMBALAM</t>
  </si>
  <si>
    <t>info.mariaelectronics@gmail.com</t>
  </si>
  <si>
    <t>MUHAMMED  YASSIN</t>
  </si>
  <si>
    <t>frthomasmpaul@yahoo.co.in</t>
  </si>
  <si>
    <t>THOMAS M PAUL</t>
  </si>
  <si>
    <t>2017-18 / Solar Connect/ R.No /00086</t>
  </si>
  <si>
    <t>laiju3475@gmail.com</t>
  </si>
  <si>
    <t>LAIJU K R</t>
  </si>
  <si>
    <t>sikhamoni@hotmail.com</t>
  </si>
  <si>
    <t>SIKHAMONI GOPALAN</t>
  </si>
  <si>
    <t>AMEENA MOHAMED ASHRAF</t>
  </si>
  <si>
    <t>MADAYI</t>
  </si>
  <si>
    <t>K K MUNEER</t>
  </si>
  <si>
    <t>2017-18 / Solar Connect/ R.No /00087</t>
  </si>
  <si>
    <t>LAKSHMI T P</t>
  </si>
  <si>
    <t>DHARMADOM</t>
  </si>
  <si>
    <t>cpsulaiman2018@gmail.com</t>
  </si>
  <si>
    <t>C P Sulaiman</t>
  </si>
  <si>
    <t>Reecco Energy India Pvt Ltd.</t>
  </si>
  <si>
    <t>solarconnect@gmail.com</t>
  </si>
  <si>
    <t>Padinhattayil bhaskaran</t>
  </si>
  <si>
    <t>Spectrum Techno Products</t>
  </si>
  <si>
    <t>Thrikaripur</t>
  </si>
  <si>
    <t>JESSO ANNIE MATHEWS</t>
  </si>
  <si>
    <t>RANNY SOUTH</t>
  </si>
  <si>
    <t>BASHEER V</t>
  </si>
  <si>
    <t>CHAVAKKAD(5698)</t>
  </si>
  <si>
    <t>Shakeela PC</t>
  </si>
  <si>
    <t>2017-18 / Solar Connect/ R.No /00088</t>
  </si>
  <si>
    <t>MUHAMMED KAMMILI</t>
  </si>
  <si>
    <t>CHELARI</t>
  </si>
  <si>
    <t>ARAVINDAN</t>
  </si>
  <si>
    <t>THIKKODY</t>
  </si>
  <si>
    <t>MUHAMMED B K</t>
  </si>
  <si>
    <t>smeesan@gmail.com</t>
  </si>
  <si>
    <t>Antony A.J.</t>
  </si>
  <si>
    <t>Temco Renewable Energy solutions pvt.Ltd</t>
  </si>
  <si>
    <t>HARIKUMAR R S</t>
  </si>
  <si>
    <t>PEYAD</t>
  </si>
  <si>
    <t>muhamadsalim1974@gmail.com</t>
  </si>
  <si>
    <t>MOHAMAD SALIM K</t>
  </si>
  <si>
    <t>2017-18 / Solar Connect/ R.No /00089</t>
  </si>
  <si>
    <t>P. Sreeramakrishnan</t>
  </si>
  <si>
    <t>RAIDCO KERALA LTD.</t>
  </si>
  <si>
    <t>PERINTHALMANNA</t>
  </si>
  <si>
    <t xml:space="preserve">DR SHYAM MOHAN </t>
  </si>
  <si>
    <t>THALASSERY SOUTH</t>
  </si>
  <si>
    <t>DR MURALIGOPAL P</t>
  </si>
  <si>
    <t>MANI M M</t>
  </si>
  <si>
    <t>KUTHUPARAMBA</t>
  </si>
  <si>
    <t>MOHANAN T.K.</t>
  </si>
  <si>
    <t>DR PRASANTH K</t>
  </si>
  <si>
    <t>T MANOHARAN NAIR</t>
  </si>
  <si>
    <t>2017-18 / Solar Connect/ R.No /00090</t>
  </si>
  <si>
    <t>shajiats1728@gmail.com</t>
  </si>
  <si>
    <t>Shaji</t>
  </si>
  <si>
    <t>Chottanikkara</t>
  </si>
  <si>
    <t>saji_sini@yahoo.com</t>
  </si>
  <si>
    <t>SAJI NALLAPRAMBIL IGNATIUS</t>
  </si>
  <si>
    <t>Wattsun Energy India  (P)  Ltd</t>
  </si>
  <si>
    <t>Pettah (4514)</t>
  </si>
  <si>
    <t>saji.ignatius@gmail.com</t>
  </si>
  <si>
    <t>DUPLICATION</t>
  </si>
  <si>
    <t>2017-18 / Solar Connect/ R.No /00091</t>
  </si>
  <si>
    <t>joyjosephptkl@gmail.com</t>
  </si>
  <si>
    <t>Joy Joseph</t>
  </si>
  <si>
    <t>Reecco Energy India Pvt. Ltd.</t>
  </si>
  <si>
    <t>Manjalloor</t>
  </si>
  <si>
    <t>capacity changed to 3 kw from 5kw</t>
  </si>
  <si>
    <t>R Girija</t>
  </si>
  <si>
    <t>Olai</t>
  </si>
  <si>
    <t>MOHAMMED RAFI KAIDAKATH</t>
  </si>
  <si>
    <t>KUNNUMPURAM (AR NAGAR)  (6739)</t>
  </si>
  <si>
    <t>UNNI SANKAR</t>
  </si>
  <si>
    <t>sabeenashamil@gamil.com</t>
  </si>
  <si>
    <t>KASSIM.V</t>
  </si>
  <si>
    <t>OTTAPPALAM</t>
  </si>
  <si>
    <t>2017-18 / Solar Connect/ R.No /00092</t>
  </si>
  <si>
    <t>ANTONY A M</t>
  </si>
  <si>
    <t>Wayanad</t>
  </si>
  <si>
    <t>MANANTHAVADY</t>
  </si>
  <si>
    <t>Suchith S B</t>
  </si>
  <si>
    <t xml:space="preserve">SAJI NALLAPARAMBIL  IGNATIUS </t>
  </si>
  <si>
    <t>Petttah</t>
  </si>
  <si>
    <t>N Sadanandan</t>
  </si>
  <si>
    <t>UMAIBA</t>
  </si>
  <si>
    <t>KARAPARAMBA (6598)</t>
  </si>
  <si>
    <t>K SRIKANT</t>
  </si>
  <si>
    <t>K VIDYASAGARAN</t>
  </si>
  <si>
    <t>KHALID PM</t>
  </si>
  <si>
    <t>2017-18 / Solar Connect/ R.No /00093</t>
  </si>
  <si>
    <t>R V PURAM</t>
  </si>
  <si>
    <t>Vidyanandan V B</t>
  </si>
  <si>
    <t>thalikulam</t>
  </si>
  <si>
    <t>Samual John</t>
  </si>
  <si>
    <t>rahoof0001@gmail.com</t>
  </si>
  <si>
    <t>NEETHU KRISHNA M</t>
  </si>
  <si>
    <t>CANCELLED DUE TO DUPLICATION</t>
  </si>
  <si>
    <t>2017-18 / Solar Connect/ R.No /00094</t>
  </si>
  <si>
    <t>tpsmalappuram@gmail.com</t>
  </si>
  <si>
    <t>SARASWATHY MADHAVAN</t>
  </si>
  <si>
    <t>NILAMBUR[6543]</t>
  </si>
  <si>
    <t>V K SANJO</t>
  </si>
  <si>
    <t>NILAMBUR [6543]</t>
  </si>
  <si>
    <t>SAIDALAVI EK</t>
  </si>
  <si>
    <t>VENGARA [6556]</t>
  </si>
  <si>
    <t>JAMEELA P K</t>
  </si>
  <si>
    <t>VELLUVAMBRAM [6554]</t>
  </si>
  <si>
    <t>V K BALAN</t>
  </si>
  <si>
    <t>VADAKKENCHERY</t>
  </si>
  <si>
    <t>SOMAN C</t>
  </si>
  <si>
    <t>2017-18 / Solar Connect/ R.No /00095</t>
  </si>
  <si>
    <t>PATTIKKAD(6779)</t>
  </si>
  <si>
    <t>amtkjmaloth@gmail.com</t>
  </si>
  <si>
    <t>M J GEORGE</t>
  </si>
  <si>
    <t>THEVARA</t>
  </si>
  <si>
    <t>santoshpaugustine@gmail.com</t>
  </si>
  <si>
    <t>SANTOSH P AUGUSTINE</t>
  </si>
  <si>
    <t>EDAYAR MUPPATHADAM</t>
  </si>
  <si>
    <t>Vibin Kachappilly</t>
  </si>
  <si>
    <t>Jacob Chacko</t>
  </si>
  <si>
    <t>Kumbanadu</t>
  </si>
  <si>
    <t>SHYAM MOHAN</t>
  </si>
  <si>
    <t>2017-18 / Solar Connect/ R.No /00096</t>
  </si>
  <si>
    <t>SINDHU JOSEPH</t>
  </si>
  <si>
    <t>ddcarehome@gmail.com</t>
  </si>
  <si>
    <t>Deena Dayalo Care Home</t>
  </si>
  <si>
    <t>HYKON INDIA PVT. LTD</t>
  </si>
  <si>
    <t>dreldhohomeoclinic@gmail.com</t>
  </si>
  <si>
    <t>ELDHO P JOHN</t>
  </si>
  <si>
    <t>KURUPPUMPADY</t>
  </si>
  <si>
    <t>ocmathew.engr@gmail.com</t>
  </si>
  <si>
    <t>O C MATHEW</t>
  </si>
  <si>
    <t>SPECTRUM TECHN PRODUCTS</t>
  </si>
  <si>
    <t>VELOORKUNNAM</t>
  </si>
  <si>
    <t>viswadeepthischool@gmail.com</t>
  </si>
  <si>
    <t>VISWADEEPTHI PUBLIC SCHOOL</t>
  </si>
  <si>
    <t>2017-18 / Solar Connect/ R.No /00097</t>
  </si>
  <si>
    <t>Adimali</t>
  </si>
  <si>
    <t>pmsenggdpt@gmail.com</t>
  </si>
  <si>
    <t>Dr. P.S. Thaha</t>
  </si>
  <si>
    <t>Hykon India Pvt. Ltd.</t>
  </si>
  <si>
    <t>R Sasidharan Nair</t>
  </si>
  <si>
    <t>lawrencevetticat@gmail.com</t>
  </si>
  <si>
    <t>Lawrence M Thomas</t>
  </si>
  <si>
    <t>GREENROOF SOLAR PVT LTD</t>
  </si>
  <si>
    <t>Kalamassery-5573</t>
  </si>
  <si>
    <t>prasadthomas@hotmail.com</t>
  </si>
  <si>
    <t>Prasad Thomas</t>
  </si>
  <si>
    <t>renergy Systems India Pvt Ltd</t>
  </si>
  <si>
    <t>VENU P N</t>
  </si>
  <si>
    <t>justinvevukatt@gmail.com</t>
  </si>
  <si>
    <t>Margret augustian</t>
  </si>
  <si>
    <t>Power one microsystems pvt ltd</t>
  </si>
  <si>
    <t>Vypin</t>
  </si>
  <si>
    <t>bindumarymanoj1969@gmail.com</t>
  </si>
  <si>
    <t>BINDU MARY MANOJ</t>
  </si>
  <si>
    <t>Kottayam Central</t>
  </si>
  <si>
    <t>HUSSAIN</t>
  </si>
  <si>
    <t>PERUMPADAPPU</t>
  </si>
  <si>
    <t>georgekv2@gmail.com</t>
  </si>
  <si>
    <t>CONCERT O CASTLE FLAT OWNERS ASSOCIATION</t>
  </si>
  <si>
    <t>SPECTRUMTECHNOPRODUCTS</t>
  </si>
  <si>
    <t>2017-18 / Solar Connect/ R.No /00098</t>
  </si>
  <si>
    <t>MOIDUNNI K V</t>
  </si>
  <si>
    <t>PRASAD T  P</t>
  </si>
  <si>
    <t>SREEVARAHAM</t>
  </si>
  <si>
    <t>PRAJITH V P</t>
  </si>
  <si>
    <t>SHIBU P.V</t>
  </si>
  <si>
    <t>RASHEED</t>
  </si>
  <si>
    <t>VINCENT P.D</t>
  </si>
  <si>
    <t>PUTHENVELIKKARA</t>
  </si>
  <si>
    <t>RAJAN PANDAKASALA GEORGE</t>
  </si>
  <si>
    <t>KADAPPAKKADA</t>
  </si>
  <si>
    <t>C G  NAMBIAR</t>
  </si>
  <si>
    <t>ABDUL  RAZACK</t>
  </si>
  <si>
    <t>VENGOLA</t>
  </si>
  <si>
    <t>Renlee Thottathil Raju</t>
  </si>
  <si>
    <t>ALOYSIA FRANCIS</t>
  </si>
  <si>
    <t>2017-18 / Solar Connect/ R.No /00099</t>
  </si>
  <si>
    <t>KANIYAPURAM</t>
  </si>
  <si>
    <t>SURESH D S</t>
  </si>
  <si>
    <t>solarconect2018@gmail.com</t>
  </si>
  <si>
    <t>VIPIN PARAMBATH</t>
  </si>
  <si>
    <t>PANOOR</t>
  </si>
  <si>
    <t>Manoj Lal.B.</t>
  </si>
  <si>
    <t>Solgen Energy Pvt Ltd.</t>
  </si>
  <si>
    <t>Karavaloor</t>
  </si>
  <si>
    <t>T A Mohamed Sageer</t>
  </si>
  <si>
    <t>Soura Natural Energy Solutions India pvt LTD</t>
  </si>
  <si>
    <t>Perinjanam</t>
  </si>
  <si>
    <t>kudildsignz@gmail.com</t>
  </si>
  <si>
    <t>SHIRLY DENNIS</t>
  </si>
  <si>
    <t>KAZHAKUTTAM</t>
  </si>
  <si>
    <t>C J ABRAHAM</t>
  </si>
  <si>
    <t>THYCAUD</t>
  </si>
  <si>
    <t xml:space="preserve">CLARA HELEN </t>
  </si>
  <si>
    <t>MOHAMEDALI KK</t>
  </si>
  <si>
    <t>2017-18 / Solar Connect/ R.No /00100</t>
  </si>
  <si>
    <t>KOTTAKKAL(6557)</t>
  </si>
  <si>
    <t>K VARGHESE PAUL</t>
  </si>
  <si>
    <t>VYPIN</t>
  </si>
  <si>
    <t>BALAKRISHNAN P</t>
  </si>
  <si>
    <t>mdverghese@yahoo.com</t>
  </si>
  <si>
    <t>Maybel Antony</t>
  </si>
  <si>
    <t>Mohamed Fazalul Haque</t>
  </si>
  <si>
    <t>KONDOTTY(6552)</t>
  </si>
  <si>
    <t>Dr.George Peter</t>
  </si>
  <si>
    <t>M/S Wattsun Energy India Private Limited</t>
  </si>
  <si>
    <t>RABI A</t>
  </si>
  <si>
    <t>Poovar</t>
  </si>
  <si>
    <t>Udaya Kumar A</t>
  </si>
  <si>
    <t xml:space="preserve"> Cantonment,TVM </t>
  </si>
  <si>
    <t>babu.sheena@gmail.com</t>
  </si>
  <si>
    <t>JACOB MATHEW</t>
  </si>
  <si>
    <t>KRISHNA ELECTRONICS SYSTEMS SERVICES</t>
  </si>
  <si>
    <t>Kollakadavu</t>
  </si>
  <si>
    <t>K Sasikumar</t>
  </si>
  <si>
    <t>Mathilakom</t>
  </si>
  <si>
    <t>2017-18 / Solar Connect/ R.No /00101</t>
  </si>
  <si>
    <t>Paul</t>
  </si>
  <si>
    <t>Shaji K Kurian</t>
  </si>
  <si>
    <t>THRIKKAKKARA</t>
  </si>
  <si>
    <t>shaji.kurian@yahoo.co.in</t>
  </si>
  <si>
    <t>saji_iype@hotmail.com</t>
  </si>
  <si>
    <t xml:space="preserve">Saji Thekkedathu Iype </t>
  </si>
  <si>
    <t>piousnseden@yahoo.co.in</t>
  </si>
  <si>
    <t xml:space="preserve">Pious N S </t>
  </si>
  <si>
    <t>bijukgeorge32@gmail.com</t>
  </si>
  <si>
    <t>Biju K George</t>
  </si>
  <si>
    <t>info@watsun.in</t>
  </si>
  <si>
    <t>Selicks Cheriyan</t>
  </si>
  <si>
    <t>Nallappally</t>
  </si>
  <si>
    <t>VIMALA</t>
  </si>
  <si>
    <t>Muhammad sageer</t>
  </si>
  <si>
    <t>perinjanam</t>
  </si>
  <si>
    <t>managerhssvhss@gmail.com</t>
  </si>
  <si>
    <t>MANAGER ,HSS&amp;VHSS BRAHMAMANGALAM</t>
  </si>
  <si>
    <t>KRISHNA ELECTRONICS SYSTEMS AND SERVICES</t>
  </si>
  <si>
    <t>CHEMPU</t>
  </si>
  <si>
    <t>Soura Natural Energy solutions india pvt ltd</t>
  </si>
  <si>
    <t>soura Natural Energy solutions india pvt ltd</t>
  </si>
  <si>
    <t>mannuthy</t>
  </si>
  <si>
    <t>2017-18 / Solar Connect/ R.No /00102</t>
  </si>
  <si>
    <t>ABDUL SALAM</t>
  </si>
  <si>
    <t>VIJAYARAJAN</t>
  </si>
  <si>
    <t>ABDUL SATHAR</t>
  </si>
  <si>
    <t>Laila Pulichiramveedu Moideen</t>
  </si>
  <si>
    <t>PADINJARANGADI(6540)</t>
  </si>
  <si>
    <t>RAMANI</t>
  </si>
  <si>
    <t>KURUPAMPADY</t>
  </si>
  <si>
    <t>Ramachandran</t>
  </si>
  <si>
    <t>Kayankulam East</t>
  </si>
  <si>
    <t>SALIHU KUNJU</t>
  </si>
  <si>
    <t>greensolar595@gmail.com</t>
  </si>
  <si>
    <t>Rajeev C</t>
  </si>
  <si>
    <t>Greenroof Solar Pvt Ltd</t>
  </si>
  <si>
    <t>Vyttila</t>
  </si>
  <si>
    <t>anjaliramdas@yahoo.com</t>
  </si>
  <si>
    <t>NIRMALA METHIL</t>
  </si>
  <si>
    <t>2017-18 / Solar Connect/ R.No /00103</t>
  </si>
  <si>
    <t>KALPATHY</t>
  </si>
  <si>
    <t>diviputhur@gmail.com</t>
  </si>
  <si>
    <t>DIVAKARAN.K.R</t>
  </si>
  <si>
    <t>meenaputhur@yahoo.com</t>
  </si>
  <si>
    <t>K.P. BALAKRISHNAN</t>
  </si>
  <si>
    <t>TATA POWER SOLAR SYSYTEM LTD</t>
  </si>
  <si>
    <t>thonackadpalli@gmail.com</t>
  </si>
  <si>
    <t>The Trustee</t>
  </si>
  <si>
    <t>Powerone Microsystems Pvt  Ltd</t>
  </si>
  <si>
    <t>Mavelikkara</t>
  </si>
  <si>
    <t>arun@poweroneups.com</t>
  </si>
  <si>
    <t>trivandrum@@poweroneups.com</t>
  </si>
  <si>
    <t>ASHA M</t>
  </si>
  <si>
    <t>POWERONE MICROSYSTEMS PVT LTD</t>
  </si>
  <si>
    <t>Elavumthitta</t>
  </si>
  <si>
    <t>trivandrum@poweroneups.com</t>
  </si>
  <si>
    <t>G Rajasekaharan</t>
  </si>
  <si>
    <t>peroorkada</t>
  </si>
  <si>
    <t>girijarama@yahoo.co.in</t>
  </si>
  <si>
    <t>Dr. GIRIJA VARMA</t>
  </si>
  <si>
    <t>kattakada</t>
  </si>
  <si>
    <t>2017-18 / Solar Connect/ R.No /00104</t>
  </si>
  <si>
    <t>procuratorptvm@gmail.com</t>
  </si>
  <si>
    <t>Superior General</t>
  </si>
  <si>
    <t>Alternate Energy Corporation, Angamaly</t>
  </si>
  <si>
    <t>Thaliparamba</t>
  </si>
  <si>
    <t>ABDUL LATHEEF K K</t>
  </si>
  <si>
    <t>VARAPPUZHA</t>
  </si>
  <si>
    <t>T AMBIKA KUNJAMMA</t>
  </si>
  <si>
    <t>info@aecosolar.com</t>
  </si>
  <si>
    <t>Eliakutty C A</t>
  </si>
  <si>
    <t>Kuriachira [5671]</t>
  </si>
  <si>
    <t>nidhin.valappila@gmail.com</t>
  </si>
  <si>
    <t>Joy John</t>
  </si>
  <si>
    <t>SALAM. K</t>
  </si>
  <si>
    <t>PONMUNDAM(6570)</t>
  </si>
  <si>
    <t>sudhirm.pgt@gmail.com</t>
  </si>
  <si>
    <t xml:space="preserve">M. SUDHIR </t>
  </si>
  <si>
    <t>2017-18 / Solar Connect/ R.No /00105</t>
  </si>
  <si>
    <t>TATA POIWER SOLAR SYSTEMS LTD</t>
  </si>
  <si>
    <t>SULTHANPET</t>
  </si>
  <si>
    <t>GANGADEVI</t>
  </si>
  <si>
    <t>MANNAM</t>
  </si>
  <si>
    <t>johnwilsonk@yahoo.co.in</t>
  </si>
  <si>
    <t>WILSON JOHN</t>
  </si>
  <si>
    <t>AYIROOR</t>
  </si>
  <si>
    <t>cmrajunlr@gmail.com</t>
  </si>
  <si>
    <t>Kallai Assainar</t>
  </si>
  <si>
    <t>Nileshwar</t>
  </si>
  <si>
    <t>radhakrishnannairm63@gmail.com</t>
  </si>
  <si>
    <t>Radhakrishnan Nair.M</t>
  </si>
  <si>
    <t>NILESHWAR</t>
  </si>
  <si>
    <t>greeshmavijayan51@gmail.com</t>
  </si>
  <si>
    <t>P M Vijayan</t>
  </si>
  <si>
    <t>seenabala1984@gmail.com</t>
  </si>
  <si>
    <t>Seena Balakrishnan.B.P</t>
  </si>
  <si>
    <t>KANHANGAD</t>
  </si>
  <si>
    <t>2017-18 / Solar Connect/ R.No /00106</t>
  </si>
  <si>
    <t>MOYINKUTTY.N.K</t>
  </si>
  <si>
    <t>KODUVALLY</t>
  </si>
  <si>
    <t>Andrews Joseph</t>
  </si>
  <si>
    <t>Chandrika K</t>
  </si>
  <si>
    <t>Viju Antony</t>
  </si>
  <si>
    <t>ernakulam central</t>
  </si>
  <si>
    <t>Sanu S Unni</t>
  </si>
  <si>
    <t>Kalavor</t>
  </si>
  <si>
    <t>JERALD P A</t>
  </si>
  <si>
    <t>2017-18 / Solar Connect/ R.No /00107</t>
  </si>
  <si>
    <t>FORTKOCHI</t>
  </si>
  <si>
    <t xml:space="preserve">athira315@gmail.com </t>
  </si>
  <si>
    <t xml:space="preserve">Radhakrishnan Nair B </t>
  </si>
  <si>
    <t>4587-kottarakara</t>
  </si>
  <si>
    <t>athira315@gmail.com</t>
  </si>
  <si>
    <t>Joseph Sebastian</t>
  </si>
  <si>
    <t>Mookannur</t>
  </si>
  <si>
    <t>SULFIKHARALI THALIKA PARAMBIL</t>
  </si>
  <si>
    <t>KUTTIPURAM</t>
  </si>
  <si>
    <t>SANJEEV</t>
  </si>
  <si>
    <t>OLAI</t>
  </si>
  <si>
    <t>ABDUL NAZAR N M</t>
  </si>
  <si>
    <t>2017-18 / Solar Connect/ R.No /00108</t>
  </si>
  <si>
    <t>VELLIMADAKUNNU</t>
  </si>
  <si>
    <t>LAILA RASHEED</t>
  </si>
  <si>
    <t>Shahabudeen M</t>
  </si>
  <si>
    <t>NAWAS.K.M</t>
  </si>
  <si>
    <t>KASARAGOD</t>
  </si>
  <si>
    <t>aniarangath@gmail.com</t>
  </si>
  <si>
    <t>purushothaman.m</t>
  </si>
  <si>
    <t>mannarkkad</t>
  </si>
  <si>
    <t>2017-18 / Solar Connect/ R.No /00109</t>
  </si>
  <si>
    <t>arathivariyam2gmail.com</t>
  </si>
  <si>
    <t>VIMALKUMAR A.V</t>
  </si>
  <si>
    <t>Parali</t>
  </si>
  <si>
    <t>arathivariyam@gmail.com</t>
  </si>
  <si>
    <t>Koshi N J</t>
  </si>
  <si>
    <t>Alternate Energy Corporation</t>
  </si>
  <si>
    <t>Pattazhy [4685]</t>
  </si>
  <si>
    <t>childwelfarekerala@gmail.com</t>
  </si>
  <si>
    <t>General Secretary</t>
  </si>
  <si>
    <t>Jayakumar S J</t>
  </si>
  <si>
    <t>xmaryland@yahoo.co.in</t>
  </si>
  <si>
    <t>Kunjamma P V</t>
  </si>
  <si>
    <t>2017-18 / Solar Connect/ R.No /00110</t>
  </si>
  <si>
    <t>THRESIAMMA GIMMICHAN</t>
  </si>
  <si>
    <t>renergy systems india pvt ltd</t>
  </si>
  <si>
    <t>ATHIRAMPUZHA</t>
  </si>
  <si>
    <t>shakeskurian@gmail.com</t>
  </si>
  <si>
    <t>PROVINCIAL SUPERIOR</t>
  </si>
  <si>
    <t>ECOMATE ENERGY SOLUTIONS</t>
  </si>
  <si>
    <t>Sathian.CM</t>
  </si>
  <si>
    <t xml:space="preserve">soura natural energy solutions india </t>
  </si>
  <si>
    <t>kolenchery</t>
  </si>
  <si>
    <t>ksfvoasso@gmail.com</t>
  </si>
  <si>
    <t>Ramachandran Subramanian</t>
  </si>
  <si>
    <t xml:space="preserve">INKEL Ltd </t>
  </si>
  <si>
    <t>[5680]-Electrical Section Viyur</t>
  </si>
  <si>
    <t>2017-18 / Solar Connect/ R.No /00111</t>
  </si>
  <si>
    <t>Abhilash Sudhesan Unni</t>
  </si>
  <si>
    <t>Kalesh Kumar M</t>
  </si>
  <si>
    <t>Nallila (4586)</t>
  </si>
  <si>
    <t>Neena Devi T</t>
  </si>
  <si>
    <t>Karunagapally North (4569)</t>
  </si>
  <si>
    <t>Dr Manoharan S</t>
  </si>
  <si>
    <t>Chavara (4571)</t>
  </si>
  <si>
    <t xml:space="preserve">Sadanandan  K K			</t>
  </si>
  <si>
    <t>2017-18 / Solar Connect/ R.No /00112</t>
  </si>
  <si>
    <t>MOHANDASPANAM@GMAIL.COM</t>
  </si>
  <si>
    <t>DrBeena Guhan</t>
  </si>
  <si>
    <t>POWER ONE MICRO SYSTEMS P LTD</t>
  </si>
  <si>
    <t>KOVOOR</t>
  </si>
  <si>
    <t>arunpom@gmail.com</t>
  </si>
  <si>
    <t>CHANDRA BABU.J</t>
  </si>
  <si>
    <t>Aryanad</t>
  </si>
  <si>
    <t>arunnair431@gmail.com</t>
  </si>
  <si>
    <t>V .A.THOMAS</t>
  </si>
  <si>
    <t xml:space="preserve">POWER ONE MICRO SYSTEMS P LTD </t>
  </si>
  <si>
    <t>Muhammed Kabeer</t>
  </si>
  <si>
    <t>Nirmala Medical Centre</t>
  </si>
  <si>
    <t>Muvattupuzha I</t>
  </si>
  <si>
    <t> Bonny Baiju</t>
  </si>
  <si>
    <t>2017-18 / Solar Connect/ R.No /00113</t>
  </si>
  <si>
    <t>Riyad Kariyath</t>
  </si>
  <si>
    <t>Iritty</t>
  </si>
  <si>
    <t>Ganga G Kaimal</t>
  </si>
  <si>
    <t>Gandhinagar</t>
  </si>
  <si>
    <t>Mukunda Sreenivas M</t>
  </si>
  <si>
    <t>Thavanur</t>
  </si>
  <si>
    <t>Raveendran Pillai K R</t>
  </si>
  <si>
    <t>Kallara</t>
  </si>
  <si>
    <t>N Gopakumar</t>
  </si>
  <si>
    <t>Kanyakulangara</t>
  </si>
  <si>
    <t>glasshouse1988@gmail.com</t>
  </si>
  <si>
    <t>Mohammed Najeem</t>
  </si>
  <si>
    <t>M/s Tata Power Solar</t>
  </si>
  <si>
    <t>Karunagappally South</t>
  </si>
  <si>
    <t>raghunathrnair@gmail.com</t>
  </si>
  <si>
    <t>SREELATHA.R</t>
  </si>
  <si>
    <t>Thankassery</t>
  </si>
  <si>
    <t>ANTHONY CHARLY</t>
  </si>
  <si>
    <t>Kundara</t>
  </si>
  <si>
    <t>2017-18 / Solar Connect/ R.No /00114</t>
  </si>
  <si>
    <t>minisamuelporuvazhy@gmail.com</t>
  </si>
  <si>
    <t>SAMUEL VARGHESE</t>
  </si>
  <si>
    <t>Sooranad</t>
  </si>
  <si>
    <t>D Mohan Babu</t>
  </si>
  <si>
    <t>Mundakkayam</t>
  </si>
  <si>
    <t>K.G.MUHAMMED ASHRAF</t>
  </si>
  <si>
    <t>pannikde</t>
  </si>
  <si>
    <t>K G Anil Kumar</t>
  </si>
  <si>
    <t>P.K.SREEDHARAN</t>
  </si>
  <si>
    <t>BHARATHAN.P</t>
  </si>
  <si>
    <t>THAMARASSERY</t>
  </si>
  <si>
    <t>Muhammed Safeer A</t>
  </si>
  <si>
    <t>P.S.Sasidharan</t>
  </si>
  <si>
    <t>Poothakulam</t>
  </si>
  <si>
    <t>2017-18 / Solar Connect/ R.No /00115</t>
  </si>
  <si>
    <t>G.vinod Krishnan</t>
  </si>
  <si>
    <t>rrvarma@md4.vsnl.net.in</t>
  </si>
  <si>
    <t>Keralavarma Padmakumari</t>
  </si>
  <si>
    <t>Tripunithura</t>
  </si>
  <si>
    <t>dominic1946@gmail.com</t>
  </si>
  <si>
    <t>MANUEL DOMINIC</t>
  </si>
  <si>
    <t>Chandran M S</t>
  </si>
  <si>
    <t>Puthenchira</t>
  </si>
  <si>
    <t>saluracoc@gmail.com</t>
  </si>
  <si>
    <t>Rajesh R S</t>
  </si>
  <si>
    <t>2017-18 / Solar Connect/ R.No /00116</t>
  </si>
  <si>
    <t>Nilayattengal Lonappan James</t>
  </si>
  <si>
    <t>B1</t>
  </si>
  <si>
    <t>praveenarora44@gmail.com</t>
  </si>
  <si>
    <t>Praveenkumar Arora</t>
  </si>
  <si>
    <t>Mavungal</t>
  </si>
  <si>
    <t>thrissur@gmail.com</t>
  </si>
  <si>
    <t>THE DIRECTOR KILA</t>
  </si>
  <si>
    <t>RAIDCO KERALA Ltd.</t>
  </si>
  <si>
    <t>deepthijose88@gmail.com</t>
  </si>
  <si>
    <t>Sony Thomas</t>
  </si>
  <si>
    <t>Pariyaram Kannur Electrical Section</t>
  </si>
  <si>
    <t>bijupoothrikka@gmail.com</t>
  </si>
  <si>
    <t>BIJU KURIAKOSE</t>
  </si>
  <si>
    <t>2017-18 / Solar Connect/ R.No /00117</t>
  </si>
  <si>
    <t>Mrs Mary</t>
  </si>
  <si>
    <t>Chalakudy</t>
  </si>
  <si>
    <t>M J Varghese</t>
  </si>
  <si>
    <t>Thrikkakkara</t>
  </si>
  <si>
    <t>Meghana Binoy</t>
  </si>
  <si>
    <t>vishnuv0095@gmail.com</t>
  </si>
  <si>
    <t>binu mathew</t>
  </si>
  <si>
    <t>2017-18 / Solar Connect/ R.No /00118</t>
  </si>
  <si>
    <t>alappuzha south</t>
  </si>
  <si>
    <t>jaya harikumar</t>
  </si>
  <si>
    <t>mankombu</t>
  </si>
  <si>
    <t>Bindu D</t>
  </si>
  <si>
    <t>Pallimukku (4566)</t>
  </si>
  <si>
    <t>biju mathew</t>
  </si>
  <si>
    <t>Sreeranjini devi krishna pillai</t>
  </si>
  <si>
    <t>mavelikkara</t>
  </si>
  <si>
    <t>2017-18 / Solar Connect/ R.No /00119</t>
  </si>
  <si>
    <t>R s nirupama sagar</t>
  </si>
  <si>
    <t>T K KURUVILLA</t>
  </si>
  <si>
    <t>K GEORGE MATHEW</t>
  </si>
  <si>
    <t>KESAVADASAPURAM</t>
  </si>
  <si>
    <t>AYSHA PP</t>
  </si>
  <si>
    <t>2017-18 / Solar Connect/ R.No /00120</t>
  </si>
  <si>
    <t>Mohammed PH</t>
  </si>
  <si>
    <t>Soura Natural Energy solutions india Pvt ltd</t>
  </si>
  <si>
    <t>vazhakulam</t>
  </si>
  <si>
    <t>tejassolar19@gmail.com</t>
  </si>
  <si>
    <t>Selvaraj</t>
  </si>
  <si>
    <t>moothakunnam</t>
  </si>
  <si>
    <t>Dr.Indira K.S</t>
  </si>
  <si>
    <t>ksd@termtpskerala.com</t>
  </si>
  <si>
    <t>Hasif Pukkunnumel</t>
  </si>
  <si>
    <t>C D SIVANANDAN</t>
  </si>
  <si>
    <t>SREEKARIYAM</t>
  </si>
  <si>
    <t>totkraju@gmail.com</t>
  </si>
  <si>
    <t>Santhosh.K.S</t>
  </si>
  <si>
    <t>Radiant Solar Pvt Ltd</t>
  </si>
  <si>
    <t>2017-18 / Solar Connect/ R.No /00121</t>
  </si>
  <si>
    <t>vypin</t>
  </si>
  <si>
    <t>THATTURAKKAL RAJAN</t>
  </si>
  <si>
    <t>TATA POWER SOLAR SYTEMS LTD</t>
  </si>
  <si>
    <t>Kumudini Nelson</t>
  </si>
  <si>
    <t>shiljith.pd@gmail.com</t>
  </si>
  <si>
    <t>DR.VIJAYAN</t>
  </si>
  <si>
    <t>acsailesh@gmail.com</t>
  </si>
  <si>
    <t xml:space="preserve">Sailesh kumar </t>
  </si>
  <si>
    <t>akhil.soura@gmail.com</t>
  </si>
  <si>
    <t>Thomas mathew</t>
  </si>
  <si>
    <t>PRAJEESH.T.C</t>
  </si>
  <si>
    <t>MOTHER SUPERIOR</t>
  </si>
  <si>
    <t>2017-18 / Solar Connect/ R.No /00122</t>
  </si>
  <si>
    <t>akhilmurali22@gmail.com</t>
  </si>
  <si>
    <t>THE MANAGER</t>
  </si>
  <si>
    <t xml:space="preserve"> sales.kodco@gmail.coms</t>
  </si>
  <si>
    <t>Rugmini.C.S</t>
  </si>
  <si>
    <t>seenavinay@gmail.com</t>
  </si>
  <si>
    <t>Seena.P</t>
  </si>
  <si>
    <t>sadiqueishere@gmail.com</t>
  </si>
  <si>
    <t>Raihana sadique</t>
  </si>
  <si>
    <t>Biju mathew</t>
  </si>
  <si>
    <t>Alappuzha south</t>
  </si>
  <si>
    <t>Santhosh bharathan</t>
  </si>
  <si>
    <t>Muthukulam</t>
  </si>
  <si>
    <t>kuttiyathodu</t>
  </si>
  <si>
    <t>koshy .p. mathew</t>
  </si>
  <si>
    <t>chenganoor</t>
  </si>
  <si>
    <t xml:space="preserve">V C ALEXANDER </t>
  </si>
  <si>
    <t>shameer.panangad@gmail.com</t>
  </si>
  <si>
    <t>Laila A V</t>
  </si>
  <si>
    <t>2017-18 / Solar Connect/ R.No /00123</t>
  </si>
  <si>
    <t>Panangad</t>
  </si>
  <si>
    <t>George Cherian</t>
  </si>
  <si>
    <t>Ernakulam Central</t>
  </si>
  <si>
    <t>John Mathew</t>
  </si>
  <si>
    <t>Vishnuv0095@gmail.com</t>
  </si>
  <si>
    <t>Valsala suresh kumar</t>
  </si>
  <si>
    <t>Macombu</t>
  </si>
  <si>
    <t>Chandi jacob neroth</t>
  </si>
  <si>
    <t>Anil kumar m g</t>
  </si>
  <si>
    <t>vishnuv0095@gmail.comv</t>
  </si>
  <si>
    <t>K P Thomas</t>
  </si>
  <si>
    <t>Chenganoor</t>
  </si>
  <si>
    <t>nafeesakm@gmail.com</t>
  </si>
  <si>
    <t>Moossa P P</t>
  </si>
  <si>
    <t>Kandanakom-Kalady</t>
  </si>
  <si>
    <t>2017-18 / Solar Connect/ R.No /00124</t>
  </si>
  <si>
    <t>jose@kottoor.in</t>
  </si>
  <si>
    <t xml:space="preserve"> K J FRANCIS</t>
  </si>
  <si>
    <t>sabujigeorge@gmail.com</t>
  </si>
  <si>
    <t>SABU K G</t>
  </si>
  <si>
    <t>THRIKAKKARA</t>
  </si>
  <si>
    <t>Meena Rani S</t>
  </si>
  <si>
    <t>SolarTech</t>
  </si>
  <si>
    <t>PRASAD</t>
  </si>
  <si>
    <t>MUTHUKULAM</t>
  </si>
  <si>
    <t>THOMAS FRANCIS</t>
  </si>
  <si>
    <t>ERATTUPETTA</t>
  </si>
  <si>
    <t>mugosom@gmail.com</t>
  </si>
  <si>
    <t>MG Som Shekharan Nair</t>
  </si>
  <si>
    <t>dayalkk@gmail.com</t>
  </si>
  <si>
    <t>KK Dayal</t>
  </si>
  <si>
    <t xml:space="preserve">Tata Power Solar Systems LTD </t>
  </si>
  <si>
    <t>saniljacob@hotmail.com</t>
  </si>
  <si>
    <t>Sanil Jacob</t>
  </si>
  <si>
    <t>2017-18 / Solar Connect/ R.No /00125</t>
  </si>
  <si>
    <t>Vijayakumar K</t>
  </si>
  <si>
    <t>L Dipu</t>
  </si>
  <si>
    <t>jayakumaran_nair_n@yahoo.co.in</t>
  </si>
  <si>
    <t>N Jayakumaran Nair</t>
  </si>
  <si>
    <t>abrahamskin@yahoo.co.in</t>
  </si>
  <si>
    <t>Dr.Gigi Thomas</t>
  </si>
  <si>
    <t>snobinaugustine@gmail.com</t>
  </si>
  <si>
    <t>Chinnappan Alexander</t>
  </si>
  <si>
    <t>TV THOMAS</t>
  </si>
  <si>
    <t>Kottayam East (4635)</t>
  </si>
  <si>
    <t>vlr1946@yahoo.com</t>
  </si>
  <si>
    <t>VL Ratnakumari</t>
  </si>
  <si>
    <t>2017-18 / Solar Connect/ R.No /00126</t>
  </si>
  <si>
    <t>kesavadasapuram</t>
  </si>
  <si>
    <t>ajucherupuzha@gmail.com</t>
  </si>
  <si>
    <t>ANTONY A.J</t>
  </si>
  <si>
    <t>TEMCO RENEWABLE ENERGY SOLUTIONS PVT.LTD</t>
  </si>
  <si>
    <t>ETTUMANUR</t>
  </si>
  <si>
    <t>GEORGE THAYYIL MATHEW</t>
  </si>
  <si>
    <t>MANARCAD</t>
  </si>
  <si>
    <t>S Kannan</t>
  </si>
  <si>
    <t>JOSEPH MJ</t>
  </si>
  <si>
    <t>Kanjirappally</t>
  </si>
  <si>
    <t>VARGHESE PJ</t>
  </si>
  <si>
    <t>2017-18 / Solar Connect/ R.No /00127</t>
  </si>
  <si>
    <t>KURICHY</t>
  </si>
  <si>
    <t>Lakshmi Nandakumar</t>
  </si>
  <si>
    <t>kalamouli94@gmail.com</t>
  </si>
  <si>
    <t>M Saraswathy</t>
  </si>
  <si>
    <t>Ayyappan Radhakrishnan</t>
  </si>
  <si>
    <t>Praveenraj</t>
  </si>
  <si>
    <t>2017-18 / Solar Connect/ R.No /00128</t>
  </si>
  <si>
    <t>maradu</t>
  </si>
  <si>
    <t>IVY ALEXANDER</t>
  </si>
  <si>
    <t>KOTTAYAM CENTRAL</t>
  </si>
  <si>
    <t>adibhar@gmail.com</t>
  </si>
  <si>
    <t>Bindu GR</t>
  </si>
  <si>
    <t>srrakesh98@gmail.com</t>
  </si>
  <si>
    <t>Rakesh SR</t>
  </si>
  <si>
    <t>drabhilashkannan@gmail.com</t>
  </si>
  <si>
    <t>Abhilash k</t>
  </si>
  <si>
    <t>anoop_chandran87@yahoo.co.in</t>
  </si>
  <si>
    <t>SREE SANKARA COLLEGE</t>
  </si>
  <si>
    <t>KALADY</t>
  </si>
  <si>
    <t>anoop.lineagepower@gmail.com</t>
  </si>
  <si>
    <t>service@mohankrishnan.com</t>
  </si>
  <si>
    <t>Mohan Kumar Krishnan</t>
  </si>
  <si>
    <t>Franco Joseph Konikkara</t>
  </si>
  <si>
    <t>viyur</t>
  </si>
  <si>
    <t>V O  MATHEW</t>
  </si>
  <si>
    <t>2017-18 / Solar Connect/ R.No /00129</t>
  </si>
  <si>
    <t>KOTTAYAM EAST</t>
  </si>
  <si>
    <t>raveendrank@gmail.com</t>
  </si>
  <si>
    <t>Latha G</t>
  </si>
  <si>
    <t>Karamana</t>
  </si>
  <si>
    <t>PV JACOB</t>
  </si>
  <si>
    <t>CHENGANACHERRY</t>
  </si>
  <si>
    <t>MOHAMMED SALEEM P</t>
  </si>
  <si>
    <t>VENGARA(6556)</t>
  </si>
  <si>
    <t>JAYA SEBASTIAN</t>
  </si>
  <si>
    <t>SREELATHA NARAYANAN PILLAI</t>
  </si>
  <si>
    <t>KOOTTAYAM CENTRAL</t>
  </si>
  <si>
    <t>2017-18 / Solar Connect/ R.No /00130</t>
  </si>
  <si>
    <t>shophia(mother superior)</t>
  </si>
  <si>
    <t>progen energy solutions</t>
  </si>
  <si>
    <t>thrissur corporation</t>
  </si>
  <si>
    <t>SHINU RAGHAVAN PILLAI NAIR</t>
  </si>
  <si>
    <t>MARANGATTUPALLY</t>
  </si>
  <si>
    <t>HUSSAIN ALI</t>
  </si>
  <si>
    <t>PALLIPPAD</t>
  </si>
  <si>
    <t>GEORGE CT</t>
  </si>
  <si>
    <t>ERUMELY</t>
  </si>
  <si>
    <t>PUNNOOSE GEORGE</t>
  </si>
  <si>
    <t>VISHAKH JOSEPH</t>
  </si>
  <si>
    <t>MARADU</t>
  </si>
  <si>
    <t>DR VINOY GEORGE DAVID</t>
  </si>
  <si>
    <t>RANI SEBASTIAN</t>
  </si>
  <si>
    <t>2017-18 / Solar Connect/ R.No /00131</t>
  </si>
  <si>
    <t>SREEDHARAN</t>
  </si>
  <si>
    <t>VV GEORGE</t>
  </si>
  <si>
    <t>JOHN CA</t>
  </si>
  <si>
    <t>AJI JOSEPH</t>
  </si>
  <si>
    <t>MANAGER / SH PUBLIC SCHOOL</t>
  </si>
  <si>
    <t>VARGHESE JOHN THARAKAN</t>
  </si>
  <si>
    <t>THRIKKAKARA</t>
  </si>
  <si>
    <t>2017-18 / Solar Connect/ R.No /00132</t>
  </si>
  <si>
    <t>POULOSE VAZHAKULANGARA PETER</t>
  </si>
  <si>
    <t>K K GEORGE</t>
  </si>
  <si>
    <t>SHINO THOMAS</t>
  </si>
  <si>
    <t>TATA POWER SOLR SYSTEMS LTD</t>
  </si>
  <si>
    <t>C SREEKUMAR</t>
  </si>
  <si>
    <t>N G Gopinathan Nair</t>
  </si>
  <si>
    <t>Thottabhagam</t>
  </si>
  <si>
    <t>MOIDEEN</t>
  </si>
  <si>
    <t>Venniyoor</t>
  </si>
  <si>
    <t>ABDUL RASHEED K</t>
  </si>
  <si>
    <t>Mannarkkad</t>
  </si>
  <si>
    <t>2017-18 / Solar Connect/ R.No /00133</t>
  </si>
  <si>
    <t>jyothibhavanmlm@gmail.com</t>
  </si>
  <si>
    <t>Lillykutty jacob</t>
  </si>
  <si>
    <t>Tata power solar systems limited</t>
  </si>
  <si>
    <t>Moolamattom</t>
  </si>
  <si>
    <t>GEETHA G S</t>
  </si>
  <si>
    <t>KOTTARAKKARA</t>
  </si>
  <si>
    <t>BEENA VARGHESE</t>
  </si>
  <si>
    <t>THRIKARIPUR</t>
  </si>
  <si>
    <t>mkmathai@yahoo.com</t>
  </si>
  <si>
    <t xml:space="preserve">M K Mathai </t>
  </si>
  <si>
    <t>Renewable Energy Solutions Pvt Ltd</t>
  </si>
  <si>
    <t>TRIPUNITHURA</t>
  </si>
  <si>
    <t>TRESA MAJI</t>
  </si>
  <si>
    <t>BABU GEORGE</t>
  </si>
  <si>
    <t>BALAKRISHNAN K S</t>
  </si>
  <si>
    <t>2017-18 / Solar Connect/ R.No /00134</t>
  </si>
  <si>
    <t>JOBY</t>
  </si>
  <si>
    <t>P A Paul</t>
  </si>
  <si>
    <t>SABU K THOMAS</t>
  </si>
  <si>
    <t>ajuallan9@gmail.com</t>
  </si>
  <si>
    <t>ANTONY A J</t>
  </si>
  <si>
    <t>TEMCO RENEWABLE ENERGY SOLUTIONS Pvt. Ltd</t>
  </si>
  <si>
    <t>ETTUMANOOR</t>
  </si>
  <si>
    <t>ALI AKBAR</t>
  </si>
  <si>
    <t>M C GEORGE</t>
  </si>
  <si>
    <t>2017-18 / Solar Connect/ R.No /00135</t>
  </si>
  <si>
    <t>SURYA S</t>
  </si>
  <si>
    <t>ARAKKUNNAM</t>
  </si>
  <si>
    <t>silverwoods@gmail.com</t>
  </si>
  <si>
    <t>SREEKUMAR C V</t>
  </si>
  <si>
    <t>DR.PREMRAJ</t>
  </si>
  <si>
    <t>mary vallapilly</t>
  </si>
  <si>
    <t>SALIM</t>
  </si>
  <si>
    <t>SILVERWOODSEKM@GMAIL.COM</t>
  </si>
  <si>
    <t>VALSAN T M</t>
  </si>
  <si>
    <t>2017-18 / Solar Connect/ R.No /00136</t>
  </si>
  <si>
    <t>ABDUL RASHEED</t>
  </si>
  <si>
    <t>NITHIN KARUN</t>
  </si>
  <si>
    <t>SANKARA NARAYANAN</t>
  </si>
  <si>
    <t>ASOKAN NAMBIAR</t>
  </si>
  <si>
    <t>VALSALA KARTHIKAYAN</t>
  </si>
  <si>
    <t>2017-18 / Solar Connect/ R.No /00137</t>
  </si>
  <si>
    <t>solarconnect2018@gmailcom</t>
  </si>
  <si>
    <t>MOHAMMED ASHRAF</t>
  </si>
  <si>
    <t>PONMUDAM</t>
  </si>
  <si>
    <t>Geo Paul</t>
  </si>
  <si>
    <t>Renergy systems india pvt ltd</t>
  </si>
  <si>
    <t>Vazhakulam</t>
  </si>
  <si>
    <t>THE PRINCIPAL AL FAROOK RESDNTIAL SENIOR SECONDARY SCHOOL</t>
  </si>
  <si>
    <t>Rev. Fr. Samuel Kutty</t>
  </si>
  <si>
    <t xml:space="preserve">Alternate Energy Corporation </t>
  </si>
  <si>
    <t>4595 Pathanapuram</t>
  </si>
  <si>
    <t>AP Muhammed</t>
  </si>
  <si>
    <t>Saji kumar V</t>
  </si>
  <si>
    <t>CARITHAS HOSPITAL</t>
  </si>
  <si>
    <t>Ettumanoor</t>
  </si>
  <si>
    <t>JOSEPH -P.V</t>
  </si>
  <si>
    <t>MOHAMED NAVAS KOPPAPARAMBIL</t>
  </si>
  <si>
    <t>Prasannakumari C P</t>
  </si>
  <si>
    <t>Aymanam</t>
  </si>
  <si>
    <t>vettuvelilstephen@gmail.com</t>
  </si>
  <si>
    <t>Stephen Joseph</t>
  </si>
  <si>
    <t>Alternate Energy Corportion</t>
  </si>
  <si>
    <t>kottayam east 4635</t>
  </si>
  <si>
    <t>2017-18 / Solar Connect/ R.No /00138</t>
  </si>
  <si>
    <t>Celien George</t>
  </si>
  <si>
    <t>Kuravilangadu</t>
  </si>
  <si>
    <t>HAJIRA</t>
  </si>
  <si>
    <t>QUILANDI NORTH</t>
  </si>
  <si>
    <t>Bindhu Zachariyas</t>
  </si>
  <si>
    <t>Pallickathode</t>
  </si>
  <si>
    <t>T I RAJU</t>
  </si>
  <si>
    <t>ANTONY T</t>
  </si>
  <si>
    <t>TECHNOGUARDE INDUSREIES</t>
  </si>
  <si>
    <t>Johnjacob479@gmail.com</t>
  </si>
  <si>
    <t xml:space="preserve">Administrator manager Marthoma school </t>
  </si>
  <si>
    <t xml:space="preserve">Tata power solar </t>
  </si>
  <si>
    <t xml:space="preserve">Cherkala </t>
  </si>
  <si>
    <t>NILAMBUR</t>
  </si>
  <si>
    <t>SAIDALAVI.EK</t>
  </si>
  <si>
    <t>VENGARA</t>
  </si>
  <si>
    <t>VK.SANJO</t>
  </si>
  <si>
    <t>JAMEELA</t>
  </si>
  <si>
    <t>VELLUVAMBRAM</t>
  </si>
  <si>
    <t>PREMANANDAN NADUTHODY</t>
  </si>
  <si>
    <t>DHARMAPALAN.P</t>
  </si>
  <si>
    <t>THAZHEKODE</t>
  </si>
  <si>
    <t>JANARDHANAN P P</t>
  </si>
  <si>
    <t>2017-18 / Solar Connect/ R.No /00139</t>
  </si>
  <si>
    <t>KARIVELLUR</t>
  </si>
  <si>
    <t>Dr.VIJAY.PG</t>
  </si>
  <si>
    <t>sissybijoykpt@gmail.com</t>
  </si>
  <si>
    <t>sissy bijoy</t>
  </si>
  <si>
    <t>tata power solar</t>
  </si>
  <si>
    <t>kalpetta</t>
  </si>
  <si>
    <t>kmatewalexander@yahoo.com</t>
  </si>
  <si>
    <t>K M Alexander</t>
  </si>
  <si>
    <t>enArka India Pvt Ltd</t>
  </si>
  <si>
    <t>Piravom</t>
  </si>
  <si>
    <t>rajumootheadan@gmail.com</t>
  </si>
  <si>
    <t>kurivillajoseph873@gmail.com</t>
  </si>
  <si>
    <t>kuruvilla joseph</t>
  </si>
  <si>
    <t>meppadi</t>
  </si>
  <si>
    <t>HAMZA.M</t>
  </si>
  <si>
    <t>kjjamejoseph@gmail.com</t>
  </si>
  <si>
    <t>jamesjoseph</t>
  </si>
  <si>
    <t>panamaram</t>
  </si>
  <si>
    <t>naufeltms@gmail.com</t>
  </si>
  <si>
    <t>noufal.t</t>
  </si>
  <si>
    <t>meenangadi</t>
  </si>
  <si>
    <t>mgmhssmndy1990@gmail.com</t>
  </si>
  <si>
    <t>manager(fr.zachariah.vm)</t>
  </si>
  <si>
    <t>JAFAR MUNDAMBRA</t>
  </si>
  <si>
    <t>AREEKODE</t>
  </si>
  <si>
    <t>stmaryssby@gmail.com</t>
  </si>
  <si>
    <t>principal,st.mary's college</t>
  </si>
  <si>
    <t>SULTHAN BATHERY</t>
  </si>
  <si>
    <t>ajeethkalyani1989@gmail.com</t>
  </si>
  <si>
    <t>AJEETH .PK</t>
  </si>
  <si>
    <t>KALPETTA</t>
  </si>
  <si>
    <t>fr.mathewdepaul123@gmail.com</t>
  </si>
  <si>
    <t>Director(fr.mathew perumattikunnel)</t>
  </si>
  <si>
    <t>prajeeshkurup5151@gmail.com</t>
  </si>
  <si>
    <t>SAJAN GEORGE</t>
  </si>
  <si>
    <t>2017-18 / Solar Connect/ R.No /00140</t>
  </si>
  <si>
    <t>THE DIRECTOR,FR.MATHEW PULIMOOTTIL</t>
  </si>
  <si>
    <t>Provincial Superior</t>
  </si>
  <si>
    <t xml:space="preserve">ECOMATE ENERGY SOLUTIONS </t>
  </si>
  <si>
    <t>YAKKOOB P</t>
  </si>
  <si>
    <t>ANOOP NARAYANAN</t>
  </si>
  <si>
    <t>TATA POWER SOLAR SYSTEMS LTD.</t>
  </si>
  <si>
    <t>KUMARAN</t>
  </si>
  <si>
    <t>THANUR</t>
  </si>
  <si>
    <t>Sabeel salahuddin</t>
  </si>
  <si>
    <t>SHOUKKATHALI</t>
  </si>
  <si>
    <t>AYANCHERY</t>
  </si>
  <si>
    <t>POULOSE</t>
  </si>
  <si>
    <t>ABDUL AZEEZ.K</t>
  </si>
  <si>
    <t>KADUNGATHUKUNDU</t>
  </si>
  <si>
    <t>SHOUKATH ALI</t>
  </si>
  <si>
    <t>KOTTAKKAL</t>
  </si>
  <si>
    <t>KV SEBASTIAN</t>
  </si>
  <si>
    <t>Athirampuzha</t>
  </si>
  <si>
    <t>2017-18 / Solar Connect/ R.No /00141</t>
  </si>
  <si>
    <t>KUNHALAVI HAJI.KP</t>
  </si>
  <si>
    <t>OORAKAM</t>
  </si>
  <si>
    <t>LALITHA SUGATHAN</t>
  </si>
  <si>
    <t>CHANGANASSERY</t>
  </si>
  <si>
    <t>RAHIM</t>
  </si>
  <si>
    <t>PALLURUTHY</t>
  </si>
  <si>
    <t>T SAILESHKUMAR</t>
  </si>
  <si>
    <t>PUNALUR</t>
  </si>
  <si>
    <t>BALKEES</t>
  </si>
  <si>
    <t>ALANALLUR</t>
  </si>
  <si>
    <t>Nisha</t>
  </si>
  <si>
    <t>MATHUNNI P V</t>
  </si>
  <si>
    <t>Thomas K P</t>
  </si>
  <si>
    <t>RADHAKRISHNAN P</t>
  </si>
  <si>
    <t>2017-18 / Solar Connect/ R.No /00142</t>
  </si>
  <si>
    <t>jacobnangelimalil@gmail.com</t>
  </si>
  <si>
    <t>Fr. Jacob Nangelimalil</t>
  </si>
  <si>
    <t xml:space="preserve">vannapuram </t>
  </si>
  <si>
    <t>tps malappuram@gmail.com</t>
  </si>
  <si>
    <t>ABDUL MAJEED.K</t>
  </si>
  <si>
    <t>WANDOOR</t>
  </si>
  <si>
    <t>ABRAHAM MATHEW</t>
  </si>
  <si>
    <t>PAIKA</t>
  </si>
  <si>
    <t>Mrs. Radhamani</t>
  </si>
  <si>
    <t>Thodupuzha</t>
  </si>
  <si>
    <t>SEBASTIAN P JOSEPH</t>
  </si>
  <si>
    <t>KARUKACHAL</t>
  </si>
  <si>
    <t>GEETHA S</t>
  </si>
  <si>
    <t>SOBHANAKUMARI PS</t>
  </si>
  <si>
    <t>PALLOM</t>
  </si>
  <si>
    <t>AVIRAH JOSEPH</t>
  </si>
  <si>
    <t>AYARKUNNAM</t>
  </si>
  <si>
    <t>SANTHOSH MP</t>
  </si>
  <si>
    <t>THALAYOLAPARAMBU</t>
  </si>
  <si>
    <t>rejivp3712@gmail.com</t>
  </si>
  <si>
    <t>Reji V P</t>
  </si>
  <si>
    <t>josephabraham@bharatpetroleum.in</t>
  </si>
  <si>
    <t>Joseph Abraham</t>
  </si>
  <si>
    <t>2017-18 / Solar Connect/ R.No /00143</t>
  </si>
  <si>
    <t>vinodkumarv@bharatpetroleum.in</t>
  </si>
  <si>
    <t>Vinod Kumar V</t>
  </si>
  <si>
    <t>Salu tomy kurian</t>
  </si>
  <si>
    <t>Cherthala</t>
  </si>
  <si>
    <t xml:space="preserve">Salu tomy kurian </t>
  </si>
  <si>
    <t>MOLLY VARGHESE</t>
  </si>
  <si>
    <t>MOLLY BERNABAS</t>
  </si>
  <si>
    <t>Hamza pary</t>
  </si>
  <si>
    <t>Malappuram west</t>
  </si>
  <si>
    <t>SATHAR P</t>
  </si>
  <si>
    <t>githabk@gmail.com</t>
  </si>
  <si>
    <t>BALAKRISHNAN.T.S</t>
  </si>
  <si>
    <t>TATTAMANGALAM</t>
  </si>
  <si>
    <t>dasanddaswatersupply11@gmail.com</t>
  </si>
  <si>
    <t>MURALIDAS.PK</t>
  </si>
  <si>
    <t>TAT POWER SOLAR SYSTEM LTD</t>
  </si>
  <si>
    <t>2017-18 / Solar Connect/ R.No /00144</t>
  </si>
  <si>
    <t>Padmakumari</t>
  </si>
  <si>
    <t>Kallambalam</t>
  </si>
  <si>
    <t>mvsasikumarmenon@gmail.com</t>
  </si>
  <si>
    <t>M V Sasikumar</t>
  </si>
  <si>
    <t xml:space="preserve">The President - Skyline Plaza Owners Association </t>
  </si>
  <si>
    <t>Biju C Oommen</t>
  </si>
  <si>
    <t>L.LALITHAMBIKA</t>
  </si>
  <si>
    <t>SUBHASH T</t>
  </si>
  <si>
    <t>ADOOR</t>
  </si>
  <si>
    <t>VIJAYAKUMAR B</t>
  </si>
  <si>
    <t>alanbabu9999@gmail.com</t>
  </si>
  <si>
    <t>BABU M J</t>
  </si>
  <si>
    <t>SMART SOLAR HOMES</t>
  </si>
  <si>
    <t>Gangadharan mungath</t>
  </si>
  <si>
    <t>2017-18 / Solar Connect/ R.No /00145</t>
  </si>
  <si>
    <t>Periya</t>
  </si>
  <si>
    <t>makarimma25@gmail.com</t>
  </si>
  <si>
    <t>M.Abdulkarim</t>
  </si>
  <si>
    <t>Temco Renewable Energy Solutions PVT.Ltd</t>
  </si>
  <si>
    <t>Big Bazar</t>
  </si>
  <si>
    <t>babupalakkad1953@gmail.com</t>
  </si>
  <si>
    <t xml:space="preserve"> M S Venkitaraman</t>
  </si>
  <si>
    <t>Temco Renewable Energy Solutions .Pvt Ltd</t>
  </si>
  <si>
    <t>kalpathy</t>
  </si>
  <si>
    <t>vinodvarma.e@gmail.com</t>
  </si>
  <si>
    <t>Swarnalatha.E</t>
  </si>
  <si>
    <t>Temco Renewable Energy Solution.Pvt Ltd</t>
  </si>
  <si>
    <t>Malampuzha</t>
  </si>
  <si>
    <t>ajbskuthanur@gmail.com</t>
  </si>
  <si>
    <t>K Vijayakumari</t>
  </si>
  <si>
    <t>Temco Renewable Energy Solutions.Pvt Ltd</t>
  </si>
  <si>
    <t>Kuzhalmannam</t>
  </si>
  <si>
    <t>rajeevtrk28@gmail.com</t>
  </si>
  <si>
    <t>Rajeev.k</t>
  </si>
  <si>
    <t>PAE Renewable Energy (P) Ltd</t>
  </si>
  <si>
    <t>Vanniyamkullam</t>
  </si>
  <si>
    <t>Jayalakshmi Bijulal</t>
  </si>
  <si>
    <t>govindan907@gmail.com</t>
  </si>
  <si>
    <t>S G GOVINDAN ACHARI</t>
  </si>
  <si>
    <t>RADIANT SOLAR PRIVATE LTD</t>
  </si>
  <si>
    <t>UDAYAMPEROOR[5549]</t>
  </si>
  <si>
    <t>sknthruvilwaamala@gmail.com</t>
  </si>
  <si>
    <t>Subrahmaninan K Namboodiri</t>
  </si>
  <si>
    <t>KC KOPAR ENERGY SOLUTIONS (P) LTD</t>
  </si>
  <si>
    <t>sknthiruvilwaamala@gmail.com</t>
  </si>
  <si>
    <t>abcd@gmail.com</t>
  </si>
  <si>
    <t>abce</t>
  </si>
  <si>
    <t>abcdef</t>
  </si>
  <si>
    <t>kkkm</t>
  </si>
  <si>
    <t>2017-18 / Solar Connect/ R.No /00146</t>
  </si>
  <si>
    <t>Gangatharan mungath</t>
  </si>
  <si>
    <t xml:space="preserve">Tata power solar system Ltd </t>
  </si>
  <si>
    <t>Dr.Vinod Thampi</t>
  </si>
  <si>
    <t>JOSEPH M J</t>
  </si>
  <si>
    <t>ARIMPOOR</t>
  </si>
  <si>
    <t>SONIYA RAJAN</t>
  </si>
  <si>
    <t>KRISHNADAS C K</t>
  </si>
  <si>
    <t>SREEKANTHAN K N</t>
  </si>
  <si>
    <t>IYYAPPADI SUDHIR</t>
  </si>
  <si>
    <t>KABEERKUTTY A</t>
  </si>
  <si>
    <t>KUNHALAVI K</t>
  </si>
  <si>
    <t>RAMANATTUKARA</t>
  </si>
  <si>
    <t>nair.sashidharan55@gmail.com</t>
  </si>
  <si>
    <t>kumari b menon</t>
  </si>
  <si>
    <t>shoranur</t>
  </si>
  <si>
    <t>jins_mathew2001@yahoo.com</t>
  </si>
  <si>
    <t>jins mathew</t>
  </si>
  <si>
    <t>marutharoad</t>
  </si>
  <si>
    <t>P J Renu</t>
  </si>
  <si>
    <t>D1</t>
  </si>
  <si>
    <t>2017-18 / Solar Connect/ R.No /00147</t>
  </si>
  <si>
    <t>ABDUL GAFOOR</t>
  </si>
  <si>
    <t>AJAY VINOD</t>
  </si>
  <si>
    <t>CHELANNUR</t>
  </si>
  <si>
    <t>THE PRINCIPAL ,GRACE PUBLIC SCHOOL</t>
  </si>
  <si>
    <t>THIRUVAALI</t>
  </si>
  <si>
    <t>VISWANATHAN V P</t>
  </si>
  <si>
    <t>sivakumar</t>
  </si>
  <si>
    <t>solgen energy pvt ltd</t>
  </si>
  <si>
    <t>fhdrugh@gmail.com</t>
  </si>
  <si>
    <t>2017-18 / Solar Connect/ R.No /00148</t>
  </si>
  <si>
    <t>s.c premkumar</t>
  </si>
  <si>
    <t>tata power solar systems ltd</t>
  </si>
  <si>
    <t xml:space="preserve">o. muralidharan </t>
  </si>
  <si>
    <t>tata power solar sysytem ltd</t>
  </si>
  <si>
    <t>nasivaraj@gmail.com</t>
  </si>
  <si>
    <t>N.A. SIVARAJ</t>
  </si>
  <si>
    <t>A Rajendran Nair</t>
  </si>
  <si>
    <t>Kandassankadavu</t>
  </si>
  <si>
    <t>PYTHAL C</t>
  </si>
  <si>
    <t>Mannuthy</t>
  </si>
  <si>
    <t>K.R.Rajan</t>
  </si>
  <si>
    <t>Siret Solar PVT LTD</t>
  </si>
  <si>
    <t>2017-18 / Solar Connect/ R.No /00149</t>
  </si>
  <si>
    <t>CMC Mary Matha Provincial House</t>
  </si>
  <si>
    <t>Kalady</t>
  </si>
  <si>
    <t>ALI HAJI PK</t>
  </si>
  <si>
    <t>OTHUKUNGAL</t>
  </si>
  <si>
    <t>sumi.soura@gmail.com</t>
  </si>
  <si>
    <t>Nabeesa</t>
  </si>
  <si>
    <t>Soura Natural Energy Solutions India Pvt. Ltd</t>
  </si>
  <si>
    <t>Nellikunnu</t>
  </si>
  <si>
    <t>sumi.soura@gmail</t>
  </si>
  <si>
    <t xml:space="preserve">Nazar </t>
  </si>
  <si>
    <t>Soura Natural Energy Solutions India Pvt. Ltd.</t>
  </si>
  <si>
    <t>Eriyad</t>
  </si>
  <si>
    <t>Soudamini</t>
  </si>
  <si>
    <t>Annamanada</t>
  </si>
  <si>
    <t>Sreedharan</t>
  </si>
  <si>
    <t>chennamangalam</t>
  </si>
  <si>
    <t>resmi.soura@gmail.com</t>
  </si>
  <si>
    <t xml:space="preserve"> Dr.Krishnabhat</t>
  </si>
  <si>
    <t>2017-18 / Solar Connect/ R.No /00150</t>
  </si>
  <si>
    <t>Kasargod</t>
  </si>
  <si>
    <t>Shoukathali.KP</t>
  </si>
  <si>
    <t>Vengidangu</t>
  </si>
  <si>
    <t>Mohamed  Abdul Rahman</t>
  </si>
  <si>
    <t>susumi.soura@gmail.com</t>
  </si>
  <si>
    <t>Rajeev AP</t>
  </si>
  <si>
    <t>Mannam</t>
  </si>
  <si>
    <t>Jhonson TC</t>
  </si>
  <si>
    <t>Kunnukara</t>
  </si>
  <si>
    <t>Unnimon Alias Yohannan</t>
  </si>
  <si>
    <t>2017-18 / Solar Connect/ R.No /00151</t>
  </si>
  <si>
    <t>Kuzhoor</t>
  </si>
  <si>
    <t>Shafi.KP</t>
  </si>
  <si>
    <t>Harikumar</t>
  </si>
  <si>
    <t>Irinjalakuda</t>
  </si>
  <si>
    <t>Mohamed Aabid</t>
  </si>
  <si>
    <t>Govindan Chittere</t>
  </si>
  <si>
    <t>Kunhi Mangalam</t>
  </si>
  <si>
    <t>2017-18 / Solar Connect/ R.No /00152</t>
  </si>
  <si>
    <t>ASHARAF NK</t>
  </si>
  <si>
    <t>Kodungallur11</t>
  </si>
  <si>
    <t>SAGI Augustine</t>
  </si>
  <si>
    <t>Malayatoor</t>
  </si>
  <si>
    <t xml:space="preserve">Muthanikkatt abdul hameed </t>
  </si>
  <si>
    <t>Asiyamma</t>
  </si>
  <si>
    <t>Manjeswar</t>
  </si>
  <si>
    <t xml:space="preserve"> Jaison.MG</t>
  </si>
  <si>
    <t>Susheela.K</t>
  </si>
  <si>
    <t>2017-18 / Solar Connect/ R.No /00153</t>
  </si>
  <si>
    <t>choyamkode</t>
  </si>
  <si>
    <t xml:space="preserve"> Asharaf.MB</t>
  </si>
  <si>
    <t>Mavumkal</t>
  </si>
  <si>
    <t xml:space="preserve"> Muthanikkatt abdul hameed</t>
  </si>
  <si>
    <t>PONMUNDAM (6570)</t>
  </si>
  <si>
    <t>Azeez</t>
  </si>
  <si>
    <t>peelicode</t>
  </si>
  <si>
    <t>RANJI SEBASTIAN</t>
  </si>
  <si>
    <t>MUHAMMAD BASHEER</t>
  </si>
  <si>
    <t>TATA POWER SOLAR SYSTEMS  LTD</t>
  </si>
  <si>
    <t>2017-18 / Solar Connect/ R.No /00154</t>
  </si>
  <si>
    <t>KADALUNDI</t>
  </si>
  <si>
    <t>Ramachandran.CM</t>
  </si>
  <si>
    <t>maniyat</t>
  </si>
  <si>
    <t>Easo</t>
  </si>
  <si>
    <t>Solgen India Pvt Ltd</t>
  </si>
  <si>
    <t>Kumbanad</t>
  </si>
  <si>
    <t>Chacko.K M</t>
  </si>
  <si>
    <t>FATHIMATHU SUHADA</t>
  </si>
  <si>
    <t>Puzhakkattiri</t>
  </si>
  <si>
    <t>2017-18 / Solar Connect/ R.No /00155</t>
  </si>
  <si>
    <t>SATHEE JOHN</t>
  </si>
  <si>
    <t>NADAKKAVU</t>
  </si>
  <si>
    <t>Ayisumma</t>
  </si>
  <si>
    <t>Changaramkulam</t>
  </si>
  <si>
    <t>Abdul Basheer</t>
  </si>
  <si>
    <t>sales.basta@gmail.com</t>
  </si>
  <si>
    <t>Varayil Lakshmanan</t>
  </si>
  <si>
    <t>Bosch Limited</t>
  </si>
  <si>
    <t>Mathamangalam</t>
  </si>
  <si>
    <t>Geetha M</t>
  </si>
  <si>
    <t>smith.soura@gmail.com</t>
  </si>
  <si>
    <t>B M A Mohammed Kunhi</t>
  </si>
  <si>
    <t>Soura Natural Energy Solutions India Pvt. LTD</t>
  </si>
  <si>
    <t>2017-18 / Solar Connect/ R.No /00156</t>
  </si>
  <si>
    <t>Keralasolarpes@gmail.com</t>
  </si>
  <si>
    <t>Thomas Chakramakkil</t>
  </si>
  <si>
    <t>Progen Energy Solutions</t>
  </si>
  <si>
    <t>P.A Najeeb</t>
  </si>
  <si>
    <t xml:space="preserve"> Soura Natural Energy Solutions India Pvt ltd</t>
  </si>
  <si>
    <t>Kottayam east</t>
  </si>
  <si>
    <t>Mohammed Rafi</t>
  </si>
  <si>
    <t>Chinju.OM</t>
  </si>
  <si>
    <t>kodungaloor sec 1</t>
  </si>
  <si>
    <t>Shareef .PN</t>
  </si>
  <si>
    <t>Venkitangu</t>
  </si>
  <si>
    <t>2017-18 / Solar Connect/ R.No /00157</t>
  </si>
  <si>
    <t xml:space="preserve"> Ajeesh.PA</t>
  </si>
  <si>
    <t>arimboor</t>
  </si>
  <si>
    <t>Mohanan P</t>
  </si>
  <si>
    <t>mathilakam</t>
  </si>
  <si>
    <t xml:space="preserve"> Sulaikha </t>
  </si>
  <si>
    <t>eriyad</t>
  </si>
  <si>
    <t xml:space="preserve"> Vasudevan. AS</t>
  </si>
  <si>
    <t>Manojkumar.k</t>
  </si>
  <si>
    <t>irinjalakuda</t>
  </si>
  <si>
    <t>2017-18 / Solar Connect/ R.No /00158</t>
  </si>
  <si>
    <t>P.I Abdulkhadar</t>
  </si>
  <si>
    <t>Kundannur</t>
  </si>
  <si>
    <t>M. Kanthimathy Ammal</t>
  </si>
  <si>
    <t>T C Joseph</t>
  </si>
  <si>
    <t>Maya S S</t>
  </si>
  <si>
    <t>Varapuzha</t>
  </si>
  <si>
    <t>Bava.KA</t>
  </si>
  <si>
    <t>Kodungalloor 1</t>
  </si>
  <si>
    <t>P.S Vidhyavathy</t>
  </si>
  <si>
    <t>2017-18 / Solar Connect/ R.No /00159</t>
  </si>
  <si>
    <t>Eranakulam Central Section</t>
  </si>
  <si>
    <t>Jiji</t>
  </si>
  <si>
    <t>Murukesan V B</t>
  </si>
  <si>
    <t>N.Paravur</t>
  </si>
  <si>
    <t>vinod.m.krishnan@gmail.com</t>
  </si>
  <si>
    <t>VINOD M K</t>
  </si>
  <si>
    <t>RAIDCO KERALA LTD</t>
  </si>
  <si>
    <t>Greenroof Solar Pvt ltd</t>
  </si>
  <si>
    <t>Kalamaserry</t>
  </si>
  <si>
    <t>unnikpsc@gmail.com</t>
  </si>
  <si>
    <t>Unnikrishnan P</t>
  </si>
  <si>
    <t>TeamSustain Ltd.</t>
  </si>
  <si>
    <t>Koonamoochy (5696)</t>
  </si>
  <si>
    <t>support@teamsustain.in</t>
  </si>
  <si>
    <t>2017-18 / Solar Connect/ R.No /00160</t>
  </si>
  <si>
    <t>Alakkode(6648)</t>
  </si>
  <si>
    <t>kundilm@gmail.com</t>
  </si>
  <si>
    <t>Mohamed musthafa Kundil</t>
  </si>
  <si>
    <t>Tata Power Solar</t>
  </si>
  <si>
    <t>Tirur East</t>
  </si>
  <si>
    <t>Bilal M</t>
  </si>
  <si>
    <t>Purangu</t>
  </si>
  <si>
    <t>K M KURIAKOSE</t>
  </si>
  <si>
    <t>2017-18 / Solar Connect/ R.No /00161</t>
  </si>
  <si>
    <t>2017-18 / Solar Connect/ R.No /00162</t>
  </si>
  <si>
    <t>2017-18 / Solar Connect/ R.No /00163</t>
  </si>
  <si>
    <t>2017-18 / Solar Connect/ R.No /00164</t>
  </si>
  <si>
    <t>2017-18 / Solar Connect/ R.No /00165</t>
  </si>
  <si>
    <t>2017-18 / Solar Connect/ R.No /00166</t>
  </si>
  <si>
    <t>2017-18 / Solar Connect/ R.No /00167</t>
  </si>
  <si>
    <t>2017-18 / Solar Connect/ R.No /00168</t>
  </si>
  <si>
    <t>2017-18 / Solar Connect/ R.No /00169</t>
  </si>
  <si>
    <t>2017-18 / Solar Connect/ R.No /00170</t>
  </si>
  <si>
    <t>2017-18 / Solar Connect/ R.No /00171</t>
  </si>
  <si>
    <t>2017-18 / Solar Connect/ R.No /00172</t>
  </si>
  <si>
    <t>2017-18 / Solar Connect/ R.No /00173</t>
  </si>
  <si>
    <t>2017-18 / Solar Connect/ R.No /00174</t>
  </si>
  <si>
    <t>2017-18 / Solar Connect/ R.No /00175</t>
  </si>
  <si>
    <t>2017-18 / Solar Connect/ R.No /00176</t>
  </si>
  <si>
    <t>2017-18 / Solar Connect/ R.No /00177</t>
  </si>
  <si>
    <t>2017-18 / Solar Connect/ R.No /00178</t>
  </si>
  <si>
    <t>2017-18 / Solar Connect/ R.No /00179</t>
  </si>
  <si>
    <t>2017-18 / Solar Connect/ R.No /00180</t>
  </si>
  <si>
    <t>2017-18 / Solar Connect/ R.No /00181</t>
  </si>
  <si>
    <t>2017-18 / Solar Connect/ R.No /00182</t>
  </si>
  <si>
    <t>2017-18 / Solar Connect/ R.No /00183</t>
  </si>
  <si>
    <t>2017-18 / Solar Connect/ R.No /00184</t>
  </si>
  <si>
    <t>2017-18 / Solar Connect/ R.No /00185</t>
  </si>
  <si>
    <t>2017-18 / Solar Connect/ R.No /00186</t>
  </si>
  <si>
    <t>2017-18 / Solar Connect/ R.No /00187</t>
  </si>
  <si>
    <t>2017-18 / Solar Connect/ R.No /00188</t>
  </si>
  <si>
    <t>2017-18 / Solar Connect/ R.No /00189</t>
  </si>
  <si>
    <t>2017-18 / Solar Connect/ R.No /00190</t>
  </si>
  <si>
    <t>2017-18 / Solar Connect/ R.No /00191</t>
  </si>
  <si>
    <t>2017-18 / Solar Connect/ R.No /00192</t>
  </si>
  <si>
    <t>2017-18 / Solar Connect/ R.No /00193</t>
  </si>
  <si>
    <t>2017-18 / Solar Connect/ R.No /00194</t>
  </si>
  <si>
    <t>2017-18 / Solar Connect/ R.No /00195</t>
  </si>
  <si>
    <t>2017-18 / Solar Connect/ R.No /00196</t>
  </si>
  <si>
    <t>2017-18 / Solar Connect/ R.No /00197</t>
  </si>
  <si>
    <t>2017-18 / Solar Connect/ R.No /00198</t>
  </si>
  <si>
    <t>2017-18 / Solar Connect/ R.No /00199</t>
  </si>
  <si>
    <t>2017-18 / Solar Connect/ R.No /00200</t>
  </si>
  <si>
    <t>2017-18 / Solar Connect/ R.No /00201</t>
  </si>
  <si>
    <t>2017-18 / Solar Connect/ R.No /00202</t>
  </si>
  <si>
    <t>2017-18 / Solar Connect/ R.No /00203</t>
  </si>
  <si>
    <t>2017-18 / Solar Connect/ R.No /00204</t>
  </si>
  <si>
    <t>2017-18 / Solar Connect/ R.No /00205</t>
  </si>
  <si>
    <t>2017-18 / Solar Connect/ R.No /00206</t>
  </si>
  <si>
    <t>2017-18 / Solar Connect/ R.No /00207</t>
  </si>
  <si>
    <t>2017-18 / Solar Connect/ R.No /00208</t>
  </si>
  <si>
    <t>2017-18 / Solar Connect/ R.No /00209</t>
  </si>
  <si>
    <t>2017-18 / Solar Connect/ R.No /00210</t>
  </si>
  <si>
    <t>2017-18 / Solar Connect/ R.No /00211</t>
  </si>
  <si>
    <t>2017-18 / Solar Connect/ R.No /00212</t>
  </si>
  <si>
    <t>2017-18 / Solar Connect/ R.No /00213</t>
  </si>
  <si>
    <t>2017-18 / Solar Connect/ R.No /00214</t>
  </si>
  <si>
    <t>2017-18 / Solar Connect/ R.No /00215</t>
  </si>
  <si>
    <t>2017-18 / Solar Connect/ R.No /00216</t>
  </si>
  <si>
    <t>2017-18 / Solar Connect/ R.No /00217</t>
  </si>
  <si>
    <t>2017-18 / Solar Connect/ R.No /00218</t>
  </si>
  <si>
    <t>2017-18 / Solar Connect/ R.No /00219</t>
  </si>
  <si>
    <t>2017-18 / Solar Connect/ R.No /00220</t>
  </si>
  <si>
    <t>2017-18 / Solar Connect/ R.No /00221</t>
  </si>
  <si>
    <t>2017-18 / Solar Connect/ R.No /00222</t>
  </si>
  <si>
    <t>2017-18 / Solar Connect/ R.No /00223</t>
  </si>
  <si>
    <t>2017-18 / Solar Connect/ R.No /00224</t>
  </si>
  <si>
    <t>2017-18 / Solar Connect/ R.No /00225</t>
  </si>
  <si>
    <t>2017-18 / Solar Connect/ R.No /00226</t>
  </si>
  <si>
    <t>2017-18 / Solar Connect/ R.No /00227</t>
  </si>
  <si>
    <t>2017-18 / Solar Connect/ R.No /00228</t>
  </si>
  <si>
    <t>2017-18 / Solar Connect/ R.No /00229</t>
  </si>
  <si>
    <t>2017-18 / Solar Connect/ R.No /00230</t>
  </si>
  <si>
    <t>2017-18 / Solar Connect/ R.No /00231</t>
  </si>
  <si>
    <t>2017-18 / Solar Connect/ R.No /00232</t>
  </si>
  <si>
    <t>2017-18 / Solar Connect/ R.No /00233</t>
  </si>
  <si>
    <t>2017-18 / Solar Connect/ R.No /00234</t>
  </si>
  <si>
    <t>2017-18 / Solar Connect/ R.No /00235</t>
  </si>
  <si>
    <t>2017-18 / Solar Connect/ R.No /00236</t>
  </si>
  <si>
    <t>2017-18 / Solar Connect/ R.No /00237</t>
  </si>
  <si>
    <t>2017-18 / Solar Connect/ R.No /00238</t>
  </si>
  <si>
    <t>2017-18 / Solar Connect/ R.No /00239</t>
  </si>
  <si>
    <t>2017-18 / Solar Connect/ R.No /00240</t>
  </si>
  <si>
    <t>2017-18 / Solar Connect/ R.No /00241</t>
  </si>
  <si>
    <t>2017-18 / Solar Connect/ R.No /00242</t>
  </si>
  <si>
    <t>2017-18 / Solar Connect/ R.No /00243</t>
  </si>
  <si>
    <t>2017-18 / Solar Connect/ R.No /00244</t>
  </si>
  <si>
    <t>2017-18 / Solar Connect/ R.No /00245</t>
  </si>
  <si>
    <t>2017-18 / Solar Connect/ R.No /00246</t>
  </si>
  <si>
    <t>2017-18 / Solar Connect/ R.No /00247</t>
  </si>
  <si>
    <t>2017-18 / Solar Connect/ R.No /00248</t>
  </si>
  <si>
    <t>2017-18 / Solar Connect/ R.No /00249</t>
  </si>
  <si>
    <t>2017-18 / Solar Connect/ R.No /00250</t>
  </si>
  <si>
    <t>2017-18 / Solar Connect/ R.No /00251</t>
  </si>
  <si>
    <t>2017-18 / Solar Connect/ R.No /00252</t>
  </si>
  <si>
    <t>2017-18 / Solar Connect/ R.No /00253</t>
  </si>
  <si>
    <t>2017-18 / Solar Connect/ R.No /00254</t>
  </si>
  <si>
    <t>2017-18 / Solar Connect/ R.No /00255</t>
  </si>
  <si>
    <t>2017-18 / Solar Connect/ R.No /00256</t>
  </si>
  <si>
    <t>2017-18 / Solar Connect/ R.No /00257</t>
  </si>
  <si>
    <t>2017-18 / Solar Connect/ R.No /00258</t>
  </si>
  <si>
    <t>2017-18 / Solar Connect/ R.No /00259</t>
  </si>
  <si>
    <t>2017-18 / Solar Connect/ R.No /00260</t>
  </si>
  <si>
    <t>2017-18 / Solar Connect/ R.No /00261</t>
  </si>
  <si>
    <t>2017-18 / Solar Connect/ R.No /00262</t>
  </si>
  <si>
    <t>2017-18 / Solar Connect/ R.No /00263</t>
  </si>
  <si>
    <t>2017-18 / Solar Connect/ R.No /00264</t>
  </si>
  <si>
    <t>2017-18 / Solar Connect/ R.No /00265</t>
  </si>
  <si>
    <t>2017-18 / Solar Connect/ R.No /00266</t>
  </si>
  <si>
    <t>2017-18 / Solar Connect/ R.No /00267</t>
  </si>
  <si>
    <t>2017-18 / Solar Connect/ R.No /00268</t>
  </si>
  <si>
    <t>2017-18 / Solar Connect/ R.No /00269</t>
  </si>
  <si>
    <t>2017-18 / Solar Connect/ R.No /00270</t>
  </si>
  <si>
    <t>2017-18 / Solar Connect/ R.No /00271</t>
  </si>
  <si>
    <t>2017-18 / Solar Connect/ R.No /00272</t>
  </si>
  <si>
    <t>2017-18 / Solar Connect/ R.No /00273</t>
  </si>
  <si>
    <t>2017-18 / Solar Connect/ R.No /00274</t>
  </si>
  <si>
    <t>2017-18 / Solar Connect/ R.No /00275</t>
  </si>
  <si>
    <t>2017-18 / Solar Connect/ R.No /00276</t>
  </si>
  <si>
    <t>2017-18 / Solar Connect/ R.No /00277</t>
  </si>
  <si>
    <t>2017-18 / Solar Connect/ R.No /00278</t>
  </si>
  <si>
    <t>2017-18 / Solar Connect/ R.No /00279</t>
  </si>
  <si>
    <t>2017-18 / Solar Connect/ R.No /00280</t>
  </si>
  <si>
    <t>2017-18 / Solar Connect/ R.No /00281</t>
  </si>
  <si>
    <t>2017-18 / Solar Connect/ R.No /00282</t>
  </si>
  <si>
    <t>2017-18 / Solar Connect/ R.No /00283</t>
  </si>
  <si>
    <t>2017-18 / Solar Connect/ R.No /00284</t>
  </si>
  <si>
    <t>2017-18 / Solar Connect/ R.No /00285</t>
  </si>
  <si>
    <t>2017-18 / Solar Connect/ R.No /00286</t>
  </si>
  <si>
    <t>2017-18 / Solar Connect/ R.No /00287</t>
  </si>
  <si>
    <t>2017-18 / Solar Connect/ R.No /00288</t>
  </si>
  <si>
    <t>2017-18 / Solar Connect/ R.No /00289</t>
  </si>
  <si>
    <t>2017-18 / Solar Connect/ R.No /00290</t>
  </si>
  <si>
    <t>2017-18 / Solar Connect/ R.No /00291</t>
  </si>
  <si>
    <t>2017-18 / Solar Connect/ R.No /00292</t>
  </si>
  <si>
    <t>2017-18 / Solar Connect/ R.No /00293</t>
  </si>
  <si>
    <t>2017-18 / Solar Connect/ R.No /00294</t>
  </si>
  <si>
    <t>2017-18 / Solar Connect/ R.No /00295</t>
  </si>
  <si>
    <t>2017-18 / Solar Connect/ R.No /00296</t>
  </si>
  <si>
    <t>2017-18 / Solar Connect/ R.No /00297</t>
  </si>
  <si>
    <t>2017-18 / Solar Connect/ R.No /00298</t>
  </si>
  <si>
    <t>2017-18 / Solar Connect/ R.No /00299</t>
  </si>
  <si>
    <t>2017-18 / Solar Connect/ R.No /00300</t>
  </si>
  <si>
    <t>2017-18 / Solar Connect/ R.No /00301</t>
  </si>
  <si>
    <t>2017-18 / Solar Connect/ R.No /00302</t>
  </si>
  <si>
    <t>2017-18 / Solar Connect/ R.No /00303</t>
  </si>
  <si>
    <t>2017-18 / Solar Connect/ R.No /00304</t>
  </si>
  <si>
    <t>2017-18 / Solar Connect/ R.No /00305</t>
  </si>
  <si>
    <t>2017-18 / Solar Connect/ R.No /00306</t>
  </si>
  <si>
    <t>2017-18 / Solar Connect/ R.No /00307</t>
  </si>
  <si>
    <t>2017-18 / Solar Connect/ R.No /00308</t>
  </si>
  <si>
    <t>2017-18 / Solar Connect/ R.No /00309</t>
  </si>
  <si>
    <t>2017-18 / Solar Connect/ R.No /00310</t>
  </si>
  <si>
    <t>2017-18 / Solar Connect/ R.No /00311</t>
  </si>
  <si>
    <t>2017-18 / Solar Connect/ R.No /00312</t>
  </si>
  <si>
    <t>2017-18 / Solar Connect/ R.No /00313</t>
  </si>
  <si>
    <t>2017-18 / Solar Connect/ R.No /00314</t>
  </si>
  <si>
    <t>2017-18 / Solar Connect/ R.No /00315</t>
  </si>
  <si>
    <t>2017-18 / Solar Connect/ R.No /00316</t>
  </si>
  <si>
    <t>2017-18 / Solar Connect/ R.No /00317</t>
  </si>
  <si>
    <t>2017-18 / Solar Connect/ R.No /00318</t>
  </si>
  <si>
    <t>2017-18 / Solar Connect/ R.No /00319</t>
  </si>
  <si>
    <t>2017-18 / Solar Connect/ R.No /00320</t>
  </si>
  <si>
    <t>2017-18 / Solar Connect/ R.No /00321</t>
  </si>
  <si>
    <t>2017-18 / Solar Connect/ R.No /00322</t>
  </si>
  <si>
    <t>2017-18 / Solar Connect/ R.No /00323</t>
  </si>
  <si>
    <t>2017-18 / Solar Connect/ R.No /00324</t>
  </si>
  <si>
    <t>2017-18 / Solar Connect/ R.No /00325</t>
  </si>
  <si>
    <t>2017-18 / Solar Connect/ R.No /00326</t>
  </si>
  <si>
    <t>2017-18 / Solar Connect/ R.No /00327</t>
  </si>
  <si>
    <t>2017-18 / Solar Connect/ R.No /00328</t>
  </si>
  <si>
    <t>2017-18 / Solar Connect/ R.No /00329</t>
  </si>
  <si>
    <t>2017-18 / Solar Connect/ R.No /00330</t>
  </si>
  <si>
    <t>2017-18 / Solar Connect/ R.No /00331</t>
  </si>
  <si>
    <t>2017-18 / Solar Connect/ R.No /00332</t>
  </si>
  <si>
    <t>2017-18 / Solar Connect/ R.No /00333</t>
  </si>
  <si>
    <t>2017-18 / Solar Connect/ R.No /00334</t>
  </si>
  <si>
    <t>2017-18 / Solar Connect/ R.No /00335</t>
  </si>
  <si>
    <t>2017-18 / Solar Connect/ R.No /00336</t>
  </si>
  <si>
    <t>2017-18 / Solar Connect/ R.No /00337</t>
  </si>
  <si>
    <t>2017-18 / Solar Connect/ R.No /00338</t>
  </si>
  <si>
    <t>2017-18 / Solar Connect/ R.No /00339</t>
  </si>
  <si>
    <t>2017-18 / Solar Connect/ R.No /00340</t>
  </si>
  <si>
    <t>2017-18 / Solar Connect/ R.No /00341</t>
  </si>
  <si>
    <t>2017-18 / Solar Connect/ R.No /00342</t>
  </si>
  <si>
    <t>2017-18 / Solar Connect/ R.No /00343</t>
  </si>
  <si>
    <t>2017-18 / Solar Connect/ R.No /00344</t>
  </si>
  <si>
    <t>2017-18 / Solar Connect/ R.No /00345</t>
  </si>
  <si>
    <t>2017-18 / Solar Connect/ R.No /00346</t>
  </si>
  <si>
    <t>2017-18 / Solar Connect/ R.No /00347</t>
  </si>
  <si>
    <t>2017-18 / Solar Connect/ R.No /00348</t>
  </si>
  <si>
    <t>2017-18 / Solar Connect/ R.No /00349</t>
  </si>
  <si>
    <t>2017-18 / Solar Connect/ R.No /00350</t>
  </si>
  <si>
    <t>2017-18 / Solar Connect/ R.No /00351</t>
  </si>
  <si>
    <t>2017-18 / Solar Connect/ R.No /00352</t>
  </si>
  <si>
    <t>2017-18 / Solar Connect/ R.No /00353</t>
  </si>
  <si>
    <t>2017-18 / Solar Connect/ R.No /00354</t>
  </si>
  <si>
    <t>2017-18 / Solar Connect/ R.No /00355</t>
  </si>
  <si>
    <t>2017-18 / Solar Connect/ R.No /00356</t>
  </si>
  <si>
    <t>2017-18 / Solar Connect/ R.No /00357</t>
  </si>
  <si>
    <t>2017-18 / Solar Connect/ R.No /00358</t>
  </si>
  <si>
    <t>2017-18 / Solar Connect/ R.No /00359</t>
  </si>
  <si>
    <t>2017-18 / Solar Connect/ R.No /00360</t>
  </si>
  <si>
    <t>2017-18 / Solar Connect/ R.No /00361</t>
  </si>
  <si>
    <t>2017-18 / Solar Connect/ R.No /00362</t>
  </si>
  <si>
    <t>2017-18 / Solar Connect/ R.No /00363</t>
  </si>
  <si>
    <t>2017-18 / Solar Connect/ R.No /00364</t>
  </si>
  <si>
    <t>2017-18 / Solar Connect/ R.No /00365</t>
  </si>
  <si>
    <t>2017-18 / Solar Connect/ R.No /00366</t>
  </si>
  <si>
    <t>2017-18 / Solar Connect/ R.No /00367</t>
  </si>
  <si>
    <t>2017-18 / Solar Connect/ R.No /00368</t>
  </si>
  <si>
    <t>2017-18 / Solar Connect/ R.No /00369</t>
  </si>
  <si>
    <t>2017-18 / Solar Connect/ R.No /00370</t>
  </si>
  <si>
    <t>2017-18 / Solar Connect/ R.No /00371</t>
  </si>
  <si>
    <t>2017-18 / Solar Connect/ R.No /00372</t>
  </si>
  <si>
    <t>2017-18 / Solar Connect/ R.No /00373</t>
  </si>
  <si>
    <t>2017-18 / Solar Connect/ R.No /00374</t>
  </si>
  <si>
    <t>2017-18 / Solar Connect/ R.No /00375</t>
  </si>
  <si>
    <t>2017-18 / Solar Connect/ R.No /00376</t>
  </si>
  <si>
    <t>2017-18 / Solar Connect/ R.No /00377</t>
  </si>
  <si>
    <t>2017-18 / Solar Connect/ R.No /00378</t>
  </si>
  <si>
    <t>2017-18 / Solar Connect/ R.No /00379</t>
  </si>
  <si>
    <t>2017-18 / Solar Connect/ R.No /00380</t>
  </si>
  <si>
    <t>2017-18 / Solar Connect/ R.No /00381</t>
  </si>
  <si>
    <t>2017-18 / Solar Connect/ R.No /00382</t>
  </si>
  <si>
    <t>2017-18 / Solar Connect/ R.No /00383</t>
  </si>
  <si>
    <t>2017-18 / Solar Connect/ R.No /00384</t>
  </si>
  <si>
    <t>2017-18 / Solar Connect/ R.No /00385</t>
  </si>
  <si>
    <t>2017-18 / Solar Connect/ R.No /00386</t>
  </si>
  <si>
    <t>2017-18 / Solar Connect/ R.No /00387</t>
  </si>
  <si>
    <t>2017-18 / Solar Connect/ R.No /00388</t>
  </si>
  <si>
    <t>2017-18 / Solar Connect/ R.No /00389</t>
  </si>
  <si>
    <t>2017-18 / Solar Connect/ R.No /00390</t>
  </si>
  <si>
    <t>2017-18 / Solar Connect/ R.No /00391</t>
  </si>
  <si>
    <t>2017-18 / Solar Connect/ R.No /00392</t>
  </si>
  <si>
    <t>2017-18 / Solar Connect/ R.No /00393</t>
  </si>
  <si>
    <t>2017-18 / Solar Connect/ R.No /00394</t>
  </si>
  <si>
    <t>2017-18 / Solar Connect/ R.No /00395</t>
  </si>
  <si>
    <t>2017-18 / Solar Connect/ R.No /00396</t>
  </si>
  <si>
    <t>2017-18 / Solar Connect/ R.No /00397</t>
  </si>
  <si>
    <t>2017-18 / Solar Connect/ R.No /00398</t>
  </si>
  <si>
    <t>2017-18 / Solar Connect/ R.No /00399</t>
  </si>
  <si>
    <t>2017-18 / Solar Connect/ R.No /00400</t>
  </si>
  <si>
    <t>2017-18 / Solar Connect/ R.No /00401</t>
  </si>
  <si>
    <t>2017-18 / Solar Connect/ R.No /00402</t>
  </si>
  <si>
    <t>2017-18 / Solar Connect/ R.No /00403</t>
  </si>
  <si>
    <t>2017-18 / Solar Connect/ R.No /00404</t>
  </si>
  <si>
    <t>2017-18 / Solar Connect/ R.No /00405</t>
  </si>
  <si>
    <t>2017-18 / Solar Connect/ R.No /00406</t>
  </si>
  <si>
    <t>2017-18 / Solar Connect/ R.No /00407</t>
  </si>
  <si>
    <t>2017-18 / Solar Connect/ R.No /00408</t>
  </si>
  <si>
    <t>2017-18 / Solar Connect/ R.No /00409</t>
  </si>
  <si>
    <t>2017-18 / Solar Connect/ R.No /00410</t>
  </si>
  <si>
    <t>2017-18 / Solar Connect/ R.No /00411</t>
  </si>
  <si>
    <t>2017-18 / Solar Connect/ R.No /00412</t>
  </si>
  <si>
    <t>2017-18 / Solar Connect/ R.No /00413</t>
  </si>
  <si>
    <t>2017-18 / Solar Connect/ R.No /00414</t>
  </si>
  <si>
    <t>2017-18 / Solar Connect/ R.No /00415</t>
  </si>
  <si>
    <t>2017-18 / Solar Connect/ R.No /00416</t>
  </si>
  <si>
    <t>2017-18 / Solar Connect/ R.No /00417</t>
  </si>
  <si>
    <t>2017-18 / Solar Connect/ R.No /00418</t>
  </si>
  <si>
    <t>2017-18 / Solar Connect/ R.No /00419</t>
  </si>
  <si>
    <t>2017-18 / Solar Connect/ R.No /00420</t>
  </si>
  <si>
    <t>2017-18 / Solar Connect/ R.No /00421</t>
  </si>
  <si>
    <t>2017-18 / Solar Connect/ R.No /00422</t>
  </si>
  <si>
    <t>2017-18 / Solar Connect/ R.No /00423</t>
  </si>
  <si>
    <t>2017-18 / Solar Connect/ R.No /00424</t>
  </si>
  <si>
    <t>2017-18 / Solar Connect/ R.No /00425</t>
  </si>
  <si>
    <t>2017-18 / Solar Connect/ R.No /00426</t>
  </si>
  <si>
    <t>2017-18 / Solar Connect/ R.No /00427</t>
  </si>
  <si>
    <t>2017-18 / Solar Connect/ R.No /00428</t>
  </si>
  <si>
    <t>2017-18 / Solar Connect/ R.No /00429</t>
  </si>
  <si>
    <t>2017-18 / Solar Connect/ R.No /00430</t>
  </si>
  <si>
    <t>2017-18 / Solar Connect/ R.No /00431</t>
  </si>
  <si>
    <t>2017-18 / Solar Connect/ R.No /00432</t>
  </si>
  <si>
    <t>2017-18 / Solar Connect/ R.No /00433</t>
  </si>
  <si>
    <t>2017-18 / Solar Connect/ R.No /00434</t>
  </si>
  <si>
    <t>2017-18 / Solar Connect/ R.No /00435</t>
  </si>
  <si>
    <t>2017-18 / Solar Connect/ R.No /00436</t>
  </si>
  <si>
    <t>2017-18 / Solar Connect/ R.No /00437</t>
  </si>
  <si>
    <t>2017-18 / Solar Connect/ R.No /00438</t>
  </si>
  <si>
    <t>2017-18 / Solar Connect/ R.No /00439</t>
  </si>
  <si>
    <t>2017-18 / Solar Connect/ R.No /00440</t>
  </si>
  <si>
    <t>2017-18 / Solar Connect/ R.No /00441</t>
  </si>
  <si>
    <t>2017-18 / Solar Connect/ R.No /00442</t>
  </si>
  <si>
    <t>2017-18 / Solar Connect/ R.No /00443</t>
  </si>
  <si>
    <t>2017-18 / Solar Connect/ R.No /00444</t>
  </si>
  <si>
    <t>2017-18 / Solar Connect/ R.No /00445</t>
  </si>
  <si>
    <t>2017-18 / Solar Connect/ R.No /00446</t>
  </si>
  <si>
    <t>2017-18 / Solar Connect/ R.No /00447</t>
  </si>
  <si>
    <t>2017-18 / Solar Connect/ R.No /00448</t>
  </si>
  <si>
    <t>2017-18 / Solar Connect/ R.No /00449</t>
  </si>
  <si>
    <t>2017-18 / Solar Connect/ R.No /00450</t>
  </si>
  <si>
    <t>2017-18 / Solar Connect/ R.No /00451</t>
  </si>
  <si>
    <t>2017-18 / Solar Connect/ R.No /00452</t>
  </si>
  <si>
    <t>2017-18 / Solar Connect/ R.No /00453</t>
  </si>
  <si>
    <t>2017-18 / Solar Connect/ R.No /00454</t>
  </si>
  <si>
    <t>2017-18 / Solar Connect/ R.No /00455</t>
  </si>
  <si>
    <t>2017-18 / Solar Connect/ R.No /00456</t>
  </si>
  <si>
    <t>2017-18 / Solar Connect/ R.No /00457</t>
  </si>
  <si>
    <t>2017-18 / Solar Connect/ R.No /00458</t>
  </si>
  <si>
    <t>2017-18 / Solar Connect/ R.No /00459</t>
  </si>
  <si>
    <t>2017-18 / Solar Connect/ R.No /00460</t>
  </si>
  <si>
    <t>2017-18 / Solar Connect/ R.No /00461</t>
  </si>
  <si>
    <t>2017-18 / Solar Connect/ R.No /00462</t>
  </si>
  <si>
    <t>2017-18 / Solar Connect/ R.No /00463</t>
  </si>
  <si>
    <t>2017-18 / Solar Connect/ R.No /00464</t>
  </si>
  <si>
    <t>2017-18 / Solar Connect/ R.No /00465</t>
  </si>
  <si>
    <t>2017-18 / Solar Connect/ R.No /00466</t>
  </si>
  <si>
    <t>2017-18 / Solar Connect/ R.No /00467</t>
  </si>
  <si>
    <t>2017-18 / Solar Connect/ R.No /00468</t>
  </si>
  <si>
    <t>2017-18 / Solar Connect/ R.No /00469</t>
  </si>
  <si>
    <t>2017-18 / Solar Connect/ R.No /00470</t>
  </si>
  <si>
    <t>2017-18 / Solar Connect/ R.No /00471</t>
  </si>
  <si>
    <t>2017-18 / Solar Connect/ R.No /00472</t>
  </si>
  <si>
    <t>2017-18 / Solar Connect/ R.No /00473</t>
  </si>
  <si>
    <t>2017-18 / Solar Connect/ R.No /00474</t>
  </si>
  <si>
    <t>2017-18 / Solar Connect/ R.No /00475</t>
  </si>
  <si>
    <t>2017-18 / Solar Connect/ R.No /00476</t>
  </si>
  <si>
    <t>2017-18 / Solar Connect/ R.No /00477</t>
  </si>
  <si>
    <t>2017-18 / Solar Connect/ R.No /00478</t>
  </si>
  <si>
    <t>2017-18 / Solar Connect/ R.No /00479</t>
  </si>
  <si>
    <t>2017-18 / Solar Connect/ R.No /00480</t>
  </si>
  <si>
    <t>2017-18 / Solar Connect/ R.No /00481</t>
  </si>
  <si>
    <t>2017-18 / Solar Connect/ R.No /00482</t>
  </si>
  <si>
    <t>2017-18 / Solar Connect/ R.No /00483</t>
  </si>
  <si>
    <t>2017-18 / Solar Connect/ R.No /00484</t>
  </si>
  <si>
    <t>2017-18 / Solar Connect/ R.No /00485</t>
  </si>
  <si>
    <t>2017-18 / Solar Connect/ R.No /00486</t>
  </si>
  <si>
    <t>2017-18 / Solar Connect/ R.No /00487</t>
  </si>
  <si>
    <t>2017-18 / Solar Connect/ R.No /00488</t>
  </si>
  <si>
    <t>2017-18 / Solar Connect/ R.No /00489</t>
  </si>
  <si>
    <t>2017-18 / Solar Connect/ R.No /00490</t>
  </si>
  <si>
    <t>2017-18 / Solar Connect/ R.No /00491</t>
  </si>
  <si>
    <t>2017-18 / Solar Connect/ R.No /00492</t>
  </si>
  <si>
    <t>2017-18 / Solar Connect/ R.No /00493</t>
  </si>
  <si>
    <t>2017-18 / Solar Connect/ R.No /00494</t>
  </si>
  <si>
    <t>2017-18 / Solar Connect/ R.No /00495</t>
  </si>
  <si>
    <t>2017-18 / Solar Connect/ R.No /00496</t>
  </si>
  <si>
    <t>2017-18 / Solar Connect/ R.No /00497</t>
  </si>
  <si>
    <t>2017-18 / Solar Connect/ R.No /00498</t>
  </si>
  <si>
    <t>2017-18 / Solar Connect/ R.No /00499</t>
  </si>
  <si>
    <t>2017-18 / Solar Connect/ R.No /00500</t>
  </si>
  <si>
    <t>2017-18 / Solar Connect/ R.No /00501</t>
  </si>
  <si>
    <t>2017-18 / Solar Connect/ R.No /00502</t>
  </si>
  <si>
    <t>2017-18 / Solar Connect/ R.No /00503</t>
  </si>
  <si>
    <t>2017-18 / Solar Connect/ R.No /00504</t>
  </si>
  <si>
    <t>2017-18 / Solar Connect/ R.No /00505</t>
  </si>
  <si>
    <t>2017-18 / Solar Connect/ R.No /00506</t>
  </si>
  <si>
    <t>2017-18 / Solar Connect/ R.No /00507</t>
  </si>
  <si>
    <t>2017-18 / Solar Connect/ R.No /00508</t>
  </si>
  <si>
    <t>2017-18 / Solar Connect/ R.No /00509</t>
  </si>
  <si>
    <t>2017-18 / Solar Connect/ R.No /00510</t>
  </si>
  <si>
    <t>2017-18 / Solar Connect/ R.No /00511</t>
  </si>
  <si>
    <t>2017-18 / Solar Connect/ R.No /00512</t>
  </si>
  <si>
    <t>2017-18 / Solar Connect/ R.No /00513</t>
  </si>
  <si>
    <t>2017-18 / Solar Connect/ R.No /00514</t>
  </si>
  <si>
    <t>2017-18 / Solar Connect/ R.No /00515</t>
  </si>
  <si>
    <t>2017-18 / Solar Connect/ R.No /00516</t>
  </si>
  <si>
    <t>2017-18 / Solar Connect/ R.No /00517</t>
  </si>
  <si>
    <t>2017-18 / Solar Connect/ R.No /00518</t>
  </si>
  <si>
    <t>2017-18 / Solar Connect/ R.No /00519</t>
  </si>
  <si>
    <t>2017-18 / Solar Connect/ R.No /00520</t>
  </si>
  <si>
    <t>2017-18 / Solar Connect/ R.No /00521</t>
  </si>
  <si>
    <t>2017-18 / Solar Connect/ R.No /00522</t>
  </si>
  <si>
    <t>2017-18 / Solar Connect/ R.No /00523</t>
  </si>
  <si>
    <t>2017-18 / Solar Connect/ R.No /00524</t>
  </si>
  <si>
    <t>2017-18 / Solar Connect/ R.No /00525</t>
  </si>
  <si>
    <t>2017-18 / Solar Connect/ R.No /00526</t>
  </si>
  <si>
    <t>2017-18 / Solar Connect/ R.No /00527</t>
  </si>
  <si>
    <t>2017-18 / Solar Connect/ R.No /00528</t>
  </si>
  <si>
    <t>2017-18 / Solar Connect/ R.No /00529</t>
  </si>
  <si>
    <t>2017-18 / Solar Connect/ R.No /00530</t>
  </si>
  <si>
    <t>2017-18 / Solar Connect/ R.No /00531</t>
  </si>
  <si>
    <t>2017-18 / Solar Connect/ R.No /00532</t>
  </si>
  <si>
    <t>2017-18 / Solar Connect/ R.No /00533</t>
  </si>
  <si>
    <t>2017-18 / Solar Connect/ R.No /00534</t>
  </si>
  <si>
    <t>2017-18 / Solar Connect/ R.No /00535</t>
  </si>
  <si>
    <t>2017-18 / Solar Connect/ R.No /00536</t>
  </si>
  <si>
    <t>2017-18 / Solar Connect/ R.No /00537</t>
  </si>
  <si>
    <t>2017-18 / Solar Connect/ R.No /00538</t>
  </si>
  <si>
    <t>2017-18 / Solar Connect/ R.No /00539</t>
  </si>
  <si>
    <t>2017-18 / Solar Connect/ R.No /00540</t>
  </si>
  <si>
    <t>2017-18 / Solar Connect/ R.No /00541</t>
  </si>
  <si>
    <t>2017-18 / Solar Connect/ R.No /00542</t>
  </si>
  <si>
    <t>2017-18 / Solar Connect/ R.No /00543</t>
  </si>
  <si>
    <t>2017-18 / Solar Connect/ R.No /00544</t>
  </si>
  <si>
    <t>2017-18 / Solar Connect/ R.No /00545</t>
  </si>
  <si>
    <t>2017-18 / Solar Connect/ R.No /00546</t>
  </si>
  <si>
    <t>2017-18 / Solar Connect/ R.No /00547</t>
  </si>
  <si>
    <t>2017-18 / Solar Connect/ R.No /00548</t>
  </si>
  <si>
    <t>2017-18 / Solar Connect/ R.No /00549</t>
  </si>
  <si>
    <t>2017-18 / Solar Connect/ R.No /00550</t>
  </si>
  <si>
    <t>2017-18 / Solar Connect/ R.No /00551</t>
  </si>
  <si>
    <t>2017-18 / Solar Connect/ R.No /00552</t>
  </si>
  <si>
    <t>2017-18 / Solar Connect/ R.No /00553</t>
  </si>
  <si>
    <t>2017-18 / Solar Connect/ R.No /00554</t>
  </si>
  <si>
    <t>2017-18 / Solar Connect/ R.No /00555</t>
  </si>
  <si>
    <t>2017-18 / Solar Connect/ R.No /00556</t>
  </si>
  <si>
    <t>2017-18 / Solar Connect/ R.No /00557</t>
  </si>
  <si>
    <t>2017-18 / Solar Connect/ R.No /00558</t>
  </si>
  <si>
    <t>2017-18 / Solar Connect/ R.No /00559</t>
  </si>
  <si>
    <t>2017-18 / Solar Connect/ R.No /00560</t>
  </si>
  <si>
    <t>2017-18 / Solar Connect/ R.No /00561</t>
  </si>
  <si>
    <t>2017-18 / Solar Connect/ R.No /00562</t>
  </si>
  <si>
    <t>2017-18 / Solar Connect/ R.No /00563</t>
  </si>
  <si>
    <t>2017-18 / Solar Connect/ R.No /00564</t>
  </si>
  <si>
    <t>2017-18 / Solar Connect/ R.No /00565</t>
  </si>
  <si>
    <t>2017-18 / Solar Connect/ R.No /00566</t>
  </si>
  <si>
    <t>2017-18 / Solar Connect/ R.No /00567</t>
  </si>
  <si>
    <t>2017-18 / Solar Connect/ R.No /00568</t>
  </si>
  <si>
    <t>2017-18 / Solar Connect/ R.No /00569</t>
  </si>
  <si>
    <t>2017-18 / Solar Connect/ R.No /00570</t>
  </si>
  <si>
    <t>2017-18 / Solar Connect/ R.No /00571</t>
  </si>
  <si>
    <t>2017-18 / Solar Connect/ R.No /00572</t>
  </si>
  <si>
    <t>2017-18 / Solar Connect/ R.No /00573</t>
  </si>
  <si>
    <t>2017-18 / Solar Connect/ R.No /00574</t>
  </si>
  <si>
    <t>2017-18 / Solar Connect/ R.No /00575</t>
  </si>
  <si>
    <t>2017-18 / Solar Connect/ R.No /00576</t>
  </si>
  <si>
    <t>2017-18 / Solar Connect/ R.No /00577</t>
  </si>
  <si>
    <t>2017-18 / Solar Connect/ R.No /00578</t>
  </si>
  <si>
    <t>2017-18 / Solar Connect/ R.No /00579</t>
  </si>
  <si>
    <t>2017-18 / Solar Connect/ R.No /00580</t>
  </si>
  <si>
    <t>2017-18 / Solar Connect/ R.No /00581</t>
  </si>
  <si>
    <t>2017-18 / Solar Connect/ R.No /00582</t>
  </si>
  <si>
    <t>2017-18 / Solar Connect/ R.No /00583</t>
  </si>
  <si>
    <t>2017-18 / Solar Connect/ R.No /00584</t>
  </si>
  <si>
    <t>2017-18 / Solar Connect/ R.No /00585</t>
  </si>
  <si>
    <t>2017-18 / Solar Connect/ R.No /00586</t>
  </si>
  <si>
    <t>2017-18 / Solar Connect/ R.No /00587</t>
  </si>
  <si>
    <t>2017-18 / Solar Connect/ R.No /00588</t>
  </si>
  <si>
    <t>2017-18 / Solar Connect/ R.No /00589</t>
  </si>
  <si>
    <t>2017-18 / Solar Connect/ R.No /00590</t>
  </si>
  <si>
    <t>2017-18 / Solar Connect/ R.No /00591</t>
  </si>
  <si>
    <t>2017-18 / Solar Connect/ R.No /00592</t>
  </si>
  <si>
    <t>2017-18 / Solar Connect/ R.No /00593</t>
  </si>
  <si>
    <t>2017-18 / Solar Connect/ R.No /00594</t>
  </si>
  <si>
    <t>2017-18 / Solar Connect/ R.No /00595</t>
  </si>
  <si>
    <t>2017-18 / Solar Connect/ R.No /00596</t>
  </si>
  <si>
    <t>2017-18 / Solar Connect/ R.No /00597</t>
  </si>
  <si>
    <t>2017-18 / Solar Connect/ R.No /00598</t>
  </si>
  <si>
    <t>2017-18 / Solar Connect/ R.No /00599</t>
  </si>
  <si>
    <t>2017-18 / Solar Connect/ R.No /00600</t>
  </si>
  <si>
    <t>2017-18 / Solar Connect/ R.No /00601</t>
  </si>
  <si>
    <t>2017-18 / Solar Connect/ R.No /00602</t>
  </si>
  <si>
    <t>2017-18 / Solar Connect/ R.No /00603</t>
  </si>
  <si>
    <t>2017-18 / Solar Connect/ R.No /00604</t>
  </si>
  <si>
    <t>2017-18 / Solar Connect/ R.No /00605</t>
  </si>
  <si>
    <t>2017-18 / Solar Connect/ R.No /00606</t>
  </si>
  <si>
    <t>2017-18 / Solar Connect/ R.No /00607</t>
  </si>
  <si>
    <t>2017-18 / Solar Connect/ R.No /00608</t>
  </si>
  <si>
    <t>2017-18 / Solar Connect/ R.No /00609</t>
  </si>
  <si>
    <t>2017-18 / Solar Connect/ R.No /00610</t>
  </si>
  <si>
    <t>2017-18 / Solar Connect/ R.No /00611</t>
  </si>
  <si>
    <t>2017-18 / Solar Connect/ R.No /00612</t>
  </si>
  <si>
    <t>2017-18 / Solar Connect/ R.No /00613</t>
  </si>
  <si>
    <t>2017-18 / Solar Connect/ R.No /00614</t>
  </si>
  <si>
    <t>2017-18 / Solar Connect/ R.No /00615</t>
  </si>
  <si>
    <t>2017-18 / Solar Connect/ R.No /00616</t>
  </si>
  <si>
    <t>2017-18 / Solar Connect/ R.No /00617</t>
  </si>
  <si>
    <t>2017-18 / Solar Connect/ R.No /00618</t>
  </si>
  <si>
    <t>2017-18 / Solar Connect/ R.No /00619</t>
  </si>
  <si>
    <t>2017-18 / Solar Connect/ R.No /00620</t>
  </si>
  <si>
    <t>2017-18 / Solar Connect/ R.No /00621</t>
  </si>
  <si>
    <t>2017-18 / Solar Connect/ R.No /00622</t>
  </si>
  <si>
    <t>2017-18 / Solar Connect/ R.No /00623</t>
  </si>
  <si>
    <t>2017-18 / Solar Connect/ R.No /00624</t>
  </si>
  <si>
    <t>2017-18 / Solar Connect/ R.No /00625</t>
  </si>
  <si>
    <t>2017-18 / Solar Connect/ R.No /00626</t>
  </si>
  <si>
    <t>2017-18 / Solar Connect/ R.No /00627</t>
  </si>
  <si>
    <t>2017-18 / Solar Connect/ R.No /00628</t>
  </si>
  <si>
    <t>2017-18 / Solar Connect/ R.No /00629</t>
  </si>
  <si>
    <t>2017-18 / Solar Connect/ R.No /00630</t>
  </si>
  <si>
    <t>2017-18 / Solar Connect/ R.No /00631</t>
  </si>
  <si>
    <t>2017-18 / Solar Connect/ R.No /00632</t>
  </si>
  <si>
    <t>2017-18 / Solar Connect/ R.No /00633</t>
  </si>
  <si>
    <t>2017-18 / Solar Connect/ R.No /00634</t>
  </si>
  <si>
    <t>2017-18 / Solar Connect/ R.No /00635</t>
  </si>
  <si>
    <t>2017-18 / Solar Connect/ R.No /00636</t>
  </si>
  <si>
    <t>2017-18 / Solar Connect/ R.No /00637</t>
  </si>
  <si>
    <t>2017-18 / Solar Connect/ R.No /00638</t>
  </si>
  <si>
    <t>2017-18 / Solar Connect/ R.No /00639</t>
  </si>
  <si>
    <t>2017-18 / Solar Connect/ R.No /00640</t>
  </si>
  <si>
    <t>2017-18 / Solar Connect/ R.No /00641</t>
  </si>
  <si>
    <t>2017-18 / Solar Connect/ R.No /00642</t>
  </si>
  <si>
    <t>2017-18 / Solar Connect/ R.No /00643</t>
  </si>
  <si>
    <t>2017-18 / Solar Connect/ R.No /00644</t>
  </si>
  <si>
    <t>2017-18 / Solar Connect/ R.No /00645</t>
  </si>
  <si>
    <t>2017-18 / Solar Connect/ R.No /00646</t>
  </si>
  <si>
    <t>2017-18 / Solar Connect/ R.No /00647</t>
  </si>
  <si>
    <t>2017-18 / Solar Connect/ R.No /00648</t>
  </si>
  <si>
    <t>2017-18 / Solar Connect/ R.No /00649</t>
  </si>
  <si>
    <t>2017-18 / Solar Connect/ R.No /00650</t>
  </si>
  <si>
    <t>2017-18 / Solar Connect/ R.No /00651</t>
  </si>
  <si>
    <t>2017-18 / Solar Connect/ R.No /00652</t>
  </si>
  <si>
    <t>2017-18 / Solar Connect/ R.No /00653</t>
  </si>
  <si>
    <t>2017-18 / Solar Connect/ R.No /00654</t>
  </si>
  <si>
    <t>2017-18 / Solar Connect/ R.No /00655</t>
  </si>
  <si>
    <t>2017-18 / Solar Connect/ R.No /00656</t>
  </si>
  <si>
    <t>2017-18 / Solar Connect/ R.No /00657</t>
  </si>
  <si>
    <t>2017-18 / Solar Connect/ R.No /00658</t>
  </si>
  <si>
    <t>2017-18 / Solar Connect/ R.No /00659</t>
  </si>
  <si>
    <t>2017-18 / Solar Connect/ R.No /00660</t>
  </si>
  <si>
    <t>2017-18 / Solar Connect/ R.No /00661</t>
  </si>
  <si>
    <t>2017-18 / Solar Connect/ R.No /00662</t>
  </si>
  <si>
    <t>2017-18 / Solar Connect/ R.No /00663</t>
  </si>
  <si>
    <t>2017-18 / Solar Connect/ R.No /00664</t>
  </si>
  <si>
    <t>2017-18 / Solar Connect/ R.No /00665</t>
  </si>
  <si>
    <t>2017-18 / Solar Connect/ R.No /00666</t>
  </si>
  <si>
    <t>2017-18 / Solar Connect/ R.No /00667</t>
  </si>
  <si>
    <t>2017-18 / Solar Connect/ R.No /00668</t>
  </si>
  <si>
    <t>2017-18 / Solar Connect/ R.No /00669</t>
  </si>
  <si>
    <t>2017-18 / Solar Connect/ R.No /00670</t>
  </si>
  <si>
    <t>2017-18 / Solar Connect/ R.No /00671</t>
  </si>
  <si>
    <t>2017-18 / Solar Connect/ R.No /00672</t>
  </si>
  <si>
    <t>2017-18 / Solar Connect/ R.No /00673</t>
  </si>
  <si>
    <t>2017-18 / Solar Connect/ R.No /00674</t>
  </si>
  <si>
    <t>2017-18 / Solar Connect/ R.No /00675</t>
  </si>
  <si>
    <t>2017-18 / Solar Connect/ R.No /00676</t>
  </si>
  <si>
    <t>2017-18 / Solar Connect/ R.No /00677</t>
  </si>
  <si>
    <t>2017-18 / Solar Connect/ R.No /00678</t>
  </si>
  <si>
    <t>2017-18 / Solar Connect/ R.No /00679</t>
  </si>
  <si>
    <t>2017-18 / Solar Connect/ R.No /00680</t>
  </si>
  <si>
    <t>2017-18 / Solar Connect/ R.No /00681</t>
  </si>
  <si>
    <t>2017-18 / Solar Connect/ R.No /00682</t>
  </si>
  <si>
    <t>2017-18 / Solar Connect/ R.No /00683</t>
  </si>
  <si>
    <t>2017-18 / Solar Connect/ R.No /00684</t>
  </si>
  <si>
    <t>2017-18 / Solar Connect/ R.No /00685</t>
  </si>
  <si>
    <t>2017-18 / Solar Connect/ R.No /00686</t>
  </si>
  <si>
    <t>2017-18 / Solar Connect/ R.No /00687</t>
  </si>
  <si>
    <t>2017-18 / Solar Connect/ R.No /00688</t>
  </si>
  <si>
    <t>2017-18 / Solar Connect/ R.No /00689</t>
  </si>
  <si>
    <t>2017-18 / Solar Connect/ R.No /00690</t>
  </si>
  <si>
    <t>2017-18 / Solar Connect/ R.No /00691</t>
  </si>
  <si>
    <t>2017-18 / Solar Connect/ R.No /00692</t>
  </si>
  <si>
    <t>2017-18 / Solar Connect/ R.No /00693</t>
  </si>
  <si>
    <t>2017-18 / Solar Connect/ R.No /00694</t>
  </si>
  <si>
    <t>2017-18 / Solar Connect/ R.No /00695</t>
  </si>
  <si>
    <t>2017-18 / Solar Connect/ R.No /00696</t>
  </si>
  <si>
    <t>2017-18 / Solar Connect/ R.No /00697</t>
  </si>
  <si>
    <t>2017-18 / Solar Connect/ R.No /00698</t>
  </si>
  <si>
    <t>2017-18 / Solar Connect/ R.No /00699</t>
  </si>
  <si>
    <t>2017-18 / Solar Connect/ R.No /00700</t>
  </si>
  <si>
    <t>2017-18 / Solar Connect/ R.No /00701</t>
  </si>
  <si>
    <t>2017-18 / Solar Connect/ R.No /00702</t>
  </si>
  <si>
    <t>2017-18 / Solar Connect/ R.No /00703</t>
  </si>
  <si>
    <t>2017-18 / Solar Connect/ R.No /00704</t>
  </si>
  <si>
    <t>2017-18 / Solar Connect/ R.No /00705</t>
  </si>
  <si>
    <t>2017-18 / Solar Connect/ R.No /00706</t>
  </si>
  <si>
    <t>2017-18 / Solar Connect/ R.No /00707</t>
  </si>
  <si>
    <t>2017-18 / Solar Connect/ R.No /00708</t>
  </si>
  <si>
    <t>2017-18 / Solar Connect/ R.No /00709</t>
  </si>
  <si>
    <t>2017-18 / Solar Connect/ R.No /00710</t>
  </si>
  <si>
    <t>2017-18 / Solar Connect/ R.No /00711</t>
  </si>
  <si>
    <t>2017-18 / Solar Connect/ R.No /00712</t>
  </si>
  <si>
    <t>2017-18 / Solar Connect/ R.No /00713</t>
  </si>
  <si>
    <t>2017-18 / Solar Connect/ R.No /00714</t>
  </si>
  <si>
    <t>2017-18 / Solar Connect/ R.No /00715</t>
  </si>
  <si>
    <t>2017-18 / Solar Connect/ R.No /00716</t>
  </si>
  <si>
    <t>2017-18 / Solar Connect/ R.No /00717</t>
  </si>
  <si>
    <t>2017-18 / Solar Connect/ R.No /00718</t>
  </si>
  <si>
    <t>2017-18 / Solar Connect/ R.No /00719</t>
  </si>
  <si>
    <t>2017-18 / Solar Connect/ R.No /00720</t>
  </si>
  <si>
    <t>2017-18 / Solar Connect/ R.No /00721</t>
  </si>
  <si>
    <t>2017-18 / Solar Connect/ R.No /00722</t>
  </si>
  <si>
    <t>2017-18 / Solar Connect/ R.No /00723</t>
  </si>
  <si>
    <t>2017-18 / Solar Connect/ R.No /00724</t>
  </si>
  <si>
    <t>2017-18 / Solar Connect/ R.No /00725</t>
  </si>
  <si>
    <t>2017-18 / Solar Connect/ R.No /00726</t>
  </si>
  <si>
    <t>2017-18 / Solar Connect/ R.No /00727</t>
  </si>
  <si>
    <t>2017-18 / Solar Connect/ R.No /00728</t>
  </si>
  <si>
    <t>2017-18 / Solar Connect/ R.No /00729</t>
  </si>
  <si>
    <t>2017-18 / Solar Connect/ R.No /00730</t>
  </si>
  <si>
    <t>2017-18 / Solar Connect/ R.No /00731</t>
  </si>
  <si>
    <t>2017-18 / Solar Connect/ R.No /00732</t>
  </si>
  <si>
    <t>2017-18 / Solar Connect/ R.No /00733</t>
  </si>
  <si>
    <t>2017-18 / Solar Connect/ R.No /00734</t>
  </si>
  <si>
    <t>2017-18 / Solar Connect/ R.No /00735</t>
  </si>
  <si>
    <t>2017-18 / Solar Connect/ R.No /00736</t>
  </si>
  <si>
    <t>2017-18 / Solar Connect/ R.No /00737</t>
  </si>
  <si>
    <t>2017-18 / Solar Connect/ R.No /00738</t>
  </si>
  <si>
    <t>2017-18 / Solar Connect/ R.No /00739</t>
  </si>
  <si>
    <t>2017-18 / Solar Connect/ R.No /00740</t>
  </si>
  <si>
    <t>2017-18 / Solar Connect/ R.No /00741</t>
  </si>
  <si>
    <t>2017-18 / Solar Connect/ R.No /00742</t>
  </si>
  <si>
    <t>2017-18 / Solar Connect/ R.No /00743</t>
  </si>
  <si>
    <t>2017-18 / Solar Connect/ R.No /00744</t>
  </si>
  <si>
    <t>2017-18 / Solar Connect/ R.No /00745</t>
  </si>
  <si>
    <t>2017-18 / Solar Connect/ R.No /00746</t>
  </si>
  <si>
    <t>2017-18 / Solar Connect/ R.No /00747</t>
  </si>
  <si>
    <t>2017-18 / Solar Connect/ R.No /00748</t>
  </si>
  <si>
    <t>2017-18 / Solar Connect/ R.No /00749</t>
  </si>
  <si>
    <t>2017-18 / Solar Connect/ R.No /00750</t>
  </si>
  <si>
    <t>2017-18 / Solar Connect/ R.No /00751</t>
  </si>
  <si>
    <t>2017-18 / Solar Connect/ R.No /00752</t>
  </si>
  <si>
    <t>2017-18 / Solar Connect/ R.No /00753</t>
  </si>
  <si>
    <t>2017-18 / Solar Connect/ R.No /00754</t>
  </si>
  <si>
    <t>2017-18 / Solar Connect/ R.No /00755</t>
  </si>
  <si>
    <t>2017-18 / Solar Connect/ R.No /00756</t>
  </si>
  <si>
    <t>2017-18 / Solar Connect/ R.No /00757</t>
  </si>
  <si>
    <t>2017-18 / Solar Connect/ R.No /00758</t>
  </si>
  <si>
    <t>2017-18 / Solar Connect/ R.No /00759</t>
  </si>
  <si>
    <t>2017-18 / Solar Connect/ R.No /00760</t>
  </si>
  <si>
    <t>2017-18 / Solar Connect/ R.No /00761</t>
  </si>
  <si>
    <t>2017-18 / Solar Connect/ R.No /00762</t>
  </si>
  <si>
    <t>2017-18 / Solar Connect/ R.No /00763</t>
  </si>
  <si>
    <t>2017-18 / Solar Connect/ R.No /00764</t>
  </si>
  <si>
    <t>2017-18 / Solar Connect/ R.No /00765</t>
  </si>
  <si>
    <t>2017-18 / Solar Connect/ R.No /00766</t>
  </si>
  <si>
    <t>2017-18 / Solar Connect/ R.No /00767</t>
  </si>
  <si>
    <t>2017-18 / Solar Connect/ R.No /00768</t>
  </si>
  <si>
    <t>2017-18 / Solar Connect/ R.No /00769</t>
  </si>
  <si>
    <t>2017-18 / Solar Connect/ R.No /00770</t>
  </si>
  <si>
    <t>2017-18 / Solar Connect/ R.No /00771</t>
  </si>
  <si>
    <t>2017-18 / Solar Connect/ R.No /00772</t>
  </si>
  <si>
    <t>2017-18 / Solar Connect/ R.No /00773</t>
  </si>
  <si>
    <t>2017-18 / Solar Connect/ R.No /00774</t>
  </si>
  <si>
    <t>2017-18 / Solar Connect/ R.No /00775</t>
  </si>
  <si>
    <t>2017-18 / Solar Connect/ R.No /00776</t>
  </si>
  <si>
    <t>2017-18 / Solar Connect/ R.No /00777</t>
  </si>
  <si>
    <t>2017-18 / Solar Connect/ R.No /00778</t>
  </si>
  <si>
    <t>2017-18 / Solar Connect/ R.No /00779</t>
  </si>
  <si>
    <t>2017-18 / Solar Connect/ R.No /00780</t>
  </si>
  <si>
    <t>2017-18 / Solar Connect/ R.No /00781</t>
  </si>
  <si>
    <t>2017-18 / Solar Connect/ R.No /00782</t>
  </si>
  <si>
    <t>2017-18 / Solar Connect/ R.No /00783</t>
  </si>
  <si>
    <t>2017-18 / Solar Connect/ R.No /00784</t>
  </si>
  <si>
    <t>2017-18 / Solar Connect/ R.No /00785</t>
  </si>
  <si>
    <t>2017-18 / Solar Connect/ R.No /00786</t>
  </si>
  <si>
    <t>2017-18 / Solar Connect/ R.No /00787</t>
  </si>
  <si>
    <t>2017-18 / Solar Connect/ R.No /00788</t>
  </si>
  <si>
    <t>2017-18 / Solar Connect/ R.No /00789</t>
  </si>
  <si>
    <t>2017-18 / Solar Connect/ R.No /00790</t>
  </si>
  <si>
    <t>2017-18 / Solar Connect/ R.No /00791</t>
  </si>
  <si>
    <t>2017-18 / Solar Connect/ R.No /00792</t>
  </si>
  <si>
    <t>2017-18 / Solar Connect/ R.No /00793</t>
  </si>
  <si>
    <t>2017-18 / Solar Connect/ R.No /00794</t>
  </si>
  <si>
    <t>2017-18 / Solar Connect/ R.No /00795</t>
  </si>
  <si>
    <t>2017-18 / Solar Connect/ R.No /00796</t>
  </si>
  <si>
    <t>2017-18 / Solar Connect/ R.No /00797</t>
  </si>
  <si>
    <t>2017-18 / Solar Connect/ R.No /00798</t>
  </si>
  <si>
    <t>2017-18 / Solar Connect/ R.No /00799</t>
  </si>
  <si>
    <t>2017-18 / Solar Connect/ R.No /00800</t>
  </si>
  <si>
    <t>2017-18 / Solar Connect/ R.No /00801</t>
  </si>
  <si>
    <t>2017-18 / Solar Connect/ R.No /00802</t>
  </si>
  <si>
    <t>2017-18 / Solar Connect/ R.No /00803</t>
  </si>
  <si>
    <t>2017-18 / Solar Connect/ R.No /00804</t>
  </si>
  <si>
    <t>2017-18 / Solar Connect/ R.No /00805</t>
  </si>
  <si>
    <t>2017-18 / Solar Connect/ R.No /00806</t>
  </si>
  <si>
    <t>2017-18 / Solar Connect/ R.No /00807</t>
  </si>
  <si>
    <t>2017-18 / Solar Connect/ R.No /00808</t>
  </si>
  <si>
    <t>2017-18 / Solar Connect/ R.No /00809</t>
  </si>
  <si>
    <t>2017-18 / Solar Connect/ R.No /00810</t>
  </si>
  <si>
    <t>2017-18 / Solar Connect/ R.No /00811</t>
  </si>
  <si>
    <t>2017-18 / Solar Connect/ R.No /00812</t>
  </si>
  <si>
    <t>2017-18 / Solar Connect/ R.No /00813</t>
  </si>
  <si>
    <t>2017-18 / Solar Connect/ R.No /00814</t>
  </si>
  <si>
    <t>2017-18 / Solar Connect/ R.No /00815</t>
  </si>
  <si>
    <t>2017-18 / Solar Connect/ R.No /00816</t>
  </si>
  <si>
    <t>2017-18 / Solar Connect/ R.No /00817</t>
  </si>
  <si>
    <t>2017-18 / Solar Connect/ R.No /00818</t>
  </si>
  <si>
    <t>2017-18 / Solar Connect/ R.No /00819</t>
  </si>
  <si>
    <t>2017-18 / Solar Connect/ R.No /00820</t>
  </si>
  <si>
    <t>2017-18 / Solar Connect/ R.No /00821</t>
  </si>
  <si>
    <t>2017-18 / Solar Connect/ R.No /00822</t>
  </si>
  <si>
    <t>2017-18 / Solar Connect/ R.No /00823</t>
  </si>
  <si>
    <t>2017-18 / Solar Connect/ R.No /00824</t>
  </si>
  <si>
    <t>2017-18 / Solar Connect/ R.No /00825</t>
  </si>
  <si>
    <t>2017-18 / Solar Connect/ R.No /00826</t>
  </si>
  <si>
    <t>2017-18 / Solar Connect/ R.No /00827</t>
  </si>
  <si>
    <t>2017-18 / Solar Connect/ R.No /00828</t>
  </si>
  <si>
    <t>2017-18 / Solar Connect/ R.No /00829</t>
  </si>
  <si>
    <t>2017-18 / Solar Connect/ R.No /00830</t>
  </si>
  <si>
    <t>2017-18 / Solar Connect/ R.No /00831</t>
  </si>
  <si>
    <t>2017-18 / Solar Connect/ R.No /00832</t>
  </si>
  <si>
    <t>2017-18 / Solar Connect/ R.No /00833</t>
  </si>
  <si>
    <t>2017-18 / Solar Connect/ R.No /00834</t>
  </si>
  <si>
    <t>2017-18 / Solar Connect/ R.No /00835</t>
  </si>
  <si>
    <t>2017-18 / Solar Connect/ R.No /00836</t>
  </si>
  <si>
    <t>2017-18 / Solar Connect/ R.No /00837</t>
  </si>
  <si>
    <t>2017-18 / Solar Connect/ R.No /00838</t>
  </si>
  <si>
    <t>2017-18 / Solar Connect/ R.No /00839</t>
  </si>
  <si>
    <t>2017-18 / Solar Connect/ R.No /00840</t>
  </si>
  <si>
    <t>2017-18 / Solar Connect/ R.No /00841</t>
  </si>
  <si>
    <t>2017-18 / Solar Connect/ R.No /00842</t>
  </si>
  <si>
    <t>2017-18 / Solar Connect/ R.No /00843</t>
  </si>
  <si>
    <t>2017-18 / Solar Connect/ R.No /00844</t>
  </si>
  <si>
    <t>2017-18 / Solar Connect/ R.No /00845</t>
  </si>
  <si>
    <t>2017-18 / Solar Connect/ R.No /00846</t>
  </si>
  <si>
    <t>2017-18 / Solar Connect/ R.No /00847</t>
  </si>
  <si>
    <t>2017-18 / Solar Connect/ R.No /00848</t>
  </si>
  <si>
    <t>2017-18 / Solar Connect/ R.No /00849</t>
  </si>
  <si>
    <t>2017-18 / Solar Connect/ R.No /00850</t>
  </si>
  <si>
    <t>2017-18 / Solar Connect/ R.No /00851</t>
  </si>
  <si>
    <t>2017-18 / Solar Connect/ R.No /00852</t>
  </si>
  <si>
    <t>2017-18 / Solar Connect/ R.No /00853</t>
  </si>
  <si>
    <t>2017-18 / Solar Connect/ R.No /00854</t>
  </si>
  <si>
    <t>2017-18 / Solar Connect/ R.No /00855</t>
  </si>
  <si>
    <t>2017-18 / Solar Connect/ R.No /00856</t>
  </si>
  <si>
    <t>2017-18 / Solar Connect/ R.No /00857</t>
  </si>
  <si>
    <t>2017-18 / Solar Connect/ R.No /00858</t>
  </si>
  <si>
    <t>2017-18 / Solar Connect/ R.No /00859</t>
  </si>
  <si>
    <t>2017-18 / Solar Connect/ R.No /00860</t>
  </si>
  <si>
    <t>2017-18 / Solar Connect/ R.No /00861</t>
  </si>
  <si>
    <t>2017-18 / Solar Connect/ R.No /00862</t>
  </si>
  <si>
    <t>2017-18 / Solar Connect/ R.No /00863</t>
  </si>
  <si>
    <t>2017-18 / Solar Connect/ R.No /00864</t>
  </si>
  <si>
    <t>2017-18 / Solar Connect/ R.No /00865</t>
  </si>
  <si>
    <t>2017-18 / Solar Connect/ R.No /00866</t>
  </si>
  <si>
    <t>2017-18 / Solar Connect/ R.No /00867</t>
  </si>
  <si>
    <t>2017-18 / Solar Connect/ R.No /00868</t>
  </si>
  <si>
    <t>2017-18 / Solar Connect/ R.No /00869</t>
  </si>
  <si>
    <t>2017-18 / Solar Connect/ R.No /00870</t>
  </si>
  <si>
    <t>2017-18 / Solar Connect/ R.No /00871</t>
  </si>
  <si>
    <t>2017-18 / Solar Connect/ R.No /00872</t>
  </si>
  <si>
    <t>2017-18 / Solar Connect/ R.No /00873</t>
  </si>
  <si>
    <t>2017-18 / Solar Connect/ R.No /00874</t>
  </si>
  <si>
    <t>2017-18 / Solar Connect/ R.No /00875</t>
  </si>
  <si>
    <t>2017-18 / Solar Connect/ R.No /00876</t>
  </si>
  <si>
    <t>2017-18 / Solar Connect/ R.No /00877</t>
  </si>
  <si>
    <t>2017-18 / Solar Connect/ R.No /00878</t>
  </si>
  <si>
    <t>2017-18 / Solar Connect/ R.No /00879</t>
  </si>
  <si>
    <t>2017-18 / Solar Connect/ R.No /00880</t>
  </si>
  <si>
    <t>2017-18 / Solar Connect/ R.No /00881</t>
  </si>
  <si>
    <t>2017-18 / Solar Connect/ R.No /00882</t>
  </si>
  <si>
    <t>2017-18 / Solar Connect/ R.No /00883</t>
  </si>
  <si>
    <t>2017-18 / Solar Connect/ R.No /00884</t>
  </si>
  <si>
    <t>2017-18 / Solar Connect/ R.No /00885</t>
  </si>
  <si>
    <t>2017-18 / Solar Connect/ R.No /00886</t>
  </si>
  <si>
    <t>2017-18 / Solar Connect/ R.No /00887</t>
  </si>
  <si>
    <t>2017-18 / Solar Connect/ R.No /00888</t>
  </si>
  <si>
    <t>2017-18 / Solar Connect/ R.No /00889</t>
  </si>
  <si>
    <t>2017-18 / Solar Connect/ R.No /00890</t>
  </si>
  <si>
    <t>2017-18 / Solar Connect/ R.No /00891</t>
  </si>
  <si>
    <t>2017-18 / Solar Connect/ R.No /00892</t>
  </si>
  <si>
    <t>2017-18 / Solar Connect/ R.No /00893</t>
  </si>
  <si>
    <t>2017-18 / Solar Connect/ R.No /00894</t>
  </si>
  <si>
    <t>2017-18 / Solar Connect/ R.No /00895</t>
  </si>
  <si>
    <t>2017-18 / Solar Connect/ R.No /00896</t>
  </si>
  <si>
    <t>2017-18 / Solar Connect/ R.No /00897</t>
  </si>
  <si>
    <t>2017-18 / Solar Connect/ R.No /00898</t>
  </si>
  <si>
    <t>2017-18 / Solar Connect/ R.No /00899</t>
  </si>
  <si>
    <t>2017-18 / Solar Connect/ R.No /00900</t>
  </si>
  <si>
    <t>2017-18 / Solar Connect/ R.No /00901</t>
  </si>
  <si>
    <t>2017-18 / Solar Connect/ R.No /00902</t>
  </si>
  <si>
    <t>2017-18 / Solar Connect/ R.No /00903</t>
  </si>
  <si>
    <t>2017-18 / Solar Connect/ R.No /00904</t>
  </si>
  <si>
    <t>2017-18 / Solar Connect/ R.No /00905</t>
  </si>
  <si>
    <t>2017-18 / Solar Connect/ R.No /00906</t>
  </si>
  <si>
    <t>2017-18 / Solar Connect/ R.No /00907</t>
  </si>
  <si>
    <t>2017-18 / Solar Connect/ R.No /00908</t>
  </si>
  <si>
    <t>2017-18 / Solar Connect/ R.No /00909</t>
  </si>
  <si>
    <t>2017-18 / Solar Connect/ R.No /00910</t>
  </si>
  <si>
    <t>2017-18 / Solar Connect/ R.No /00911</t>
  </si>
  <si>
    <t>2017-18 / Solar Connect/ R.No /00912</t>
  </si>
  <si>
    <t>2017-18 / Solar Connect/ R.No /00913</t>
  </si>
  <si>
    <t>2017-18 / Solar Connect/ R.No /00914</t>
  </si>
  <si>
    <t>2017-18 / Solar Connect/ R.No /00915</t>
  </si>
  <si>
    <t>2017-18 / Solar Connect/ R.No /00916</t>
  </si>
  <si>
    <t>2017-18 / Solar Connect/ R.No /00917</t>
  </si>
  <si>
    <t>2017-18 / Solar Connect/ R.No /00918</t>
  </si>
  <si>
    <t>2017-18 / Solar Connect/ R.No /00919</t>
  </si>
  <si>
    <t>2017-18 / Solar Connect/ R.No /00920</t>
  </si>
  <si>
    <t>2017-18 / Solar Connect/ R.No /00921</t>
  </si>
  <si>
    <t>2017-18 / Solar Connect/ R.No /00922</t>
  </si>
  <si>
    <t>2017-18 / Solar Connect/ R.No /00923</t>
  </si>
  <si>
    <t>2017-18 / Solar Connect/ R.No /00924</t>
  </si>
  <si>
    <t>2017-18 / Solar Connect/ R.No /00925</t>
  </si>
  <si>
    <t>2017-18 / Solar Connect/ R.No /00926</t>
  </si>
  <si>
    <t>2017-18 / Solar Connect/ R.No /00927</t>
  </si>
  <si>
    <t>2017-18 / Solar Connect/ R.No /00928</t>
  </si>
  <si>
    <t>2017-18 / Solar Connect/ R.No /00929</t>
  </si>
  <si>
    <t>2017-18 / Solar Connect/ R.No /00930</t>
  </si>
  <si>
    <t>2017-18 / Solar Connect/ R.No /00931</t>
  </si>
  <si>
    <t>2017-18 / Solar Connect/ R.No /00932</t>
  </si>
  <si>
    <t>2017-18 / Solar Connect/ R.No /00933</t>
  </si>
  <si>
    <t>2017-18 / Solar Connect/ R.No /00934</t>
  </si>
  <si>
    <t>2017-18 / Solar Connect/ R.No /00935</t>
  </si>
  <si>
    <t>2017-18 / Solar Connect/ R.No /00936</t>
  </si>
  <si>
    <t>2017-18 / Solar Connect/ R.No /00937</t>
  </si>
  <si>
    <t>2017-18 / Solar Connect/ R.No /00938</t>
  </si>
  <si>
    <t>2017-18 / Solar Connect/ R.No /00939</t>
  </si>
  <si>
    <t>2017-18 / Solar Connect/ R.No /00940</t>
  </si>
  <si>
    <t>2017-18 / Solar Connect/ R.No /00941</t>
  </si>
  <si>
    <t>2017-18 / Solar Connect/ R.No /00942</t>
  </si>
  <si>
    <t>2017-18 / Solar Connect/ R.No /00943</t>
  </si>
  <si>
    <t>2017-18 / Solar Connect/ R.No /00944</t>
  </si>
  <si>
    <t>2017-18 / Solar Connect/ R.No /00945</t>
  </si>
  <si>
    <t>2017-18 / Solar Connect/ R.No /00946</t>
  </si>
  <si>
    <t>2017-18 / Solar Connect/ R.No /00947</t>
  </si>
  <si>
    <t>2017-18 / Solar Connect/ R.No /00948</t>
  </si>
  <si>
    <t>2017-18 / Solar Connect/ R.No /00949</t>
  </si>
  <si>
    <t>2017-18 / Solar Connect/ R.No /00950</t>
  </si>
  <si>
    <t>2017-18 / Solar Connect/ R.No /00951</t>
  </si>
  <si>
    <t>2017-18 / Solar Connect/ R.No /00952</t>
  </si>
  <si>
    <t>2017-18 / Solar Connect/ R.No /00953</t>
  </si>
  <si>
    <t>2017-18 / Solar Connect/ R.No /00954</t>
  </si>
  <si>
    <t>2017-18 / Solar Connect/ R.No /00955</t>
  </si>
  <si>
    <t>2017-18 / Solar Connect/ R.No /00956</t>
  </si>
  <si>
    <t>2017-18 / Solar Connect/ R.No /00957</t>
  </si>
  <si>
    <t>2017-18 / Solar Connect/ R.No /00958</t>
  </si>
  <si>
    <t>2017-18 / Solar Connect/ R.No /00959</t>
  </si>
  <si>
    <t>2017-18 / Solar Connect/ R.No /00960</t>
  </si>
  <si>
    <t>2017-18 / Solar Connect/ R.No /00961</t>
  </si>
  <si>
    <t>2017-18 / Solar Connect/ R.No /00962</t>
  </si>
  <si>
    <t>2017-18 / Solar Connect/ R.No /00963</t>
  </si>
  <si>
    <t>2017-18 / Solar Connect/ R.No /00964</t>
  </si>
  <si>
    <t>2017-18 / Solar Connect/ R.No /00965</t>
  </si>
  <si>
    <t>2017-18 / Solar Connect/ R.No /00966</t>
  </si>
  <si>
    <t>2017-18 / Solar Connect/ R.No /00967</t>
  </si>
  <si>
    <t>2017-18 / Solar Connect/ R.No /00968</t>
  </si>
  <si>
    <t>2017-18 / Solar Connect/ R.No /00969</t>
  </si>
  <si>
    <t>2017-18 / Solar Connect/ R.No /00970</t>
  </si>
  <si>
    <t>2017-18 / Solar Connect/ R.No /00971</t>
  </si>
  <si>
    <t>2017-18 / Solar Connect/ R.No /00972</t>
  </si>
  <si>
    <t>2017-18 / Solar Connect/ R.No /00973</t>
  </si>
  <si>
    <t>2017-18 / Solar Connect/ R.No /00974</t>
  </si>
  <si>
    <t>2017-18 / Solar Connect/ R.No /00975</t>
  </si>
  <si>
    <t>2017-18 / Solar Connect/ R.No /00976</t>
  </si>
  <si>
    <t>2017-18 / Solar Connect/ R.No /00977</t>
  </si>
  <si>
    <t>2017-18 / Solar Connect/ R.No /00978</t>
  </si>
  <si>
    <t>2017-18 / Solar Connect/ R.No /00979</t>
  </si>
  <si>
    <t>2017-18 / Solar Connect/ R.No /00980</t>
  </si>
  <si>
    <t>2017-18 / Solar Connect/ R.No /00981</t>
  </si>
  <si>
    <t>2017-18 / Solar Connect/ R.No /00982</t>
  </si>
  <si>
    <t>2017-18 / Solar Connect/ R.No /00983</t>
  </si>
  <si>
    <t>2017-18 / Solar Connect/ R.No /00984</t>
  </si>
  <si>
    <t>2017-18 / Solar Connect/ R.No /00985</t>
  </si>
  <si>
    <t>2017-18 / Solar Connect/ R.No /00986</t>
  </si>
  <si>
    <t>2017-18 / Solar Connect/ R.No /00987</t>
  </si>
  <si>
    <t>2017-18 / Solar Connect/ R.No /00988</t>
  </si>
  <si>
    <t>2017-18 / Solar Connect/ R.No /00989</t>
  </si>
  <si>
    <t>2017-18 / Solar Connect/ R.No /00990</t>
  </si>
  <si>
    <t>2017-18 / Solar Connect/ R.No /00991</t>
  </si>
  <si>
    <t>2017-18 / Solar Connect/ R.No /00992</t>
  </si>
  <si>
    <t>2017-18 / Solar Connect/ R.No /00993</t>
  </si>
  <si>
    <t>2017-18 / Solar Connect/ R.No /00994</t>
  </si>
  <si>
    <t>2017-18 / Solar Connect/ R.No /00995</t>
  </si>
  <si>
    <t>2017-18 / Solar Connect/ R.No /00996</t>
  </si>
  <si>
    <t>2017-18 / Solar Connect/ R.No /00997</t>
  </si>
  <si>
    <t>2017-18 / Solar Connect/ R.No /00998</t>
  </si>
  <si>
    <t>2017-18 / Solar Connect/ R.No /00999</t>
  </si>
  <si>
    <t>2017-18 / Solar Connect/ R.No /01000</t>
  </si>
  <si>
    <t>2017-18 / Solar Connect/ R.No /01001</t>
  </si>
  <si>
    <t>2017-18 / Solar Connect/ R.No /01002</t>
  </si>
  <si>
    <t>2017-18 / Solar Connect/ R.No /01003</t>
  </si>
  <si>
    <t>2017-18 / Solar Connect/ R.No /01004</t>
  </si>
  <si>
    <t>2017-18 / Solar Connect/ R.No /01005</t>
  </si>
  <si>
    <t>2017-18 / Solar Connect/ R.No /01006</t>
  </si>
  <si>
    <t>2017-18 / Solar Connect/ R.No /01007</t>
  </si>
  <si>
    <t>2017-18 / Solar Connect/ R.No /01008</t>
  </si>
  <si>
    <t>2017-18 / Solar Connect/ R.No /01009</t>
  </si>
  <si>
    <t>2017-18 / Solar Connect/ R.No /01010</t>
  </si>
  <si>
    <t>2017-18 / Solar Connect/ R.No /01011</t>
  </si>
  <si>
    <t>2017-18 / Solar Connect/ R.No /01012</t>
  </si>
  <si>
    <t>2017-18 / Solar Connect/ R.No /01013</t>
  </si>
  <si>
    <t>2017-18 / Solar Connect/ R.No /01014</t>
  </si>
  <si>
    <t>2017-18 / Solar Connect/ R.No /01015</t>
  </si>
  <si>
    <t>2017-18 / Solar Connect/ R.No /01016</t>
  </si>
  <si>
    <t>2017-18 / Solar Connect/ R.No /01017</t>
  </si>
  <si>
    <t>2017-18 / Solar Connect/ R.No /01018</t>
  </si>
  <si>
    <t>2017-18 / Solar Connect/ R.No /01019</t>
  </si>
  <si>
    <t>2017-18 / Solar Connect/ R.No /01020</t>
  </si>
  <si>
    <t>2017-18 / Solar Connect/ R.No /01021</t>
  </si>
  <si>
    <t>2017-18 / Solar Connect/ R.No /01022</t>
  </si>
  <si>
    <t>2017-18 / Solar Connect/ R.No /01023</t>
  </si>
  <si>
    <t>2017-18 / Solar Connect/ R.No /01024</t>
  </si>
  <si>
    <t>2017-18 / Solar Connect/ R.No /01025</t>
  </si>
  <si>
    <t>2017-18 / Solar Connect/ R.No /01026</t>
  </si>
  <si>
    <t>2017-18 / Solar Connect/ R.No /01027</t>
  </si>
  <si>
    <t>2017-18 / Solar Connect/ R.No /01028</t>
  </si>
  <si>
    <t>2017-18 / Solar Connect/ R.No /01029</t>
  </si>
  <si>
    <t>2017-18 / Solar Connect/ R.No /01030</t>
  </si>
  <si>
    <t>2017-18 / Solar Connect/ R.No /01031</t>
  </si>
  <si>
    <t>2017-18 / Solar Connect/ R.No /01032</t>
  </si>
  <si>
    <t>2017-18 / Solar Connect/ R.No /01033</t>
  </si>
  <si>
    <t>2017-18 / Solar Connect/ R.No /01034</t>
  </si>
  <si>
    <t>2017-18 / Solar Connect/ R.No /01035</t>
  </si>
  <si>
    <t>2017-18 / Solar Connect/ R.No /01036</t>
  </si>
  <si>
    <t>2017-18 / Solar Connect/ R.No /01037</t>
  </si>
  <si>
    <t>2017-18 / Solar Connect/ R.No /01038</t>
  </si>
  <si>
    <t>2017-18 / Solar Connect/ R.No /01039</t>
  </si>
  <si>
    <t>2017-18 / Solar Connect/ R.No /01040</t>
  </si>
  <si>
    <t>2017-18 / Solar Connect/ R.No /01041</t>
  </si>
  <si>
    <t>2017-18 / Solar Connect/ R.No /01042</t>
  </si>
  <si>
    <t>2017-18 / Solar Connect/ R.No /01043</t>
  </si>
  <si>
    <t>2017-18 / Solar Connect/ R.No /01044</t>
  </si>
  <si>
    <t>2017-18 / Solar Connect/ R.No /01045</t>
  </si>
  <si>
    <t>2017-18 / Solar Connect/ R.No /01046</t>
  </si>
  <si>
    <t>2017-18 / Solar Connect/ R.No /01047</t>
  </si>
  <si>
    <t>2017-18 / Solar Connect/ R.No /01048</t>
  </si>
  <si>
    <t>2017-18 / Solar Connect/ R.No /01049</t>
  </si>
  <si>
    <t>2017-18 / Solar Connect/ R.No /01050</t>
  </si>
  <si>
    <t>2017-18 / Solar Connect/ R.No /01051</t>
  </si>
  <si>
    <t>2017-18 / Solar Connect/ R.No /01052</t>
  </si>
  <si>
    <t>2017-18 / Solar Connect/ R.No /01053</t>
  </si>
  <si>
    <t>2017-18 / Solar Connect/ R.No /01054</t>
  </si>
  <si>
    <t>2017-18 / Solar Connect/ R.No /01055</t>
  </si>
  <si>
    <t>2017-18 / Solar Connect/ R.No /01056</t>
  </si>
  <si>
    <t>2017-18 / Solar Connect/ R.No /01057</t>
  </si>
  <si>
    <t>2017-18 / Solar Connect/ R.No /01058</t>
  </si>
  <si>
    <t>2017-18 / Solar Connect/ R.No /01059</t>
  </si>
  <si>
    <t>2017-18 / Solar Connect/ R.No /01060</t>
  </si>
  <si>
    <t>2017-18 / Solar Connect/ R.No /01061</t>
  </si>
  <si>
    <t>2017-18 / Solar Connect/ R.No /01062</t>
  </si>
  <si>
    <t>2017-18 / Solar Connect/ R.No /01063</t>
  </si>
  <si>
    <t>2017-18 / Solar Connect/ R.No /01064</t>
  </si>
  <si>
    <t>2017-18 / Solar Connect/ R.No /01065</t>
  </si>
  <si>
    <t>2017-18 / Solar Connect/ R.No /01066</t>
  </si>
  <si>
    <t>2017-18 / Solar Connect/ R.No /01067</t>
  </si>
  <si>
    <t>2017-18 / Solar Connect/ R.No /01068</t>
  </si>
  <si>
    <t>2017-18 / Solar Connect/ R.No /01069</t>
  </si>
  <si>
    <t>2017-18 / Solar Connect/ R.No /01070</t>
  </si>
  <si>
    <t>2017-18 / Solar Connect/ R.No /01071</t>
  </si>
  <si>
    <t>2017-18 / Solar Connect/ R.No /01072</t>
  </si>
  <si>
    <t>2017-18 / Solar Connect/ R.No /01073</t>
  </si>
  <si>
    <t>2017-18 / Solar Connect/ R.No /01074</t>
  </si>
  <si>
    <t>2017-18 / Solar Connect/ R.No /01075</t>
  </si>
  <si>
    <t>2017-18 / Solar Connect/ R.No /01076</t>
  </si>
  <si>
    <t>2017-18 / Solar Connect/ R.No /01077</t>
  </si>
  <si>
    <t>2017-18 / Solar Connect/ R.No /01078</t>
  </si>
  <si>
    <t>2017-18 / Solar Connect/ R.No /01079</t>
  </si>
  <si>
    <t>2017-18 / Solar Connect/ R.No /01080</t>
  </si>
  <si>
    <t>2017-18 / Solar Connect/ R.No /01081</t>
  </si>
  <si>
    <t>2017-18 / Solar Connect/ R.No /01082</t>
  </si>
  <si>
    <t>2017-18 / Solar Connect/ R.No /01083</t>
  </si>
  <si>
    <t>2017-18 / Solar Connect/ R.No /01084</t>
  </si>
  <si>
    <t>2017-18 / Solar Connect/ R.No /01085</t>
  </si>
  <si>
    <t>2017-18 / Solar Connect/ R.No /01086</t>
  </si>
  <si>
    <t>2017-18 / Solar Connect/ R.No /01087</t>
  </si>
  <si>
    <t>2017-18 / Solar Connect/ R.No /01088</t>
  </si>
  <si>
    <t>2017-18 / Solar Connect/ R.No /01089</t>
  </si>
  <si>
    <t>2017-18 / Solar Connect/ R.No /01090</t>
  </si>
  <si>
    <t>2017-18 / Solar Connect/ R.No /01091</t>
  </si>
  <si>
    <t>2017-18 / Solar Connect/ R.No /01092</t>
  </si>
  <si>
    <t>2017-18 / Solar Connect/ R.No /01093</t>
  </si>
  <si>
    <t>2017-18 / Solar Connect/ R.No /01094</t>
  </si>
  <si>
    <t>2017-18 / Solar Connect/ R.No /01095</t>
  </si>
  <si>
    <t>2017-18 / Solar Connect/ R.No /01096</t>
  </si>
  <si>
    <t>2017-18 / Solar Connect/ R.No /01097</t>
  </si>
  <si>
    <t>2017-18 / Solar Connect/ R.No /01098</t>
  </si>
  <si>
    <t>2017-18 / Solar Connect/ R.No /01099</t>
  </si>
  <si>
    <t>2017-18 / Solar Connect/ R.No /01100</t>
  </si>
  <si>
    <t>2017-18 / Solar Connect/ R.No /01101</t>
  </si>
  <si>
    <t>2017-18 / Solar Connect/ R.No /01102</t>
  </si>
  <si>
    <t>2017-18 / Solar Connect/ R.No /01103</t>
  </si>
  <si>
    <t>2017-18 / Solar Connect/ R.No /01104</t>
  </si>
  <si>
    <t>2017-18 / Solar Connect/ R.No /01105</t>
  </si>
  <si>
    <t>2017-18 / Solar Connect/ R.No /01106</t>
  </si>
  <si>
    <t>2017-18 / Solar Connect/ R.No /01107</t>
  </si>
  <si>
    <t>2017-18 / Solar Connect/ R.No /01108</t>
  </si>
  <si>
    <t>2017-18 / Solar Connect/ R.No /01109</t>
  </si>
  <si>
    <t>2017-18 / Solar Connect/ R.No /01110</t>
  </si>
  <si>
    <t>2017-18 / Solar Connect/ R.No /01111</t>
  </si>
  <si>
    <t>2017-18 / Solar Connect/ R.No /01112</t>
  </si>
  <si>
    <t>2017-18 / Solar Connect/ R.No /01113</t>
  </si>
  <si>
    <t>2017-18 / Solar Connect/ R.No /01114</t>
  </si>
  <si>
    <t>2017-18 / Solar Connect/ R.No /01115</t>
  </si>
  <si>
    <t>2017-18 / Solar Connect/ R.No /01116</t>
  </si>
  <si>
    <t>2017-18 / Solar Connect/ R.No /01117</t>
  </si>
  <si>
    <t>2017-18 / Solar Connect/ R.No /01118</t>
  </si>
  <si>
    <t>2017-18 / Solar Connect/ R.No /01119</t>
  </si>
  <si>
    <t>2017-18 / Solar Connect/ R.No /01120</t>
  </si>
  <si>
    <t>2017-18 / Solar Connect/ R.No /01121</t>
  </si>
  <si>
    <t>2017-18 / Solar Connect/ R.No /01122</t>
  </si>
  <si>
    <t>2017-18 / Solar Connect/ R.No /01123</t>
  </si>
  <si>
    <t>2017-18 / Solar Connect/ R.No /01124</t>
  </si>
  <si>
    <t>2017-18 / Solar Connect/ R.No /01125</t>
  </si>
  <si>
    <t>2017-18 / Solar Connect/ R.No /01126</t>
  </si>
  <si>
    <t>2017-18 / Solar Connect/ R.No /01127</t>
  </si>
  <si>
    <t>2017-18 / Solar Connect/ R.No /01128</t>
  </si>
  <si>
    <t>2017-18 / Solar Connect/ R.No /01129</t>
  </si>
  <si>
    <t>2017-18 / Solar Connect/ R.No /01130</t>
  </si>
  <si>
    <t>2017-18 / Solar Connect/ R.No /01131</t>
  </si>
  <si>
    <t>2017-18 / Solar Connect/ R.No /01132</t>
  </si>
  <si>
    <t>2017-18 / Solar Connect/ R.No /01133</t>
  </si>
  <si>
    <t>2017-18 / Solar Connect/ R.No /01134</t>
  </si>
  <si>
    <t>2017-18 / Solar Connect/ R.No /01135</t>
  </si>
  <si>
    <t>2017-18 / Solar Connect/ R.No /01136</t>
  </si>
  <si>
    <t>2017-18 / Solar Connect/ R.No /01137</t>
  </si>
  <si>
    <t>2017-18 / Solar Connect/ R.No /01138</t>
  </si>
  <si>
    <t>2017-18 / Solar Connect/ R.No /01139</t>
  </si>
  <si>
    <t>2017-18 / Solar Connect/ R.No /01140</t>
  </si>
  <si>
    <t>2017-18 / Solar Connect/ R.No /01141</t>
  </si>
  <si>
    <t>2017-18 / Solar Connect/ R.No /01142</t>
  </si>
  <si>
    <t>2017-18 / Solar Connect/ R.No /01143</t>
  </si>
  <si>
    <t>2017-18 / Solar Connect/ R.No /01144</t>
  </si>
  <si>
    <t>2017-18 / Solar Connect/ R.No /01145</t>
  </si>
  <si>
    <t>2017-18 / Solar Connect/ R.No /01146</t>
  </si>
  <si>
    <t>2017-18 / Solar Connect/ R.No /01147</t>
  </si>
  <si>
    <t>2017-18 / Solar Connect/ R.No /01148</t>
  </si>
  <si>
    <t>2017-18 / Solar Connect/ R.No /01149</t>
  </si>
  <si>
    <t>2017-18 / Solar Connect/ R.No /01150</t>
  </si>
  <si>
    <t>2017-18 / Solar Connect/ R.No /01151</t>
  </si>
  <si>
    <t>2017-18 / Solar Connect/ R.No /01152</t>
  </si>
  <si>
    <t>2017-18 / Solar Connect/ R.No /01153</t>
  </si>
  <si>
    <t>2017-18 / Solar Connect/ R.No /01154</t>
  </si>
  <si>
    <t>2017-18 / Solar Connect/ R.No /01155</t>
  </si>
  <si>
    <t>2017-18 / Solar Connect/ R.No /01156</t>
  </si>
  <si>
    <t>2017-18 / Solar Connect/ R.No /01157</t>
  </si>
  <si>
    <t>2017-18 / Solar Connect/ R.No /01158</t>
  </si>
  <si>
    <t>2017-18 / Solar Connect/ R.No /01159</t>
  </si>
  <si>
    <t>2017-18 / Solar Connect/ R.No /01160</t>
  </si>
  <si>
    <t>2017-18 / Solar Connect/ R.No /01161</t>
  </si>
  <si>
    <t>2017-18 / Solar Connect/ R.No /01162</t>
  </si>
  <si>
    <t>2017-18 / Solar Connect/ R.No /01163</t>
  </si>
  <si>
    <t>2017-18 / Solar Connect/ R.No /01164</t>
  </si>
  <si>
    <t>2017-18 / Solar Connect/ R.No /01165</t>
  </si>
  <si>
    <t>2017-18 / Solar Connect/ R.No /01166</t>
  </si>
  <si>
    <t>2017-18 / Solar Connect/ R.No /01167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</si>
</sst>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164" fontId="1" fillId="6" borderId="0" xfId="0" applyNumberFormat="1" applyFont="1" applyFill="1" applyAlignment="1"/>
    <xf numFmtId="0" fontId="1" fillId="6" borderId="0" xfId="0" applyFont="1" applyFill="1" applyAlignment="1"/>
    <xf numFmtId="14" fontId="1" fillId="6" borderId="0" xfId="0" applyNumberFormat="1" applyFont="1" applyFill="1" applyAlignment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houkathali.kp/" TargetMode="External"/><Relationship Id="rId13" Type="http://schemas.openxmlformats.org/officeDocument/2006/relationships/hyperlink" Target="http://chinju.om/" TargetMode="External"/><Relationship Id="rId3" Type="http://schemas.openxmlformats.org/officeDocument/2006/relationships/hyperlink" Target="http://arathivariyam2gmail.com/" TargetMode="External"/><Relationship Id="rId7" Type="http://schemas.openxmlformats.org/officeDocument/2006/relationships/hyperlink" Target="http://muralidas.pk/" TargetMode="External"/><Relationship Id="rId12" Type="http://schemas.openxmlformats.org/officeDocument/2006/relationships/hyperlink" Target="http://ramachandran.cm/" TargetMode="External"/><Relationship Id="rId2" Type="http://schemas.openxmlformats.org/officeDocument/2006/relationships/hyperlink" Target="http://solarconnect20182gmail.com/" TargetMode="External"/><Relationship Id="rId1" Type="http://schemas.openxmlformats.org/officeDocument/2006/relationships/hyperlink" Target="http://solarconnect20182gmail.com/" TargetMode="External"/><Relationship Id="rId6" Type="http://schemas.openxmlformats.org/officeDocument/2006/relationships/hyperlink" Target="http://dr.vijay.pg/" TargetMode="External"/><Relationship Id="rId11" Type="http://schemas.openxmlformats.org/officeDocument/2006/relationships/hyperlink" Target="http://asharaf.mb/" TargetMode="External"/><Relationship Id="rId5" Type="http://schemas.openxmlformats.org/officeDocument/2006/relationships/hyperlink" Target="http://saidalavi.ek/" TargetMode="External"/><Relationship Id="rId15" Type="http://schemas.openxmlformats.org/officeDocument/2006/relationships/hyperlink" Target="http://bava.ka/" TargetMode="External"/><Relationship Id="rId10" Type="http://schemas.openxmlformats.org/officeDocument/2006/relationships/hyperlink" Target="http://jaison.mg/" TargetMode="External"/><Relationship Id="rId4" Type="http://schemas.openxmlformats.org/officeDocument/2006/relationships/hyperlink" Target="http://sathian.cm/" TargetMode="External"/><Relationship Id="rId9" Type="http://schemas.openxmlformats.org/officeDocument/2006/relationships/hyperlink" Target="http://shafi.kp/" TargetMode="External"/><Relationship Id="rId14" Type="http://schemas.openxmlformats.org/officeDocument/2006/relationships/hyperlink" Target="http://ajeesh.p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houkathali.kp/" TargetMode="External"/><Relationship Id="rId13" Type="http://schemas.openxmlformats.org/officeDocument/2006/relationships/hyperlink" Target="http://chinju.om/" TargetMode="External"/><Relationship Id="rId3" Type="http://schemas.openxmlformats.org/officeDocument/2006/relationships/hyperlink" Target="http://arathivariyam2gmail.com/" TargetMode="External"/><Relationship Id="rId7" Type="http://schemas.openxmlformats.org/officeDocument/2006/relationships/hyperlink" Target="http://muralidas.pk/" TargetMode="External"/><Relationship Id="rId12" Type="http://schemas.openxmlformats.org/officeDocument/2006/relationships/hyperlink" Target="http://ramachandran.cm/" TargetMode="External"/><Relationship Id="rId2" Type="http://schemas.openxmlformats.org/officeDocument/2006/relationships/hyperlink" Target="http://solarconnect20182gmail.com/" TargetMode="External"/><Relationship Id="rId1" Type="http://schemas.openxmlformats.org/officeDocument/2006/relationships/hyperlink" Target="http://solarconnect20182gmail.com/" TargetMode="External"/><Relationship Id="rId6" Type="http://schemas.openxmlformats.org/officeDocument/2006/relationships/hyperlink" Target="http://dr.vijay.pg/" TargetMode="External"/><Relationship Id="rId11" Type="http://schemas.openxmlformats.org/officeDocument/2006/relationships/hyperlink" Target="http://asharaf.mb/" TargetMode="External"/><Relationship Id="rId5" Type="http://schemas.openxmlformats.org/officeDocument/2006/relationships/hyperlink" Target="http://saidalavi.ek/" TargetMode="External"/><Relationship Id="rId15" Type="http://schemas.openxmlformats.org/officeDocument/2006/relationships/hyperlink" Target="http://bava.ka/" TargetMode="External"/><Relationship Id="rId10" Type="http://schemas.openxmlformats.org/officeDocument/2006/relationships/hyperlink" Target="http://jaison.mg/" TargetMode="External"/><Relationship Id="rId4" Type="http://schemas.openxmlformats.org/officeDocument/2006/relationships/hyperlink" Target="http://sathian.cm/" TargetMode="External"/><Relationship Id="rId9" Type="http://schemas.openxmlformats.org/officeDocument/2006/relationships/hyperlink" Target="http://shafi.kp/" TargetMode="External"/><Relationship Id="rId14" Type="http://schemas.openxmlformats.org/officeDocument/2006/relationships/hyperlink" Target="http://ajeesh.p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EAD1DC"/>
    <outlinePr summaryBelow="0" summaryRight="0"/>
  </sheetPr>
  <dimension ref="A1:S118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68" sqref="G168"/>
    </sheetView>
  </sheetViews>
  <sheetFormatPr baseColWidth="10" defaultColWidth="14.5" defaultRowHeight="15.75" customHeight="1" x14ac:dyDescent="0.15"/>
  <cols>
    <col min="1" max="1" width="21.5" customWidth="1"/>
    <col min="2" max="2" width="26.6640625" customWidth="1"/>
    <col min="3" max="10" width="21.5" customWidth="1"/>
    <col min="11" max="11" width="18" customWidth="1"/>
    <col min="12" max="12" width="21.5" customWidth="1"/>
    <col min="13" max="13" width="58.5" customWidth="1"/>
    <col min="14" max="22" width="21.5" customWidth="1"/>
  </cols>
  <sheetData>
    <row r="1" spans="1:19" ht="15.75" customHeight="1" x14ac:dyDescent="0.15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7" t="s">
        <v>10</v>
      </c>
      <c r="G1" s="6" t="s">
        <v>11</v>
      </c>
      <c r="H1" s="6" t="s">
        <v>12</v>
      </c>
      <c r="I1" s="6" t="s">
        <v>13</v>
      </c>
      <c r="J1" s="8" t="s">
        <v>14</v>
      </c>
      <c r="K1" s="6" t="s">
        <v>15</v>
      </c>
      <c r="L1" s="6" t="s">
        <v>16</v>
      </c>
      <c r="M1" s="9" t="s">
        <v>17</v>
      </c>
      <c r="N1" s="6" t="s">
        <v>18</v>
      </c>
      <c r="O1" s="6" t="s">
        <v>18</v>
      </c>
      <c r="P1" s="7" t="s">
        <v>19</v>
      </c>
      <c r="Q1" s="7" t="s">
        <v>20</v>
      </c>
      <c r="R1" s="5"/>
      <c r="S1" s="7" t="s">
        <v>21</v>
      </c>
    </row>
    <row r="2" spans="1:19" ht="15.75" customHeight="1" x14ac:dyDescent="0.15">
      <c r="A2" s="10">
        <v>43144.622183796295</v>
      </c>
      <c r="B2" s="11" t="s">
        <v>22</v>
      </c>
      <c r="C2" s="11">
        <v>224</v>
      </c>
      <c r="D2" s="11" t="s">
        <v>23</v>
      </c>
      <c r="E2" s="11">
        <v>9072666513</v>
      </c>
      <c r="F2" s="11" t="s">
        <v>24</v>
      </c>
      <c r="G2" s="11" t="s">
        <v>25</v>
      </c>
      <c r="H2" s="11">
        <v>54</v>
      </c>
      <c r="I2" s="12">
        <v>43144</v>
      </c>
      <c r="J2" s="2">
        <v>5</v>
      </c>
      <c r="K2" s="11">
        <v>1145196016735</v>
      </c>
      <c r="L2" s="11" t="s">
        <v>26</v>
      </c>
      <c r="M2" s="11" t="s">
        <v>27</v>
      </c>
      <c r="N2" s="12">
        <v>43128</v>
      </c>
      <c r="O2" s="12">
        <v>43128</v>
      </c>
      <c r="P2" s="11">
        <v>5</v>
      </c>
      <c r="Q2" s="11" t="s">
        <v>22</v>
      </c>
    </row>
    <row r="3" spans="1:19" ht="15.75" hidden="1" customHeight="1" x14ac:dyDescent="0.15">
      <c r="A3" s="10">
        <v>43145.679209305556</v>
      </c>
      <c r="B3" s="11" t="s">
        <v>28</v>
      </c>
      <c r="C3" s="11">
        <v>48</v>
      </c>
      <c r="D3" s="11" t="s">
        <v>29</v>
      </c>
      <c r="E3" s="11">
        <v>9747236535</v>
      </c>
      <c r="F3" s="11" t="s">
        <v>30</v>
      </c>
      <c r="G3" s="11" t="s">
        <v>31</v>
      </c>
      <c r="H3" s="11">
        <v>47</v>
      </c>
      <c r="I3" s="12">
        <v>43145</v>
      </c>
      <c r="J3" s="2">
        <v>30</v>
      </c>
      <c r="K3" s="11">
        <v>1157004001604</v>
      </c>
      <c r="L3" s="11" t="s">
        <v>32</v>
      </c>
      <c r="M3" s="11" t="s">
        <v>27</v>
      </c>
      <c r="N3" s="12">
        <v>42894</v>
      </c>
      <c r="O3" s="12">
        <v>42894</v>
      </c>
      <c r="P3" s="11">
        <v>30</v>
      </c>
      <c r="Q3" s="11" t="s">
        <v>28</v>
      </c>
    </row>
    <row r="4" spans="1:19" ht="15.75" hidden="1" customHeight="1" x14ac:dyDescent="0.15">
      <c r="A4" s="10">
        <v>43147.436588506942</v>
      </c>
      <c r="B4" s="11" t="s">
        <v>33</v>
      </c>
      <c r="C4" s="11">
        <v>112</v>
      </c>
      <c r="D4" s="11" t="s">
        <v>34</v>
      </c>
      <c r="E4" s="11">
        <v>9895722122</v>
      </c>
      <c r="F4" s="11" t="s">
        <v>35</v>
      </c>
      <c r="G4" s="11" t="s">
        <v>36</v>
      </c>
      <c r="H4" s="11">
        <v>20</v>
      </c>
      <c r="I4" s="12">
        <v>43144</v>
      </c>
      <c r="J4" s="2">
        <v>3</v>
      </c>
      <c r="K4" s="11">
        <v>1155448015779</v>
      </c>
      <c r="L4" s="11" t="s">
        <v>37</v>
      </c>
      <c r="M4" s="11" t="s">
        <v>27</v>
      </c>
      <c r="N4" s="12">
        <v>43147</v>
      </c>
      <c r="O4" s="12">
        <v>43147</v>
      </c>
      <c r="P4" s="11">
        <v>5.6</v>
      </c>
      <c r="Q4" s="11" t="s">
        <v>33</v>
      </c>
    </row>
    <row r="5" spans="1:19" ht="15.75" hidden="1" customHeight="1" x14ac:dyDescent="0.15">
      <c r="A5" s="10">
        <v>43147.928516956017</v>
      </c>
      <c r="B5" s="11" t="s">
        <v>38</v>
      </c>
      <c r="C5" s="11">
        <v>164</v>
      </c>
      <c r="D5" s="11" t="s">
        <v>39</v>
      </c>
      <c r="E5" s="11">
        <v>9447102009</v>
      </c>
      <c r="F5" s="11" t="s">
        <v>40</v>
      </c>
      <c r="G5" s="11" t="s">
        <v>41</v>
      </c>
      <c r="H5" s="11">
        <v>56</v>
      </c>
      <c r="I5" s="12">
        <v>43146</v>
      </c>
      <c r="J5" s="2">
        <v>3</v>
      </c>
      <c r="K5" s="11">
        <v>1155183003530</v>
      </c>
      <c r="L5" s="11" t="s">
        <v>42</v>
      </c>
      <c r="M5" s="11" t="s">
        <v>27</v>
      </c>
      <c r="N5" s="12">
        <v>43139</v>
      </c>
      <c r="O5" s="12">
        <v>43139</v>
      </c>
      <c r="P5" s="11">
        <v>3</v>
      </c>
      <c r="Q5" s="11" t="s">
        <v>43</v>
      </c>
    </row>
    <row r="6" spans="1:19" ht="15.75" hidden="1" customHeight="1" x14ac:dyDescent="0.15">
      <c r="A6" s="10">
        <v>43148.439998819449</v>
      </c>
      <c r="B6" s="11" t="s">
        <v>44</v>
      </c>
      <c r="C6" s="11">
        <v>140</v>
      </c>
      <c r="D6" s="11" t="s">
        <v>45</v>
      </c>
      <c r="E6" s="11">
        <v>992361412260</v>
      </c>
      <c r="F6" s="11" t="s">
        <v>46</v>
      </c>
      <c r="G6" s="11" t="s">
        <v>47</v>
      </c>
      <c r="H6" s="11">
        <v>53</v>
      </c>
      <c r="I6" s="12">
        <v>43148</v>
      </c>
      <c r="J6" s="2">
        <v>5</v>
      </c>
      <c r="K6" s="11">
        <v>116800003332</v>
      </c>
      <c r="L6" s="11" t="s">
        <v>48</v>
      </c>
      <c r="M6" s="11" t="s">
        <v>27</v>
      </c>
      <c r="N6" s="12">
        <v>43127</v>
      </c>
      <c r="O6" s="12">
        <v>43127</v>
      </c>
      <c r="P6" s="11">
        <v>13.5</v>
      </c>
      <c r="Q6" s="11" t="s">
        <v>49</v>
      </c>
    </row>
    <row r="7" spans="1:19" ht="15.75" customHeight="1" x14ac:dyDescent="0.15">
      <c r="A7" s="10">
        <v>43148.46979481481</v>
      </c>
      <c r="B7" s="11" t="s">
        <v>50</v>
      </c>
      <c r="C7" s="11">
        <v>8</v>
      </c>
      <c r="D7" s="11" t="s">
        <v>51</v>
      </c>
      <c r="E7" s="11">
        <v>7034322221</v>
      </c>
      <c r="F7" s="11" t="s">
        <v>24</v>
      </c>
      <c r="G7" s="11" t="s">
        <v>52</v>
      </c>
      <c r="H7" s="11">
        <v>38</v>
      </c>
      <c r="I7" s="12">
        <v>43148</v>
      </c>
      <c r="J7" s="2">
        <v>3</v>
      </c>
      <c r="K7" s="11">
        <v>1145253016766</v>
      </c>
      <c r="L7" s="11" t="s">
        <v>53</v>
      </c>
      <c r="M7" s="11" t="s">
        <v>27</v>
      </c>
      <c r="N7" s="12">
        <v>43146</v>
      </c>
      <c r="O7" s="12">
        <v>43146</v>
      </c>
      <c r="P7" s="11">
        <v>3</v>
      </c>
      <c r="Q7" s="11" t="s">
        <v>50</v>
      </c>
    </row>
    <row r="8" spans="1:19" ht="15.75" hidden="1" customHeight="1" x14ac:dyDescent="0.15">
      <c r="A8" s="10">
        <v>43148.611278564815</v>
      </c>
      <c r="B8" s="11" t="s">
        <v>54</v>
      </c>
      <c r="C8" s="11">
        <v>64</v>
      </c>
      <c r="D8" s="11" t="s">
        <v>55</v>
      </c>
      <c r="E8" s="11">
        <v>9747947173</v>
      </c>
      <c r="F8" s="11" t="s">
        <v>56</v>
      </c>
      <c r="G8" s="11" t="s">
        <v>57</v>
      </c>
      <c r="H8" s="11">
        <v>8</v>
      </c>
      <c r="I8" s="12">
        <v>43141</v>
      </c>
      <c r="J8" s="2">
        <v>2</v>
      </c>
      <c r="K8" s="11">
        <v>1156288003016</v>
      </c>
      <c r="L8" s="11" t="s">
        <v>58</v>
      </c>
      <c r="M8" s="11" t="s">
        <v>27</v>
      </c>
      <c r="N8" s="12">
        <v>43076</v>
      </c>
      <c r="O8" s="12">
        <v>43076</v>
      </c>
      <c r="P8" s="11">
        <v>2</v>
      </c>
      <c r="Q8" s="11" t="s">
        <v>54</v>
      </c>
    </row>
    <row r="9" spans="1:19" ht="15.75" hidden="1" customHeight="1" x14ac:dyDescent="0.15">
      <c r="A9" s="10">
        <v>43149.661342812498</v>
      </c>
      <c r="B9" s="11" t="s">
        <v>59</v>
      </c>
      <c r="C9" s="11">
        <v>96</v>
      </c>
      <c r="D9" s="11" t="s">
        <v>60</v>
      </c>
      <c r="E9" s="11">
        <v>9447202939</v>
      </c>
      <c r="F9" s="11" t="s">
        <v>61</v>
      </c>
      <c r="G9" s="11" t="s">
        <v>62</v>
      </c>
      <c r="H9" s="11">
        <v>42</v>
      </c>
      <c r="I9" s="12">
        <v>43149</v>
      </c>
      <c r="J9" s="2">
        <v>3</v>
      </c>
      <c r="K9" s="11">
        <v>1146199011897</v>
      </c>
      <c r="L9" s="11" t="s">
        <v>64</v>
      </c>
      <c r="M9" s="11" t="s">
        <v>27</v>
      </c>
      <c r="N9" s="12">
        <v>43136</v>
      </c>
      <c r="O9" s="12">
        <v>43136</v>
      </c>
      <c r="P9" s="11">
        <v>3</v>
      </c>
      <c r="Q9" s="11" t="s">
        <v>65</v>
      </c>
    </row>
    <row r="10" spans="1:19" ht="15.75" hidden="1" customHeight="1" x14ac:dyDescent="0.15">
      <c r="A10" s="10">
        <v>43149.801976759263</v>
      </c>
      <c r="B10" s="11" t="s">
        <v>66</v>
      </c>
      <c r="C10" s="11">
        <v>2</v>
      </c>
      <c r="D10" s="11" t="s">
        <v>67</v>
      </c>
      <c r="E10" s="11">
        <v>9447876655</v>
      </c>
      <c r="F10" s="11" t="s">
        <v>40</v>
      </c>
      <c r="G10" s="11" t="s">
        <v>36</v>
      </c>
      <c r="H10" s="11">
        <v>20</v>
      </c>
      <c r="I10" s="12">
        <v>43139</v>
      </c>
      <c r="J10" s="2">
        <v>3</v>
      </c>
      <c r="K10" s="11">
        <v>1155242000737</v>
      </c>
      <c r="L10" s="11" t="s">
        <v>68</v>
      </c>
      <c r="M10" s="11" t="s">
        <v>27</v>
      </c>
      <c r="N10" s="12">
        <v>43133</v>
      </c>
      <c r="O10" s="12">
        <v>43133</v>
      </c>
      <c r="P10" s="11">
        <v>3</v>
      </c>
      <c r="Q10" s="11" t="s">
        <v>66</v>
      </c>
    </row>
    <row r="11" spans="1:19" ht="15.75" hidden="1" customHeight="1" x14ac:dyDescent="0.15">
      <c r="A11" s="10">
        <v>43150.630342280092</v>
      </c>
      <c r="B11" s="11" t="s">
        <v>22</v>
      </c>
      <c r="C11" s="11">
        <v>17</v>
      </c>
      <c r="D11" s="11" t="s">
        <v>69</v>
      </c>
      <c r="E11" s="11">
        <v>9072666513</v>
      </c>
      <c r="F11" s="11" t="s">
        <v>35</v>
      </c>
      <c r="G11" s="11" t="s">
        <v>70</v>
      </c>
      <c r="H11" s="11">
        <v>54</v>
      </c>
      <c r="I11" s="12">
        <v>43150</v>
      </c>
      <c r="J11" s="2">
        <v>3</v>
      </c>
      <c r="K11" s="11">
        <v>1155488008515</v>
      </c>
      <c r="L11" s="11" t="s">
        <v>71</v>
      </c>
      <c r="M11" s="11" t="s">
        <v>27</v>
      </c>
      <c r="N11" s="12">
        <v>43089</v>
      </c>
      <c r="O11" s="12">
        <v>43089</v>
      </c>
      <c r="P11" s="11">
        <v>3</v>
      </c>
      <c r="Q11" s="11" t="s">
        <v>22</v>
      </c>
    </row>
    <row r="12" spans="1:19" ht="15.75" hidden="1" customHeight="1" x14ac:dyDescent="0.15">
      <c r="A12" s="10">
        <v>43150.648329189818</v>
      </c>
      <c r="B12" s="11" t="s">
        <v>22</v>
      </c>
      <c r="C12" s="11">
        <v>86</v>
      </c>
      <c r="D12" s="11" t="s">
        <v>72</v>
      </c>
      <c r="E12" s="11">
        <v>9072666513</v>
      </c>
      <c r="F12" s="11" t="s">
        <v>73</v>
      </c>
      <c r="G12" s="11" t="s">
        <v>74</v>
      </c>
      <c r="H12" s="11">
        <v>54</v>
      </c>
      <c r="I12" s="12">
        <v>43150</v>
      </c>
      <c r="J12" s="2">
        <v>10</v>
      </c>
      <c r="K12" s="11">
        <v>1146838007226</v>
      </c>
      <c r="L12" s="11" t="s">
        <v>75</v>
      </c>
      <c r="M12" s="11" t="s">
        <v>27</v>
      </c>
      <c r="N12" s="12">
        <v>43087</v>
      </c>
      <c r="O12" s="12">
        <v>43087</v>
      </c>
      <c r="P12" s="11">
        <v>10</v>
      </c>
      <c r="Q12" s="11" t="s">
        <v>22</v>
      </c>
    </row>
    <row r="13" spans="1:19" ht="15.75" hidden="1" customHeight="1" x14ac:dyDescent="0.15">
      <c r="A13" s="10">
        <v>43150.726873460648</v>
      </c>
      <c r="B13" s="11" t="s">
        <v>76</v>
      </c>
      <c r="C13" s="11">
        <v>1</v>
      </c>
      <c r="D13" s="11" t="s">
        <v>77</v>
      </c>
      <c r="E13" s="11">
        <v>9446093449</v>
      </c>
      <c r="F13" s="11" t="s">
        <v>73</v>
      </c>
      <c r="G13" s="11" t="s">
        <v>36</v>
      </c>
      <c r="H13" s="11">
        <v>20</v>
      </c>
      <c r="I13" s="12">
        <v>43142</v>
      </c>
      <c r="J13" s="2">
        <v>5</v>
      </c>
      <c r="K13" s="11">
        <v>1145760001188</v>
      </c>
      <c r="L13" s="11" t="s">
        <v>78</v>
      </c>
      <c r="M13" s="11" t="s">
        <v>27</v>
      </c>
      <c r="N13" s="12">
        <v>43095</v>
      </c>
      <c r="O13" s="12">
        <v>43095</v>
      </c>
      <c r="P13" s="11">
        <v>5</v>
      </c>
      <c r="Q13" s="11" t="s">
        <v>76</v>
      </c>
    </row>
    <row r="14" spans="1:19" ht="15.75" hidden="1" customHeight="1" x14ac:dyDescent="0.15">
      <c r="A14" s="10">
        <v>43150.743281967589</v>
      </c>
      <c r="B14" s="11" t="s">
        <v>79</v>
      </c>
      <c r="C14" s="11">
        <v>38</v>
      </c>
      <c r="D14" s="11" t="s">
        <v>80</v>
      </c>
      <c r="E14" s="11">
        <v>8594093224</v>
      </c>
      <c r="F14" s="11" t="s">
        <v>35</v>
      </c>
      <c r="G14" s="11" t="s">
        <v>81</v>
      </c>
      <c r="H14" s="11">
        <v>17</v>
      </c>
      <c r="I14" s="12">
        <v>43147</v>
      </c>
      <c r="J14" s="2">
        <v>5</v>
      </c>
      <c r="K14" s="11">
        <v>1155984018884</v>
      </c>
      <c r="L14" s="11" t="s">
        <v>82</v>
      </c>
      <c r="M14" s="11" t="s">
        <v>27</v>
      </c>
      <c r="N14" s="12">
        <v>43145</v>
      </c>
      <c r="O14" s="12">
        <v>43145</v>
      </c>
      <c r="P14" s="11">
        <v>5</v>
      </c>
      <c r="Q14" s="11" t="s">
        <v>83</v>
      </c>
    </row>
    <row r="15" spans="1:19" ht="15.75" hidden="1" customHeight="1" x14ac:dyDescent="0.15">
      <c r="A15" s="10">
        <v>43151.297458923611</v>
      </c>
      <c r="B15" s="11" t="s">
        <v>84</v>
      </c>
      <c r="C15" s="11">
        <v>102</v>
      </c>
      <c r="D15" s="11" t="s">
        <v>85</v>
      </c>
      <c r="E15" s="11">
        <v>9400731759</v>
      </c>
      <c r="F15" s="11" t="s">
        <v>46</v>
      </c>
      <c r="G15" s="11" t="s">
        <v>86</v>
      </c>
      <c r="H15" s="11">
        <v>69</v>
      </c>
      <c r="I15" s="12">
        <v>43151</v>
      </c>
      <c r="J15" s="2">
        <v>2</v>
      </c>
      <c r="K15" s="11">
        <v>1167257004741</v>
      </c>
      <c r="L15" s="11" t="s">
        <v>87</v>
      </c>
      <c r="M15" s="11" t="s">
        <v>27</v>
      </c>
      <c r="N15" s="12">
        <v>42873</v>
      </c>
      <c r="O15" s="12">
        <v>42873</v>
      </c>
      <c r="P15" s="11">
        <v>2</v>
      </c>
      <c r="Q15" s="11" t="s">
        <v>88</v>
      </c>
    </row>
    <row r="16" spans="1:19" ht="15.75" hidden="1" customHeight="1" x14ac:dyDescent="0.15">
      <c r="A16" s="10">
        <v>43151.319620451388</v>
      </c>
      <c r="B16" s="11" t="s">
        <v>88</v>
      </c>
      <c r="C16" s="11">
        <v>100</v>
      </c>
      <c r="D16" s="11" t="s">
        <v>89</v>
      </c>
      <c r="E16" s="11">
        <v>9744444806</v>
      </c>
      <c r="F16" s="11" t="s">
        <v>46</v>
      </c>
      <c r="G16" s="11" t="s">
        <v>86</v>
      </c>
      <c r="H16" s="11">
        <v>69</v>
      </c>
      <c r="I16" s="12">
        <v>43151</v>
      </c>
      <c r="J16" s="2">
        <v>5</v>
      </c>
      <c r="K16" s="11">
        <v>1167250000631</v>
      </c>
      <c r="L16" s="11" t="s">
        <v>87</v>
      </c>
      <c r="M16" s="11" t="s">
        <v>27</v>
      </c>
      <c r="N16" s="12">
        <v>42844</v>
      </c>
      <c r="O16" s="12">
        <v>42844</v>
      </c>
      <c r="P16" s="11">
        <v>5</v>
      </c>
      <c r="Q16" s="11" t="s">
        <v>90</v>
      </c>
    </row>
    <row r="17" spans="1:17" ht="15.75" hidden="1" customHeight="1" x14ac:dyDescent="0.15">
      <c r="A17" s="10">
        <v>43151.331519421292</v>
      </c>
      <c r="B17" s="11" t="s">
        <v>84</v>
      </c>
      <c r="C17" s="11">
        <v>101</v>
      </c>
      <c r="D17" s="11" t="s">
        <v>91</v>
      </c>
      <c r="E17" s="11">
        <v>9447775266</v>
      </c>
      <c r="F17" s="11" t="s">
        <v>46</v>
      </c>
      <c r="G17" s="11" t="s">
        <v>86</v>
      </c>
      <c r="H17" s="11">
        <v>69</v>
      </c>
      <c r="I17" s="12">
        <v>43151</v>
      </c>
      <c r="J17" s="2">
        <v>5</v>
      </c>
      <c r="K17" s="11">
        <v>1167251001479</v>
      </c>
      <c r="L17" s="11" t="s">
        <v>87</v>
      </c>
      <c r="M17" s="11" t="s">
        <v>27</v>
      </c>
      <c r="N17" s="12">
        <v>42843</v>
      </c>
      <c r="O17" s="12">
        <v>42843</v>
      </c>
      <c r="P17" s="11">
        <v>5</v>
      </c>
      <c r="Q17" s="11" t="s">
        <v>93</v>
      </c>
    </row>
    <row r="18" spans="1:17" ht="15.75" hidden="1" customHeight="1" x14ac:dyDescent="0.15">
      <c r="A18" s="10">
        <v>43151.492022384264</v>
      </c>
      <c r="B18" s="11" t="s">
        <v>94</v>
      </c>
      <c r="C18" s="11">
        <v>22</v>
      </c>
      <c r="D18" s="11" t="s">
        <v>95</v>
      </c>
      <c r="E18" s="11">
        <v>9447619895</v>
      </c>
      <c r="F18" s="11" t="s">
        <v>46</v>
      </c>
      <c r="G18" s="11" t="s">
        <v>96</v>
      </c>
      <c r="H18" s="11">
        <v>69</v>
      </c>
      <c r="I18" s="12">
        <v>43151</v>
      </c>
      <c r="J18" s="2">
        <v>3</v>
      </c>
      <c r="K18" s="11">
        <v>1165059003220</v>
      </c>
      <c r="L18" s="11" t="s">
        <v>97</v>
      </c>
      <c r="M18" s="11" t="s">
        <v>27</v>
      </c>
      <c r="N18" s="12">
        <v>43091</v>
      </c>
      <c r="O18" s="12">
        <v>43091</v>
      </c>
      <c r="P18" s="11">
        <v>3</v>
      </c>
      <c r="Q18" s="11" t="s">
        <v>94</v>
      </c>
    </row>
    <row r="19" spans="1:17" ht="15.75" hidden="1" customHeight="1" x14ac:dyDescent="0.15">
      <c r="A19" s="10">
        <v>43151.503124224539</v>
      </c>
      <c r="B19" s="11" t="s">
        <v>98</v>
      </c>
      <c r="C19" s="11">
        <v>204</v>
      </c>
      <c r="D19" s="11" t="s">
        <v>99</v>
      </c>
      <c r="E19" s="11">
        <v>9447619894</v>
      </c>
      <c r="F19" s="11" t="s">
        <v>46</v>
      </c>
      <c r="G19" s="11" t="s">
        <v>96</v>
      </c>
      <c r="H19" s="11">
        <v>69</v>
      </c>
      <c r="I19" s="12">
        <v>43151</v>
      </c>
      <c r="J19" s="2">
        <v>3</v>
      </c>
      <c r="K19" s="11">
        <v>1165059004710</v>
      </c>
      <c r="L19" s="11" t="s">
        <v>97</v>
      </c>
      <c r="M19" s="11" t="s">
        <v>27</v>
      </c>
      <c r="N19" s="12">
        <v>43151</v>
      </c>
      <c r="O19" s="12">
        <v>43151</v>
      </c>
      <c r="P19" s="11">
        <v>3</v>
      </c>
      <c r="Q19" s="11" t="s">
        <v>98</v>
      </c>
    </row>
    <row r="20" spans="1:17" ht="15.75" customHeight="1" x14ac:dyDescent="0.15">
      <c r="A20" s="10">
        <v>43151.505700335649</v>
      </c>
      <c r="B20" s="11" t="s">
        <v>22</v>
      </c>
      <c r="C20" s="11">
        <v>61</v>
      </c>
      <c r="D20" s="11" t="s">
        <v>100</v>
      </c>
      <c r="E20" s="11">
        <v>9072666513</v>
      </c>
      <c r="F20" s="11" t="s">
        <v>24</v>
      </c>
      <c r="G20" s="11" t="s">
        <v>101</v>
      </c>
      <c r="H20" s="11">
        <v>54</v>
      </c>
      <c r="I20" s="12">
        <v>43151</v>
      </c>
      <c r="J20" s="2">
        <v>3</v>
      </c>
      <c r="K20" s="11">
        <v>1145073000014</v>
      </c>
      <c r="L20" s="11" t="s">
        <v>102</v>
      </c>
      <c r="M20" s="11" t="s">
        <v>27</v>
      </c>
      <c r="N20" s="12">
        <v>43124</v>
      </c>
      <c r="O20" s="12">
        <v>43124</v>
      </c>
      <c r="P20" s="11">
        <v>3</v>
      </c>
      <c r="Q20" s="11" t="s">
        <v>22</v>
      </c>
    </row>
    <row r="21" spans="1:17" ht="15.75" hidden="1" customHeight="1" x14ac:dyDescent="0.15">
      <c r="A21" s="10">
        <v>43151.529436041666</v>
      </c>
      <c r="B21" s="11" t="s">
        <v>103</v>
      </c>
      <c r="C21" s="11">
        <v>108</v>
      </c>
      <c r="D21" s="11" t="s">
        <v>104</v>
      </c>
      <c r="E21" s="11">
        <v>9544484845</v>
      </c>
      <c r="F21" s="11" t="s">
        <v>35</v>
      </c>
      <c r="G21" s="11" t="s">
        <v>105</v>
      </c>
      <c r="H21" s="11">
        <v>7</v>
      </c>
      <c r="I21" s="12">
        <v>43151</v>
      </c>
      <c r="J21" s="2">
        <v>5</v>
      </c>
      <c r="K21" s="11">
        <v>1156081008188</v>
      </c>
      <c r="L21" s="11" t="s">
        <v>106</v>
      </c>
      <c r="M21" s="11" t="s">
        <v>27</v>
      </c>
      <c r="N21" s="12">
        <v>43110</v>
      </c>
      <c r="O21" s="12">
        <v>43110</v>
      </c>
      <c r="P21" s="11">
        <v>5</v>
      </c>
      <c r="Q21" s="11" t="s">
        <v>103</v>
      </c>
    </row>
    <row r="22" spans="1:17" ht="15.75" hidden="1" customHeight="1" x14ac:dyDescent="0.15">
      <c r="A22" s="10">
        <v>43151.543307650463</v>
      </c>
      <c r="B22" s="11" t="s">
        <v>107</v>
      </c>
      <c r="C22" s="11">
        <v>1426</v>
      </c>
      <c r="D22" s="11" t="s">
        <v>108</v>
      </c>
      <c r="E22" s="11">
        <v>9567738985</v>
      </c>
      <c r="F22" s="11" t="s">
        <v>46</v>
      </c>
      <c r="G22" s="11" t="s">
        <v>109</v>
      </c>
      <c r="H22" s="11">
        <v>64</v>
      </c>
      <c r="I22" s="12">
        <v>43157</v>
      </c>
      <c r="J22" s="2">
        <v>2</v>
      </c>
      <c r="K22" s="11">
        <v>1165306012035</v>
      </c>
      <c r="L22" s="11" t="s">
        <v>110</v>
      </c>
      <c r="M22" s="11" t="s">
        <v>27</v>
      </c>
      <c r="N22" s="12">
        <v>43143</v>
      </c>
      <c r="O22" s="12">
        <v>43143</v>
      </c>
      <c r="P22" s="11">
        <v>30</v>
      </c>
      <c r="Q22" s="11" t="s">
        <v>107</v>
      </c>
    </row>
    <row r="23" spans="1:17" ht="15.75" hidden="1" customHeight="1" x14ac:dyDescent="0.15">
      <c r="A23" s="10">
        <v>43151.627504537042</v>
      </c>
      <c r="B23" s="11" t="s">
        <v>111</v>
      </c>
      <c r="C23" s="11">
        <v>113</v>
      </c>
      <c r="D23" s="11" t="s">
        <v>112</v>
      </c>
      <c r="E23" s="11">
        <v>9961889520</v>
      </c>
      <c r="F23" s="11" t="s">
        <v>35</v>
      </c>
      <c r="G23" s="11" t="s">
        <v>36</v>
      </c>
      <c r="H23" s="11">
        <v>20</v>
      </c>
      <c r="I23" s="12">
        <v>43150</v>
      </c>
      <c r="J23" s="2">
        <v>3</v>
      </c>
      <c r="K23" s="11">
        <v>155580005336</v>
      </c>
      <c r="L23" s="11" t="s">
        <v>113</v>
      </c>
      <c r="M23" s="11" t="s">
        <v>27</v>
      </c>
      <c r="N23" s="12">
        <v>43089</v>
      </c>
      <c r="O23" s="12">
        <v>43117</v>
      </c>
      <c r="P23" s="11">
        <v>3</v>
      </c>
      <c r="Q23" s="11" t="s">
        <v>111</v>
      </c>
    </row>
    <row r="24" spans="1:17" ht="15.75" hidden="1" customHeight="1" x14ac:dyDescent="0.15">
      <c r="A24" s="10">
        <v>43152.410356909721</v>
      </c>
      <c r="B24" s="11" t="s">
        <v>114</v>
      </c>
      <c r="C24" s="11">
        <v>161</v>
      </c>
      <c r="D24" s="11" t="s">
        <v>115</v>
      </c>
      <c r="E24" s="11">
        <v>944700162</v>
      </c>
      <c r="F24" s="11" t="s">
        <v>40</v>
      </c>
      <c r="G24" s="11" t="s">
        <v>36</v>
      </c>
      <c r="H24" s="11">
        <v>20</v>
      </c>
      <c r="I24" s="12">
        <v>43138</v>
      </c>
      <c r="J24" s="2">
        <v>3</v>
      </c>
      <c r="K24" s="11">
        <v>1155030003710</v>
      </c>
      <c r="L24" s="11">
        <v>5503</v>
      </c>
      <c r="M24" s="11" t="s">
        <v>27</v>
      </c>
      <c r="N24" s="12">
        <v>43143</v>
      </c>
      <c r="O24" s="12">
        <v>43143</v>
      </c>
      <c r="P24" s="11">
        <v>3</v>
      </c>
      <c r="Q24" s="11" t="s">
        <v>114</v>
      </c>
    </row>
    <row r="25" spans="1:17" ht="15.75" hidden="1" customHeight="1" x14ac:dyDescent="0.15">
      <c r="A25" s="10">
        <v>43152.414626284721</v>
      </c>
      <c r="B25" s="11" t="s">
        <v>117</v>
      </c>
      <c r="C25" s="11">
        <v>125</v>
      </c>
      <c r="D25" s="11" t="s">
        <v>118</v>
      </c>
      <c r="E25" s="11">
        <v>9742926990</v>
      </c>
      <c r="F25" s="11" t="s">
        <v>40</v>
      </c>
      <c r="G25" s="11" t="s">
        <v>36</v>
      </c>
      <c r="H25" s="11">
        <v>20</v>
      </c>
      <c r="I25" s="12">
        <v>43147</v>
      </c>
      <c r="J25" s="2">
        <v>3</v>
      </c>
      <c r="K25" s="11">
        <v>1157045027224</v>
      </c>
      <c r="L25" s="11">
        <v>5704</v>
      </c>
      <c r="M25" s="11" t="s">
        <v>27</v>
      </c>
      <c r="N25" s="12">
        <v>43138</v>
      </c>
      <c r="O25" s="12">
        <v>43138</v>
      </c>
      <c r="P25" s="11">
        <v>3</v>
      </c>
      <c r="Q25" s="11" t="s">
        <v>117</v>
      </c>
    </row>
    <row r="26" spans="1:17" ht="15.75" customHeight="1" x14ac:dyDescent="0.15">
      <c r="A26" s="10">
        <v>43152.432462743054</v>
      </c>
      <c r="B26" s="11" t="s">
        <v>119</v>
      </c>
      <c r="C26" s="11">
        <v>15</v>
      </c>
      <c r="D26" s="11" t="s">
        <v>120</v>
      </c>
      <c r="E26" s="11">
        <v>9496176957</v>
      </c>
      <c r="F26" s="11" t="s">
        <v>24</v>
      </c>
      <c r="G26" s="11" t="s">
        <v>121</v>
      </c>
      <c r="H26" s="11">
        <v>3</v>
      </c>
      <c r="I26" s="12">
        <v>43152</v>
      </c>
      <c r="J26" s="2">
        <v>20</v>
      </c>
      <c r="K26" s="11">
        <v>1145058000675</v>
      </c>
      <c r="L26" s="11" t="s">
        <v>122</v>
      </c>
      <c r="M26" s="11" t="s">
        <v>27</v>
      </c>
      <c r="N26" s="12">
        <v>43152</v>
      </c>
      <c r="O26" s="12">
        <v>43152</v>
      </c>
      <c r="P26" s="11">
        <v>20</v>
      </c>
      <c r="Q26" s="11" t="s">
        <v>123</v>
      </c>
    </row>
    <row r="27" spans="1:17" ht="15.75" hidden="1" customHeight="1" x14ac:dyDescent="0.15">
      <c r="A27" s="10">
        <v>43152.457565046294</v>
      </c>
      <c r="B27" s="11" t="s">
        <v>124</v>
      </c>
      <c r="C27" s="11">
        <v>194</v>
      </c>
      <c r="D27" s="11" t="s">
        <v>125</v>
      </c>
      <c r="E27" s="11">
        <v>9961494942</v>
      </c>
      <c r="F27" s="11" t="s">
        <v>35</v>
      </c>
      <c r="G27" s="11" t="s">
        <v>126</v>
      </c>
      <c r="H27" s="11">
        <v>64</v>
      </c>
      <c r="I27" s="12">
        <v>43152</v>
      </c>
      <c r="J27" s="2">
        <v>5</v>
      </c>
      <c r="K27" s="11">
        <v>1155442000070</v>
      </c>
      <c r="L27" s="11">
        <v>5544</v>
      </c>
      <c r="M27" s="11" t="s">
        <v>27</v>
      </c>
      <c r="N27" s="12">
        <v>43145</v>
      </c>
      <c r="O27" s="12">
        <v>43145</v>
      </c>
      <c r="P27" s="11">
        <v>5</v>
      </c>
      <c r="Q27" s="11" t="s">
        <v>127</v>
      </c>
    </row>
    <row r="28" spans="1:17" ht="15.75" hidden="1" customHeight="1" x14ac:dyDescent="0.15">
      <c r="A28" s="10">
        <v>43152.464816064814</v>
      </c>
      <c r="B28" s="11" t="s">
        <v>124</v>
      </c>
      <c r="C28" s="11">
        <v>221</v>
      </c>
      <c r="D28" s="11" t="s">
        <v>128</v>
      </c>
      <c r="E28" s="11">
        <v>9447736694</v>
      </c>
      <c r="F28" s="11" t="s">
        <v>35</v>
      </c>
      <c r="G28" s="11" t="s">
        <v>126</v>
      </c>
      <c r="H28" s="11">
        <v>64</v>
      </c>
      <c r="I28" s="12">
        <v>43152</v>
      </c>
      <c r="J28" s="2">
        <v>2</v>
      </c>
      <c r="K28" s="11">
        <v>1155442006739</v>
      </c>
      <c r="L28" s="11">
        <v>5544</v>
      </c>
      <c r="M28" s="11" t="s">
        <v>27</v>
      </c>
      <c r="N28" s="12">
        <v>43139</v>
      </c>
      <c r="O28" s="12">
        <v>43139</v>
      </c>
      <c r="P28" s="11">
        <v>2</v>
      </c>
      <c r="Q28" s="11" t="s">
        <v>129</v>
      </c>
    </row>
    <row r="29" spans="1:17" ht="15.75" hidden="1" customHeight="1" x14ac:dyDescent="0.15">
      <c r="A29" s="10">
        <v>43152.475902048609</v>
      </c>
      <c r="B29" s="11" t="s">
        <v>124</v>
      </c>
      <c r="C29" s="11">
        <v>25</v>
      </c>
      <c r="D29" s="11" t="s">
        <v>130</v>
      </c>
      <c r="E29" s="11">
        <v>8129055844</v>
      </c>
      <c r="F29" s="11" t="s">
        <v>35</v>
      </c>
      <c r="G29" s="11" t="s">
        <v>126</v>
      </c>
      <c r="H29" s="11">
        <v>64</v>
      </c>
      <c r="I29" s="12">
        <v>43152</v>
      </c>
      <c r="J29" s="2">
        <v>3</v>
      </c>
      <c r="K29" s="11">
        <v>1155522009203</v>
      </c>
      <c r="L29" s="11">
        <v>5552</v>
      </c>
      <c r="M29" s="11" t="s">
        <v>27</v>
      </c>
      <c r="N29" s="12">
        <v>43129</v>
      </c>
      <c r="O29" s="12">
        <v>43129</v>
      </c>
      <c r="P29" s="11">
        <v>3</v>
      </c>
      <c r="Q29" s="11" t="s">
        <v>131</v>
      </c>
    </row>
    <row r="30" spans="1:17" ht="15.75" hidden="1" customHeight="1" x14ac:dyDescent="0.15">
      <c r="A30" s="10">
        <v>43152.578807083337</v>
      </c>
      <c r="B30" s="11" t="s">
        <v>132</v>
      </c>
      <c r="C30" s="11">
        <v>251</v>
      </c>
      <c r="D30" s="11" t="s">
        <v>133</v>
      </c>
      <c r="E30" s="11">
        <v>9562233099</v>
      </c>
      <c r="F30" s="11" t="s">
        <v>40</v>
      </c>
      <c r="G30" s="11" t="s">
        <v>134</v>
      </c>
      <c r="H30" s="11">
        <v>47</v>
      </c>
      <c r="I30" s="12">
        <v>43152</v>
      </c>
      <c r="J30" s="2">
        <v>3</v>
      </c>
      <c r="K30" s="11">
        <v>1155312020638</v>
      </c>
      <c r="L30" s="11" t="s">
        <v>135</v>
      </c>
      <c r="M30" s="11" t="s">
        <v>27</v>
      </c>
      <c r="N30" s="12">
        <v>43068</v>
      </c>
      <c r="O30" s="12">
        <v>43068</v>
      </c>
      <c r="P30" s="11">
        <v>3</v>
      </c>
      <c r="Q30" s="11" t="s">
        <v>132</v>
      </c>
    </row>
    <row r="31" spans="1:17" ht="15.75" hidden="1" customHeight="1" x14ac:dyDescent="0.15">
      <c r="A31" s="10">
        <v>43152.629908090283</v>
      </c>
      <c r="B31" s="11" t="s">
        <v>107</v>
      </c>
      <c r="C31" s="11">
        <v>130</v>
      </c>
      <c r="D31" s="11" t="s">
        <v>108</v>
      </c>
      <c r="E31" s="11">
        <v>9567738985</v>
      </c>
      <c r="F31" s="11" t="s">
        <v>46</v>
      </c>
      <c r="G31" s="11" t="s">
        <v>136</v>
      </c>
      <c r="H31" s="11">
        <v>64</v>
      </c>
      <c r="I31" s="12">
        <v>43152</v>
      </c>
      <c r="J31" s="2">
        <v>2</v>
      </c>
      <c r="K31" s="11">
        <v>1165306012035</v>
      </c>
      <c r="L31" s="11" t="s">
        <v>110</v>
      </c>
      <c r="M31" s="11" t="s">
        <v>27</v>
      </c>
      <c r="N31" s="12">
        <v>43143</v>
      </c>
      <c r="O31" s="12">
        <v>43143</v>
      </c>
      <c r="P31" s="11">
        <v>30</v>
      </c>
      <c r="Q31" s="11" t="s">
        <v>107</v>
      </c>
    </row>
    <row r="32" spans="1:17" ht="15.75" hidden="1" customHeight="1" x14ac:dyDescent="0.15">
      <c r="A32" s="10">
        <v>43152.655104664351</v>
      </c>
      <c r="B32" s="11" t="s">
        <v>137</v>
      </c>
      <c r="C32" s="11">
        <v>231</v>
      </c>
      <c r="D32" s="11" t="s">
        <v>138</v>
      </c>
      <c r="E32" s="11">
        <v>9820050071</v>
      </c>
      <c r="F32" s="11" t="s">
        <v>46</v>
      </c>
      <c r="G32" s="11" t="s">
        <v>96</v>
      </c>
      <c r="H32" s="11">
        <v>69</v>
      </c>
      <c r="I32" s="12">
        <v>43152</v>
      </c>
      <c r="J32" s="2">
        <v>30</v>
      </c>
      <c r="K32" s="11">
        <v>1167850009493</v>
      </c>
      <c r="L32" s="11" t="s">
        <v>139</v>
      </c>
      <c r="M32" s="11" t="s">
        <v>27</v>
      </c>
      <c r="N32" s="12">
        <v>43152</v>
      </c>
      <c r="O32" s="12">
        <v>43152</v>
      </c>
      <c r="P32" s="11">
        <v>30</v>
      </c>
      <c r="Q32" s="11" t="s">
        <v>140</v>
      </c>
    </row>
    <row r="33" spans="1:17" ht="15.75" hidden="1" customHeight="1" x14ac:dyDescent="0.15">
      <c r="A33" s="10">
        <v>43152.683282638885</v>
      </c>
      <c r="B33" s="11" t="s">
        <v>142</v>
      </c>
      <c r="C33" s="11">
        <v>113</v>
      </c>
      <c r="D33" s="11" t="s">
        <v>143</v>
      </c>
      <c r="E33" s="11">
        <v>9526992221</v>
      </c>
      <c r="F33" s="11" t="s">
        <v>35</v>
      </c>
      <c r="G33" s="11" t="s">
        <v>36</v>
      </c>
      <c r="H33" s="11">
        <v>20</v>
      </c>
      <c r="I33" s="12">
        <v>43150</v>
      </c>
      <c r="J33" s="2">
        <v>3</v>
      </c>
      <c r="K33" s="11">
        <v>1155580005336</v>
      </c>
      <c r="L33" s="11" t="s">
        <v>144</v>
      </c>
      <c r="M33" s="11" t="s">
        <v>27</v>
      </c>
      <c r="N33" s="12">
        <v>43089</v>
      </c>
      <c r="O33" s="12">
        <v>43089</v>
      </c>
      <c r="P33" s="11">
        <v>3</v>
      </c>
      <c r="Q33" s="11" t="s">
        <v>142</v>
      </c>
    </row>
    <row r="34" spans="1:17" ht="15.75" hidden="1" customHeight="1" x14ac:dyDescent="0.15">
      <c r="A34" s="10">
        <v>43152.689448206016</v>
      </c>
      <c r="B34" s="11" t="s">
        <v>142</v>
      </c>
      <c r="C34" s="11">
        <v>131</v>
      </c>
      <c r="D34" s="11" t="s">
        <v>145</v>
      </c>
      <c r="E34" s="11">
        <v>9526991119</v>
      </c>
      <c r="F34" s="11" t="s">
        <v>35</v>
      </c>
      <c r="G34" s="11" t="s">
        <v>36</v>
      </c>
      <c r="H34" s="11">
        <v>20</v>
      </c>
      <c r="I34" s="12">
        <v>43146</v>
      </c>
      <c r="J34" s="2">
        <v>5</v>
      </c>
      <c r="K34" s="11">
        <v>1155717002613</v>
      </c>
      <c r="L34" s="11" t="s">
        <v>146</v>
      </c>
      <c r="M34" s="11" t="s">
        <v>27</v>
      </c>
      <c r="N34" s="12">
        <v>43147</v>
      </c>
      <c r="O34" s="12">
        <v>43147</v>
      </c>
      <c r="P34" s="11">
        <v>5</v>
      </c>
      <c r="Q34" s="11" t="s">
        <v>142</v>
      </c>
    </row>
    <row r="35" spans="1:17" ht="15.75" hidden="1" customHeight="1" x14ac:dyDescent="0.15">
      <c r="A35" s="10">
        <v>43152.695205625001</v>
      </c>
      <c r="B35" s="11" t="s">
        <v>142</v>
      </c>
      <c r="C35" s="11">
        <v>90</v>
      </c>
      <c r="D35" s="11" t="s">
        <v>147</v>
      </c>
      <c r="E35" s="11">
        <v>9526992221</v>
      </c>
      <c r="F35" s="11" t="s">
        <v>35</v>
      </c>
      <c r="G35" s="11" t="s">
        <v>36</v>
      </c>
      <c r="H35" s="11">
        <v>20</v>
      </c>
      <c r="I35" s="12">
        <v>43151</v>
      </c>
      <c r="J35" s="2">
        <v>5</v>
      </c>
      <c r="K35" s="11">
        <v>1155642013934</v>
      </c>
      <c r="L35" s="11" t="s">
        <v>148</v>
      </c>
      <c r="M35" s="11" t="s">
        <v>27</v>
      </c>
      <c r="N35" s="12">
        <v>43151</v>
      </c>
      <c r="O35" s="12">
        <v>43151</v>
      </c>
      <c r="P35" s="11">
        <v>5</v>
      </c>
      <c r="Q35" s="11" t="s">
        <v>142</v>
      </c>
    </row>
    <row r="36" spans="1:17" ht="15.75" hidden="1" customHeight="1" x14ac:dyDescent="0.15">
      <c r="A36" s="10">
        <v>43152.697930983792</v>
      </c>
      <c r="B36" s="11" t="s">
        <v>142</v>
      </c>
      <c r="C36" s="11">
        <v>199</v>
      </c>
      <c r="D36" s="11" t="s">
        <v>149</v>
      </c>
      <c r="E36" s="11">
        <v>9526992221</v>
      </c>
      <c r="F36" s="11" t="s">
        <v>35</v>
      </c>
      <c r="G36" s="11" t="s">
        <v>36</v>
      </c>
      <c r="H36" s="11">
        <v>20</v>
      </c>
      <c r="I36" s="12">
        <v>43151</v>
      </c>
      <c r="J36" s="2">
        <v>3</v>
      </c>
      <c r="K36" s="11">
        <v>1157322013602</v>
      </c>
      <c r="L36" s="11" t="s">
        <v>150</v>
      </c>
      <c r="M36" s="11" t="s">
        <v>27</v>
      </c>
      <c r="N36" s="12">
        <v>43151</v>
      </c>
      <c r="O36" s="12">
        <v>43151</v>
      </c>
      <c r="P36" s="11">
        <v>3</v>
      </c>
      <c r="Q36" s="11" t="s">
        <v>142</v>
      </c>
    </row>
    <row r="37" spans="1:17" ht="15.75" hidden="1" customHeight="1" x14ac:dyDescent="0.15">
      <c r="A37" s="10">
        <v>43152.797209548611</v>
      </c>
      <c r="B37" s="11" t="s">
        <v>151</v>
      </c>
      <c r="C37" s="11">
        <v>265</v>
      </c>
      <c r="D37" s="11" t="s">
        <v>152</v>
      </c>
      <c r="E37" s="11">
        <v>7907009190</v>
      </c>
      <c r="F37" s="11" t="s">
        <v>40</v>
      </c>
      <c r="G37" s="11" t="s">
        <v>62</v>
      </c>
      <c r="H37" s="11">
        <v>42</v>
      </c>
      <c r="I37" s="12">
        <v>43152</v>
      </c>
      <c r="J37" s="2">
        <v>5</v>
      </c>
      <c r="K37" s="11">
        <v>1155021012360</v>
      </c>
      <c r="L37" s="11" t="s">
        <v>153</v>
      </c>
      <c r="M37" s="11" t="s">
        <v>27</v>
      </c>
      <c r="N37" s="12">
        <v>43000</v>
      </c>
      <c r="O37" s="12">
        <v>43180</v>
      </c>
      <c r="P37" s="11">
        <v>5</v>
      </c>
      <c r="Q37" s="11" t="s">
        <v>151</v>
      </c>
    </row>
    <row r="38" spans="1:17" ht="15.75" hidden="1" customHeight="1" x14ac:dyDescent="0.15">
      <c r="A38" s="10">
        <v>43152.801853206023</v>
      </c>
      <c r="B38" s="11" t="s">
        <v>151</v>
      </c>
      <c r="C38" s="11">
        <v>268</v>
      </c>
      <c r="D38" s="11" t="s">
        <v>154</v>
      </c>
      <c r="E38" s="11">
        <v>7907009190</v>
      </c>
      <c r="F38" s="11" t="s">
        <v>40</v>
      </c>
      <c r="G38" s="11" t="s">
        <v>62</v>
      </c>
      <c r="H38" s="11">
        <v>42</v>
      </c>
      <c r="I38" s="12">
        <v>43152</v>
      </c>
      <c r="J38" s="2">
        <v>5</v>
      </c>
      <c r="K38" s="11">
        <v>1155035025004</v>
      </c>
      <c r="L38" s="11" t="s">
        <v>155</v>
      </c>
      <c r="M38" s="11" t="s">
        <v>27</v>
      </c>
      <c r="N38" s="12">
        <v>43133</v>
      </c>
      <c r="O38" s="12">
        <v>43133</v>
      </c>
      <c r="P38" s="11">
        <v>5</v>
      </c>
      <c r="Q38" s="11" t="s">
        <v>151</v>
      </c>
    </row>
    <row r="39" spans="1:17" ht="15.75" hidden="1" customHeight="1" x14ac:dyDescent="0.15">
      <c r="A39" s="10">
        <v>43152.806572118054</v>
      </c>
      <c r="B39" s="11" t="s">
        <v>151</v>
      </c>
      <c r="C39" s="11">
        <v>266</v>
      </c>
      <c r="D39" s="11" t="s">
        <v>156</v>
      </c>
      <c r="E39" s="11">
        <v>7907009190</v>
      </c>
      <c r="F39" s="11" t="s">
        <v>40</v>
      </c>
      <c r="G39" s="11" t="s">
        <v>157</v>
      </c>
      <c r="H39" s="11">
        <v>42</v>
      </c>
      <c r="I39" s="12">
        <v>43152</v>
      </c>
      <c r="J39" s="2">
        <v>2</v>
      </c>
      <c r="K39" s="11">
        <v>1155055010510</v>
      </c>
      <c r="L39" s="11" t="s">
        <v>158</v>
      </c>
      <c r="M39" s="11" t="s">
        <v>27</v>
      </c>
      <c r="N39" s="12">
        <v>43150</v>
      </c>
      <c r="O39" s="12">
        <v>43150</v>
      </c>
      <c r="P39" s="11">
        <v>2</v>
      </c>
      <c r="Q39" s="11" t="s">
        <v>151</v>
      </c>
    </row>
    <row r="40" spans="1:17" ht="15.75" hidden="1" customHeight="1" x14ac:dyDescent="0.15">
      <c r="A40" s="10">
        <v>43152.809325208334</v>
      </c>
      <c r="B40" s="11" t="s">
        <v>151</v>
      </c>
      <c r="C40" s="11">
        <v>269</v>
      </c>
      <c r="D40" s="11" t="s">
        <v>159</v>
      </c>
      <c r="E40" s="11">
        <v>7907009190</v>
      </c>
      <c r="F40" s="11" t="s">
        <v>40</v>
      </c>
      <c r="G40" s="11" t="s">
        <v>157</v>
      </c>
      <c r="H40" s="11">
        <v>42</v>
      </c>
      <c r="I40" s="12">
        <v>43152</v>
      </c>
      <c r="J40" s="2">
        <v>3</v>
      </c>
      <c r="K40" s="11">
        <v>1155011021836</v>
      </c>
      <c r="L40" s="11" t="s">
        <v>160</v>
      </c>
      <c r="M40" s="11" t="s">
        <v>27</v>
      </c>
      <c r="N40" s="12">
        <v>43146</v>
      </c>
      <c r="O40" s="12">
        <v>43146</v>
      </c>
      <c r="P40" s="11">
        <v>3</v>
      </c>
      <c r="Q40" s="11" t="s">
        <v>151</v>
      </c>
    </row>
    <row r="41" spans="1:17" ht="15.75" customHeight="1" x14ac:dyDescent="0.15">
      <c r="A41" s="10">
        <v>43152.919039328699</v>
      </c>
      <c r="B41" s="11" t="s">
        <v>162</v>
      </c>
      <c r="C41" s="11">
        <v>88</v>
      </c>
      <c r="D41" s="11" t="s">
        <v>163</v>
      </c>
      <c r="E41" s="11">
        <v>9446340921</v>
      </c>
      <c r="F41" s="11" t="s">
        <v>24</v>
      </c>
      <c r="G41" s="11" t="s">
        <v>36</v>
      </c>
      <c r="H41" s="11">
        <v>20</v>
      </c>
      <c r="I41" s="12">
        <v>43146</v>
      </c>
      <c r="J41" s="2">
        <v>3</v>
      </c>
      <c r="K41" s="11">
        <v>1145149015233</v>
      </c>
      <c r="L41" s="11" t="s">
        <v>164</v>
      </c>
      <c r="M41" s="11" t="s">
        <v>27</v>
      </c>
      <c r="N41" s="12">
        <v>43145</v>
      </c>
      <c r="O41" s="12">
        <v>43145</v>
      </c>
      <c r="P41" s="11">
        <v>3</v>
      </c>
      <c r="Q41" s="11" t="s">
        <v>162</v>
      </c>
    </row>
    <row r="42" spans="1:17" ht="15.75" hidden="1" customHeight="1" x14ac:dyDescent="0.15">
      <c r="A42" s="10">
        <v>43152.937505185182</v>
      </c>
      <c r="B42" s="11" t="s">
        <v>165</v>
      </c>
      <c r="C42" s="11">
        <v>76</v>
      </c>
      <c r="D42" s="11" t="s">
        <v>166</v>
      </c>
      <c r="E42" s="11">
        <v>9496310978</v>
      </c>
      <c r="F42" s="11" t="s">
        <v>35</v>
      </c>
      <c r="G42" s="11" t="s">
        <v>126</v>
      </c>
      <c r="H42" s="11">
        <v>64</v>
      </c>
      <c r="I42" s="12">
        <v>43153</v>
      </c>
      <c r="J42" s="2">
        <v>5</v>
      </c>
      <c r="K42" s="11">
        <v>1155481007591</v>
      </c>
      <c r="L42" s="11">
        <v>5548</v>
      </c>
      <c r="M42" s="11" t="s">
        <v>27</v>
      </c>
      <c r="N42" s="12">
        <v>43143</v>
      </c>
      <c r="O42" s="12">
        <v>43143</v>
      </c>
      <c r="P42" s="11">
        <v>5</v>
      </c>
      <c r="Q42" s="11" t="s">
        <v>167</v>
      </c>
    </row>
    <row r="43" spans="1:17" ht="15.75" hidden="1" customHeight="1" x14ac:dyDescent="0.15">
      <c r="A43" s="10">
        <v>43153.474257395836</v>
      </c>
      <c r="B43" s="11" t="s">
        <v>168</v>
      </c>
      <c r="C43" s="11">
        <v>120</v>
      </c>
      <c r="D43" s="11" t="s">
        <v>169</v>
      </c>
      <c r="E43" s="11">
        <v>9349263691</v>
      </c>
      <c r="F43" s="11" t="s">
        <v>35</v>
      </c>
      <c r="G43" s="11" t="s">
        <v>170</v>
      </c>
      <c r="H43" s="11">
        <v>26</v>
      </c>
      <c r="I43" s="12">
        <v>43147</v>
      </c>
      <c r="J43" s="2">
        <v>5</v>
      </c>
      <c r="K43" s="11">
        <v>1155686011349</v>
      </c>
      <c r="L43" s="11" t="s">
        <v>171</v>
      </c>
      <c r="M43" s="11" t="s">
        <v>27</v>
      </c>
      <c r="N43" s="12">
        <v>43112</v>
      </c>
      <c r="O43" s="12">
        <v>43112</v>
      </c>
      <c r="P43" s="11">
        <v>5</v>
      </c>
      <c r="Q43" s="11" t="s">
        <v>168</v>
      </c>
    </row>
    <row r="44" spans="1:17" ht="15.75" hidden="1" customHeight="1" x14ac:dyDescent="0.15">
      <c r="A44" s="10">
        <v>43153.529426458335</v>
      </c>
      <c r="B44" s="11" t="s">
        <v>172</v>
      </c>
      <c r="C44" s="11">
        <v>85</v>
      </c>
      <c r="D44" s="11" t="s">
        <v>173</v>
      </c>
      <c r="E44" s="11">
        <v>9895071039</v>
      </c>
      <c r="F44" s="11" t="s">
        <v>35</v>
      </c>
      <c r="G44" s="11" t="s">
        <v>41</v>
      </c>
      <c r="H44" s="11">
        <v>56</v>
      </c>
      <c r="I44" s="12">
        <v>43153</v>
      </c>
      <c r="J44" s="2">
        <v>3</v>
      </c>
      <c r="K44" s="11">
        <v>1157396011050</v>
      </c>
      <c r="L44" s="11" t="s">
        <v>174</v>
      </c>
      <c r="M44" s="11" t="s">
        <v>27</v>
      </c>
      <c r="N44" s="12">
        <v>43153</v>
      </c>
      <c r="O44" s="12">
        <v>43153</v>
      </c>
      <c r="P44" s="11">
        <v>3</v>
      </c>
      <c r="Q44" s="11" t="s">
        <v>172</v>
      </c>
    </row>
    <row r="45" spans="1:17" ht="15.75" customHeight="1" x14ac:dyDescent="0.15">
      <c r="A45" s="10">
        <v>43153.587242013891</v>
      </c>
      <c r="B45" s="11" t="s">
        <v>22</v>
      </c>
      <c r="C45" s="11">
        <v>169</v>
      </c>
      <c r="D45" s="11" t="s">
        <v>175</v>
      </c>
      <c r="E45" s="11">
        <v>9072666513</v>
      </c>
      <c r="F45" s="11" t="s">
        <v>24</v>
      </c>
      <c r="G45" s="11" t="s">
        <v>25</v>
      </c>
      <c r="H45" s="11">
        <v>54</v>
      </c>
      <c r="I45" s="12">
        <v>43153</v>
      </c>
      <c r="J45" s="2">
        <v>5</v>
      </c>
      <c r="K45" s="11">
        <v>1145192018469</v>
      </c>
      <c r="L45" s="11" t="s">
        <v>26</v>
      </c>
      <c r="M45" s="11" t="s">
        <v>27</v>
      </c>
      <c r="N45" s="12">
        <v>43121</v>
      </c>
      <c r="O45" s="12">
        <v>43121</v>
      </c>
      <c r="P45" s="11">
        <v>5</v>
      </c>
      <c r="Q45" s="11" t="s">
        <v>22</v>
      </c>
    </row>
    <row r="46" spans="1:17" ht="15.75" hidden="1" customHeight="1" x14ac:dyDescent="0.15">
      <c r="A46" s="10">
        <v>43153.657367499996</v>
      </c>
      <c r="B46" s="11" t="s">
        <v>176</v>
      </c>
      <c r="C46" s="11">
        <v>43</v>
      </c>
      <c r="D46" s="11" t="s">
        <v>177</v>
      </c>
      <c r="E46" s="11">
        <v>735681771</v>
      </c>
      <c r="F46" s="11" t="s">
        <v>46</v>
      </c>
      <c r="G46" s="11" t="s">
        <v>178</v>
      </c>
      <c r="H46" s="11">
        <v>14</v>
      </c>
      <c r="I46" s="12">
        <v>43153</v>
      </c>
      <c r="J46" s="2">
        <v>2</v>
      </c>
      <c r="K46" s="11">
        <v>1165412035468</v>
      </c>
      <c r="L46" s="11" t="s">
        <v>179</v>
      </c>
      <c r="M46" s="11" t="s">
        <v>27</v>
      </c>
      <c r="N46" s="12">
        <v>43109</v>
      </c>
      <c r="O46" s="12">
        <v>43109</v>
      </c>
      <c r="P46" s="11">
        <v>2</v>
      </c>
      <c r="Q46" s="11" t="s">
        <v>176</v>
      </c>
    </row>
    <row r="47" spans="1:17" ht="15.75" hidden="1" customHeight="1" x14ac:dyDescent="0.15">
      <c r="A47" s="10">
        <v>43154.316357118056</v>
      </c>
      <c r="B47" s="11" t="s">
        <v>180</v>
      </c>
      <c r="C47" s="11">
        <v>116</v>
      </c>
      <c r="D47" s="11" t="s">
        <v>181</v>
      </c>
      <c r="E47" s="11">
        <v>7012771089</v>
      </c>
      <c r="F47" s="11" t="s">
        <v>182</v>
      </c>
      <c r="G47" s="11" t="s">
        <v>183</v>
      </c>
      <c r="H47" s="11">
        <v>56</v>
      </c>
      <c r="I47" s="12">
        <v>43153</v>
      </c>
      <c r="J47" s="2">
        <v>3</v>
      </c>
      <c r="K47" s="11">
        <v>1165851017666</v>
      </c>
      <c r="L47" s="11" t="s">
        <v>184</v>
      </c>
      <c r="M47" s="11" t="s">
        <v>27</v>
      </c>
      <c r="N47" s="12">
        <v>43153</v>
      </c>
      <c r="O47" s="12">
        <v>43153</v>
      </c>
      <c r="P47" s="11">
        <v>3</v>
      </c>
      <c r="Q47" s="11" t="s">
        <v>180</v>
      </c>
    </row>
    <row r="48" spans="1:17" ht="15.75" hidden="1" customHeight="1" x14ac:dyDescent="0.15">
      <c r="A48" s="10">
        <v>43154.516950925929</v>
      </c>
      <c r="B48" s="11" t="s">
        <v>185</v>
      </c>
      <c r="C48" s="11">
        <v>118</v>
      </c>
      <c r="D48" s="11" t="s">
        <v>186</v>
      </c>
      <c r="E48" s="11">
        <v>9497722244</v>
      </c>
      <c r="F48" s="11" t="s">
        <v>30</v>
      </c>
      <c r="G48" s="11" t="s">
        <v>36</v>
      </c>
      <c r="H48" s="11">
        <v>20</v>
      </c>
      <c r="I48" s="12">
        <v>43152</v>
      </c>
      <c r="J48" s="2">
        <v>3</v>
      </c>
      <c r="K48" s="11">
        <v>1156765007517</v>
      </c>
      <c r="L48" s="11" t="s">
        <v>187</v>
      </c>
      <c r="M48" s="11" t="s">
        <v>27</v>
      </c>
      <c r="N48" s="12">
        <v>43151</v>
      </c>
      <c r="O48" s="12">
        <v>43151</v>
      </c>
      <c r="P48" s="11">
        <v>3</v>
      </c>
      <c r="Q48" s="11" t="s">
        <v>185</v>
      </c>
    </row>
    <row r="49" spans="1:17" ht="15.75" hidden="1" customHeight="1" x14ac:dyDescent="0.15">
      <c r="A49" s="10">
        <v>43154.562432499995</v>
      </c>
      <c r="B49" s="11" t="s">
        <v>189</v>
      </c>
      <c r="C49" s="11">
        <v>39</v>
      </c>
      <c r="D49" s="11" t="s">
        <v>190</v>
      </c>
      <c r="E49" s="11">
        <v>9172762671</v>
      </c>
      <c r="F49" s="11" t="s">
        <v>30</v>
      </c>
      <c r="G49" s="11" t="s">
        <v>36</v>
      </c>
      <c r="H49" s="11">
        <v>20</v>
      </c>
      <c r="I49" s="12">
        <v>43152</v>
      </c>
      <c r="J49" s="2">
        <v>3</v>
      </c>
      <c r="K49" s="11">
        <v>1156622018914</v>
      </c>
      <c r="L49" s="11" t="s">
        <v>191</v>
      </c>
      <c r="M49" s="11" t="s">
        <v>27</v>
      </c>
      <c r="N49" s="12">
        <v>43138</v>
      </c>
      <c r="O49" s="12">
        <v>43138</v>
      </c>
      <c r="P49" s="11">
        <v>3</v>
      </c>
      <c r="Q49" s="11" t="s">
        <v>185</v>
      </c>
    </row>
    <row r="50" spans="1:17" ht="15.75" hidden="1" customHeight="1" x14ac:dyDescent="0.15">
      <c r="A50" s="10">
        <v>43154.623336932869</v>
      </c>
      <c r="B50" s="11" t="s">
        <v>192</v>
      </c>
      <c r="C50" s="11">
        <v>166</v>
      </c>
      <c r="D50" s="11" t="s">
        <v>193</v>
      </c>
      <c r="E50" s="11">
        <v>8943674152</v>
      </c>
      <c r="F50" s="11" t="s">
        <v>30</v>
      </c>
      <c r="G50" s="11" t="s">
        <v>62</v>
      </c>
      <c r="H50" s="11">
        <v>42</v>
      </c>
      <c r="I50" s="12">
        <v>43155</v>
      </c>
      <c r="J50" s="2">
        <v>5</v>
      </c>
      <c r="K50" s="11">
        <v>1156715007915</v>
      </c>
      <c r="L50" s="11" t="s">
        <v>194</v>
      </c>
      <c r="M50" s="11" t="s">
        <v>27</v>
      </c>
      <c r="N50" s="12">
        <v>43118</v>
      </c>
      <c r="O50" s="12">
        <v>43118</v>
      </c>
      <c r="P50" s="11">
        <v>5</v>
      </c>
      <c r="Q50" s="11" t="s">
        <v>192</v>
      </c>
    </row>
    <row r="51" spans="1:17" ht="15.75" hidden="1" customHeight="1" x14ac:dyDescent="0.15">
      <c r="A51" s="10">
        <v>43154.625863912035</v>
      </c>
      <c r="B51" s="11" t="s">
        <v>195</v>
      </c>
      <c r="C51" s="11">
        <v>32</v>
      </c>
      <c r="D51" s="11" t="s">
        <v>196</v>
      </c>
      <c r="E51" s="11">
        <v>8136855666</v>
      </c>
      <c r="F51" s="11" t="s">
        <v>182</v>
      </c>
      <c r="G51" s="11" t="s">
        <v>121</v>
      </c>
      <c r="H51" s="11">
        <v>3</v>
      </c>
      <c r="I51" s="12">
        <v>43157</v>
      </c>
      <c r="J51" s="2">
        <v>10</v>
      </c>
      <c r="K51" s="11">
        <v>1165781000010</v>
      </c>
      <c r="L51" s="11" t="s">
        <v>197</v>
      </c>
      <c r="M51" s="11" t="s">
        <v>27</v>
      </c>
      <c r="N51" s="12">
        <v>43157</v>
      </c>
      <c r="O51" s="12">
        <v>43157</v>
      </c>
      <c r="P51" s="11">
        <v>10</v>
      </c>
      <c r="Q51" s="11" t="s">
        <v>123</v>
      </c>
    </row>
    <row r="52" spans="1:17" ht="15.75" hidden="1" customHeight="1" x14ac:dyDescent="0.15">
      <c r="A52" s="10">
        <v>43154.646523587959</v>
      </c>
      <c r="B52" s="11" t="s">
        <v>192</v>
      </c>
      <c r="C52" s="11">
        <v>67</v>
      </c>
      <c r="D52" s="11" t="s">
        <v>198</v>
      </c>
      <c r="E52" s="11">
        <v>8943674152</v>
      </c>
      <c r="F52" s="11" t="s">
        <v>30</v>
      </c>
      <c r="G52" s="11" t="s">
        <v>199</v>
      </c>
      <c r="H52" s="11">
        <v>42</v>
      </c>
      <c r="I52" s="12">
        <v>43154</v>
      </c>
      <c r="J52" s="2">
        <v>10</v>
      </c>
      <c r="K52" s="11">
        <v>2125</v>
      </c>
      <c r="L52" s="11" t="s">
        <v>200</v>
      </c>
      <c r="M52" s="11" t="s">
        <v>27</v>
      </c>
      <c r="N52" s="12">
        <v>43150</v>
      </c>
      <c r="O52" s="12">
        <v>43150</v>
      </c>
      <c r="P52" s="11">
        <v>10</v>
      </c>
      <c r="Q52" s="11" t="s">
        <v>192</v>
      </c>
    </row>
    <row r="53" spans="1:17" ht="15.75" hidden="1" customHeight="1" x14ac:dyDescent="0.15">
      <c r="A53" s="10">
        <v>43154.650785324076</v>
      </c>
      <c r="B53" s="11" t="s">
        <v>192</v>
      </c>
      <c r="C53" s="11">
        <v>66</v>
      </c>
      <c r="D53" s="11" t="s">
        <v>201</v>
      </c>
      <c r="E53" s="11">
        <v>8943674152</v>
      </c>
      <c r="F53" s="11" t="s">
        <v>30</v>
      </c>
      <c r="G53" s="11" t="s">
        <v>62</v>
      </c>
      <c r="H53" s="11">
        <v>42</v>
      </c>
      <c r="I53" s="12">
        <v>43155</v>
      </c>
      <c r="J53" s="2">
        <v>10</v>
      </c>
      <c r="K53" s="11">
        <v>1156855009783</v>
      </c>
      <c r="L53" s="11" t="s">
        <v>202</v>
      </c>
      <c r="M53" s="11" t="s">
        <v>27</v>
      </c>
      <c r="N53" s="12">
        <v>43147</v>
      </c>
      <c r="O53" s="12">
        <v>43147</v>
      </c>
      <c r="P53" s="11">
        <v>10</v>
      </c>
      <c r="Q53" s="11" t="s">
        <v>192</v>
      </c>
    </row>
    <row r="54" spans="1:17" ht="15.75" hidden="1" customHeight="1" x14ac:dyDescent="0.15">
      <c r="A54" s="10">
        <v>43154.678672916663</v>
      </c>
      <c r="B54" s="11" t="s">
        <v>185</v>
      </c>
      <c r="C54" s="11">
        <v>9</v>
      </c>
      <c r="D54" s="11" t="s">
        <v>203</v>
      </c>
      <c r="E54" s="11">
        <v>9496060845</v>
      </c>
      <c r="F54" s="11" t="s">
        <v>30</v>
      </c>
      <c r="G54" s="11" t="s">
        <v>36</v>
      </c>
      <c r="H54" s="11">
        <v>20</v>
      </c>
      <c r="I54" s="12">
        <v>43147</v>
      </c>
      <c r="J54" s="2">
        <v>3</v>
      </c>
      <c r="K54" s="11">
        <v>1156718008235</v>
      </c>
      <c r="L54" s="11" t="s">
        <v>205</v>
      </c>
      <c r="M54" s="11" t="s">
        <v>27</v>
      </c>
      <c r="N54" s="12">
        <v>43145</v>
      </c>
      <c r="O54" s="12">
        <v>43145</v>
      </c>
      <c r="P54" s="11">
        <v>3</v>
      </c>
      <c r="Q54" s="11" t="s">
        <v>185</v>
      </c>
    </row>
    <row r="55" spans="1:17" ht="15.75" hidden="1" customHeight="1" x14ac:dyDescent="0.15">
      <c r="A55" s="10">
        <v>43154.688342222224</v>
      </c>
      <c r="B55" s="11" t="s">
        <v>206</v>
      </c>
      <c r="C55" s="11">
        <v>203</v>
      </c>
      <c r="D55" s="11" t="s">
        <v>207</v>
      </c>
      <c r="E55" s="11">
        <v>8078213924</v>
      </c>
      <c r="F55" s="11" t="s">
        <v>56</v>
      </c>
      <c r="G55" s="11" t="s">
        <v>208</v>
      </c>
      <c r="H55" s="11">
        <v>38</v>
      </c>
      <c r="I55" s="12">
        <v>43154</v>
      </c>
      <c r="J55" s="2">
        <v>10</v>
      </c>
      <c r="K55" s="11">
        <v>1155308013048</v>
      </c>
      <c r="L55" s="11" t="s">
        <v>209</v>
      </c>
      <c r="M55" s="11" t="s">
        <v>27</v>
      </c>
      <c r="N55" s="12">
        <v>43127</v>
      </c>
      <c r="O55" s="12">
        <v>43127</v>
      </c>
      <c r="P55" s="11">
        <v>10</v>
      </c>
      <c r="Q55" s="11" t="s">
        <v>206</v>
      </c>
    </row>
    <row r="56" spans="1:17" ht="15.75" hidden="1" customHeight="1" x14ac:dyDescent="0.15">
      <c r="A56" s="10">
        <v>43154.689196458334</v>
      </c>
      <c r="B56" s="11" t="s">
        <v>210</v>
      </c>
      <c r="C56" s="11">
        <v>10</v>
      </c>
      <c r="D56" s="11" t="s">
        <v>211</v>
      </c>
      <c r="E56" s="11">
        <v>9946717694</v>
      </c>
      <c r="F56" s="11" t="s">
        <v>30</v>
      </c>
      <c r="G56" s="11" t="s">
        <v>36</v>
      </c>
      <c r="H56" s="11">
        <v>20</v>
      </c>
      <c r="I56" s="12">
        <v>43152</v>
      </c>
      <c r="J56" s="2">
        <v>3</v>
      </c>
      <c r="K56" s="11">
        <v>1156903012873</v>
      </c>
      <c r="L56" s="11" t="s">
        <v>212</v>
      </c>
      <c r="M56" s="11" t="s">
        <v>27</v>
      </c>
      <c r="N56" s="12">
        <v>42967</v>
      </c>
      <c r="O56" s="12">
        <v>42967</v>
      </c>
      <c r="P56" s="11">
        <v>3</v>
      </c>
      <c r="Q56" s="11" t="s">
        <v>185</v>
      </c>
    </row>
    <row r="57" spans="1:17" ht="15.75" hidden="1" customHeight="1" x14ac:dyDescent="0.15">
      <c r="A57" s="10">
        <v>43154.711327557874</v>
      </c>
      <c r="B57" s="11" t="s">
        <v>213</v>
      </c>
      <c r="C57" s="11">
        <v>328</v>
      </c>
      <c r="D57" s="11" t="s">
        <v>214</v>
      </c>
      <c r="E57" s="11">
        <v>8086904242</v>
      </c>
      <c r="F57" s="11" t="s">
        <v>30</v>
      </c>
      <c r="G57" s="11" t="s">
        <v>215</v>
      </c>
      <c r="H57" s="11">
        <v>27</v>
      </c>
      <c r="I57" s="12">
        <v>43154</v>
      </c>
      <c r="J57" s="2">
        <v>3</v>
      </c>
      <c r="K57" s="11">
        <v>1156425001065</v>
      </c>
      <c r="L57" s="11" t="s">
        <v>216</v>
      </c>
      <c r="M57" s="11" t="s">
        <v>27</v>
      </c>
      <c r="N57" s="12">
        <v>43150</v>
      </c>
      <c r="O57" s="12">
        <v>43150</v>
      </c>
      <c r="P57" s="11">
        <v>3</v>
      </c>
      <c r="Q57" s="11" t="s">
        <v>213</v>
      </c>
    </row>
    <row r="58" spans="1:17" ht="15.75" hidden="1" customHeight="1" x14ac:dyDescent="0.15">
      <c r="A58" s="10">
        <v>43154.787415555555</v>
      </c>
      <c r="B58" s="11" t="s">
        <v>217</v>
      </c>
      <c r="C58" s="11">
        <v>330</v>
      </c>
      <c r="D58" s="11" t="s">
        <v>218</v>
      </c>
      <c r="E58" s="11">
        <v>701262151</v>
      </c>
      <c r="F58" s="11" t="s">
        <v>30</v>
      </c>
      <c r="G58" s="11" t="s">
        <v>219</v>
      </c>
      <c r="H58" s="11">
        <v>56</v>
      </c>
      <c r="I58" s="12">
        <v>43154</v>
      </c>
      <c r="J58" s="2">
        <v>2</v>
      </c>
      <c r="K58" s="11">
        <v>1156854005342</v>
      </c>
      <c r="L58" s="11" t="s">
        <v>220</v>
      </c>
      <c r="M58" s="11" t="s">
        <v>27</v>
      </c>
      <c r="N58" s="12">
        <v>43153</v>
      </c>
      <c r="O58" s="12">
        <v>43153</v>
      </c>
      <c r="P58" s="11">
        <v>2</v>
      </c>
      <c r="Q58" s="11" t="s">
        <v>217</v>
      </c>
    </row>
    <row r="59" spans="1:17" ht="15.75" hidden="1" customHeight="1" x14ac:dyDescent="0.15">
      <c r="A59" s="10">
        <v>43155.505047465282</v>
      </c>
      <c r="B59" s="11" t="s">
        <v>206</v>
      </c>
      <c r="C59" s="11">
        <v>188</v>
      </c>
      <c r="D59" s="11" t="s">
        <v>221</v>
      </c>
      <c r="E59" s="11">
        <v>8078213924</v>
      </c>
      <c r="F59" s="11" t="s">
        <v>56</v>
      </c>
      <c r="G59" s="11" t="s">
        <v>208</v>
      </c>
      <c r="H59" s="11">
        <v>38</v>
      </c>
      <c r="I59" s="12">
        <v>43124</v>
      </c>
      <c r="J59" s="2">
        <v>3</v>
      </c>
      <c r="K59" s="11">
        <v>1146498008145</v>
      </c>
      <c r="L59" s="11" t="s">
        <v>223</v>
      </c>
      <c r="M59" s="11" t="s">
        <v>27</v>
      </c>
      <c r="N59" s="12">
        <v>43141</v>
      </c>
      <c r="O59" s="12">
        <v>43141</v>
      </c>
      <c r="P59" s="11">
        <v>3</v>
      </c>
      <c r="Q59" s="11" t="s">
        <v>206</v>
      </c>
    </row>
    <row r="60" spans="1:17" ht="15.75" hidden="1" customHeight="1" x14ac:dyDescent="0.15">
      <c r="A60" s="10">
        <v>43155.519887453702</v>
      </c>
      <c r="B60" s="11" t="s">
        <v>206</v>
      </c>
      <c r="C60" s="11">
        <v>155</v>
      </c>
      <c r="D60" s="11" t="s">
        <v>224</v>
      </c>
      <c r="E60" s="11">
        <v>8078213924</v>
      </c>
      <c r="F60" s="11" t="s">
        <v>61</v>
      </c>
      <c r="G60" s="11" t="s">
        <v>208</v>
      </c>
      <c r="H60" s="11">
        <v>38</v>
      </c>
      <c r="I60" s="12">
        <v>43155</v>
      </c>
      <c r="J60" s="2">
        <v>3</v>
      </c>
      <c r="K60" s="11">
        <v>1146170020618</v>
      </c>
      <c r="L60" s="11" t="s">
        <v>225</v>
      </c>
      <c r="M60" s="11" t="s">
        <v>27</v>
      </c>
      <c r="N60" s="12">
        <v>43119</v>
      </c>
      <c r="O60" s="12">
        <v>43119</v>
      </c>
      <c r="P60" s="11">
        <v>3</v>
      </c>
      <c r="Q60" s="11" t="s">
        <v>206</v>
      </c>
    </row>
    <row r="61" spans="1:17" ht="13" hidden="1" x14ac:dyDescent="0.15">
      <c r="A61" s="10">
        <v>43155.524864849533</v>
      </c>
      <c r="B61" s="11" t="s">
        <v>206</v>
      </c>
      <c r="C61" s="11">
        <v>160</v>
      </c>
      <c r="D61" s="11" t="s">
        <v>226</v>
      </c>
      <c r="E61" s="11">
        <v>8078213924</v>
      </c>
      <c r="F61" s="11" t="s">
        <v>56</v>
      </c>
      <c r="G61" s="11" t="s">
        <v>208</v>
      </c>
      <c r="H61" s="11">
        <v>38</v>
      </c>
      <c r="I61" s="12">
        <v>43155</v>
      </c>
      <c r="J61" s="2">
        <v>3</v>
      </c>
      <c r="K61" s="11">
        <v>1146365026859</v>
      </c>
      <c r="L61" s="11">
        <v>1146365026859</v>
      </c>
      <c r="M61" s="11" t="s">
        <v>27</v>
      </c>
      <c r="N61" s="12">
        <v>43153</v>
      </c>
      <c r="O61" s="12">
        <v>43153</v>
      </c>
      <c r="P61" s="11">
        <v>3</v>
      </c>
      <c r="Q61" s="11" t="s">
        <v>206</v>
      </c>
    </row>
    <row r="62" spans="1:17" ht="13" hidden="1" x14ac:dyDescent="0.15">
      <c r="A62" s="10">
        <v>43155.559132094902</v>
      </c>
      <c r="B62" s="11" t="s">
        <v>227</v>
      </c>
      <c r="C62" s="11">
        <v>53</v>
      </c>
      <c r="D62" s="11" t="s">
        <v>228</v>
      </c>
      <c r="E62" s="11">
        <v>8137874406</v>
      </c>
      <c r="F62" s="11" t="s">
        <v>35</v>
      </c>
      <c r="G62" s="11" t="s">
        <v>157</v>
      </c>
      <c r="H62" s="11">
        <v>42</v>
      </c>
      <c r="I62" s="12">
        <v>43147</v>
      </c>
      <c r="J62" s="2">
        <v>25</v>
      </c>
      <c r="K62" s="11">
        <v>1155980017477</v>
      </c>
      <c r="L62" s="11" t="s">
        <v>82</v>
      </c>
      <c r="M62" s="11" t="s">
        <v>27</v>
      </c>
      <c r="N62" s="12">
        <v>43148</v>
      </c>
      <c r="O62" s="12">
        <v>43148</v>
      </c>
      <c r="P62" s="11">
        <v>25</v>
      </c>
      <c r="Q62" s="11" t="s">
        <v>227</v>
      </c>
    </row>
    <row r="63" spans="1:17" ht="13" hidden="1" x14ac:dyDescent="0.15">
      <c r="A63" s="10">
        <v>43155.567417743056</v>
      </c>
      <c r="B63" s="11" t="s">
        <v>227</v>
      </c>
      <c r="C63" s="11">
        <v>52</v>
      </c>
      <c r="D63" s="11" t="s">
        <v>229</v>
      </c>
      <c r="E63" s="11">
        <v>8137874406</v>
      </c>
      <c r="F63" s="11" t="s">
        <v>35</v>
      </c>
      <c r="G63" s="11" t="s">
        <v>157</v>
      </c>
      <c r="H63" s="11">
        <v>42</v>
      </c>
      <c r="I63" s="12">
        <v>43147</v>
      </c>
      <c r="J63" s="2">
        <v>3</v>
      </c>
      <c r="K63" s="11">
        <v>1155987008672</v>
      </c>
      <c r="L63" s="11" t="s">
        <v>82</v>
      </c>
      <c r="M63" s="11" t="s">
        <v>27</v>
      </c>
      <c r="N63" s="12">
        <v>43152</v>
      </c>
      <c r="O63" s="12">
        <v>43152</v>
      </c>
      <c r="P63" s="11">
        <v>3</v>
      </c>
      <c r="Q63" s="11" t="s">
        <v>227</v>
      </c>
    </row>
    <row r="64" spans="1:17" ht="13" hidden="1" x14ac:dyDescent="0.15">
      <c r="A64" s="10">
        <v>43155.573897210648</v>
      </c>
      <c r="B64" s="11" t="s">
        <v>227</v>
      </c>
      <c r="C64" s="11">
        <v>54</v>
      </c>
      <c r="D64" s="11" t="s">
        <v>230</v>
      </c>
      <c r="E64" s="11">
        <v>8137874406</v>
      </c>
      <c r="F64" s="11" t="s">
        <v>35</v>
      </c>
      <c r="G64" s="11" t="s">
        <v>157</v>
      </c>
      <c r="H64" s="11">
        <v>42</v>
      </c>
      <c r="I64" s="12">
        <v>43147</v>
      </c>
      <c r="J64" s="2">
        <v>3</v>
      </c>
      <c r="K64" s="11">
        <v>1155986013954</v>
      </c>
      <c r="L64" s="11" t="s">
        <v>82</v>
      </c>
      <c r="M64" s="11" t="s">
        <v>27</v>
      </c>
      <c r="N64" s="12">
        <v>43153</v>
      </c>
      <c r="O64" s="12">
        <v>43153</v>
      </c>
      <c r="P64" s="11">
        <v>3</v>
      </c>
      <c r="Q64" s="11" t="s">
        <v>227</v>
      </c>
    </row>
    <row r="65" spans="1:17" ht="13" hidden="1" x14ac:dyDescent="0.15">
      <c r="A65" s="10">
        <v>43155.622865625002</v>
      </c>
      <c r="B65" s="11" t="s">
        <v>231</v>
      </c>
      <c r="C65" s="11">
        <v>98</v>
      </c>
      <c r="D65" s="11" t="s">
        <v>232</v>
      </c>
      <c r="E65" s="11">
        <v>9072666503</v>
      </c>
      <c r="F65" s="11" t="s">
        <v>30</v>
      </c>
      <c r="G65" s="11" t="s">
        <v>234</v>
      </c>
      <c r="H65" s="11">
        <v>54</v>
      </c>
      <c r="I65" s="12">
        <v>43153</v>
      </c>
      <c r="J65" s="2">
        <v>3</v>
      </c>
      <c r="K65" s="11">
        <v>1156862016091</v>
      </c>
      <c r="L65" s="11" t="s">
        <v>235</v>
      </c>
      <c r="M65" s="11" t="s">
        <v>27</v>
      </c>
      <c r="N65" s="12">
        <v>43153</v>
      </c>
      <c r="O65" s="12">
        <v>43153</v>
      </c>
      <c r="P65" s="11">
        <v>3</v>
      </c>
      <c r="Q65" s="11" t="s">
        <v>231</v>
      </c>
    </row>
    <row r="66" spans="1:17" ht="13" hidden="1" x14ac:dyDescent="0.15">
      <c r="A66" s="10">
        <v>43155.636337974538</v>
      </c>
      <c r="B66" s="11" t="s">
        <v>236</v>
      </c>
      <c r="C66" s="11">
        <v>98</v>
      </c>
      <c r="D66" s="11" t="s">
        <v>237</v>
      </c>
      <c r="E66" s="11">
        <v>9072666503</v>
      </c>
      <c r="F66" s="11" t="s">
        <v>30</v>
      </c>
      <c r="G66" s="11" t="s">
        <v>238</v>
      </c>
      <c r="H66" s="11">
        <v>54</v>
      </c>
      <c r="I66" s="12">
        <v>43153</v>
      </c>
      <c r="J66" s="2">
        <v>3</v>
      </c>
      <c r="K66" s="11">
        <v>1156862016091</v>
      </c>
      <c r="L66" s="11" t="s">
        <v>239</v>
      </c>
      <c r="M66" s="11" t="s">
        <v>27</v>
      </c>
      <c r="N66" s="12">
        <v>43152</v>
      </c>
      <c r="O66" s="12">
        <v>43152</v>
      </c>
      <c r="P66" s="11">
        <v>3</v>
      </c>
      <c r="Q66" s="11" t="s">
        <v>22</v>
      </c>
    </row>
    <row r="67" spans="1:17" ht="13" hidden="1" x14ac:dyDescent="0.15">
      <c r="A67" s="10">
        <v>43155.645403495371</v>
      </c>
      <c r="B67" s="11" t="s">
        <v>227</v>
      </c>
      <c r="C67" s="11">
        <v>27</v>
      </c>
      <c r="D67" s="11" t="s">
        <v>240</v>
      </c>
      <c r="E67" s="11">
        <v>8137874406</v>
      </c>
      <c r="F67" s="11" t="s">
        <v>30</v>
      </c>
      <c r="G67" s="11" t="s">
        <v>157</v>
      </c>
      <c r="H67" s="11">
        <v>42</v>
      </c>
      <c r="I67" s="12">
        <v>43151</v>
      </c>
      <c r="J67" s="2">
        <v>5</v>
      </c>
      <c r="K67" s="11">
        <v>1156727019579</v>
      </c>
      <c r="L67" s="11" t="s">
        <v>241</v>
      </c>
      <c r="M67" s="11" t="s">
        <v>27</v>
      </c>
      <c r="N67" s="12">
        <v>43152</v>
      </c>
      <c r="O67" s="12">
        <v>43152</v>
      </c>
      <c r="P67" s="11">
        <v>5</v>
      </c>
      <c r="Q67" s="11" t="s">
        <v>227</v>
      </c>
    </row>
    <row r="68" spans="1:17" ht="13" hidden="1" x14ac:dyDescent="0.15">
      <c r="A68" s="10">
        <v>43155.65307299768</v>
      </c>
      <c r="B68" s="11" t="s">
        <v>227</v>
      </c>
      <c r="C68" s="11">
        <v>51</v>
      </c>
      <c r="D68" s="11" t="s">
        <v>242</v>
      </c>
      <c r="E68" s="11">
        <v>8137874406</v>
      </c>
      <c r="F68" s="11" t="s">
        <v>30</v>
      </c>
      <c r="G68" s="11" t="s">
        <v>157</v>
      </c>
      <c r="H68" s="11">
        <v>42</v>
      </c>
      <c r="I68" s="12">
        <v>43151</v>
      </c>
      <c r="J68" s="2">
        <v>3</v>
      </c>
      <c r="K68" s="11">
        <v>1156877000012</v>
      </c>
      <c r="L68" s="11" t="s">
        <v>243</v>
      </c>
      <c r="M68" s="11" t="s">
        <v>27</v>
      </c>
      <c r="N68" s="12">
        <v>43153</v>
      </c>
      <c r="O68" s="12">
        <v>43153</v>
      </c>
      <c r="P68" s="11">
        <v>3</v>
      </c>
      <c r="Q68" s="11" t="s">
        <v>227</v>
      </c>
    </row>
    <row r="69" spans="1:17" ht="13" hidden="1" x14ac:dyDescent="0.15">
      <c r="A69" s="10">
        <v>43155.677140092594</v>
      </c>
      <c r="B69" s="11" t="s">
        <v>227</v>
      </c>
      <c r="C69" s="11">
        <v>228</v>
      </c>
      <c r="D69" s="11" t="s">
        <v>244</v>
      </c>
      <c r="E69" s="11">
        <v>8137874406</v>
      </c>
      <c r="F69" s="11" t="s">
        <v>40</v>
      </c>
      <c r="G69" s="11" t="s">
        <v>157</v>
      </c>
      <c r="H69" s="11">
        <v>42</v>
      </c>
      <c r="I69" s="12">
        <v>43153</v>
      </c>
      <c r="J69" s="2">
        <v>10</v>
      </c>
      <c r="K69" s="11">
        <v>1155289011283</v>
      </c>
      <c r="L69" s="11" t="s">
        <v>245</v>
      </c>
      <c r="M69" s="11" t="s">
        <v>27</v>
      </c>
      <c r="N69" s="12">
        <v>43151</v>
      </c>
      <c r="O69" s="12">
        <v>43151</v>
      </c>
      <c r="P69" s="11">
        <v>10</v>
      </c>
      <c r="Q69" s="11" t="s">
        <v>227</v>
      </c>
    </row>
    <row r="70" spans="1:17" ht="13" hidden="1" x14ac:dyDescent="0.15">
      <c r="A70" s="10">
        <v>43155.683090162041</v>
      </c>
      <c r="B70" s="11" t="s">
        <v>227</v>
      </c>
      <c r="C70" s="11">
        <v>178</v>
      </c>
      <c r="D70" s="11" t="s">
        <v>246</v>
      </c>
      <c r="E70" s="11">
        <v>8137874406</v>
      </c>
      <c r="F70" s="11" t="s">
        <v>35</v>
      </c>
      <c r="G70" s="11" t="s">
        <v>157</v>
      </c>
      <c r="H70" s="11">
        <v>42</v>
      </c>
      <c r="I70" s="12">
        <v>43152</v>
      </c>
      <c r="J70" s="2">
        <v>3</v>
      </c>
      <c r="K70" s="11">
        <v>1155489018489</v>
      </c>
      <c r="L70" s="11" t="s">
        <v>247</v>
      </c>
      <c r="M70" s="11" t="s">
        <v>27</v>
      </c>
      <c r="N70" s="12">
        <v>43150</v>
      </c>
      <c r="O70" s="12">
        <v>43150</v>
      </c>
      <c r="P70" s="11">
        <v>3</v>
      </c>
      <c r="Q70" s="11" t="s">
        <v>227</v>
      </c>
    </row>
    <row r="71" spans="1:17" ht="13" hidden="1" x14ac:dyDescent="0.15">
      <c r="A71" s="10">
        <v>43157.50004215278</v>
      </c>
      <c r="B71" s="11" t="s">
        <v>248</v>
      </c>
      <c r="C71" s="11">
        <v>350</v>
      </c>
      <c r="D71" s="11" t="s">
        <v>249</v>
      </c>
      <c r="E71" s="11">
        <v>9745899949</v>
      </c>
      <c r="F71" s="11" t="s">
        <v>30</v>
      </c>
      <c r="G71" s="11" t="s">
        <v>134</v>
      </c>
      <c r="H71" s="11">
        <v>47</v>
      </c>
      <c r="I71" s="12">
        <v>43157</v>
      </c>
      <c r="J71" s="2">
        <v>5</v>
      </c>
      <c r="K71" s="11">
        <v>1157012025516</v>
      </c>
      <c r="L71" s="11" t="s">
        <v>251</v>
      </c>
      <c r="M71" s="11" t="s">
        <v>27</v>
      </c>
      <c r="N71" s="12">
        <v>42880</v>
      </c>
      <c r="O71" s="12">
        <v>42880</v>
      </c>
      <c r="P71" s="11">
        <v>5</v>
      </c>
      <c r="Q71" s="11" t="s">
        <v>248</v>
      </c>
    </row>
    <row r="72" spans="1:17" ht="13" hidden="1" x14ac:dyDescent="0.15">
      <c r="A72" s="10">
        <v>43157.509635833332</v>
      </c>
      <c r="B72" s="11" t="s">
        <v>252</v>
      </c>
      <c r="C72" s="11">
        <v>349</v>
      </c>
      <c r="D72" s="11" t="s">
        <v>253</v>
      </c>
      <c r="E72" s="11">
        <v>9745899949</v>
      </c>
      <c r="F72" s="11" t="s">
        <v>182</v>
      </c>
      <c r="G72" s="11" t="s">
        <v>134</v>
      </c>
      <c r="H72" s="11">
        <v>47</v>
      </c>
      <c r="I72" s="12">
        <v>43157</v>
      </c>
      <c r="J72" s="2">
        <v>5</v>
      </c>
      <c r="K72" s="11">
        <v>1165384004226</v>
      </c>
      <c r="L72" s="11" t="s">
        <v>254</v>
      </c>
      <c r="M72" s="11" t="s">
        <v>27</v>
      </c>
      <c r="N72" s="12">
        <v>42992</v>
      </c>
      <c r="O72" s="12">
        <v>42992</v>
      </c>
      <c r="P72" s="11">
        <v>5</v>
      </c>
      <c r="Q72" s="11" t="s">
        <v>252</v>
      </c>
    </row>
    <row r="73" spans="1:17" ht="13" hidden="1" x14ac:dyDescent="0.15">
      <c r="A73" s="10">
        <v>43157.52665590278</v>
      </c>
      <c r="B73" s="11" t="s">
        <v>255</v>
      </c>
      <c r="C73" s="11">
        <v>348</v>
      </c>
      <c r="D73" s="11" t="s">
        <v>256</v>
      </c>
      <c r="E73" s="11">
        <v>9562233099</v>
      </c>
      <c r="F73" s="11" t="s">
        <v>56</v>
      </c>
      <c r="G73" s="11" t="s">
        <v>134</v>
      </c>
      <c r="H73" s="11">
        <v>47</v>
      </c>
      <c r="I73" s="12">
        <v>43157</v>
      </c>
      <c r="J73" s="2">
        <v>3</v>
      </c>
      <c r="K73" s="11">
        <v>1156246021005</v>
      </c>
      <c r="L73" s="11" t="s">
        <v>257</v>
      </c>
      <c r="M73" s="11" t="s">
        <v>27</v>
      </c>
      <c r="N73" s="12">
        <v>42908</v>
      </c>
      <c r="O73" s="12">
        <v>42908</v>
      </c>
      <c r="P73" s="11">
        <v>3</v>
      </c>
      <c r="Q73" s="11" t="s">
        <v>255</v>
      </c>
    </row>
    <row r="74" spans="1:17" ht="13" hidden="1" x14ac:dyDescent="0.15">
      <c r="A74" s="10">
        <v>43157.53189002315</v>
      </c>
      <c r="B74" s="11" t="s">
        <v>258</v>
      </c>
      <c r="C74" s="11">
        <v>346</v>
      </c>
      <c r="D74" s="11" t="s">
        <v>259</v>
      </c>
      <c r="E74" s="11">
        <v>9562233099</v>
      </c>
      <c r="F74" s="11" t="s">
        <v>56</v>
      </c>
      <c r="G74" s="11" t="s">
        <v>134</v>
      </c>
      <c r="H74" s="11">
        <v>47</v>
      </c>
      <c r="I74" s="12">
        <v>43157</v>
      </c>
      <c r="J74" s="2">
        <v>3</v>
      </c>
      <c r="K74" s="11">
        <v>1156270006457</v>
      </c>
      <c r="L74" s="11" t="s">
        <v>260</v>
      </c>
      <c r="M74" s="11" t="s">
        <v>27</v>
      </c>
      <c r="N74" s="12">
        <v>42926</v>
      </c>
      <c r="O74" s="12">
        <v>42926</v>
      </c>
      <c r="P74" s="11">
        <v>3</v>
      </c>
      <c r="Q74" s="11" t="s">
        <v>258</v>
      </c>
    </row>
    <row r="75" spans="1:17" ht="13" hidden="1" x14ac:dyDescent="0.15">
      <c r="A75" s="10">
        <v>43157.542728298613</v>
      </c>
      <c r="B75" s="11" t="s">
        <v>261</v>
      </c>
      <c r="C75" s="11">
        <v>261</v>
      </c>
      <c r="D75" s="11" t="s">
        <v>262</v>
      </c>
      <c r="E75" s="11">
        <v>9495268973</v>
      </c>
      <c r="F75" s="11" t="s">
        <v>40</v>
      </c>
      <c r="G75" s="11" t="s">
        <v>36</v>
      </c>
      <c r="H75" s="11">
        <v>20</v>
      </c>
      <c r="I75" s="12">
        <v>43151</v>
      </c>
      <c r="J75" s="2">
        <v>3</v>
      </c>
      <c r="K75" s="11">
        <v>1155164022491</v>
      </c>
      <c r="L75" s="11">
        <v>5516</v>
      </c>
      <c r="M75" s="11" t="s">
        <v>27</v>
      </c>
      <c r="N75" s="12">
        <v>43157</v>
      </c>
      <c r="O75" s="12">
        <v>43157</v>
      </c>
      <c r="P75" s="11">
        <v>3</v>
      </c>
      <c r="Q75" s="11" t="s">
        <v>261</v>
      </c>
    </row>
    <row r="76" spans="1:17" ht="13" x14ac:dyDescent="0.15">
      <c r="A76" s="10">
        <v>43157.554442581022</v>
      </c>
      <c r="B76" s="11" t="s">
        <v>227</v>
      </c>
      <c r="C76" s="11">
        <v>11</v>
      </c>
      <c r="D76" s="11" t="s">
        <v>263</v>
      </c>
      <c r="E76" s="11">
        <v>8137874406</v>
      </c>
      <c r="F76" s="11" t="s">
        <v>24</v>
      </c>
      <c r="G76" s="11" t="s">
        <v>157</v>
      </c>
      <c r="H76" s="11">
        <v>42</v>
      </c>
      <c r="I76" s="12">
        <v>43150</v>
      </c>
      <c r="J76" s="2">
        <v>5</v>
      </c>
      <c r="K76" s="11">
        <v>114518600669</v>
      </c>
      <c r="L76" s="11" t="s">
        <v>264</v>
      </c>
      <c r="M76" s="11" t="s">
        <v>27</v>
      </c>
      <c r="N76" s="12">
        <v>43144</v>
      </c>
      <c r="O76" s="12">
        <v>43144</v>
      </c>
      <c r="P76" s="11">
        <v>5</v>
      </c>
      <c r="Q76" s="11" t="s">
        <v>227</v>
      </c>
    </row>
    <row r="77" spans="1:17" ht="13" hidden="1" x14ac:dyDescent="0.15">
      <c r="A77" s="10">
        <v>43157.732560578705</v>
      </c>
      <c r="B77" s="11" t="s">
        <v>227</v>
      </c>
      <c r="C77" s="11">
        <v>150</v>
      </c>
      <c r="D77" s="11" t="s">
        <v>265</v>
      </c>
      <c r="E77" s="11">
        <v>8137874406</v>
      </c>
      <c r="F77" s="11" t="s">
        <v>266</v>
      </c>
      <c r="G77" s="11" t="s">
        <v>157</v>
      </c>
      <c r="H77" s="11">
        <v>42</v>
      </c>
      <c r="I77" s="12">
        <v>43154</v>
      </c>
      <c r="J77" s="2">
        <v>3</v>
      </c>
      <c r="K77" s="11">
        <v>1167473017953</v>
      </c>
      <c r="L77" s="11" t="s">
        <v>267</v>
      </c>
      <c r="M77" s="11" t="s">
        <v>27</v>
      </c>
      <c r="N77" s="12">
        <v>43097</v>
      </c>
      <c r="O77" s="12">
        <v>43097</v>
      </c>
      <c r="P77" s="11">
        <v>3</v>
      </c>
      <c r="Q77" s="11" t="s">
        <v>227</v>
      </c>
    </row>
    <row r="78" spans="1:17" ht="13" hidden="1" x14ac:dyDescent="0.15">
      <c r="A78" s="10">
        <v>43158.430197361115</v>
      </c>
      <c r="B78" s="11" t="s">
        <v>268</v>
      </c>
      <c r="C78" s="11">
        <v>245</v>
      </c>
      <c r="D78" s="11" t="s">
        <v>269</v>
      </c>
      <c r="E78" s="11">
        <v>9562233099</v>
      </c>
      <c r="F78" s="11" t="s">
        <v>270</v>
      </c>
      <c r="G78" s="11" t="s">
        <v>272</v>
      </c>
      <c r="H78" s="11">
        <v>47</v>
      </c>
      <c r="I78" s="12">
        <v>43157</v>
      </c>
      <c r="J78" s="2">
        <v>3</v>
      </c>
      <c r="K78" s="11">
        <v>1156200026616</v>
      </c>
      <c r="L78" s="11" t="s">
        <v>273</v>
      </c>
      <c r="M78" s="11" t="s">
        <v>27</v>
      </c>
      <c r="N78" s="12">
        <v>43097</v>
      </c>
      <c r="O78" s="12">
        <v>43097</v>
      </c>
      <c r="P78" s="11">
        <v>3</v>
      </c>
      <c r="Q78" s="11" t="s">
        <v>268</v>
      </c>
    </row>
    <row r="79" spans="1:17" ht="13" hidden="1" x14ac:dyDescent="0.15">
      <c r="A79" s="10">
        <v>43158.477771608799</v>
      </c>
      <c r="B79" s="11" t="s">
        <v>274</v>
      </c>
      <c r="C79" s="11">
        <v>187</v>
      </c>
      <c r="D79" s="11" t="s">
        <v>275</v>
      </c>
      <c r="E79" s="11">
        <v>9496242282</v>
      </c>
      <c r="F79" s="11" t="s">
        <v>73</v>
      </c>
      <c r="G79" s="11" t="s">
        <v>276</v>
      </c>
      <c r="H79" s="11">
        <v>11</v>
      </c>
      <c r="I79" s="12">
        <v>43153</v>
      </c>
      <c r="J79" s="2">
        <v>5</v>
      </c>
      <c r="K79" s="11">
        <v>1145669003041</v>
      </c>
      <c r="L79" s="11" t="s">
        <v>277</v>
      </c>
      <c r="M79" s="11" t="s">
        <v>27</v>
      </c>
      <c r="N79" s="12">
        <v>43153</v>
      </c>
      <c r="O79" s="12">
        <v>43153</v>
      </c>
      <c r="P79" s="11">
        <v>5</v>
      </c>
      <c r="Q79" s="11" t="s">
        <v>274</v>
      </c>
    </row>
    <row r="80" spans="1:17" ht="13" hidden="1" x14ac:dyDescent="0.15">
      <c r="A80" s="10">
        <v>43158.532936631949</v>
      </c>
      <c r="B80" s="11" t="s">
        <v>278</v>
      </c>
      <c r="C80" s="11">
        <v>26</v>
      </c>
      <c r="D80" s="11" t="s">
        <v>279</v>
      </c>
      <c r="E80" s="11">
        <v>9961409595</v>
      </c>
      <c r="F80" s="11" t="s">
        <v>30</v>
      </c>
      <c r="G80" s="11" t="s">
        <v>280</v>
      </c>
      <c r="H80" s="11">
        <v>66</v>
      </c>
      <c r="I80" s="12">
        <v>43157</v>
      </c>
      <c r="J80" s="2">
        <v>3</v>
      </c>
      <c r="K80" s="11">
        <v>1156903006008</v>
      </c>
      <c r="L80" s="11" t="s">
        <v>212</v>
      </c>
      <c r="M80" s="11" t="s">
        <v>27</v>
      </c>
      <c r="N80" s="12">
        <v>43155</v>
      </c>
      <c r="O80" s="12">
        <v>43155</v>
      </c>
      <c r="P80" s="11">
        <v>3</v>
      </c>
      <c r="Q80" s="11" t="s">
        <v>278</v>
      </c>
    </row>
    <row r="81" spans="1:17" ht="13" hidden="1" x14ac:dyDescent="0.15">
      <c r="A81" s="10">
        <v>43159.651506712966</v>
      </c>
      <c r="B81" s="11" t="s">
        <v>227</v>
      </c>
      <c r="C81" s="11">
        <v>138</v>
      </c>
      <c r="D81" s="11" t="s">
        <v>281</v>
      </c>
      <c r="E81" s="11">
        <v>8137874406</v>
      </c>
      <c r="F81" s="11" t="s">
        <v>30</v>
      </c>
      <c r="G81" s="11" t="s">
        <v>157</v>
      </c>
      <c r="H81" s="11">
        <v>42</v>
      </c>
      <c r="I81" s="12">
        <v>43154</v>
      </c>
      <c r="J81" s="2">
        <v>5</v>
      </c>
      <c r="K81" s="11">
        <v>1156649011318</v>
      </c>
      <c r="L81" s="11" t="s">
        <v>282</v>
      </c>
      <c r="M81" s="11" t="s">
        <v>27</v>
      </c>
      <c r="N81" s="12">
        <v>43109</v>
      </c>
      <c r="O81" s="12">
        <v>43109</v>
      </c>
      <c r="P81" s="11">
        <v>5</v>
      </c>
      <c r="Q81" s="11" t="s">
        <v>227</v>
      </c>
    </row>
    <row r="82" spans="1:17" ht="13" hidden="1" x14ac:dyDescent="0.15">
      <c r="A82" s="10">
        <v>43159.716021643515</v>
      </c>
      <c r="B82" s="11" t="s">
        <v>227</v>
      </c>
      <c r="C82" s="11">
        <v>28</v>
      </c>
      <c r="D82" s="11" t="s">
        <v>283</v>
      </c>
      <c r="E82" s="11">
        <v>8137874406</v>
      </c>
      <c r="F82" s="11" t="s">
        <v>30</v>
      </c>
      <c r="G82" s="11" t="s">
        <v>157</v>
      </c>
      <c r="H82" s="11">
        <v>42</v>
      </c>
      <c r="I82" s="12">
        <v>43159</v>
      </c>
      <c r="J82" s="2">
        <v>3</v>
      </c>
      <c r="K82" s="11">
        <v>1156773006164</v>
      </c>
      <c r="L82" s="11" t="s">
        <v>284</v>
      </c>
      <c r="M82" s="11" t="s">
        <v>27</v>
      </c>
      <c r="N82" s="12">
        <v>43159</v>
      </c>
      <c r="O82" s="12">
        <v>43159</v>
      </c>
      <c r="P82" s="11">
        <v>3</v>
      </c>
      <c r="Q82" s="11" t="s">
        <v>227</v>
      </c>
    </row>
    <row r="83" spans="1:17" ht="13" hidden="1" x14ac:dyDescent="0.15">
      <c r="A83" s="10">
        <v>43160.290659965278</v>
      </c>
      <c r="B83" s="11" t="s">
        <v>285</v>
      </c>
      <c r="C83" s="11">
        <v>272</v>
      </c>
      <c r="D83" s="11" t="s">
        <v>286</v>
      </c>
      <c r="E83" s="11">
        <v>9846542746</v>
      </c>
      <c r="F83" s="11" t="s">
        <v>287</v>
      </c>
      <c r="G83" s="11" t="s">
        <v>157</v>
      </c>
      <c r="H83" s="11">
        <v>42</v>
      </c>
      <c r="I83" s="12">
        <v>43159</v>
      </c>
      <c r="J83" s="2">
        <v>3</v>
      </c>
      <c r="K83" s="11">
        <v>1166575003733</v>
      </c>
      <c r="L83" s="11" t="s">
        <v>288</v>
      </c>
      <c r="M83" s="11" t="s">
        <v>27</v>
      </c>
      <c r="N83" s="12">
        <v>43133</v>
      </c>
      <c r="O83" s="12">
        <v>43133</v>
      </c>
      <c r="P83" s="11">
        <v>3</v>
      </c>
      <c r="Q83" s="11" t="s">
        <v>285</v>
      </c>
    </row>
    <row r="84" spans="1:17" ht="13" hidden="1" x14ac:dyDescent="0.15">
      <c r="A84" s="10">
        <v>43160.464797719906</v>
      </c>
      <c r="B84" s="11" t="s">
        <v>289</v>
      </c>
      <c r="C84" s="11">
        <v>183</v>
      </c>
      <c r="D84" s="11" t="s">
        <v>290</v>
      </c>
      <c r="E84" s="11">
        <v>9895642298</v>
      </c>
      <c r="F84" s="11" t="s">
        <v>73</v>
      </c>
      <c r="G84" s="11" t="s">
        <v>36</v>
      </c>
      <c r="H84" s="11">
        <v>20</v>
      </c>
      <c r="I84" s="12">
        <v>43154</v>
      </c>
      <c r="J84" s="2">
        <v>5</v>
      </c>
      <c r="K84" s="11">
        <v>1145631030267</v>
      </c>
      <c r="L84" s="11" t="s">
        <v>291</v>
      </c>
      <c r="M84" s="11" t="s">
        <v>27</v>
      </c>
      <c r="N84" s="12">
        <v>43154</v>
      </c>
      <c r="O84" s="12">
        <v>43154</v>
      </c>
      <c r="P84" s="11">
        <v>5</v>
      </c>
      <c r="Q84" s="11" t="s">
        <v>289</v>
      </c>
    </row>
    <row r="85" spans="1:17" ht="13" hidden="1" x14ac:dyDescent="0.15">
      <c r="A85" s="10">
        <v>43160.504968159723</v>
      </c>
      <c r="B85" s="11" t="s">
        <v>293</v>
      </c>
      <c r="C85" s="11">
        <v>237</v>
      </c>
      <c r="D85" s="11" t="s">
        <v>294</v>
      </c>
      <c r="E85" s="11">
        <v>9895186251</v>
      </c>
      <c r="F85" s="11" t="s">
        <v>35</v>
      </c>
      <c r="G85" s="11" t="s">
        <v>295</v>
      </c>
      <c r="H85" s="11">
        <v>51</v>
      </c>
      <c r="I85" s="12">
        <v>43160</v>
      </c>
      <c r="J85" s="2">
        <v>10</v>
      </c>
      <c r="K85" s="11">
        <v>1155454026238</v>
      </c>
      <c r="L85" s="11" t="s">
        <v>296</v>
      </c>
      <c r="M85" s="11" t="s">
        <v>27</v>
      </c>
      <c r="N85" s="12">
        <v>43136</v>
      </c>
      <c r="O85" s="12">
        <v>43136</v>
      </c>
      <c r="P85" s="11">
        <v>15</v>
      </c>
      <c r="Q85" s="11" t="s">
        <v>293</v>
      </c>
    </row>
    <row r="86" spans="1:17" ht="13" hidden="1" x14ac:dyDescent="0.15">
      <c r="A86" s="10">
        <v>43162.436878541666</v>
      </c>
      <c r="B86" s="11" t="s">
        <v>22</v>
      </c>
      <c r="C86" s="11">
        <v>255</v>
      </c>
      <c r="D86" s="11" t="s">
        <v>297</v>
      </c>
      <c r="E86" s="11">
        <v>9072666513</v>
      </c>
      <c r="F86" s="11" t="s">
        <v>35</v>
      </c>
      <c r="G86" s="11" t="s">
        <v>101</v>
      </c>
      <c r="H86" s="11">
        <v>54</v>
      </c>
      <c r="I86" s="12">
        <v>43162</v>
      </c>
      <c r="J86" s="2">
        <v>10</v>
      </c>
      <c r="K86" s="11">
        <v>1155427011896</v>
      </c>
      <c r="L86" s="11" t="s">
        <v>298</v>
      </c>
      <c r="M86" s="11" t="s">
        <v>27</v>
      </c>
      <c r="N86" s="12">
        <v>43084</v>
      </c>
      <c r="O86" s="12">
        <v>43084</v>
      </c>
      <c r="P86" s="11">
        <v>10</v>
      </c>
      <c r="Q86" s="11" t="s">
        <v>22</v>
      </c>
    </row>
    <row r="87" spans="1:17" ht="13" hidden="1" x14ac:dyDescent="0.15">
      <c r="A87" s="10">
        <v>43162.660108842596</v>
      </c>
      <c r="B87" s="11" t="s">
        <v>185</v>
      </c>
      <c r="C87" s="11">
        <v>36</v>
      </c>
      <c r="D87" s="11" t="s">
        <v>299</v>
      </c>
      <c r="E87" s="11">
        <v>8893387579</v>
      </c>
      <c r="F87" s="11" t="s">
        <v>30</v>
      </c>
      <c r="G87" s="11" t="s">
        <v>36</v>
      </c>
      <c r="H87" s="11">
        <v>20</v>
      </c>
      <c r="I87" s="12">
        <v>43160</v>
      </c>
      <c r="J87" s="2">
        <v>3</v>
      </c>
      <c r="K87" s="11">
        <v>1156805005101</v>
      </c>
      <c r="L87" s="11" t="s">
        <v>300</v>
      </c>
      <c r="M87" s="11" t="s">
        <v>27</v>
      </c>
      <c r="N87" s="12">
        <v>43157</v>
      </c>
      <c r="O87" s="12">
        <v>43157</v>
      </c>
      <c r="P87" s="11">
        <v>3</v>
      </c>
      <c r="Q87" s="11" t="s">
        <v>185</v>
      </c>
    </row>
    <row r="88" spans="1:17" ht="13" hidden="1" x14ac:dyDescent="0.15">
      <c r="A88" s="10">
        <v>43164.540656921294</v>
      </c>
      <c r="B88" s="11" t="s">
        <v>22</v>
      </c>
      <c r="C88" s="11">
        <v>285</v>
      </c>
      <c r="D88" s="11" t="s">
        <v>301</v>
      </c>
      <c r="E88" s="11">
        <v>9072666513</v>
      </c>
      <c r="F88" s="11" t="s">
        <v>35</v>
      </c>
      <c r="G88" s="11" t="s">
        <v>70</v>
      </c>
      <c r="H88" s="11">
        <v>54</v>
      </c>
      <c r="I88" s="12">
        <v>43164</v>
      </c>
      <c r="J88" s="2">
        <v>25</v>
      </c>
      <c r="K88" s="11">
        <v>1155672011964</v>
      </c>
      <c r="L88" s="11" t="s">
        <v>302</v>
      </c>
      <c r="M88" s="11" t="s">
        <v>27</v>
      </c>
      <c r="N88" s="12">
        <v>43043</v>
      </c>
      <c r="O88" s="12">
        <v>43043</v>
      </c>
      <c r="P88" s="11">
        <v>25</v>
      </c>
      <c r="Q88" s="11" t="s">
        <v>22</v>
      </c>
    </row>
    <row r="89" spans="1:17" ht="13" hidden="1" x14ac:dyDescent="0.15">
      <c r="A89" s="10">
        <v>43164.676897361111</v>
      </c>
      <c r="B89" s="11" t="s">
        <v>303</v>
      </c>
      <c r="C89" s="11">
        <v>320</v>
      </c>
      <c r="D89" s="11" t="s">
        <v>304</v>
      </c>
      <c r="E89" s="11">
        <v>9745632755</v>
      </c>
      <c r="F89" s="11" t="s">
        <v>287</v>
      </c>
      <c r="G89" s="11" t="s">
        <v>280</v>
      </c>
      <c r="H89" s="11">
        <v>66</v>
      </c>
      <c r="I89" s="12">
        <v>43162</v>
      </c>
      <c r="J89" s="2">
        <v>10</v>
      </c>
      <c r="K89" s="11">
        <v>1166697011546</v>
      </c>
      <c r="L89" s="11" t="s">
        <v>305</v>
      </c>
      <c r="M89" s="11" t="s">
        <v>27</v>
      </c>
      <c r="N89" s="12">
        <v>43161</v>
      </c>
      <c r="O89" s="12">
        <v>43161</v>
      </c>
      <c r="P89" s="11">
        <v>10</v>
      </c>
      <c r="Q89" s="11" t="s">
        <v>303</v>
      </c>
    </row>
    <row r="90" spans="1:17" ht="13" x14ac:dyDescent="0.15">
      <c r="A90" s="10">
        <v>43164.689244780093</v>
      </c>
      <c r="B90" s="11" t="s">
        <v>227</v>
      </c>
      <c r="C90" s="11">
        <v>12</v>
      </c>
      <c r="D90" s="11" t="s">
        <v>306</v>
      </c>
      <c r="E90" s="11">
        <v>8137874406</v>
      </c>
      <c r="F90" s="11" t="s">
        <v>24</v>
      </c>
      <c r="G90" s="11" t="s">
        <v>157</v>
      </c>
      <c r="H90" s="11">
        <v>42</v>
      </c>
      <c r="I90" s="12">
        <v>43162</v>
      </c>
      <c r="J90" s="2">
        <v>3</v>
      </c>
      <c r="K90" s="11">
        <v>1145578006031</v>
      </c>
      <c r="L90" s="11" t="s">
        <v>308</v>
      </c>
      <c r="M90" s="11" t="s">
        <v>27</v>
      </c>
      <c r="N90" s="12">
        <v>43071</v>
      </c>
      <c r="O90" s="12">
        <v>43071</v>
      </c>
      <c r="P90" s="11">
        <v>3</v>
      </c>
      <c r="Q90" s="11" t="s">
        <v>227</v>
      </c>
    </row>
    <row r="91" spans="1:17" ht="13" hidden="1" x14ac:dyDescent="0.15">
      <c r="A91" s="10">
        <v>43164.701350856485</v>
      </c>
      <c r="B91" s="11" t="s">
        <v>227</v>
      </c>
      <c r="C91" s="11">
        <v>121</v>
      </c>
      <c r="D91" s="11" t="s">
        <v>309</v>
      </c>
      <c r="E91" s="11">
        <v>8137874406</v>
      </c>
      <c r="F91" s="11" t="s">
        <v>35</v>
      </c>
      <c r="G91" s="11" t="s">
        <v>157</v>
      </c>
      <c r="H91" s="11">
        <v>42</v>
      </c>
      <c r="I91" s="12">
        <v>43162</v>
      </c>
      <c r="J91" s="2">
        <v>3</v>
      </c>
      <c r="K91" s="11">
        <v>1157320009175</v>
      </c>
      <c r="L91" s="11" t="s">
        <v>310</v>
      </c>
      <c r="M91" s="11" t="s">
        <v>27</v>
      </c>
      <c r="N91" s="12">
        <v>43117</v>
      </c>
      <c r="O91" s="12">
        <v>43117</v>
      </c>
      <c r="P91" s="11">
        <v>3</v>
      </c>
      <c r="Q91" s="11" t="s">
        <v>227</v>
      </c>
    </row>
    <row r="92" spans="1:17" ht="13" hidden="1" x14ac:dyDescent="0.15">
      <c r="A92" s="10">
        <v>43164.706849861112</v>
      </c>
      <c r="B92" s="11" t="s">
        <v>227</v>
      </c>
      <c r="C92" s="11">
        <v>281</v>
      </c>
      <c r="D92" s="11" t="s">
        <v>311</v>
      </c>
      <c r="E92" s="11">
        <v>8137874406</v>
      </c>
      <c r="F92" s="11" t="s">
        <v>40</v>
      </c>
      <c r="G92" s="11" t="s">
        <v>157</v>
      </c>
      <c r="H92" s="11">
        <v>42</v>
      </c>
      <c r="I92" s="12">
        <v>43162</v>
      </c>
      <c r="J92" s="2">
        <v>2</v>
      </c>
      <c r="K92" s="11">
        <v>1155015021481</v>
      </c>
      <c r="L92" s="11" t="s">
        <v>312</v>
      </c>
      <c r="M92" s="11" t="s">
        <v>27</v>
      </c>
      <c r="N92" s="12">
        <v>43091</v>
      </c>
      <c r="O92" s="12">
        <v>43091</v>
      </c>
      <c r="P92" s="11">
        <v>2</v>
      </c>
      <c r="Q92" s="11" t="s">
        <v>227</v>
      </c>
    </row>
    <row r="93" spans="1:17" ht="13" hidden="1" x14ac:dyDescent="0.15">
      <c r="A93" s="10">
        <v>43164.920441192131</v>
      </c>
      <c r="B93" s="11" t="s">
        <v>313</v>
      </c>
      <c r="C93" s="11">
        <v>144</v>
      </c>
      <c r="D93" s="11" t="s">
        <v>314</v>
      </c>
      <c r="E93" s="11">
        <v>9495716635</v>
      </c>
      <c r="F93" s="11" t="s">
        <v>35</v>
      </c>
      <c r="G93" s="11" t="s">
        <v>315</v>
      </c>
      <c r="H93" s="11">
        <v>12</v>
      </c>
      <c r="I93" s="12">
        <v>43153</v>
      </c>
      <c r="J93" s="2">
        <v>2</v>
      </c>
      <c r="K93" s="11">
        <v>1155510014461</v>
      </c>
      <c r="L93" s="11" t="s">
        <v>316</v>
      </c>
      <c r="M93" s="11" t="s">
        <v>27</v>
      </c>
      <c r="N93" s="12">
        <v>43159</v>
      </c>
      <c r="O93" s="12">
        <v>43159</v>
      </c>
      <c r="P93" s="11">
        <v>2</v>
      </c>
      <c r="Q93" s="11" t="s">
        <v>313</v>
      </c>
    </row>
    <row r="94" spans="1:17" ht="13" hidden="1" x14ac:dyDescent="0.15">
      <c r="A94" s="10">
        <v>43165.469534849537</v>
      </c>
      <c r="B94" s="11" t="s">
        <v>176</v>
      </c>
      <c r="C94" s="11">
        <v>19</v>
      </c>
      <c r="D94" s="11" t="s">
        <v>317</v>
      </c>
      <c r="E94" s="11">
        <v>9142099977</v>
      </c>
      <c r="F94" s="11" t="s">
        <v>182</v>
      </c>
      <c r="G94" s="11" t="s">
        <v>178</v>
      </c>
      <c r="H94" s="11">
        <v>14</v>
      </c>
      <c r="I94" s="12">
        <v>43895</v>
      </c>
      <c r="J94" s="2">
        <v>5</v>
      </c>
      <c r="K94" s="11">
        <v>1165575014926</v>
      </c>
      <c r="L94" s="11" t="s">
        <v>318</v>
      </c>
      <c r="M94" s="11" t="s">
        <v>27</v>
      </c>
      <c r="N94" s="12">
        <v>43159</v>
      </c>
      <c r="O94" s="12">
        <v>43159</v>
      </c>
      <c r="P94" s="11">
        <v>5</v>
      </c>
      <c r="Q94" s="11" t="s">
        <v>176</v>
      </c>
    </row>
    <row r="95" spans="1:17" ht="13" hidden="1" x14ac:dyDescent="0.15">
      <c r="A95" s="10">
        <v>43165.480281909724</v>
      </c>
      <c r="B95" s="11" t="s">
        <v>176</v>
      </c>
      <c r="C95" s="11">
        <v>14</v>
      </c>
      <c r="D95" s="11" t="s">
        <v>319</v>
      </c>
      <c r="E95" s="11">
        <v>9142099977</v>
      </c>
      <c r="F95" s="11" t="s">
        <v>182</v>
      </c>
      <c r="G95" s="11" t="s">
        <v>178</v>
      </c>
      <c r="H95" s="11">
        <v>14</v>
      </c>
      <c r="I95" s="12">
        <v>43164</v>
      </c>
      <c r="J95" s="2">
        <v>5</v>
      </c>
      <c r="K95" s="11">
        <v>1166323006495</v>
      </c>
      <c r="L95" s="11" t="s">
        <v>320</v>
      </c>
      <c r="M95" s="11" t="s">
        <v>27</v>
      </c>
      <c r="N95" s="12">
        <v>43163</v>
      </c>
      <c r="O95" s="12">
        <v>43163</v>
      </c>
      <c r="P95" s="11">
        <v>5</v>
      </c>
      <c r="Q95" s="11" t="s">
        <v>176</v>
      </c>
    </row>
    <row r="96" spans="1:17" ht="13" hidden="1" x14ac:dyDescent="0.15">
      <c r="A96" s="10">
        <v>43165.481022534717</v>
      </c>
      <c r="B96" s="11" t="s">
        <v>227</v>
      </c>
      <c r="C96" s="11">
        <v>128</v>
      </c>
      <c r="D96" s="11" t="s">
        <v>321</v>
      </c>
      <c r="E96" s="11">
        <v>8137874406</v>
      </c>
      <c r="F96" s="11" t="s">
        <v>30</v>
      </c>
      <c r="G96" s="11" t="s">
        <v>157</v>
      </c>
      <c r="H96" s="11">
        <v>42</v>
      </c>
      <c r="I96" s="12">
        <v>43162</v>
      </c>
      <c r="J96" s="2">
        <v>3</v>
      </c>
      <c r="K96" s="11">
        <v>10320</v>
      </c>
      <c r="L96" s="11" t="s">
        <v>322</v>
      </c>
      <c r="M96" s="11" t="s">
        <v>27</v>
      </c>
      <c r="N96" s="12">
        <v>43162</v>
      </c>
      <c r="O96" s="12">
        <v>43162</v>
      </c>
      <c r="P96" s="11">
        <v>3</v>
      </c>
      <c r="Q96" s="11" t="s">
        <v>227</v>
      </c>
    </row>
    <row r="97" spans="1:17" ht="13" x14ac:dyDescent="0.15">
      <c r="A97" s="10">
        <v>43165.588744097222</v>
      </c>
      <c r="B97" s="11" t="s">
        <v>22</v>
      </c>
      <c r="C97" s="11">
        <v>260</v>
      </c>
      <c r="D97" s="11" t="s">
        <v>323</v>
      </c>
      <c r="E97" s="11">
        <v>9072666513</v>
      </c>
      <c r="F97" s="11" t="s">
        <v>24</v>
      </c>
      <c r="G97" s="11" t="s">
        <v>101</v>
      </c>
      <c r="H97" s="11">
        <v>54</v>
      </c>
      <c r="I97" s="12">
        <v>43165</v>
      </c>
      <c r="J97" s="2">
        <v>3</v>
      </c>
      <c r="K97" s="11">
        <v>1145137007603</v>
      </c>
      <c r="L97" s="11" t="s">
        <v>324</v>
      </c>
      <c r="M97" s="11" t="s">
        <v>27</v>
      </c>
      <c r="N97" s="12">
        <v>43161</v>
      </c>
      <c r="O97" s="12">
        <v>43161</v>
      </c>
      <c r="P97" s="11">
        <v>3</v>
      </c>
      <c r="Q97" s="11" t="s">
        <v>22</v>
      </c>
    </row>
    <row r="98" spans="1:17" ht="13" x14ac:dyDescent="0.15">
      <c r="A98" s="10">
        <v>43165.597571516206</v>
      </c>
      <c r="B98" s="11" t="s">
        <v>22</v>
      </c>
      <c r="C98" s="11">
        <v>225</v>
      </c>
      <c r="D98" s="11" t="s">
        <v>325</v>
      </c>
      <c r="E98" s="11">
        <v>9072666513</v>
      </c>
      <c r="F98" s="11" t="s">
        <v>24</v>
      </c>
      <c r="G98" s="11" t="s">
        <v>101</v>
      </c>
      <c r="H98" s="11">
        <v>54</v>
      </c>
      <c r="I98" s="12">
        <v>43165</v>
      </c>
      <c r="J98" s="2">
        <v>2</v>
      </c>
      <c r="K98" s="11">
        <v>1145181010358</v>
      </c>
      <c r="L98" s="11" t="s">
        <v>326</v>
      </c>
      <c r="M98" s="11" t="s">
        <v>27</v>
      </c>
      <c r="N98" s="12">
        <v>43165</v>
      </c>
      <c r="O98" s="12">
        <v>43165</v>
      </c>
      <c r="P98" s="11">
        <v>2</v>
      </c>
      <c r="Q98" s="11" t="s">
        <v>22</v>
      </c>
    </row>
    <row r="99" spans="1:17" ht="13" x14ac:dyDescent="0.15">
      <c r="A99" s="10">
        <v>43165.605836516203</v>
      </c>
      <c r="B99" s="11" t="s">
        <v>22</v>
      </c>
      <c r="C99" s="11">
        <v>229</v>
      </c>
      <c r="D99" s="11" t="s">
        <v>327</v>
      </c>
      <c r="E99" s="11">
        <v>9072666513</v>
      </c>
      <c r="F99" s="11" t="s">
        <v>24</v>
      </c>
      <c r="G99" s="11" t="s">
        <v>101</v>
      </c>
      <c r="H99" s="11">
        <v>54</v>
      </c>
      <c r="I99" s="12">
        <v>43165</v>
      </c>
      <c r="J99" s="2">
        <v>3</v>
      </c>
      <c r="K99" s="11">
        <v>1146769005940</v>
      </c>
      <c r="L99" s="11" t="s">
        <v>329</v>
      </c>
      <c r="M99" s="11" t="s">
        <v>27</v>
      </c>
      <c r="N99" s="12">
        <v>43152</v>
      </c>
      <c r="O99" s="12">
        <v>43152</v>
      </c>
      <c r="P99" s="11">
        <v>3</v>
      </c>
      <c r="Q99" s="11" t="s">
        <v>22</v>
      </c>
    </row>
    <row r="100" spans="1:17" ht="13" x14ac:dyDescent="0.15">
      <c r="A100" s="10">
        <v>43165.612308784723</v>
      </c>
      <c r="B100" s="11" t="s">
        <v>22</v>
      </c>
      <c r="C100" s="11">
        <v>179</v>
      </c>
      <c r="D100" s="11" t="s">
        <v>330</v>
      </c>
      <c r="E100" s="11">
        <v>9072666513</v>
      </c>
      <c r="F100" s="11" t="s">
        <v>24</v>
      </c>
      <c r="G100" s="11" t="s">
        <v>101</v>
      </c>
      <c r="H100" s="11">
        <v>54</v>
      </c>
      <c r="I100" s="12">
        <v>43165</v>
      </c>
      <c r="J100" s="2">
        <v>100</v>
      </c>
      <c r="K100" s="11">
        <v>1345060002807</v>
      </c>
      <c r="L100" s="11" t="s">
        <v>331</v>
      </c>
      <c r="M100" s="11" t="s">
        <v>27</v>
      </c>
      <c r="N100" s="12">
        <v>43161</v>
      </c>
      <c r="O100" s="12">
        <v>43161</v>
      </c>
      <c r="P100" s="11">
        <v>100</v>
      </c>
      <c r="Q100" s="11" t="s">
        <v>22</v>
      </c>
    </row>
    <row r="101" spans="1:17" ht="13" x14ac:dyDescent="0.15">
      <c r="A101" s="10">
        <v>43165.624849594911</v>
      </c>
      <c r="B101" s="11" t="s">
        <v>22</v>
      </c>
      <c r="C101" s="11">
        <v>70</v>
      </c>
      <c r="D101" s="11" t="s">
        <v>332</v>
      </c>
      <c r="E101" s="11">
        <v>9072666513</v>
      </c>
      <c r="F101" s="11" t="s">
        <v>24</v>
      </c>
      <c r="G101" s="11" t="s">
        <v>101</v>
      </c>
      <c r="H101" s="11">
        <v>54</v>
      </c>
      <c r="I101" s="12">
        <v>43165</v>
      </c>
      <c r="J101" s="2">
        <v>5</v>
      </c>
      <c r="K101" s="11">
        <v>1145188011849</v>
      </c>
      <c r="L101" s="11" t="s">
        <v>326</v>
      </c>
      <c r="M101" s="11" t="s">
        <v>27</v>
      </c>
      <c r="N101" s="12">
        <v>43165</v>
      </c>
      <c r="O101" s="12">
        <v>43165</v>
      </c>
      <c r="P101" s="11">
        <v>5</v>
      </c>
      <c r="Q101" s="11" t="s">
        <v>22</v>
      </c>
    </row>
    <row r="102" spans="1:17" ht="13" x14ac:dyDescent="0.15">
      <c r="A102" s="10">
        <v>43165.688274282409</v>
      </c>
      <c r="B102" s="11" t="s">
        <v>227</v>
      </c>
      <c r="C102" s="11">
        <v>165</v>
      </c>
      <c r="D102" s="11" t="s">
        <v>333</v>
      </c>
      <c r="E102" s="11">
        <v>8137874406</v>
      </c>
      <c r="F102" s="11" t="s">
        <v>24</v>
      </c>
      <c r="G102" s="11" t="s">
        <v>157</v>
      </c>
      <c r="H102" s="11">
        <v>42</v>
      </c>
      <c r="I102" s="12">
        <v>43162</v>
      </c>
      <c r="J102" s="2">
        <v>5</v>
      </c>
      <c r="K102" s="11">
        <v>1145087027108</v>
      </c>
      <c r="L102" s="11" t="s">
        <v>334</v>
      </c>
      <c r="M102" s="11" t="s">
        <v>27</v>
      </c>
      <c r="N102" s="12">
        <v>43116</v>
      </c>
      <c r="O102" s="12">
        <v>43116</v>
      </c>
      <c r="P102" s="11">
        <v>5</v>
      </c>
      <c r="Q102" s="11" t="s">
        <v>227</v>
      </c>
    </row>
    <row r="103" spans="1:17" ht="13" x14ac:dyDescent="0.15">
      <c r="A103" s="10">
        <v>43165.720055949074</v>
      </c>
      <c r="B103" s="11" t="s">
        <v>22</v>
      </c>
      <c r="C103" s="11">
        <v>110</v>
      </c>
      <c r="D103" s="11" t="s">
        <v>335</v>
      </c>
      <c r="E103" s="11">
        <v>9072666513</v>
      </c>
      <c r="F103" s="11" t="s">
        <v>24</v>
      </c>
      <c r="G103" s="11" t="s">
        <v>101</v>
      </c>
      <c r="H103" s="11">
        <v>54</v>
      </c>
      <c r="I103" s="12">
        <v>43165</v>
      </c>
      <c r="J103" s="2">
        <v>3</v>
      </c>
      <c r="K103" s="11">
        <v>1145127006840</v>
      </c>
      <c r="L103" s="11" t="s">
        <v>336</v>
      </c>
      <c r="M103" s="11" t="s">
        <v>27</v>
      </c>
      <c r="N103" s="12">
        <v>43155</v>
      </c>
      <c r="O103" s="12">
        <v>43155</v>
      </c>
      <c r="P103" s="11">
        <v>3</v>
      </c>
      <c r="Q103" s="11" t="s">
        <v>22</v>
      </c>
    </row>
    <row r="104" spans="1:17" ht="13" hidden="1" x14ac:dyDescent="0.15">
      <c r="A104" s="10">
        <v>43166.277384594912</v>
      </c>
      <c r="B104" s="11" t="s">
        <v>337</v>
      </c>
      <c r="C104" s="11">
        <v>31</v>
      </c>
      <c r="D104" s="11" t="s">
        <v>338</v>
      </c>
      <c r="E104" s="11">
        <v>9207626901</v>
      </c>
      <c r="F104" s="11" t="s">
        <v>61</v>
      </c>
      <c r="G104" s="11" t="s">
        <v>183</v>
      </c>
      <c r="H104" s="11">
        <v>56</v>
      </c>
      <c r="I104" s="12">
        <v>43162</v>
      </c>
      <c r="J104" s="2">
        <v>3</v>
      </c>
      <c r="K104" s="11">
        <v>1146051013837</v>
      </c>
      <c r="L104" s="11">
        <v>4615</v>
      </c>
      <c r="M104" s="11" t="s">
        <v>27</v>
      </c>
      <c r="N104" s="12">
        <v>43140</v>
      </c>
      <c r="O104" s="12">
        <v>43140</v>
      </c>
      <c r="P104" s="11">
        <v>3</v>
      </c>
      <c r="Q104" s="11" t="s">
        <v>339</v>
      </c>
    </row>
    <row r="105" spans="1:17" ht="13" hidden="1" x14ac:dyDescent="0.15">
      <c r="A105" s="10">
        <v>43166.28051246528</v>
      </c>
      <c r="B105" s="11" t="s">
        <v>340</v>
      </c>
      <c r="C105" s="11">
        <v>379</v>
      </c>
      <c r="D105" s="11" t="s">
        <v>341</v>
      </c>
      <c r="E105" s="11">
        <v>944606127</v>
      </c>
      <c r="F105" s="11" t="s">
        <v>35</v>
      </c>
      <c r="G105" s="11" t="s">
        <v>343</v>
      </c>
      <c r="H105" s="11">
        <v>56</v>
      </c>
      <c r="I105" s="12">
        <v>43165</v>
      </c>
      <c r="J105" s="2">
        <v>3</v>
      </c>
      <c r="K105" s="11">
        <v>1155485016769</v>
      </c>
      <c r="L105" s="11">
        <v>5548</v>
      </c>
      <c r="M105" s="11" t="s">
        <v>27</v>
      </c>
      <c r="N105" s="12">
        <v>43164</v>
      </c>
      <c r="O105" s="12">
        <v>43164</v>
      </c>
      <c r="P105" s="11">
        <v>3</v>
      </c>
      <c r="Q105" s="11" t="s">
        <v>340</v>
      </c>
    </row>
    <row r="106" spans="1:17" ht="13" x14ac:dyDescent="0.15">
      <c r="A106" s="10">
        <v>43166.437525879628</v>
      </c>
      <c r="B106" s="11" t="s">
        <v>22</v>
      </c>
      <c r="C106" s="11">
        <v>455</v>
      </c>
      <c r="D106" s="11" t="s">
        <v>344</v>
      </c>
      <c r="E106" s="11">
        <v>9072666513</v>
      </c>
      <c r="F106" s="11" t="s">
        <v>24</v>
      </c>
      <c r="G106" s="11" t="s">
        <v>101</v>
      </c>
      <c r="H106" s="11">
        <v>54</v>
      </c>
      <c r="I106" s="12">
        <v>43166</v>
      </c>
      <c r="J106" s="2">
        <v>3</v>
      </c>
      <c r="K106" s="11">
        <v>1145172012641</v>
      </c>
      <c r="L106" s="11" t="s">
        <v>345</v>
      </c>
      <c r="M106" s="11" t="s">
        <v>27</v>
      </c>
      <c r="N106" s="12">
        <v>43152</v>
      </c>
      <c r="O106" s="12">
        <v>43152</v>
      </c>
      <c r="P106" s="11">
        <v>3</v>
      </c>
      <c r="Q106" s="11" t="s">
        <v>22</v>
      </c>
    </row>
    <row r="107" spans="1:17" ht="13" x14ac:dyDescent="0.15">
      <c r="A107" s="10">
        <v>43166.476021400464</v>
      </c>
      <c r="B107" s="11" t="s">
        <v>22</v>
      </c>
      <c r="C107" s="11">
        <v>461</v>
      </c>
      <c r="D107" s="11" t="s">
        <v>346</v>
      </c>
      <c r="E107" s="11">
        <v>9072666513</v>
      </c>
      <c r="F107" s="11" t="s">
        <v>24</v>
      </c>
      <c r="G107" s="11" t="s">
        <v>101</v>
      </c>
      <c r="H107" s="11">
        <v>54</v>
      </c>
      <c r="I107" s="12">
        <v>43166</v>
      </c>
      <c r="J107" s="2">
        <v>5</v>
      </c>
      <c r="K107" s="11">
        <v>1145065001356</v>
      </c>
      <c r="L107" s="11" t="s">
        <v>347</v>
      </c>
      <c r="M107" s="11" t="s">
        <v>27</v>
      </c>
      <c r="N107" s="12">
        <v>43153</v>
      </c>
      <c r="O107" s="12">
        <v>43153</v>
      </c>
      <c r="P107" s="11">
        <v>5</v>
      </c>
      <c r="Q107" s="11" t="s">
        <v>22</v>
      </c>
    </row>
    <row r="108" spans="1:17" ht="13" x14ac:dyDescent="0.15">
      <c r="A108" s="10">
        <v>43166.560357303242</v>
      </c>
      <c r="B108" s="11" t="s">
        <v>22</v>
      </c>
      <c r="C108" s="11">
        <v>167</v>
      </c>
      <c r="D108" s="11" t="s">
        <v>348</v>
      </c>
      <c r="E108" s="11">
        <v>9072666513</v>
      </c>
      <c r="F108" s="11" t="s">
        <v>24</v>
      </c>
      <c r="G108" s="11" t="s">
        <v>101</v>
      </c>
      <c r="H108" s="11">
        <v>54</v>
      </c>
      <c r="I108" s="12">
        <v>43166</v>
      </c>
      <c r="J108" s="2">
        <v>100</v>
      </c>
      <c r="K108" s="11">
        <v>1345210000781</v>
      </c>
      <c r="L108" s="11" t="s">
        <v>349</v>
      </c>
      <c r="M108" s="11" t="s">
        <v>27</v>
      </c>
      <c r="N108" s="12">
        <v>43108</v>
      </c>
      <c r="O108" s="12">
        <v>43108</v>
      </c>
      <c r="P108" s="11">
        <v>100</v>
      </c>
      <c r="Q108" s="11" t="s">
        <v>22</v>
      </c>
    </row>
    <row r="109" spans="1:17" ht="13" hidden="1" x14ac:dyDescent="0.15">
      <c r="A109" s="10">
        <v>43167.388618090277</v>
      </c>
      <c r="B109" s="11" t="s">
        <v>350</v>
      </c>
      <c r="C109" s="11">
        <v>264</v>
      </c>
      <c r="D109" s="11" t="s">
        <v>351</v>
      </c>
      <c r="E109" s="11">
        <v>9562233099</v>
      </c>
      <c r="F109" s="11" t="s">
        <v>56</v>
      </c>
      <c r="G109" s="11" t="s">
        <v>272</v>
      </c>
      <c r="H109" s="11">
        <v>47</v>
      </c>
      <c r="I109" s="12">
        <v>43167</v>
      </c>
      <c r="J109" s="2">
        <v>5</v>
      </c>
      <c r="K109" s="11">
        <v>1156290006636</v>
      </c>
      <c r="L109" s="11" t="s">
        <v>352</v>
      </c>
      <c r="M109" s="11" t="s">
        <v>27</v>
      </c>
      <c r="N109" s="12">
        <v>43164</v>
      </c>
      <c r="O109" s="12">
        <v>43164</v>
      </c>
      <c r="P109" s="11">
        <v>5</v>
      </c>
      <c r="Q109" s="11" t="s">
        <v>350</v>
      </c>
    </row>
    <row r="110" spans="1:17" ht="13" hidden="1" x14ac:dyDescent="0.15">
      <c r="A110" s="10">
        <v>43167.582163379629</v>
      </c>
      <c r="B110" s="11" t="s">
        <v>353</v>
      </c>
      <c r="C110" s="11">
        <v>36</v>
      </c>
      <c r="D110" s="11" t="s">
        <v>354</v>
      </c>
      <c r="E110" s="11">
        <v>8893387579</v>
      </c>
      <c r="F110" s="11" t="s">
        <v>30</v>
      </c>
      <c r="G110" s="11" t="s">
        <v>36</v>
      </c>
      <c r="H110" s="11">
        <v>20</v>
      </c>
      <c r="I110" s="12">
        <v>43160</v>
      </c>
      <c r="J110" s="2">
        <v>3</v>
      </c>
      <c r="K110" s="11">
        <v>1156805005101</v>
      </c>
      <c r="L110" s="11" t="s">
        <v>355</v>
      </c>
      <c r="M110" s="11" t="s">
        <v>27</v>
      </c>
      <c r="N110" s="12">
        <v>43157</v>
      </c>
      <c r="O110" s="12">
        <v>43157</v>
      </c>
      <c r="P110" s="11">
        <v>3</v>
      </c>
      <c r="Q110" s="11" t="s">
        <v>353</v>
      </c>
    </row>
    <row r="111" spans="1:17" ht="13" hidden="1" x14ac:dyDescent="0.15">
      <c r="A111" s="10">
        <v>43167.626466250003</v>
      </c>
      <c r="B111" s="11" t="s">
        <v>176</v>
      </c>
      <c r="C111" s="11">
        <v>62</v>
      </c>
      <c r="D111" s="11" t="s">
        <v>356</v>
      </c>
      <c r="E111" s="11">
        <v>9142099977</v>
      </c>
      <c r="F111" s="11" t="s">
        <v>182</v>
      </c>
      <c r="G111" s="11" t="s">
        <v>178</v>
      </c>
      <c r="H111" s="11">
        <v>14</v>
      </c>
      <c r="I111" s="12">
        <v>43166</v>
      </c>
      <c r="J111" s="2">
        <v>3</v>
      </c>
      <c r="K111" s="11">
        <v>1165691009410</v>
      </c>
      <c r="L111" s="11" t="s">
        <v>358</v>
      </c>
      <c r="M111" s="11" t="s">
        <v>27</v>
      </c>
      <c r="N111" s="12">
        <v>43165</v>
      </c>
      <c r="O111" s="12">
        <v>43165</v>
      </c>
      <c r="P111" s="11">
        <v>3</v>
      </c>
      <c r="Q111" s="11" t="s">
        <v>176</v>
      </c>
    </row>
    <row r="112" spans="1:17" ht="13" hidden="1" x14ac:dyDescent="0.15">
      <c r="A112" s="10">
        <v>43167.641203842591</v>
      </c>
      <c r="B112" s="11" t="s">
        <v>359</v>
      </c>
      <c r="C112" s="11">
        <v>6</v>
      </c>
      <c r="D112" s="11" t="s">
        <v>360</v>
      </c>
      <c r="E112" s="11">
        <v>9414023366</v>
      </c>
      <c r="F112" s="11" t="s">
        <v>30</v>
      </c>
      <c r="G112" s="11" t="s">
        <v>36</v>
      </c>
      <c r="H112" s="11">
        <v>20</v>
      </c>
      <c r="I112" s="12">
        <v>43315</v>
      </c>
      <c r="J112" s="2">
        <v>3</v>
      </c>
      <c r="K112" s="11">
        <v>1156479017119</v>
      </c>
      <c r="L112" s="11" t="s">
        <v>361</v>
      </c>
      <c r="M112" s="11" t="s">
        <v>27</v>
      </c>
      <c r="N112" s="12">
        <v>43145</v>
      </c>
      <c r="O112" s="12">
        <v>43145</v>
      </c>
      <c r="P112" s="11">
        <v>3</v>
      </c>
      <c r="Q112" s="11" t="s">
        <v>359</v>
      </c>
    </row>
    <row r="113" spans="1:17" ht="13" hidden="1" x14ac:dyDescent="0.15">
      <c r="A113" s="10">
        <v>43167.689054988427</v>
      </c>
      <c r="B113" s="11" t="s">
        <v>362</v>
      </c>
      <c r="C113" s="11">
        <v>442</v>
      </c>
      <c r="D113" s="11" t="s">
        <v>363</v>
      </c>
      <c r="E113" s="11">
        <v>9745062622</v>
      </c>
      <c r="F113" s="11" t="s">
        <v>40</v>
      </c>
      <c r="G113" s="11" t="s">
        <v>36</v>
      </c>
      <c r="H113" s="11">
        <v>20</v>
      </c>
      <c r="I113" s="12">
        <v>43167</v>
      </c>
      <c r="J113" s="2">
        <v>3</v>
      </c>
      <c r="K113" s="11">
        <v>1155169014331</v>
      </c>
      <c r="L113" s="11" t="s">
        <v>364</v>
      </c>
      <c r="M113" s="11" t="s">
        <v>27</v>
      </c>
      <c r="N113" s="12">
        <v>43174</v>
      </c>
      <c r="O113" s="12">
        <v>43174</v>
      </c>
      <c r="P113" s="11">
        <v>3</v>
      </c>
      <c r="Q113" s="11" t="s">
        <v>362</v>
      </c>
    </row>
    <row r="114" spans="1:17" ht="13" hidden="1" x14ac:dyDescent="0.15">
      <c r="A114" s="10">
        <v>43168.434213622684</v>
      </c>
      <c r="B114" s="11" t="s">
        <v>303</v>
      </c>
      <c r="C114" s="11">
        <v>182</v>
      </c>
      <c r="D114" s="11" t="s">
        <v>365</v>
      </c>
      <c r="E114" s="11">
        <v>9446579961</v>
      </c>
      <c r="F114" s="11" t="s">
        <v>30</v>
      </c>
      <c r="G114" s="11" t="s">
        <v>280</v>
      </c>
      <c r="H114" s="11">
        <v>66</v>
      </c>
      <c r="I114" s="12">
        <v>43168</v>
      </c>
      <c r="J114" s="2">
        <v>5</v>
      </c>
      <c r="K114" s="11">
        <v>1156975019306</v>
      </c>
      <c r="L114" s="11" t="s">
        <v>366</v>
      </c>
      <c r="M114" s="11" t="s">
        <v>27</v>
      </c>
      <c r="N114" s="12">
        <v>43161</v>
      </c>
      <c r="O114" s="12">
        <v>43161</v>
      </c>
      <c r="P114" s="11">
        <v>5</v>
      </c>
      <c r="Q114" s="11" t="s">
        <v>303</v>
      </c>
    </row>
    <row r="115" spans="1:17" ht="13" hidden="1" x14ac:dyDescent="0.15">
      <c r="A115" s="10">
        <v>43168.436546990742</v>
      </c>
      <c r="B115" s="11" t="s">
        <v>303</v>
      </c>
      <c r="C115" s="11">
        <v>210</v>
      </c>
      <c r="D115" s="11" t="s">
        <v>367</v>
      </c>
      <c r="E115" s="11">
        <v>9446579961</v>
      </c>
      <c r="F115" s="11" t="s">
        <v>30</v>
      </c>
      <c r="G115" s="11" t="s">
        <v>280</v>
      </c>
      <c r="H115" s="11">
        <v>66</v>
      </c>
      <c r="I115" s="12">
        <v>43168</v>
      </c>
      <c r="J115" s="2">
        <v>5</v>
      </c>
      <c r="K115" s="11">
        <v>1156972020065</v>
      </c>
      <c r="L115" s="11" t="s">
        <v>366</v>
      </c>
      <c r="M115" s="11" t="s">
        <v>27</v>
      </c>
      <c r="N115" s="12">
        <v>43161</v>
      </c>
      <c r="O115" s="12">
        <v>43161</v>
      </c>
      <c r="P115" s="11">
        <v>5</v>
      </c>
      <c r="Q115" s="11" t="s">
        <v>303</v>
      </c>
    </row>
    <row r="116" spans="1:17" ht="13" x14ac:dyDescent="0.15">
      <c r="A116" s="10">
        <v>43168.645800416663</v>
      </c>
      <c r="B116" s="11" t="s">
        <v>50</v>
      </c>
      <c r="C116" s="11">
        <v>305</v>
      </c>
      <c r="D116" s="11" t="s">
        <v>368</v>
      </c>
      <c r="E116" s="11">
        <v>7736806968</v>
      </c>
      <c r="F116" s="11" t="s">
        <v>24</v>
      </c>
      <c r="G116" s="11" t="s">
        <v>369</v>
      </c>
      <c r="H116" s="11">
        <v>38</v>
      </c>
      <c r="I116" s="12">
        <v>43168</v>
      </c>
      <c r="J116" s="2">
        <v>5</v>
      </c>
      <c r="K116" s="11">
        <v>1145321006262</v>
      </c>
      <c r="L116" s="11" t="s">
        <v>370</v>
      </c>
      <c r="M116" s="11" t="s">
        <v>27</v>
      </c>
      <c r="N116" s="12">
        <v>43151</v>
      </c>
      <c r="O116" s="12">
        <v>43151</v>
      </c>
      <c r="P116" s="11">
        <v>5</v>
      </c>
      <c r="Q116" s="11" t="s">
        <v>50</v>
      </c>
    </row>
    <row r="117" spans="1:17" ht="13" hidden="1" x14ac:dyDescent="0.15">
      <c r="A117" s="10">
        <v>43169.729137800925</v>
      </c>
      <c r="B117" s="11" t="s">
        <v>371</v>
      </c>
      <c r="C117" s="11">
        <v>438</v>
      </c>
      <c r="D117" s="11" t="s">
        <v>372</v>
      </c>
      <c r="E117" s="11">
        <v>8547564126</v>
      </c>
      <c r="F117" s="11" t="s">
        <v>73</v>
      </c>
      <c r="G117" s="11" t="s">
        <v>215</v>
      </c>
      <c r="H117" s="11">
        <v>27</v>
      </c>
      <c r="I117" s="12">
        <v>43208</v>
      </c>
      <c r="J117" s="2">
        <v>5</v>
      </c>
      <c r="K117" s="11">
        <v>1145890005134</v>
      </c>
      <c r="L117" s="11" t="s">
        <v>373</v>
      </c>
      <c r="M117" s="11" t="s">
        <v>27</v>
      </c>
      <c r="N117" s="12">
        <v>43235</v>
      </c>
      <c r="O117" s="12">
        <v>43235</v>
      </c>
      <c r="P117" s="11">
        <v>5</v>
      </c>
      <c r="Q117" s="11" t="s">
        <v>371</v>
      </c>
    </row>
    <row r="118" spans="1:17" ht="13" x14ac:dyDescent="0.15">
      <c r="A118" s="10">
        <v>43169.73304013889</v>
      </c>
      <c r="B118" s="11" t="s">
        <v>371</v>
      </c>
      <c r="C118" s="11">
        <v>29</v>
      </c>
      <c r="D118" s="11" t="s">
        <v>374</v>
      </c>
      <c r="E118" s="11">
        <v>8547564126</v>
      </c>
      <c r="F118" s="11" t="s">
        <v>24</v>
      </c>
      <c r="G118" s="11" t="s">
        <v>215</v>
      </c>
      <c r="H118" s="11">
        <v>27</v>
      </c>
      <c r="I118" s="12">
        <v>43153</v>
      </c>
      <c r="J118" s="2">
        <v>5</v>
      </c>
      <c r="K118" s="11">
        <v>1145165016345</v>
      </c>
      <c r="L118" s="11" t="s">
        <v>375</v>
      </c>
      <c r="M118" s="11" t="s">
        <v>27</v>
      </c>
      <c r="N118" s="12">
        <v>43152</v>
      </c>
      <c r="O118" s="12">
        <v>43152</v>
      </c>
      <c r="P118" s="11">
        <v>5</v>
      </c>
      <c r="Q118" s="11" t="s">
        <v>371</v>
      </c>
    </row>
    <row r="119" spans="1:17" ht="13" hidden="1" x14ac:dyDescent="0.15">
      <c r="A119" s="10">
        <v>43169.736698483801</v>
      </c>
      <c r="B119" s="11" t="s">
        <v>371</v>
      </c>
      <c r="C119" s="11">
        <v>440</v>
      </c>
      <c r="D119" s="11" t="s">
        <v>377</v>
      </c>
      <c r="E119" s="11">
        <v>8547564126</v>
      </c>
      <c r="F119" s="11" t="s">
        <v>266</v>
      </c>
      <c r="G119" s="11" t="s">
        <v>215</v>
      </c>
      <c r="H119" s="11">
        <v>27</v>
      </c>
      <c r="I119" s="12">
        <v>43167</v>
      </c>
      <c r="J119" s="2">
        <v>3</v>
      </c>
      <c r="K119" s="11">
        <v>1165956033262</v>
      </c>
      <c r="L119" s="11" t="s">
        <v>378</v>
      </c>
      <c r="M119" s="11" t="s">
        <v>27</v>
      </c>
      <c r="N119" s="12">
        <v>43153</v>
      </c>
      <c r="O119" s="12">
        <v>43153</v>
      </c>
      <c r="P119" s="11">
        <v>3</v>
      </c>
      <c r="Q119" s="11" t="s">
        <v>371</v>
      </c>
    </row>
    <row r="120" spans="1:17" ht="13" x14ac:dyDescent="0.15">
      <c r="A120" s="10">
        <v>43171.469891932866</v>
      </c>
      <c r="B120" s="11" t="s">
        <v>379</v>
      </c>
      <c r="C120" s="11">
        <v>194</v>
      </c>
      <c r="D120" s="11" t="s">
        <v>380</v>
      </c>
      <c r="E120" s="11">
        <v>9061536777</v>
      </c>
      <c r="F120" s="11" t="s">
        <v>24</v>
      </c>
      <c r="G120" s="11" t="s">
        <v>276</v>
      </c>
      <c r="H120" s="11">
        <v>11</v>
      </c>
      <c r="I120" s="12">
        <v>43169</v>
      </c>
      <c r="J120" s="2">
        <v>3</v>
      </c>
      <c r="K120" s="11">
        <v>1145177013462</v>
      </c>
      <c r="L120" s="11" t="s">
        <v>381</v>
      </c>
      <c r="M120" s="11" t="s">
        <v>27</v>
      </c>
      <c r="N120" s="12">
        <v>43176</v>
      </c>
      <c r="O120" s="12">
        <v>43176</v>
      </c>
      <c r="P120" s="11">
        <v>3</v>
      </c>
      <c r="Q120" s="11" t="s">
        <v>379</v>
      </c>
    </row>
    <row r="121" spans="1:17" ht="13" hidden="1" x14ac:dyDescent="0.15">
      <c r="A121" s="10">
        <v>43171.486929560182</v>
      </c>
      <c r="B121" s="11" t="s">
        <v>382</v>
      </c>
      <c r="C121" s="11">
        <v>427</v>
      </c>
      <c r="D121" s="11" t="s">
        <v>383</v>
      </c>
      <c r="E121" s="11">
        <v>9387707733</v>
      </c>
      <c r="F121" s="11" t="s">
        <v>30</v>
      </c>
      <c r="G121" s="11" t="s">
        <v>384</v>
      </c>
      <c r="H121" s="11">
        <v>4</v>
      </c>
      <c r="I121" s="12">
        <v>43168</v>
      </c>
      <c r="J121" s="2">
        <v>2</v>
      </c>
      <c r="K121" s="11">
        <v>1156772006584</v>
      </c>
      <c r="L121" s="11" t="s">
        <v>284</v>
      </c>
      <c r="M121" s="11" t="s">
        <v>27</v>
      </c>
      <c r="N121" s="12">
        <v>43153</v>
      </c>
      <c r="O121" s="12">
        <v>43153</v>
      </c>
      <c r="P121" s="11">
        <v>2</v>
      </c>
      <c r="Q121" s="11" t="s">
        <v>382</v>
      </c>
    </row>
    <row r="122" spans="1:17" ht="13" hidden="1" x14ac:dyDescent="0.15">
      <c r="A122" s="10">
        <v>43171.49574431713</v>
      </c>
      <c r="B122" s="11" t="s">
        <v>385</v>
      </c>
      <c r="C122" s="11">
        <v>277</v>
      </c>
      <c r="D122" s="11" t="s">
        <v>386</v>
      </c>
      <c r="E122" s="11">
        <v>9447280666</v>
      </c>
      <c r="F122" s="11" t="s">
        <v>73</v>
      </c>
      <c r="G122" s="11" t="s">
        <v>36</v>
      </c>
      <c r="H122" s="11">
        <v>20</v>
      </c>
      <c r="I122" s="12">
        <v>43159</v>
      </c>
      <c r="J122" s="2">
        <v>3</v>
      </c>
      <c r="K122" s="11">
        <v>1146727005081</v>
      </c>
      <c r="L122" s="11" t="s">
        <v>387</v>
      </c>
      <c r="M122" s="11" t="s">
        <v>27</v>
      </c>
      <c r="N122" s="12">
        <v>43151</v>
      </c>
      <c r="O122" s="12">
        <v>43151</v>
      </c>
      <c r="P122" s="11">
        <v>3</v>
      </c>
      <c r="Q122" s="11" t="s">
        <v>385</v>
      </c>
    </row>
    <row r="123" spans="1:17" ht="13" hidden="1" x14ac:dyDescent="0.15">
      <c r="A123" s="10">
        <v>43171.51492199074</v>
      </c>
      <c r="B123" s="11" t="s">
        <v>382</v>
      </c>
      <c r="C123" s="11">
        <v>445</v>
      </c>
      <c r="D123" s="11" t="s">
        <v>388</v>
      </c>
      <c r="E123" s="11">
        <v>9387707733</v>
      </c>
      <c r="F123" s="11" t="s">
        <v>30</v>
      </c>
      <c r="G123" s="11" t="s">
        <v>384</v>
      </c>
      <c r="H123" s="11">
        <v>4</v>
      </c>
      <c r="I123" s="12">
        <v>43168</v>
      </c>
      <c r="J123" s="2">
        <v>3</v>
      </c>
      <c r="K123" s="11">
        <v>1156711008696</v>
      </c>
      <c r="L123" s="11" t="s">
        <v>205</v>
      </c>
      <c r="M123" s="11" t="s">
        <v>27</v>
      </c>
      <c r="N123" s="12">
        <v>43162</v>
      </c>
      <c r="O123" s="12">
        <v>43162</v>
      </c>
      <c r="P123" s="11">
        <v>3</v>
      </c>
      <c r="Q123" s="11" t="s">
        <v>382</v>
      </c>
    </row>
    <row r="124" spans="1:17" ht="13" hidden="1" x14ac:dyDescent="0.15">
      <c r="A124" s="10">
        <v>43171.529694942132</v>
      </c>
      <c r="B124" s="11" t="s">
        <v>382</v>
      </c>
      <c r="C124" s="11">
        <v>196</v>
      </c>
      <c r="D124" s="11" t="s">
        <v>389</v>
      </c>
      <c r="E124" s="11">
        <v>9387707733</v>
      </c>
      <c r="F124" s="11" t="s">
        <v>30</v>
      </c>
      <c r="G124" s="11" t="s">
        <v>384</v>
      </c>
      <c r="H124" s="11">
        <v>4</v>
      </c>
      <c r="I124" s="12">
        <v>43168</v>
      </c>
      <c r="J124" s="2">
        <v>2</v>
      </c>
      <c r="K124" s="11">
        <v>1157144007561</v>
      </c>
      <c r="L124" s="11" t="s">
        <v>390</v>
      </c>
      <c r="M124" s="11" t="s">
        <v>27</v>
      </c>
      <c r="N124" s="12">
        <v>43139</v>
      </c>
      <c r="O124" s="12">
        <v>43139</v>
      </c>
      <c r="P124" s="11">
        <v>2</v>
      </c>
      <c r="Q124" s="11" t="s">
        <v>382</v>
      </c>
    </row>
    <row r="125" spans="1:17" ht="13" hidden="1" x14ac:dyDescent="0.15">
      <c r="A125" s="10">
        <v>43171.538903182867</v>
      </c>
      <c r="B125" s="11" t="s">
        <v>382</v>
      </c>
      <c r="C125" s="11">
        <v>129</v>
      </c>
      <c r="D125" s="11" t="s">
        <v>391</v>
      </c>
      <c r="E125" s="11">
        <v>9387707733</v>
      </c>
      <c r="F125" s="11" t="s">
        <v>30</v>
      </c>
      <c r="G125" s="11" t="s">
        <v>384</v>
      </c>
      <c r="H125" s="11">
        <v>4</v>
      </c>
      <c r="I125" s="12">
        <v>43159</v>
      </c>
      <c r="J125" s="2">
        <v>3</v>
      </c>
      <c r="K125" s="11">
        <v>1156648025006</v>
      </c>
      <c r="L125" s="11" t="s">
        <v>393</v>
      </c>
      <c r="M125" s="11" t="s">
        <v>27</v>
      </c>
      <c r="N125" s="12">
        <v>43106</v>
      </c>
      <c r="O125" s="12">
        <v>43106</v>
      </c>
      <c r="P125" s="11">
        <v>3</v>
      </c>
      <c r="Q125" s="11" t="s">
        <v>382</v>
      </c>
    </row>
    <row r="126" spans="1:17" ht="13" hidden="1" x14ac:dyDescent="0.15">
      <c r="A126" s="10">
        <v>43171.879704988431</v>
      </c>
      <c r="B126" s="11" t="s">
        <v>285</v>
      </c>
      <c r="C126" s="11">
        <v>513</v>
      </c>
      <c r="D126" s="11" t="s">
        <v>394</v>
      </c>
      <c r="E126" s="11">
        <v>9846542746</v>
      </c>
      <c r="F126" s="11" t="s">
        <v>287</v>
      </c>
      <c r="G126" s="11" t="s">
        <v>157</v>
      </c>
      <c r="H126" s="11">
        <v>42</v>
      </c>
      <c r="I126" s="12">
        <v>43171</v>
      </c>
      <c r="J126" s="2">
        <v>3</v>
      </c>
      <c r="K126" s="11">
        <v>1166494001817</v>
      </c>
      <c r="L126" s="11" t="s">
        <v>395</v>
      </c>
      <c r="M126" s="11" t="s">
        <v>27</v>
      </c>
      <c r="N126" s="12">
        <v>43171</v>
      </c>
      <c r="O126" s="12">
        <v>43171</v>
      </c>
      <c r="P126" s="11">
        <v>3</v>
      </c>
      <c r="Q126" s="11" t="s">
        <v>285</v>
      </c>
    </row>
    <row r="127" spans="1:17" ht="13" hidden="1" x14ac:dyDescent="0.15">
      <c r="A127" s="10">
        <v>43172.404112060191</v>
      </c>
      <c r="B127" s="11" t="s">
        <v>396</v>
      </c>
      <c r="C127" s="11">
        <v>314</v>
      </c>
      <c r="D127" s="11" t="s">
        <v>397</v>
      </c>
      <c r="E127" s="11">
        <v>9447476255</v>
      </c>
      <c r="F127" s="11" t="s">
        <v>40</v>
      </c>
      <c r="G127" s="11" t="s">
        <v>183</v>
      </c>
      <c r="H127" s="11">
        <v>56</v>
      </c>
      <c r="I127" s="12">
        <v>43172</v>
      </c>
      <c r="J127" s="2">
        <v>3</v>
      </c>
      <c r="K127" s="11">
        <v>1155186001495</v>
      </c>
      <c r="L127" s="11" t="s">
        <v>398</v>
      </c>
      <c r="M127" s="11" t="s">
        <v>27</v>
      </c>
      <c r="N127" s="12">
        <v>43155</v>
      </c>
      <c r="O127" s="12">
        <v>43155</v>
      </c>
      <c r="P127" s="11">
        <v>3</v>
      </c>
      <c r="Q127" s="11" t="s">
        <v>396</v>
      </c>
    </row>
    <row r="128" spans="1:17" ht="13" hidden="1" x14ac:dyDescent="0.15">
      <c r="A128" s="10">
        <v>43172.457940960652</v>
      </c>
      <c r="B128" s="11" t="s">
        <v>399</v>
      </c>
      <c r="C128" s="11">
        <v>344</v>
      </c>
      <c r="D128" s="11" t="s">
        <v>400</v>
      </c>
      <c r="E128" s="11">
        <v>9447636277</v>
      </c>
      <c r="F128" s="11" t="s">
        <v>266</v>
      </c>
      <c r="G128" s="11" t="s">
        <v>36</v>
      </c>
      <c r="H128" s="11">
        <v>20</v>
      </c>
      <c r="I128" s="12">
        <v>43171</v>
      </c>
      <c r="J128" s="2">
        <v>3</v>
      </c>
      <c r="K128" s="11">
        <v>1166342016468</v>
      </c>
      <c r="L128" s="11" t="s">
        <v>401</v>
      </c>
      <c r="M128" s="11" t="s">
        <v>27</v>
      </c>
      <c r="N128" s="12">
        <v>43157</v>
      </c>
      <c r="O128" s="12">
        <v>43157</v>
      </c>
      <c r="P128" s="11">
        <v>3</v>
      </c>
      <c r="Q128" s="11" t="s">
        <v>399</v>
      </c>
    </row>
    <row r="129" spans="1:17" ht="13" hidden="1" x14ac:dyDescent="0.15">
      <c r="A129" s="10">
        <v>43172.461844247686</v>
      </c>
      <c r="B129" s="11" t="s">
        <v>176</v>
      </c>
      <c r="C129" s="11">
        <v>324</v>
      </c>
      <c r="D129" s="11" t="s">
        <v>402</v>
      </c>
      <c r="E129" s="11">
        <v>9142099977</v>
      </c>
      <c r="F129" s="11" t="s">
        <v>182</v>
      </c>
      <c r="G129" s="11" t="s">
        <v>178</v>
      </c>
      <c r="H129" s="11">
        <v>14</v>
      </c>
      <c r="I129" s="12">
        <v>43171</v>
      </c>
      <c r="J129" s="2">
        <v>2</v>
      </c>
      <c r="K129" s="11">
        <v>1167810013895</v>
      </c>
      <c r="L129" s="11" t="s">
        <v>403</v>
      </c>
      <c r="M129" s="11" t="s">
        <v>27</v>
      </c>
      <c r="N129" s="12">
        <v>43161</v>
      </c>
      <c r="O129" s="12">
        <v>43161</v>
      </c>
      <c r="P129" s="11">
        <v>2</v>
      </c>
      <c r="Q129" s="11" t="s">
        <v>176</v>
      </c>
    </row>
    <row r="130" spans="1:17" ht="13" hidden="1" x14ac:dyDescent="0.15">
      <c r="A130" s="10">
        <v>43172.50100005787</v>
      </c>
      <c r="B130" s="11" t="s">
        <v>404</v>
      </c>
      <c r="C130" s="11">
        <v>286</v>
      </c>
      <c r="D130" s="11" t="s">
        <v>405</v>
      </c>
      <c r="E130" s="11">
        <v>7012219894</v>
      </c>
      <c r="F130" s="11" t="s">
        <v>73</v>
      </c>
      <c r="G130" s="11" t="s">
        <v>36</v>
      </c>
      <c r="H130" s="11">
        <v>20</v>
      </c>
      <c r="I130" s="12">
        <v>43172</v>
      </c>
      <c r="J130" s="2">
        <v>3</v>
      </c>
      <c r="K130" s="11">
        <v>1145914016566</v>
      </c>
      <c r="L130" s="11" t="s">
        <v>406</v>
      </c>
      <c r="M130" s="11" t="s">
        <v>27</v>
      </c>
      <c r="N130" s="12">
        <v>43153</v>
      </c>
      <c r="O130" s="12">
        <v>43153</v>
      </c>
      <c r="P130" s="11">
        <v>3</v>
      </c>
      <c r="Q130" s="11" t="s">
        <v>404</v>
      </c>
    </row>
    <row r="131" spans="1:17" ht="13" hidden="1" x14ac:dyDescent="0.15">
      <c r="A131" s="10">
        <v>43172.526949953703</v>
      </c>
      <c r="B131" s="11" t="s">
        <v>407</v>
      </c>
      <c r="C131" s="11">
        <v>302</v>
      </c>
      <c r="D131" s="11" t="s">
        <v>408</v>
      </c>
      <c r="E131" s="11">
        <v>9633222494</v>
      </c>
      <c r="F131" s="11" t="s">
        <v>30</v>
      </c>
      <c r="G131" s="11" t="s">
        <v>409</v>
      </c>
      <c r="H131" s="11">
        <v>38</v>
      </c>
      <c r="I131" s="12">
        <v>43172</v>
      </c>
      <c r="J131" s="2">
        <v>5</v>
      </c>
      <c r="K131" s="11">
        <v>1156513028507</v>
      </c>
      <c r="L131" s="11">
        <v>5651</v>
      </c>
      <c r="M131" s="11" t="s">
        <v>27</v>
      </c>
      <c r="N131" s="12">
        <v>43168</v>
      </c>
      <c r="O131" s="12">
        <v>43168</v>
      </c>
      <c r="P131" s="11">
        <v>5</v>
      </c>
      <c r="Q131" s="11" t="s">
        <v>407</v>
      </c>
    </row>
    <row r="132" spans="1:17" ht="13" x14ac:dyDescent="0.15">
      <c r="A132" s="10">
        <v>43172.652921412038</v>
      </c>
      <c r="B132" s="11" t="s">
        <v>303</v>
      </c>
      <c r="C132" s="11">
        <v>354</v>
      </c>
      <c r="D132" s="11" t="s">
        <v>410</v>
      </c>
      <c r="E132" s="11">
        <v>9400650130</v>
      </c>
      <c r="F132" s="11" t="s">
        <v>24</v>
      </c>
      <c r="G132" s="11" t="s">
        <v>280</v>
      </c>
      <c r="H132" s="11">
        <v>66</v>
      </c>
      <c r="I132" s="12">
        <v>43172</v>
      </c>
      <c r="J132" s="2">
        <v>3</v>
      </c>
      <c r="K132" s="11">
        <v>1145436001043</v>
      </c>
      <c r="L132" s="11" t="s">
        <v>411</v>
      </c>
      <c r="M132" s="11" t="s">
        <v>27</v>
      </c>
      <c r="N132" s="12">
        <v>43167</v>
      </c>
      <c r="O132" s="12">
        <v>43167</v>
      </c>
      <c r="P132" s="11">
        <v>3</v>
      </c>
      <c r="Q132" s="11" t="s">
        <v>303</v>
      </c>
    </row>
    <row r="133" spans="1:17" ht="13" hidden="1" x14ac:dyDescent="0.15">
      <c r="A133" s="10">
        <v>43172.656831990738</v>
      </c>
      <c r="B133" s="11" t="s">
        <v>303</v>
      </c>
      <c r="C133" s="11">
        <v>433</v>
      </c>
      <c r="D133" s="11" t="s">
        <v>413</v>
      </c>
      <c r="E133" s="11">
        <v>9072355477</v>
      </c>
      <c r="F133" s="11" t="s">
        <v>287</v>
      </c>
      <c r="G133" s="11" t="s">
        <v>280</v>
      </c>
      <c r="H133" s="11">
        <v>66</v>
      </c>
      <c r="I133" s="12">
        <v>43172</v>
      </c>
      <c r="J133" s="2">
        <v>5</v>
      </c>
      <c r="K133" s="11">
        <v>1166707011457</v>
      </c>
      <c r="L133" s="11" t="s">
        <v>414</v>
      </c>
      <c r="M133" s="11" t="s">
        <v>27</v>
      </c>
      <c r="N133" s="12">
        <v>43171</v>
      </c>
      <c r="O133" s="12">
        <v>43171</v>
      </c>
      <c r="P133" s="11">
        <v>5</v>
      </c>
      <c r="Q133" s="11" t="s">
        <v>303</v>
      </c>
    </row>
    <row r="134" spans="1:17" ht="13" hidden="1" x14ac:dyDescent="0.15">
      <c r="A134" s="10">
        <v>43172.659522916671</v>
      </c>
      <c r="B134" s="11" t="s">
        <v>415</v>
      </c>
      <c r="C134" s="11">
        <v>306</v>
      </c>
      <c r="D134" s="11" t="s">
        <v>416</v>
      </c>
      <c r="E134" s="11" t="s">
        <v>417</v>
      </c>
      <c r="F134" s="11" t="s">
        <v>61</v>
      </c>
      <c r="G134" s="11" t="s">
        <v>418</v>
      </c>
      <c r="H134" s="11">
        <v>5</v>
      </c>
      <c r="I134" s="12">
        <v>43172</v>
      </c>
      <c r="J134" s="2">
        <v>20</v>
      </c>
      <c r="K134" s="11">
        <v>1346170034283</v>
      </c>
      <c r="L134" s="11" t="s">
        <v>225</v>
      </c>
      <c r="M134" s="11" t="s">
        <v>27</v>
      </c>
      <c r="N134" s="12">
        <v>43172</v>
      </c>
      <c r="O134" s="12">
        <v>43172</v>
      </c>
      <c r="P134" s="11">
        <v>20</v>
      </c>
      <c r="Q134" s="11" t="s">
        <v>419</v>
      </c>
    </row>
    <row r="135" spans="1:17" ht="13" hidden="1" x14ac:dyDescent="0.15">
      <c r="A135" s="10">
        <v>43172.663278159722</v>
      </c>
      <c r="B135" s="11" t="s">
        <v>303</v>
      </c>
      <c r="C135" s="11">
        <v>290</v>
      </c>
      <c r="D135" s="11" t="s">
        <v>420</v>
      </c>
      <c r="E135" s="11">
        <v>9961228888</v>
      </c>
      <c r="F135" s="11" t="s">
        <v>266</v>
      </c>
      <c r="G135" s="11" t="s">
        <v>280</v>
      </c>
      <c r="H135" s="11">
        <v>66</v>
      </c>
      <c r="I135" s="12">
        <v>43172</v>
      </c>
      <c r="J135" s="2">
        <v>10</v>
      </c>
      <c r="K135" s="11">
        <v>4457</v>
      </c>
      <c r="L135" s="11" t="s">
        <v>421</v>
      </c>
      <c r="M135" s="11" t="s">
        <v>27</v>
      </c>
      <c r="N135" s="12">
        <v>43162</v>
      </c>
      <c r="O135" s="12">
        <v>43162</v>
      </c>
      <c r="P135" s="11">
        <v>10</v>
      </c>
      <c r="Q135" s="11" t="s">
        <v>303</v>
      </c>
    </row>
    <row r="136" spans="1:17" ht="13" hidden="1" x14ac:dyDescent="0.15">
      <c r="A136" s="10">
        <v>43172.685889039349</v>
      </c>
      <c r="B136" s="11" t="s">
        <v>371</v>
      </c>
      <c r="C136" s="11">
        <v>303</v>
      </c>
      <c r="D136" s="11" t="s">
        <v>422</v>
      </c>
      <c r="E136" s="11">
        <v>8547564126</v>
      </c>
      <c r="F136" s="11" t="s">
        <v>73</v>
      </c>
      <c r="G136" s="11" t="s">
        <v>215</v>
      </c>
      <c r="H136" s="11">
        <v>27</v>
      </c>
      <c r="I136" s="12">
        <v>43165</v>
      </c>
      <c r="J136" s="2">
        <v>5</v>
      </c>
      <c r="K136" s="11">
        <v>1145660022405</v>
      </c>
      <c r="L136" s="11" t="s">
        <v>423</v>
      </c>
      <c r="M136" s="11" t="s">
        <v>27</v>
      </c>
      <c r="N136" s="12">
        <v>43172</v>
      </c>
      <c r="O136" s="12">
        <v>43172</v>
      </c>
      <c r="P136" s="11">
        <v>5</v>
      </c>
      <c r="Q136" s="11" t="s">
        <v>371</v>
      </c>
    </row>
    <row r="137" spans="1:17" ht="13" hidden="1" x14ac:dyDescent="0.15">
      <c r="A137" s="10">
        <v>43172.689377974537</v>
      </c>
      <c r="B137" s="11" t="s">
        <v>371</v>
      </c>
      <c r="C137" s="11">
        <v>293</v>
      </c>
      <c r="D137" s="11" t="s">
        <v>424</v>
      </c>
      <c r="E137" s="11">
        <v>8547564126</v>
      </c>
      <c r="F137" s="11" t="s">
        <v>73</v>
      </c>
      <c r="G137" s="11" t="s">
        <v>215</v>
      </c>
      <c r="H137" s="11">
        <v>27</v>
      </c>
      <c r="I137" s="12">
        <v>43165</v>
      </c>
      <c r="J137" s="2">
        <v>3</v>
      </c>
      <c r="K137" s="11">
        <v>1145665010717</v>
      </c>
      <c r="L137" s="11" t="s">
        <v>425</v>
      </c>
      <c r="M137" s="11" t="s">
        <v>27</v>
      </c>
      <c r="N137" s="12">
        <v>43172</v>
      </c>
      <c r="O137" s="12">
        <v>43172</v>
      </c>
      <c r="P137" s="11">
        <v>3</v>
      </c>
      <c r="Q137" s="11" t="s">
        <v>371</v>
      </c>
    </row>
    <row r="138" spans="1:17" ht="13" hidden="1" x14ac:dyDescent="0.15">
      <c r="A138" s="10">
        <v>43172.695644328705</v>
      </c>
      <c r="B138" s="11" t="s">
        <v>371</v>
      </c>
      <c r="C138" s="11">
        <v>297</v>
      </c>
      <c r="D138" s="11" t="s">
        <v>426</v>
      </c>
      <c r="E138" s="11">
        <v>8547564126</v>
      </c>
      <c r="F138" s="11" t="s">
        <v>73</v>
      </c>
      <c r="G138" s="11" t="s">
        <v>215</v>
      </c>
      <c r="H138" s="11">
        <v>27</v>
      </c>
      <c r="I138" s="12">
        <v>43165</v>
      </c>
      <c r="J138" s="2">
        <v>3</v>
      </c>
      <c r="K138" s="11">
        <v>1145663025942</v>
      </c>
      <c r="L138" s="11" t="s">
        <v>425</v>
      </c>
      <c r="M138" s="11" t="s">
        <v>27</v>
      </c>
      <c r="N138" s="12">
        <v>43172</v>
      </c>
      <c r="O138" s="12">
        <v>43172</v>
      </c>
      <c r="P138" s="11">
        <v>3</v>
      </c>
      <c r="Q138" s="11" t="s">
        <v>371</v>
      </c>
    </row>
    <row r="139" spans="1:17" ht="13" hidden="1" x14ac:dyDescent="0.15">
      <c r="A139" s="10">
        <v>43173.388020763887</v>
      </c>
      <c r="B139" s="11" t="s">
        <v>427</v>
      </c>
      <c r="C139" s="11">
        <v>503</v>
      </c>
      <c r="D139" s="11" t="s">
        <v>428</v>
      </c>
      <c r="E139" s="11">
        <v>7510576407</v>
      </c>
      <c r="F139" s="11" t="s">
        <v>56</v>
      </c>
      <c r="G139" s="11" t="s">
        <v>272</v>
      </c>
      <c r="H139" s="11">
        <v>47</v>
      </c>
      <c r="I139" s="12">
        <v>43172</v>
      </c>
      <c r="J139" s="2">
        <v>5</v>
      </c>
      <c r="K139" s="11">
        <v>115628501637</v>
      </c>
      <c r="L139" s="11" t="s">
        <v>58</v>
      </c>
      <c r="M139" s="11" t="s">
        <v>27</v>
      </c>
      <c r="N139" s="12">
        <v>43171</v>
      </c>
      <c r="O139" s="12">
        <v>43171</v>
      </c>
      <c r="P139" s="11">
        <v>5</v>
      </c>
      <c r="Q139" s="11" t="s">
        <v>427</v>
      </c>
    </row>
    <row r="140" spans="1:17" ht="13" hidden="1" x14ac:dyDescent="0.15">
      <c r="A140" s="10">
        <v>43173.434141168982</v>
      </c>
      <c r="B140" s="11" t="s">
        <v>429</v>
      </c>
      <c r="C140" s="11">
        <v>122</v>
      </c>
      <c r="D140" s="11" t="s">
        <v>430</v>
      </c>
      <c r="E140" s="11">
        <v>9846521952</v>
      </c>
      <c r="F140" s="11" t="s">
        <v>56</v>
      </c>
      <c r="G140" s="11" t="s">
        <v>431</v>
      </c>
      <c r="H140" s="11">
        <v>33</v>
      </c>
      <c r="I140" s="12">
        <v>43135</v>
      </c>
      <c r="J140" s="2">
        <v>3</v>
      </c>
      <c r="K140" s="11">
        <v>1156256004108</v>
      </c>
      <c r="L140" s="11" t="s">
        <v>432</v>
      </c>
      <c r="M140" s="11" t="s">
        <v>27</v>
      </c>
      <c r="N140" s="12">
        <v>43154</v>
      </c>
      <c r="O140" s="12">
        <v>43154</v>
      </c>
      <c r="P140" s="11">
        <v>3</v>
      </c>
      <c r="Q140" s="11" t="s">
        <v>429</v>
      </c>
    </row>
    <row r="141" spans="1:17" ht="13" hidden="1" x14ac:dyDescent="0.15">
      <c r="A141" s="10">
        <v>43173.506366828704</v>
      </c>
      <c r="B141" s="11" t="s">
        <v>433</v>
      </c>
      <c r="C141" s="11">
        <v>189</v>
      </c>
      <c r="D141" s="11" t="s">
        <v>434</v>
      </c>
      <c r="E141" s="11">
        <v>9961302318</v>
      </c>
      <c r="F141" s="11" t="s">
        <v>35</v>
      </c>
      <c r="G141" s="11" t="s">
        <v>170</v>
      </c>
      <c r="H141" s="11">
        <v>26</v>
      </c>
      <c r="I141" s="12">
        <v>43148</v>
      </c>
      <c r="J141" s="2">
        <v>3</v>
      </c>
      <c r="K141" s="11">
        <v>1157317010083</v>
      </c>
      <c r="L141" s="11" t="s">
        <v>435</v>
      </c>
      <c r="M141" s="11" t="s">
        <v>27</v>
      </c>
      <c r="N141" s="12">
        <v>43165</v>
      </c>
      <c r="O141" s="12">
        <v>43165</v>
      </c>
      <c r="P141" s="11">
        <v>13</v>
      </c>
      <c r="Q141" s="11" t="s">
        <v>436</v>
      </c>
    </row>
    <row r="142" spans="1:17" ht="13" hidden="1" x14ac:dyDescent="0.15">
      <c r="A142" s="10">
        <v>43173.531477719909</v>
      </c>
      <c r="B142" s="11" t="s">
        <v>151</v>
      </c>
      <c r="C142" s="11">
        <v>333</v>
      </c>
      <c r="D142" s="11" t="s">
        <v>437</v>
      </c>
      <c r="E142" s="11">
        <v>7907009190</v>
      </c>
      <c r="F142" s="11" t="s">
        <v>40</v>
      </c>
      <c r="G142" s="11" t="s">
        <v>62</v>
      </c>
      <c r="H142" s="11">
        <v>42</v>
      </c>
      <c r="I142" s="12">
        <v>43172</v>
      </c>
      <c r="J142" s="2">
        <v>5</v>
      </c>
      <c r="K142" s="11">
        <v>1155234001234</v>
      </c>
      <c r="L142" s="11" t="s">
        <v>438</v>
      </c>
      <c r="M142" s="11" t="s">
        <v>27</v>
      </c>
      <c r="N142" s="12">
        <v>43133</v>
      </c>
      <c r="O142" s="12">
        <v>43133</v>
      </c>
      <c r="P142" s="11">
        <v>5</v>
      </c>
      <c r="Q142" s="11" t="s">
        <v>151</v>
      </c>
    </row>
    <row r="143" spans="1:17" ht="13" hidden="1" x14ac:dyDescent="0.15">
      <c r="A143" s="10">
        <v>43173.537949027777</v>
      </c>
      <c r="B143" s="11" t="s">
        <v>439</v>
      </c>
      <c r="C143" s="11">
        <v>266</v>
      </c>
      <c r="D143" s="11" t="s">
        <v>440</v>
      </c>
      <c r="E143" s="11">
        <v>7907009190</v>
      </c>
      <c r="F143" s="11" t="s">
        <v>40</v>
      </c>
      <c r="G143" s="11" t="s">
        <v>157</v>
      </c>
      <c r="H143" s="11">
        <v>42</v>
      </c>
      <c r="I143" s="12">
        <v>43159</v>
      </c>
      <c r="J143" s="2">
        <v>2</v>
      </c>
      <c r="K143" s="11">
        <v>1155055010510</v>
      </c>
      <c r="L143" s="11" t="s">
        <v>441</v>
      </c>
      <c r="M143" s="11" t="s">
        <v>27</v>
      </c>
      <c r="N143" s="12">
        <v>43145</v>
      </c>
      <c r="O143" s="12">
        <v>43145</v>
      </c>
      <c r="P143" s="11">
        <v>2</v>
      </c>
      <c r="Q143" s="11" t="s">
        <v>151</v>
      </c>
    </row>
    <row r="144" spans="1:17" ht="13" hidden="1" x14ac:dyDescent="0.15">
      <c r="A144" s="10">
        <v>43173.54705778935</v>
      </c>
      <c r="B144" s="11" t="s">
        <v>151</v>
      </c>
      <c r="C144" s="11">
        <v>420</v>
      </c>
      <c r="D144" s="11" t="s">
        <v>443</v>
      </c>
      <c r="E144" s="11">
        <v>7907009190</v>
      </c>
      <c r="F144" s="11" t="s">
        <v>40</v>
      </c>
      <c r="G144" s="11" t="s">
        <v>157</v>
      </c>
      <c r="H144" s="11">
        <v>42</v>
      </c>
      <c r="I144" s="12">
        <v>43159</v>
      </c>
      <c r="J144" s="2">
        <v>3</v>
      </c>
      <c r="K144" s="11">
        <v>1155051009664</v>
      </c>
      <c r="L144" s="11" t="s">
        <v>441</v>
      </c>
      <c r="M144" s="11" t="s">
        <v>27</v>
      </c>
      <c r="N144" s="12">
        <v>43145</v>
      </c>
      <c r="O144" s="12">
        <v>43145</v>
      </c>
      <c r="P144" s="11">
        <v>3</v>
      </c>
      <c r="Q144" s="11" t="s">
        <v>151</v>
      </c>
    </row>
    <row r="145" spans="1:17" ht="13" hidden="1" x14ac:dyDescent="0.15">
      <c r="A145" s="10">
        <v>43173.610562430556</v>
      </c>
      <c r="B145" s="11" t="s">
        <v>206</v>
      </c>
      <c r="C145" s="11">
        <v>329</v>
      </c>
      <c r="D145" s="11" t="s">
        <v>444</v>
      </c>
      <c r="E145" s="11">
        <v>8078213924</v>
      </c>
      <c r="F145" s="11" t="s">
        <v>61</v>
      </c>
      <c r="G145" s="11" t="s">
        <v>208</v>
      </c>
      <c r="H145" s="11">
        <v>38</v>
      </c>
      <c r="I145" s="12">
        <v>43172</v>
      </c>
      <c r="J145" s="2">
        <v>10</v>
      </c>
      <c r="K145" s="11">
        <v>1146179009271</v>
      </c>
      <c r="L145" s="11" t="s">
        <v>225</v>
      </c>
      <c r="M145" s="11" t="s">
        <v>27</v>
      </c>
      <c r="N145" s="12">
        <v>43157</v>
      </c>
      <c r="O145" s="12">
        <v>43157</v>
      </c>
      <c r="P145" s="11">
        <v>10</v>
      </c>
      <c r="Q145" s="11" t="s">
        <v>206</v>
      </c>
    </row>
    <row r="146" spans="1:17" ht="13" hidden="1" x14ac:dyDescent="0.15">
      <c r="A146" s="10">
        <v>43173.684073032404</v>
      </c>
      <c r="B146" s="11" t="s">
        <v>445</v>
      </c>
      <c r="C146" s="11">
        <v>148</v>
      </c>
      <c r="D146" s="11" t="s">
        <v>446</v>
      </c>
      <c r="E146" s="11">
        <v>9847457891</v>
      </c>
      <c r="F146" s="11" t="s">
        <v>35</v>
      </c>
      <c r="G146" s="11" t="s">
        <v>447</v>
      </c>
      <c r="H146" s="11">
        <v>22</v>
      </c>
      <c r="I146" s="12">
        <v>43164</v>
      </c>
      <c r="J146" s="2">
        <v>3</v>
      </c>
      <c r="K146" s="13">
        <v>115590020883</v>
      </c>
      <c r="L146" s="11" t="s">
        <v>448</v>
      </c>
      <c r="M146" s="11" t="s">
        <v>27</v>
      </c>
      <c r="N146" s="12">
        <v>43169</v>
      </c>
      <c r="O146" s="12">
        <v>43169</v>
      </c>
      <c r="P146" s="11">
        <v>3</v>
      </c>
      <c r="Q146" s="11" t="s">
        <v>445</v>
      </c>
    </row>
    <row r="147" spans="1:17" ht="13" hidden="1" x14ac:dyDescent="0.15">
      <c r="A147" s="10">
        <v>43173.707515000002</v>
      </c>
      <c r="B147" s="11" t="s">
        <v>449</v>
      </c>
      <c r="C147" s="11">
        <v>2</v>
      </c>
      <c r="D147" s="11" t="s">
        <v>450</v>
      </c>
      <c r="E147" s="11">
        <v>9447876655</v>
      </c>
      <c r="F147" s="11" t="s">
        <v>40</v>
      </c>
      <c r="G147" s="11" t="s">
        <v>36</v>
      </c>
      <c r="H147" s="11">
        <v>20</v>
      </c>
      <c r="I147" s="12">
        <v>43139</v>
      </c>
      <c r="J147" s="2">
        <v>3</v>
      </c>
      <c r="K147" s="11">
        <v>1155242000737</v>
      </c>
      <c r="L147" s="11">
        <v>5524</v>
      </c>
      <c r="M147" s="11" t="s">
        <v>27</v>
      </c>
      <c r="N147" s="12">
        <v>43133</v>
      </c>
      <c r="O147" s="12">
        <v>43133</v>
      </c>
      <c r="P147" s="11">
        <v>3</v>
      </c>
      <c r="Q147" s="11" t="s">
        <v>451</v>
      </c>
    </row>
    <row r="148" spans="1:17" ht="13" hidden="1" x14ac:dyDescent="0.15">
      <c r="A148" s="10">
        <v>43173.726673020836</v>
      </c>
      <c r="B148" s="11" t="s">
        <v>452</v>
      </c>
      <c r="C148" s="11">
        <v>209</v>
      </c>
      <c r="D148" s="11" t="s">
        <v>453</v>
      </c>
      <c r="E148" s="11">
        <v>9947579552</v>
      </c>
      <c r="F148" s="11" t="s">
        <v>30</v>
      </c>
      <c r="G148" s="11" t="s">
        <v>36</v>
      </c>
      <c r="H148" s="11">
        <v>20</v>
      </c>
      <c r="I148" s="12">
        <v>43173</v>
      </c>
      <c r="J148" s="2">
        <v>5</v>
      </c>
      <c r="K148" s="11">
        <v>1156789008119</v>
      </c>
      <c r="L148" s="11" t="s">
        <v>454</v>
      </c>
      <c r="M148" s="11" t="s">
        <v>27</v>
      </c>
      <c r="N148" s="12">
        <v>43173</v>
      </c>
      <c r="O148" s="12">
        <v>43173</v>
      </c>
      <c r="P148" s="11">
        <v>5</v>
      </c>
      <c r="Q148" s="11" t="s">
        <v>452</v>
      </c>
    </row>
    <row r="149" spans="1:17" ht="13" x14ac:dyDescent="0.15">
      <c r="A149" s="10">
        <v>43173.906585601857</v>
      </c>
      <c r="B149" s="11" t="s">
        <v>455</v>
      </c>
      <c r="C149" s="11">
        <v>536</v>
      </c>
      <c r="D149" s="11" t="s">
        <v>456</v>
      </c>
      <c r="E149" s="11">
        <v>9446555578</v>
      </c>
      <c r="F149" s="11" t="s">
        <v>24</v>
      </c>
      <c r="G149" s="11" t="s">
        <v>183</v>
      </c>
      <c r="H149" s="11">
        <v>56</v>
      </c>
      <c r="I149" s="12">
        <v>43174</v>
      </c>
      <c r="J149" s="2">
        <v>5</v>
      </c>
      <c r="K149" s="11">
        <v>1145181007654</v>
      </c>
      <c r="L149" s="11" t="s">
        <v>264</v>
      </c>
      <c r="M149" s="11" t="s">
        <v>27</v>
      </c>
      <c r="N149" s="12">
        <v>43166</v>
      </c>
      <c r="O149" s="12">
        <v>43166</v>
      </c>
      <c r="P149" s="11">
        <v>5</v>
      </c>
      <c r="Q149" s="11" t="s">
        <v>455</v>
      </c>
    </row>
    <row r="150" spans="1:17" ht="13" x14ac:dyDescent="0.15">
      <c r="A150" s="10">
        <v>43174.486381678245</v>
      </c>
      <c r="B150" s="11" t="s">
        <v>22</v>
      </c>
      <c r="C150" s="11">
        <v>227</v>
      </c>
      <c r="D150" s="11" t="s">
        <v>457</v>
      </c>
      <c r="E150" s="11">
        <v>9072666513</v>
      </c>
      <c r="F150" s="11" t="s">
        <v>24</v>
      </c>
      <c r="G150" s="11" t="s">
        <v>101</v>
      </c>
      <c r="H150" s="11">
        <v>54</v>
      </c>
      <c r="I150" s="12">
        <v>43174</v>
      </c>
      <c r="J150" s="2">
        <v>3</v>
      </c>
      <c r="K150" s="11">
        <v>1145037009918</v>
      </c>
      <c r="L150" s="11" t="s">
        <v>458</v>
      </c>
      <c r="M150" s="11" t="s">
        <v>27</v>
      </c>
      <c r="N150" s="12">
        <v>43162</v>
      </c>
      <c r="O150" s="12">
        <v>43162</v>
      </c>
      <c r="P150" s="11">
        <v>3</v>
      </c>
      <c r="Q150" s="11" t="s">
        <v>22</v>
      </c>
    </row>
    <row r="151" spans="1:17" ht="13" x14ac:dyDescent="0.15">
      <c r="A151" s="10">
        <v>43174.500029317132</v>
      </c>
      <c r="B151" s="11" t="s">
        <v>50</v>
      </c>
      <c r="C151" s="11">
        <v>407</v>
      </c>
      <c r="D151" s="11" t="s">
        <v>459</v>
      </c>
      <c r="E151" s="11">
        <v>7034322221</v>
      </c>
      <c r="F151" s="11" t="s">
        <v>24</v>
      </c>
      <c r="G151" s="11" t="s">
        <v>369</v>
      </c>
      <c r="H151" s="11">
        <v>38</v>
      </c>
      <c r="I151" s="12">
        <v>43174</v>
      </c>
      <c r="J151" s="2">
        <v>3</v>
      </c>
      <c r="K151" s="11">
        <v>1145077005499</v>
      </c>
      <c r="L151" s="11" t="s">
        <v>460</v>
      </c>
      <c r="M151" s="11" t="s">
        <v>27</v>
      </c>
      <c r="N151" s="12">
        <v>43157</v>
      </c>
      <c r="O151" s="12">
        <v>43157</v>
      </c>
      <c r="P151" s="11">
        <v>3</v>
      </c>
      <c r="Q151" s="11" t="s">
        <v>50</v>
      </c>
    </row>
    <row r="152" spans="1:17" ht="13" x14ac:dyDescent="0.15">
      <c r="A152" s="10">
        <v>43174.513358854165</v>
      </c>
      <c r="B152" s="11" t="s">
        <v>50</v>
      </c>
      <c r="C152" s="11">
        <v>446</v>
      </c>
      <c r="D152" s="11" t="s">
        <v>461</v>
      </c>
      <c r="E152" s="11">
        <v>7034322221</v>
      </c>
      <c r="F152" s="11" t="s">
        <v>24</v>
      </c>
      <c r="G152" s="11" t="s">
        <v>369</v>
      </c>
      <c r="H152" s="11">
        <v>38</v>
      </c>
      <c r="I152" s="12">
        <v>43174</v>
      </c>
      <c r="J152" s="2">
        <v>3</v>
      </c>
      <c r="K152" s="11">
        <v>1145142017898</v>
      </c>
      <c r="L152" s="11" t="s">
        <v>462</v>
      </c>
      <c r="M152" s="11" t="s">
        <v>27</v>
      </c>
      <c r="N152" s="12">
        <v>43165</v>
      </c>
      <c r="O152" s="12">
        <v>43165</v>
      </c>
      <c r="P152" s="11">
        <v>3</v>
      </c>
      <c r="Q152" s="11" t="s">
        <v>50</v>
      </c>
    </row>
    <row r="153" spans="1:17" ht="13" x14ac:dyDescent="0.15">
      <c r="A153" s="10">
        <v>43174.51684271991</v>
      </c>
      <c r="B153" s="11" t="s">
        <v>50</v>
      </c>
      <c r="C153" s="11">
        <v>352</v>
      </c>
      <c r="D153" s="11" t="s">
        <v>464</v>
      </c>
      <c r="E153" s="11">
        <v>7034322221</v>
      </c>
      <c r="F153" s="11" t="s">
        <v>24</v>
      </c>
      <c r="G153" s="11" t="s">
        <v>369</v>
      </c>
      <c r="H153" s="11">
        <v>38</v>
      </c>
      <c r="I153" s="12">
        <v>43174</v>
      </c>
      <c r="J153" s="2">
        <v>3</v>
      </c>
      <c r="K153" s="11">
        <v>1145193014375</v>
      </c>
      <c r="L153" s="11" t="s">
        <v>465</v>
      </c>
      <c r="M153" s="11" t="s">
        <v>27</v>
      </c>
      <c r="N153" s="12">
        <v>43159</v>
      </c>
      <c r="O153" s="12">
        <v>43159</v>
      </c>
      <c r="P153" s="11">
        <v>3</v>
      </c>
      <c r="Q153" s="11" t="s">
        <v>50</v>
      </c>
    </row>
    <row r="154" spans="1:17" ht="13" hidden="1" x14ac:dyDescent="0.15">
      <c r="A154" s="10">
        <v>43174.714670914356</v>
      </c>
      <c r="B154" s="11" t="s">
        <v>466</v>
      </c>
      <c r="C154" s="11">
        <v>452</v>
      </c>
      <c r="D154" s="11" t="s">
        <v>467</v>
      </c>
      <c r="E154" s="11">
        <v>9847801800</v>
      </c>
      <c r="F154" s="11" t="s">
        <v>30</v>
      </c>
      <c r="G154" s="11" t="s">
        <v>36</v>
      </c>
      <c r="H154" s="11">
        <v>20</v>
      </c>
      <c r="I154" s="12">
        <v>43174</v>
      </c>
      <c r="J154" s="2">
        <v>3</v>
      </c>
      <c r="K154" s="11">
        <v>1156816007797</v>
      </c>
      <c r="L154" s="11" t="s">
        <v>468</v>
      </c>
      <c r="M154" s="11" t="s">
        <v>27</v>
      </c>
      <c r="N154" s="12">
        <v>43172</v>
      </c>
      <c r="O154" s="12">
        <v>43172</v>
      </c>
      <c r="P154" s="11">
        <v>3</v>
      </c>
      <c r="Q154" s="11" t="s">
        <v>466</v>
      </c>
    </row>
    <row r="155" spans="1:17" ht="13" hidden="1" x14ac:dyDescent="0.15">
      <c r="A155" s="10">
        <v>43174.717491111107</v>
      </c>
      <c r="B155" s="11" t="s">
        <v>469</v>
      </c>
      <c r="C155" s="11">
        <v>575</v>
      </c>
      <c r="D155" s="11" t="s">
        <v>470</v>
      </c>
      <c r="E155" s="11">
        <v>9895566679</v>
      </c>
      <c r="F155" s="11" t="s">
        <v>30</v>
      </c>
      <c r="G155" s="11" t="s">
        <v>471</v>
      </c>
      <c r="H155" s="11">
        <v>48</v>
      </c>
      <c r="I155" s="12">
        <v>43174</v>
      </c>
      <c r="J155" s="2">
        <v>3</v>
      </c>
      <c r="K155" s="11">
        <v>11567130003720</v>
      </c>
      <c r="L155" s="11" t="s">
        <v>205</v>
      </c>
      <c r="M155" s="11" t="s">
        <v>27</v>
      </c>
      <c r="N155" s="12">
        <v>43174</v>
      </c>
      <c r="O155" s="12">
        <v>43174</v>
      </c>
      <c r="P155" s="11">
        <v>3</v>
      </c>
      <c r="Q155" s="11" t="s">
        <v>469</v>
      </c>
    </row>
    <row r="156" spans="1:17" ht="13" x14ac:dyDescent="0.15">
      <c r="A156" s="10">
        <v>43175.418128090278</v>
      </c>
      <c r="B156" s="11" t="s">
        <v>472</v>
      </c>
      <c r="C156" s="11">
        <v>355</v>
      </c>
      <c r="D156" s="11" t="s">
        <v>473</v>
      </c>
      <c r="E156" s="11">
        <v>9447246387</v>
      </c>
      <c r="F156" s="11" t="s">
        <v>24</v>
      </c>
      <c r="G156" s="11" t="s">
        <v>272</v>
      </c>
      <c r="H156" s="11">
        <v>47</v>
      </c>
      <c r="I156" s="12">
        <v>43175</v>
      </c>
      <c r="J156" s="2">
        <v>3</v>
      </c>
      <c r="K156" s="11">
        <v>1145013026936</v>
      </c>
      <c r="L156" s="11" t="s">
        <v>474</v>
      </c>
      <c r="M156" s="11" t="s">
        <v>27</v>
      </c>
      <c r="N156" s="12">
        <v>43173</v>
      </c>
      <c r="O156" s="12">
        <v>43173</v>
      </c>
      <c r="P156" s="11">
        <v>3</v>
      </c>
      <c r="Q156" s="11" t="s">
        <v>472</v>
      </c>
    </row>
    <row r="157" spans="1:17" ht="13" hidden="1" x14ac:dyDescent="0.15">
      <c r="A157" s="10">
        <v>43175.427786469911</v>
      </c>
      <c r="B157" s="11" t="s">
        <v>475</v>
      </c>
      <c r="C157" s="11">
        <v>177</v>
      </c>
      <c r="D157" s="11" t="s">
        <v>476</v>
      </c>
      <c r="E157" s="11">
        <v>9072626009</v>
      </c>
      <c r="F157" s="11" t="s">
        <v>40</v>
      </c>
      <c r="G157" s="11" t="s">
        <v>276</v>
      </c>
      <c r="H157" s="11">
        <v>11</v>
      </c>
      <c r="I157" s="12">
        <v>43139</v>
      </c>
      <c r="J157" s="2">
        <v>3</v>
      </c>
      <c r="K157" s="11">
        <v>1155055015290</v>
      </c>
      <c r="L157" s="11" t="s">
        <v>477</v>
      </c>
      <c r="M157" s="11" t="s">
        <v>27</v>
      </c>
      <c r="N157" s="12">
        <v>43122</v>
      </c>
      <c r="O157" s="12">
        <v>43122</v>
      </c>
      <c r="P157" s="11">
        <v>3</v>
      </c>
      <c r="Q157" s="11" t="s">
        <v>475</v>
      </c>
    </row>
    <row r="158" spans="1:17" ht="13" hidden="1" x14ac:dyDescent="0.15">
      <c r="A158" s="10">
        <v>43175.45297460648</v>
      </c>
      <c r="B158" s="11" t="s">
        <v>478</v>
      </c>
      <c r="C158" s="11">
        <v>223</v>
      </c>
      <c r="D158" s="11" t="s">
        <v>479</v>
      </c>
      <c r="E158" s="11">
        <v>9847537087</v>
      </c>
      <c r="F158" s="11" t="s">
        <v>40</v>
      </c>
      <c r="G158" s="11" t="s">
        <v>276</v>
      </c>
      <c r="H158" s="11">
        <v>11</v>
      </c>
      <c r="I158" s="12">
        <v>43151</v>
      </c>
      <c r="J158" s="2">
        <v>3</v>
      </c>
      <c r="K158" s="11">
        <v>1155204013426</v>
      </c>
      <c r="L158" s="11" t="s">
        <v>480</v>
      </c>
      <c r="M158" s="11" t="s">
        <v>27</v>
      </c>
      <c r="N158" s="12">
        <v>43133</v>
      </c>
      <c r="O158" s="12">
        <v>43133</v>
      </c>
      <c r="P158" s="11">
        <v>3</v>
      </c>
      <c r="Q158" s="11" t="s">
        <v>478</v>
      </c>
    </row>
    <row r="159" spans="1:17" ht="13" hidden="1" x14ac:dyDescent="0.15">
      <c r="A159" s="10">
        <v>43175.61652325232</v>
      </c>
      <c r="B159" s="11" t="s">
        <v>192</v>
      </c>
      <c r="C159" s="11">
        <v>275</v>
      </c>
      <c r="D159" s="11" t="s">
        <v>481</v>
      </c>
      <c r="E159" s="11">
        <v>8943674152</v>
      </c>
      <c r="F159" s="11" t="s">
        <v>30</v>
      </c>
      <c r="G159" s="11" t="s">
        <v>157</v>
      </c>
      <c r="H159" s="11">
        <v>42</v>
      </c>
      <c r="I159" s="12">
        <v>43174</v>
      </c>
      <c r="J159" s="2">
        <v>5</v>
      </c>
      <c r="K159" s="11">
        <v>1156852010415</v>
      </c>
      <c r="L159" s="11" t="s">
        <v>220</v>
      </c>
      <c r="M159" s="11" t="s">
        <v>27</v>
      </c>
      <c r="N159" s="12">
        <v>43165</v>
      </c>
      <c r="O159" s="12">
        <v>43165</v>
      </c>
      <c r="P159" s="11">
        <v>5</v>
      </c>
      <c r="Q159" s="11" t="s">
        <v>192</v>
      </c>
    </row>
    <row r="160" spans="1:17" ht="13" x14ac:dyDescent="0.15">
      <c r="A160" s="10">
        <v>43175.664057395828</v>
      </c>
      <c r="B160" s="11" t="s">
        <v>22</v>
      </c>
      <c r="C160" s="11">
        <v>545</v>
      </c>
      <c r="D160" s="11" t="s">
        <v>482</v>
      </c>
      <c r="E160" s="11">
        <v>9076666514</v>
      </c>
      <c r="F160" s="11" t="s">
        <v>24</v>
      </c>
      <c r="G160" s="11" t="s">
        <v>101</v>
      </c>
      <c r="H160" s="11">
        <v>54</v>
      </c>
      <c r="I160" s="12">
        <v>43175</v>
      </c>
      <c r="J160" s="2">
        <v>5</v>
      </c>
      <c r="K160" s="11">
        <v>1145075008271</v>
      </c>
      <c r="L160" s="11" t="s">
        <v>460</v>
      </c>
      <c r="M160" s="11" t="s">
        <v>27</v>
      </c>
      <c r="N160" s="12">
        <v>43174</v>
      </c>
      <c r="O160" s="12">
        <v>43174</v>
      </c>
      <c r="P160" s="11">
        <v>5</v>
      </c>
      <c r="Q160" s="11" t="s">
        <v>22</v>
      </c>
    </row>
    <row r="161" spans="1:17" ht="13" x14ac:dyDescent="0.15">
      <c r="A161" s="10">
        <v>43175.700865358798</v>
      </c>
      <c r="B161" s="11" t="s">
        <v>22</v>
      </c>
      <c r="C161" s="11">
        <v>540</v>
      </c>
      <c r="D161" s="11" t="s">
        <v>484</v>
      </c>
      <c r="E161" s="11">
        <v>9072666514</v>
      </c>
      <c r="F161" s="11" t="s">
        <v>24</v>
      </c>
      <c r="G161" s="11" t="s">
        <v>101</v>
      </c>
      <c r="H161" s="11">
        <v>54</v>
      </c>
      <c r="I161" s="12">
        <v>43175</v>
      </c>
      <c r="J161" s="2">
        <v>3</v>
      </c>
      <c r="K161" s="11">
        <v>1145087000413</v>
      </c>
      <c r="L161" s="11" t="s">
        <v>485</v>
      </c>
      <c r="M161" s="11" t="s">
        <v>27</v>
      </c>
      <c r="N161" s="12">
        <v>43162</v>
      </c>
      <c r="O161" s="12">
        <v>43162</v>
      </c>
      <c r="P161" s="11">
        <v>3</v>
      </c>
      <c r="Q161" s="11" t="s">
        <v>22</v>
      </c>
    </row>
    <row r="162" spans="1:17" ht="13" hidden="1" x14ac:dyDescent="0.15">
      <c r="A162" s="10">
        <v>43176.495843668978</v>
      </c>
      <c r="B162" s="11" t="s">
        <v>486</v>
      </c>
      <c r="C162" s="11">
        <v>152</v>
      </c>
      <c r="D162" s="11" t="s">
        <v>487</v>
      </c>
      <c r="E162" s="11">
        <v>9847457891</v>
      </c>
      <c r="F162" s="11" t="s">
        <v>35</v>
      </c>
      <c r="G162" s="11" t="s">
        <v>488</v>
      </c>
      <c r="H162" s="11">
        <v>22</v>
      </c>
      <c r="I162" s="12">
        <v>43145</v>
      </c>
      <c r="J162" s="2">
        <v>3</v>
      </c>
      <c r="K162" s="11">
        <v>1155693023476</v>
      </c>
      <c r="L162" s="11" t="s">
        <v>489</v>
      </c>
      <c r="M162" s="11" t="s">
        <v>27</v>
      </c>
      <c r="N162" s="12">
        <v>43174</v>
      </c>
      <c r="O162" s="12">
        <v>43174</v>
      </c>
      <c r="P162" s="11">
        <v>3</v>
      </c>
      <c r="Q162" s="11" t="s">
        <v>486</v>
      </c>
    </row>
    <row r="163" spans="1:17" ht="13" hidden="1" x14ac:dyDescent="0.15">
      <c r="A163" s="10">
        <v>43176.704216909726</v>
      </c>
      <c r="B163" s="11" t="s">
        <v>490</v>
      </c>
      <c r="C163" s="11">
        <v>234</v>
      </c>
      <c r="D163" s="11" t="s">
        <v>491</v>
      </c>
      <c r="E163" s="11">
        <v>9961911150</v>
      </c>
      <c r="F163" s="11" t="s">
        <v>287</v>
      </c>
      <c r="G163" s="11" t="s">
        <v>492</v>
      </c>
      <c r="H163" s="11">
        <v>69</v>
      </c>
      <c r="I163" s="12">
        <v>43176</v>
      </c>
      <c r="J163" s="2">
        <v>3</v>
      </c>
      <c r="K163" s="11">
        <v>1166535012022</v>
      </c>
      <c r="L163" s="11" t="s">
        <v>493</v>
      </c>
      <c r="M163" s="11" t="s">
        <v>27</v>
      </c>
      <c r="N163" s="12">
        <v>43176</v>
      </c>
      <c r="O163" s="12">
        <v>43176</v>
      </c>
      <c r="P163" s="11">
        <v>3</v>
      </c>
      <c r="Q163" s="11" t="s">
        <v>494</v>
      </c>
    </row>
    <row r="164" spans="1:17" ht="13" hidden="1" x14ac:dyDescent="0.15">
      <c r="A164" s="10">
        <v>43178.637592013889</v>
      </c>
      <c r="B164" s="11" t="s">
        <v>495</v>
      </c>
      <c r="C164" s="11">
        <v>47</v>
      </c>
      <c r="D164" s="11" t="s">
        <v>496</v>
      </c>
      <c r="E164" s="11">
        <v>9447730866</v>
      </c>
      <c r="F164" s="11" t="s">
        <v>35</v>
      </c>
      <c r="G164" s="11" t="s">
        <v>170</v>
      </c>
      <c r="H164" s="11">
        <v>26</v>
      </c>
      <c r="I164" s="12">
        <v>43171</v>
      </c>
      <c r="J164" s="2">
        <v>3</v>
      </c>
      <c r="K164" s="11">
        <v>1155457002087</v>
      </c>
      <c r="L164" s="11" t="s">
        <v>497</v>
      </c>
      <c r="M164" s="11" t="s">
        <v>27</v>
      </c>
      <c r="N164" s="12">
        <v>43146</v>
      </c>
      <c r="O164" s="12">
        <v>43146</v>
      </c>
      <c r="P164" s="11">
        <v>3</v>
      </c>
      <c r="Q164" s="11" t="s">
        <v>436</v>
      </c>
    </row>
    <row r="165" spans="1:17" ht="13" hidden="1" x14ac:dyDescent="0.15">
      <c r="A165" s="10">
        <v>43178.645999907407</v>
      </c>
      <c r="B165" s="11" t="s">
        <v>499</v>
      </c>
      <c r="C165" s="11">
        <v>447</v>
      </c>
      <c r="D165" s="11" t="s">
        <v>500</v>
      </c>
      <c r="E165" s="11">
        <v>9846031953</v>
      </c>
      <c r="F165" s="11" t="s">
        <v>35</v>
      </c>
      <c r="G165" s="11" t="s">
        <v>170</v>
      </c>
      <c r="H165" s="11">
        <v>26</v>
      </c>
      <c r="I165" s="12">
        <v>43178</v>
      </c>
      <c r="J165" s="2">
        <v>3</v>
      </c>
      <c r="K165" s="11">
        <v>1155429005429</v>
      </c>
      <c r="L165" s="11" t="s">
        <v>298</v>
      </c>
      <c r="M165" s="11" t="s">
        <v>27</v>
      </c>
      <c r="N165" s="12">
        <v>43165</v>
      </c>
      <c r="O165" s="12">
        <v>43165</v>
      </c>
      <c r="P165" s="11">
        <v>3</v>
      </c>
      <c r="Q165" s="11" t="s">
        <v>499</v>
      </c>
    </row>
    <row r="166" spans="1:17" ht="13" x14ac:dyDescent="0.15">
      <c r="A166" s="10">
        <v>43178.700072071762</v>
      </c>
      <c r="B166" s="11" t="s">
        <v>382</v>
      </c>
      <c r="C166" s="11">
        <v>73</v>
      </c>
      <c r="D166" s="11" t="s">
        <v>501</v>
      </c>
      <c r="E166" s="11">
        <v>9387707733</v>
      </c>
      <c r="F166" s="11" t="s">
        <v>24</v>
      </c>
      <c r="G166" s="11" t="s">
        <v>502</v>
      </c>
      <c r="H166" s="11">
        <v>4</v>
      </c>
      <c r="I166" s="12">
        <v>43152</v>
      </c>
      <c r="J166" s="2">
        <v>3</v>
      </c>
      <c r="K166" s="11">
        <v>1145071011414</v>
      </c>
      <c r="L166" s="11" t="s">
        <v>460</v>
      </c>
      <c r="M166" s="11" t="s">
        <v>27</v>
      </c>
      <c r="N166" s="12">
        <v>43175</v>
      </c>
      <c r="O166" s="12">
        <v>43175</v>
      </c>
      <c r="P166" s="11">
        <v>3</v>
      </c>
      <c r="Q166" s="11" t="s">
        <v>382</v>
      </c>
    </row>
    <row r="167" spans="1:17" ht="13" x14ac:dyDescent="0.15">
      <c r="A167" s="10">
        <v>43178.750271180557</v>
      </c>
      <c r="B167" s="11" t="s">
        <v>22</v>
      </c>
      <c r="C167" s="11">
        <v>92</v>
      </c>
      <c r="D167" s="11" t="s">
        <v>503</v>
      </c>
      <c r="E167" s="11">
        <v>9388106363</v>
      </c>
      <c r="F167" s="11" t="s">
        <v>24</v>
      </c>
      <c r="G167" s="11" t="s">
        <v>25</v>
      </c>
      <c r="H167" s="11">
        <v>54</v>
      </c>
      <c r="I167" s="12">
        <v>43178</v>
      </c>
      <c r="J167" s="2">
        <v>3</v>
      </c>
      <c r="K167" s="11">
        <v>6058</v>
      </c>
      <c r="L167" s="11" t="s">
        <v>504</v>
      </c>
      <c r="M167" s="11" t="s">
        <v>27</v>
      </c>
      <c r="N167" s="12">
        <v>43158</v>
      </c>
      <c r="O167" s="12">
        <v>43158</v>
      </c>
      <c r="P167" s="11">
        <v>3</v>
      </c>
      <c r="Q167" s="11" t="s">
        <v>22</v>
      </c>
    </row>
    <row r="168" spans="1:17" ht="13" x14ac:dyDescent="0.15">
      <c r="A168" s="10">
        <v>43178.756345543981</v>
      </c>
      <c r="B168" s="11" t="s">
        <v>22</v>
      </c>
      <c r="C168" s="11">
        <v>241</v>
      </c>
      <c r="D168" s="11" t="s">
        <v>505</v>
      </c>
      <c r="E168" s="11">
        <v>9388106363</v>
      </c>
      <c r="F168" s="11" t="s">
        <v>24</v>
      </c>
      <c r="G168" s="11" t="s">
        <v>25</v>
      </c>
      <c r="H168" s="11">
        <v>54</v>
      </c>
      <c r="I168" s="12">
        <v>43178</v>
      </c>
      <c r="J168" s="2">
        <v>3</v>
      </c>
      <c r="K168" s="11">
        <v>1145197021845</v>
      </c>
      <c r="L168" s="11" t="s">
        <v>26</v>
      </c>
      <c r="M168" s="11" t="s">
        <v>27</v>
      </c>
      <c r="N168" s="12">
        <v>43175</v>
      </c>
      <c r="O168" s="12">
        <v>43175</v>
      </c>
      <c r="P168" s="11">
        <v>3</v>
      </c>
      <c r="Q168" s="11" t="s">
        <v>22</v>
      </c>
    </row>
    <row r="169" spans="1:17" ht="13" hidden="1" x14ac:dyDescent="0.15">
      <c r="A169" s="10">
        <v>43178.775016354164</v>
      </c>
      <c r="B169" s="11" t="s">
        <v>507</v>
      </c>
      <c r="C169" s="11">
        <v>601</v>
      </c>
      <c r="D169" s="11" t="s">
        <v>508</v>
      </c>
      <c r="E169" s="11">
        <v>9847064064</v>
      </c>
      <c r="F169" s="11" t="s">
        <v>35</v>
      </c>
      <c r="G169" s="11" t="s">
        <v>509</v>
      </c>
      <c r="H169" s="11">
        <v>12</v>
      </c>
      <c r="I169" s="12">
        <v>43175</v>
      </c>
      <c r="J169" s="2">
        <v>5</v>
      </c>
      <c r="K169" s="11">
        <v>1155429016867</v>
      </c>
      <c r="L169" s="11" t="s">
        <v>510</v>
      </c>
      <c r="M169" s="11" t="s">
        <v>27</v>
      </c>
      <c r="N169" s="12">
        <v>43173</v>
      </c>
      <c r="O169" s="12">
        <v>43173</v>
      </c>
      <c r="P169" s="11">
        <v>5</v>
      </c>
      <c r="Q169" s="11" t="s">
        <v>507</v>
      </c>
    </row>
    <row r="170" spans="1:17" ht="13" hidden="1" x14ac:dyDescent="0.15">
      <c r="A170" s="10">
        <v>43179.455026284719</v>
      </c>
      <c r="B170" s="11" t="s">
        <v>142</v>
      </c>
      <c r="C170" s="11">
        <v>411</v>
      </c>
      <c r="D170" s="11" t="s">
        <v>511</v>
      </c>
      <c r="E170" s="11">
        <v>9526991113</v>
      </c>
      <c r="F170" s="11" t="s">
        <v>35</v>
      </c>
      <c r="G170" s="11" t="s">
        <v>36</v>
      </c>
      <c r="H170" s="11">
        <v>20</v>
      </c>
      <c r="I170" s="12">
        <v>43175</v>
      </c>
      <c r="J170" s="2">
        <v>3</v>
      </c>
      <c r="K170" s="11">
        <v>1155407006420</v>
      </c>
      <c r="L170" s="11" t="s">
        <v>512</v>
      </c>
      <c r="M170" s="11" t="s">
        <v>27</v>
      </c>
      <c r="N170" s="12">
        <v>43120</v>
      </c>
      <c r="O170" s="12">
        <v>43120</v>
      </c>
      <c r="P170" s="11">
        <v>3</v>
      </c>
      <c r="Q170" s="11" t="s">
        <v>142</v>
      </c>
    </row>
    <row r="171" spans="1:17" ht="13" hidden="1" x14ac:dyDescent="0.15">
      <c r="A171" s="10">
        <v>43179.592634722227</v>
      </c>
      <c r="B171" s="11" t="s">
        <v>142</v>
      </c>
      <c r="C171" s="11">
        <v>301</v>
      </c>
      <c r="D171" s="11" t="s">
        <v>513</v>
      </c>
      <c r="E171" s="11">
        <v>9495046371</v>
      </c>
      <c r="F171" s="11" t="s">
        <v>35</v>
      </c>
      <c r="G171" s="11" t="s">
        <v>36</v>
      </c>
      <c r="H171" s="11">
        <v>20</v>
      </c>
      <c r="I171" s="12">
        <v>43150</v>
      </c>
      <c r="J171" s="2">
        <v>3</v>
      </c>
      <c r="K171" s="11">
        <v>1155403009608</v>
      </c>
      <c r="L171" s="11" t="s">
        <v>514</v>
      </c>
      <c r="M171" s="11" t="s">
        <v>27</v>
      </c>
      <c r="N171" s="12">
        <v>43152</v>
      </c>
      <c r="O171" s="12">
        <v>43152</v>
      </c>
      <c r="P171" s="11">
        <v>3</v>
      </c>
      <c r="Q171" s="11" t="s">
        <v>142</v>
      </c>
    </row>
    <row r="172" spans="1:17" ht="13" hidden="1" x14ac:dyDescent="0.15">
      <c r="A172" s="10">
        <v>43179.934416655087</v>
      </c>
      <c r="B172" s="11" t="s">
        <v>515</v>
      </c>
      <c r="C172" s="11">
        <v>292</v>
      </c>
      <c r="D172" s="11" t="s">
        <v>516</v>
      </c>
      <c r="E172" s="11">
        <v>8089244806</v>
      </c>
      <c r="F172" s="11" t="s">
        <v>40</v>
      </c>
      <c r="G172" s="11" t="s">
        <v>517</v>
      </c>
      <c r="H172" s="11">
        <v>64</v>
      </c>
      <c r="I172" s="12">
        <v>43179</v>
      </c>
      <c r="J172" s="2">
        <v>3</v>
      </c>
      <c r="K172" s="11">
        <v>1155051016382</v>
      </c>
      <c r="L172" s="11" t="s">
        <v>158</v>
      </c>
      <c r="M172" s="11" t="s">
        <v>27</v>
      </c>
      <c r="N172" s="12">
        <v>43168</v>
      </c>
      <c r="O172" s="12">
        <v>43168</v>
      </c>
      <c r="P172" s="11">
        <v>3</v>
      </c>
      <c r="Q172" s="11" t="s">
        <v>515</v>
      </c>
    </row>
    <row r="173" spans="1:17" ht="13" x14ac:dyDescent="0.15">
      <c r="A173" s="10">
        <v>43180.434037592597</v>
      </c>
      <c r="B173" s="11" t="s">
        <v>50</v>
      </c>
      <c r="C173" s="11">
        <v>402</v>
      </c>
      <c r="D173" s="11" t="s">
        <v>518</v>
      </c>
      <c r="E173" s="11">
        <v>7736806968</v>
      </c>
      <c r="F173" s="11" t="s">
        <v>24</v>
      </c>
      <c r="G173" s="11" t="s">
        <v>369</v>
      </c>
      <c r="H173" s="11">
        <v>38</v>
      </c>
      <c r="I173" s="12">
        <v>43180</v>
      </c>
      <c r="J173" s="2">
        <v>3</v>
      </c>
      <c r="K173" s="11">
        <v>1145179015677</v>
      </c>
      <c r="L173" s="11" t="s">
        <v>381</v>
      </c>
      <c r="M173" s="11" t="s">
        <v>27</v>
      </c>
      <c r="N173" s="12">
        <v>43173</v>
      </c>
      <c r="O173" s="12">
        <v>43173</v>
      </c>
      <c r="P173" s="11">
        <v>3</v>
      </c>
      <c r="Q173" s="11" t="s">
        <v>50</v>
      </c>
    </row>
    <row r="174" spans="1:17" ht="13" x14ac:dyDescent="0.15">
      <c r="A174" s="10">
        <v>43180.448540821759</v>
      </c>
      <c r="B174" s="11" t="s">
        <v>50</v>
      </c>
      <c r="C174" s="11">
        <v>405</v>
      </c>
      <c r="D174" s="11" t="s">
        <v>520</v>
      </c>
      <c r="E174" s="11">
        <v>7736806968</v>
      </c>
      <c r="F174" s="11" t="s">
        <v>24</v>
      </c>
      <c r="G174" s="11" t="s">
        <v>369</v>
      </c>
      <c r="H174" s="11">
        <v>38</v>
      </c>
      <c r="I174" s="12">
        <v>43180</v>
      </c>
      <c r="J174" s="2">
        <v>5</v>
      </c>
      <c r="K174" s="11">
        <v>1145068003975</v>
      </c>
      <c r="L174" s="11" t="s">
        <v>521</v>
      </c>
      <c r="M174" s="11" t="s">
        <v>27</v>
      </c>
      <c r="N174" s="12">
        <v>43169</v>
      </c>
      <c r="O174" s="12">
        <v>43169</v>
      </c>
      <c r="P174" s="11">
        <v>5</v>
      </c>
      <c r="Q174" s="11" t="s">
        <v>50</v>
      </c>
    </row>
    <row r="175" spans="1:17" ht="13" hidden="1" x14ac:dyDescent="0.15">
      <c r="A175" s="10">
        <v>43180.45569289352</v>
      </c>
      <c r="B175" s="11" t="s">
        <v>407</v>
      </c>
      <c r="C175" s="11">
        <v>609</v>
      </c>
      <c r="D175" s="11" t="s">
        <v>522</v>
      </c>
      <c r="E175" s="11">
        <v>9633222494</v>
      </c>
      <c r="F175" s="11" t="s">
        <v>35</v>
      </c>
      <c r="G175" s="11" t="s">
        <v>523</v>
      </c>
      <c r="H175" s="11">
        <v>38</v>
      </c>
      <c r="I175" s="12">
        <v>43180</v>
      </c>
      <c r="J175" s="2">
        <v>15</v>
      </c>
      <c r="K175" s="11">
        <v>1155678000164</v>
      </c>
      <c r="L175" s="11">
        <v>5567</v>
      </c>
      <c r="M175" s="11" t="s">
        <v>27</v>
      </c>
      <c r="N175" s="12">
        <v>43168</v>
      </c>
      <c r="O175" s="12">
        <v>43168</v>
      </c>
      <c r="P175" s="11">
        <v>15</v>
      </c>
      <c r="Q175" s="11" t="s">
        <v>407</v>
      </c>
    </row>
    <row r="176" spans="1:17" ht="13" x14ac:dyDescent="0.15">
      <c r="A176" s="10">
        <v>43180.481587488423</v>
      </c>
      <c r="B176" s="11" t="s">
        <v>50</v>
      </c>
      <c r="C176" s="11">
        <v>450</v>
      </c>
      <c r="D176" s="11" t="s">
        <v>524</v>
      </c>
      <c r="E176" s="11">
        <v>7034322221</v>
      </c>
      <c r="F176" s="11" t="s">
        <v>24</v>
      </c>
      <c r="G176" s="11" t="s">
        <v>369</v>
      </c>
      <c r="H176" s="11">
        <v>38</v>
      </c>
      <c r="I176" s="12">
        <v>43180</v>
      </c>
      <c r="J176" s="2">
        <v>3</v>
      </c>
      <c r="K176" s="11">
        <v>1145509013019</v>
      </c>
      <c r="L176" s="11" t="s">
        <v>525</v>
      </c>
      <c r="M176" s="11" t="s">
        <v>27</v>
      </c>
      <c r="N176" s="12">
        <v>43171</v>
      </c>
      <c r="O176" s="12">
        <v>43171</v>
      </c>
      <c r="P176" s="11">
        <v>3</v>
      </c>
      <c r="Q176" s="11" t="s">
        <v>50</v>
      </c>
    </row>
    <row r="177" spans="1:17" ht="13" hidden="1" x14ac:dyDescent="0.15">
      <c r="A177" s="10">
        <v>43180.682823842595</v>
      </c>
      <c r="B177" s="11" t="s">
        <v>227</v>
      </c>
      <c r="C177" s="11">
        <v>548</v>
      </c>
      <c r="D177" s="11" t="s">
        <v>526</v>
      </c>
      <c r="E177" s="11">
        <v>8137874406</v>
      </c>
      <c r="F177" s="11" t="s">
        <v>30</v>
      </c>
      <c r="G177" s="11" t="s">
        <v>157</v>
      </c>
      <c r="H177" s="11">
        <v>42</v>
      </c>
      <c r="I177" s="12">
        <v>43179</v>
      </c>
      <c r="J177" s="2">
        <v>3</v>
      </c>
      <c r="K177" s="11">
        <v>9327</v>
      </c>
      <c r="L177" s="11" t="s">
        <v>322</v>
      </c>
      <c r="M177" s="11" t="s">
        <v>27</v>
      </c>
      <c r="N177" s="12">
        <v>43178</v>
      </c>
      <c r="O177" s="12">
        <v>43178</v>
      </c>
      <c r="P177" s="11">
        <v>3</v>
      </c>
      <c r="Q177" s="11" t="s">
        <v>227</v>
      </c>
    </row>
    <row r="178" spans="1:17" ht="13" hidden="1" x14ac:dyDescent="0.15">
      <c r="A178" s="10">
        <v>43180.71026162037</v>
      </c>
      <c r="B178" s="11" t="s">
        <v>527</v>
      </c>
      <c r="C178" s="11">
        <v>384</v>
      </c>
      <c r="D178" s="11" t="s">
        <v>528</v>
      </c>
      <c r="E178" s="11">
        <v>9446857567</v>
      </c>
      <c r="F178" s="11" t="s">
        <v>40</v>
      </c>
      <c r="G178" s="11" t="s">
        <v>509</v>
      </c>
      <c r="H178" s="11">
        <v>12</v>
      </c>
      <c r="I178" s="12">
        <v>43175</v>
      </c>
      <c r="J178" s="2">
        <v>3</v>
      </c>
      <c r="K178" s="11">
        <v>1155199018412</v>
      </c>
      <c r="L178" s="11" t="s">
        <v>529</v>
      </c>
      <c r="M178" s="11" t="s">
        <v>27</v>
      </c>
      <c r="N178" s="12">
        <v>43167</v>
      </c>
      <c r="O178" s="12">
        <v>43167</v>
      </c>
      <c r="P178" s="11">
        <v>3</v>
      </c>
      <c r="Q178" s="11" t="s">
        <v>527</v>
      </c>
    </row>
    <row r="179" spans="1:17" ht="13" hidden="1" x14ac:dyDescent="0.15">
      <c r="A179" s="10">
        <v>43180.72994863426</v>
      </c>
      <c r="B179" s="11" t="s">
        <v>531</v>
      </c>
      <c r="C179" s="11">
        <v>392</v>
      </c>
      <c r="D179" s="11" t="s">
        <v>532</v>
      </c>
      <c r="E179" s="11">
        <v>8089226640</v>
      </c>
      <c r="F179" s="11" t="s">
        <v>35</v>
      </c>
      <c r="G179" s="11" t="s">
        <v>280</v>
      </c>
      <c r="H179" s="11">
        <v>66</v>
      </c>
      <c r="I179" s="12">
        <v>43180</v>
      </c>
      <c r="J179" s="2">
        <v>3</v>
      </c>
      <c r="K179" s="11">
        <v>1156024025522</v>
      </c>
      <c r="L179" s="11" t="s">
        <v>533</v>
      </c>
      <c r="M179" s="11" t="s">
        <v>27</v>
      </c>
      <c r="N179" s="12">
        <v>43166</v>
      </c>
      <c r="O179" s="12">
        <v>43166</v>
      </c>
      <c r="P179" s="11">
        <v>3</v>
      </c>
      <c r="Q179" s="11" t="s">
        <v>531</v>
      </c>
    </row>
    <row r="180" spans="1:17" ht="13" x14ac:dyDescent="0.15">
      <c r="A180" s="10">
        <v>43180.734553263886</v>
      </c>
      <c r="B180" s="11" t="s">
        <v>227</v>
      </c>
      <c r="C180" s="11">
        <v>236</v>
      </c>
      <c r="D180" s="11" t="s">
        <v>534</v>
      </c>
      <c r="E180" s="11">
        <v>8137874406</v>
      </c>
      <c r="F180" s="11" t="s">
        <v>24</v>
      </c>
      <c r="G180" s="11" t="s">
        <v>157</v>
      </c>
      <c r="H180" s="11">
        <v>42</v>
      </c>
      <c r="I180" s="12">
        <v>43179</v>
      </c>
      <c r="J180" s="2">
        <v>3</v>
      </c>
      <c r="K180" s="11">
        <v>1145062000106</v>
      </c>
      <c r="L180" s="11" t="s">
        <v>535</v>
      </c>
      <c r="M180" s="11" t="s">
        <v>27</v>
      </c>
      <c r="N180" s="12">
        <v>43155</v>
      </c>
      <c r="O180" s="12">
        <v>43183</v>
      </c>
      <c r="P180" s="11">
        <v>3</v>
      </c>
      <c r="Q180" s="11" t="s">
        <v>227</v>
      </c>
    </row>
    <row r="181" spans="1:17" ht="13" hidden="1" x14ac:dyDescent="0.15">
      <c r="A181" s="10">
        <v>43180.736678900459</v>
      </c>
      <c r="B181" s="11" t="s">
        <v>536</v>
      </c>
      <c r="C181" s="11">
        <v>481</v>
      </c>
      <c r="D181" s="11" t="s">
        <v>537</v>
      </c>
      <c r="E181" s="11">
        <v>9846069410</v>
      </c>
      <c r="F181" s="11" t="s">
        <v>35</v>
      </c>
      <c r="G181" s="11" t="s">
        <v>280</v>
      </c>
      <c r="H181" s="11">
        <v>66</v>
      </c>
      <c r="I181" s="12">
        <v>43180</v>
      </c>
      <c r="J181" s="2">
        <v>3</v>
      </c>
      <c r="K181" s="11">
        <v>1155562006604</v>
      </c>
      <c r="L181" s="11" t="s">
        <v>538</v>
      </c>
      <c r="M181" s="11" t="s">
        <v>27</v>
      </c>
      <c r="N181" s="12">
        <v>43164</v>
      </c>
      <c r="O181" s="12">
        <v>43164</v>
      </c>
      <c r="P181" s="11">
        <v>3</v>
      </c>
      <c r="Q181" s="11" t="s">
        <v>536</v>
      </c>
    </row>
    <row r="182" spans="1:17" ht="13" hidden="1" x14ac:dyDescent="0.15">
      <c r="A182" s="10">
        <v>43180.740018611112</v>
      </c>
      <c r="B182" s="11" t="s">
        <v>539</v>
      </c>
      <c r="C182" s="11">
        <v>393</v>
      </c>
      <c r="D182" s="11" t="s">
        <v>540</v>
      </c>
      <c r="E182" s="11">
        <v>9388043200</v>
      </c>
      <c r="F182" s="11" t="s">
        <v>35</v>
      </c>
      <c r="G182" s="11" t="s">
        <v>280</v>
      </c>
      <c r="H182" s="11">
        <v>66</v>
      </c>
      <c r="I182" s="12">
        <v>43180</v>
      </c>
      <c r="J182" s="2">
        <v>3</v>
      </c>
      <c r="K182" s="11">
        <v>1155900020544</v>
      </c>
      <c r="L182" s="11" t="s">
        <v>541</v>
      </c>
      <c r="M182" s="11" t="s">
        <v>27</v>
      </c>
      <c r="N182" s="12">
        <v>43178</v>
      </c>
      <c r="O182" s="12">
        <v>43178</v>
      </c>
      <c r="P182" s="11">
        <v>3</v>
      </c>
      <c r="Q182" s="11" t="s">
        <v>539</v>
      </c>
    </row>
    <row r="183" spans="1:17" ht="13" hidden="1" x14ac:dyDescent="0.15">
      <c r="A183" s="10">
        <v>43180.744050555557</v>
      </c>
      <c r="B183" s="11" t="s">
        <v>542</v>
      </c>
      <c r="C183" s="11">
        <v>418</v>
      </c>
      <c r="D183" s="11" t="s">
        <v>543</v>
      </c>
      <c r="E183" s="11">
        <v>9446023731</v>
      </c>
      <c r="F183" s="11" t="s">
        <v>266</v>
      </c>
      <c r="G183" s="11" t="s">
        <v>36</v>
      </c>
      <c r="H183" s="11">
        <v>20</v>
      </c>
      <c r="I183" s="12">
        <v>43175</v>
      </c>
      <c r="J183" s="2">
        <v>3</v>
      </c>
      <c r="K183" s="11">
        <v>1166051020188</v>
      </c>
      <c r="L183" s="11" t="s">
        <v>544</v>
      </c>
      <c r="M183" s="11" t="s">
        <v>27</v>
      </c>
      <c r="N183" s="12">
        <v>43161</v>
      </c>
      <c r="O183" s="12">
        <v>43161</v>
      </c>
      <c r="P183" s="11">
        <v>3</v>
      </c>
      <c r="Q183" s="11" t="s">
        <v>542</v>
      </c>
    </row>
    <row r="184" spans="1:17" ht="13" hidden="1" x14ac:dyDescent="0.15">
      <c r="A184" s="10">
        <v>43180.747298483795</v>
      </c>
      <c r="B184" s="11" t="s">
        <v>545</v>
      </c>
      <c r="C184" s="11">
        <v>484</v>
      </c>
      <c r="D184" s="11" t="s">
        <v>546</v>
      </c>
      <c r="E184" s="11">
        <v>9847735592</v>
      </c>
      <c r="F184" s="11" t="s">
        <v>35</v>
      </c>
      <c r="G184" s="11" t="s">
        <v>280</v>
      </c>
      <c r="H184" s="11">
        <v>66</v>
      </c>
      <c r="I184" s="12">
        <v>43180</v>
      </c>
      <c r="J184" s="2">
        <v>3</v>
      </c>
      <c r="K184" s="11">
        <v>1155568022139</v>
      </c>
      <c r="L184" s="11" t="s">
        <v>538</v>
      </c>
      <c r="M184" s="11" t="s">
        <v>27</v>
      </c>
      <c r="N184" s="12">
        <v>43174</v>
      </c>
      <c r="O184" s="12">
        <v>43174</v>
      </c>
      <c r="P184" s="11">
        <v>3</v>
      </c>
      <c r="Q184" s="11" t="s">
        <v>545</v>
      </c>
    </row>
    <row r="185" spans="1:17" ht="13" hidden="1" x14ac:dyDescent="0.15">
      <c r="A185" s="10">
        <v>43180.750963194441</v>
      </c>
      <c r="B185" s="11" t="s">
        <v>548</v>
      </c>
      <c r="C185" s="11">
        <v>480</v>
      </c>
      <c r="D185" s="11" t="s">
        <v>549</v>
      </c>
      <c r="E185" s="11">
        <v>9847561107</v>
      </c>
      <c r="F185" s="11" t="s">
        <v>35</v>
      </c>
      <c r="G185" s="11" t="s">
        <v>280</v>
      </c>
      <c r="H185" s="11">
        <v>66</v>
      </c>
      <c r="I185" s="12">
        <v>43180</v>
      </c>
      <c r="J185" s="2">
        <v>3</v>
      </c>
      <c r="K185" s="11">
        <v>1155496016981</v>
      </c>
      <c r="L185" s="11" t="s">
        <v>550</v>
      </c>
      <c r="M185" s="11" t="s">
        <v>27</v>
      </c>
      <c r="N185" s="12">
        <v>43169</v>
      </c>
      <c r="O185" s="12">
        <v>43169</v>
      </c>
      <c r="P185" s="11">
        <v>3</v>
      </c>
      <c r="Q185" s="11" t="s">
        <v>548</v>
      </c>
    </row>
    <row r="186" spans="1:17" ht="13" hidden="1" x14ac:dyDescent="0.15">
      <c r="A186" s="10">
        <v>43180.760011296297</v>
      </c>
      <c r="B186" s="11" t="s">
        <v>551</v>
      </c>
      <c r="C186" s="11">
        <v>390</v>
      </c>
      <c r="D186" s="11" t="s">
        <v>552</v>
      </c>
      <c r="E186" s="11">
        <v>9961999180</v>
      </c>
      <c r="F186" s="11" t="s">
        <v>35</v>
      </c>
      <c r="G186" s="11" t="s">
        <v>280</v>
      </c>
      <c r="H186" s="11">
        <v>66</v>
      </c>
      <c r="I186" s="12">
        <v>43180</v>
      </c>
      <c r="J186" s="2">
        <v>5</v>
      </c>
      <c r="K186" s="11">
        <v>1155484011188</v>
      </c>
      <c r="L186" s="11" t="s">
        <v>247</v>
      </c>
      <c r="M186" s="11" t="s">
        <v>27</v>
      </c>
      <c r="N186" s="12">
        <v>43164</v>
      </c>
      <c r="O186" s="12">
        <v>43164</v>
      </c>
      <c r="P186" s="11">
        <v>5</v>
      </c>
      <c r="Q186" s="11" t="s">
        <v>551</v>
      </c>
    </row>
    <row r="187" spans="1:17" ht="13" hidden="1" x14ac:dyDescent="0.15">
      <c r="A187" s="10">
        <v>43180.762478946759</v>
      </c>
      <c r="B187" s="11" t="s">
        <v>553</v>
      </c>
      <c r="C187" s="11">
        <v>394</v>
      </c>
      <c r="D187" s="11" t="s">
        <v>554</v>
      </c>
      <c r="E187" s="11">
        <v>9400532161</v>
      </c>
      <c r="F187" s="11" t="s">
        <v>35</v>
      </c>
      <c r="G187" s="11" t="s">
        <v>555</v>
      </c>
      <c r="H187" s="11">
        <v>66</v>
      </c>
      <c r="I187" s="12">
        <v>43180</v>
      </c>
      <c r="J187" s="2">
        <v>5</v>
      </c>
      <c r="K187" s="11">
        <v>1155498001519</v>
      </c>
      <c r="L187" s="11" t="s">
        <v>556</v>
      </c>
      <c r="M187" s="11" t="s">
        <v>27</v>
      </c>
      <c r="N187" s="12">
        <v>43169</v>
      </c>
      <c r="O187" s="12">
        <v>43169</v>
      </c>
      <c r="P187" s="11">
        <v>5</v>
      </c>
      <c r="Q187" s="11" t="s">
        <v>553</v>
      </c>
    </row>
    <row r="188" spans="1:17" ht="13" hidden="1" x14ac:dyDescent="0.15">
      <c r="A188" s="10">
        <v>43180.768149606476</v>
      </c>
      <c r="B188" s="11" t="s">
        <v>557</v>
      </c>
      <c r="C188" s="11">
        <v>479</v>
      </c>
      <c r="D188" s="11" t="s">
        <v>558</v>
      </c>
      <c r="E188" s="11">
        <v>9847748058</v>
      </c>
      <c r="F188" s="11" t="s">
        <v>35</v>
      </c>
      <c r="G188" s="11" t="s">
        <v>280</v>
      </c>
      <c r="H188" s="11">
        <v>66</v>
      </c>
      <c r="I188" s="12">
        <v>43180</v>
      </c>
      <c r="J188" s="2">
        <v>5</v>
      </c>
      <c r="K188" s="11">
        <v>1155499019519</v>
      </c>
      <c r="L188" s="11" t="s">
        <v>559</v>
      </c>
      <c r="M188" s="11" t="s">
        <v>27</v>
      </c>
      <c r="N188" s="12">
        <v>43169</v>
      </c>
      <c r="O188" s="12">
        <v>43169</v>
      </c>
      <c r="P188" s="11">
        <v>5</v>
      </c>
      <c r="Q188" s="11" t="s">
        <v>557</v>
      </c>
    </row>
    <row r="189" spans="1:17" ht="13" hidden="1" x14ac:dyDescent="0.15">
      <c r="A189" s="10">
        <v>43180.786568113428</v>
      </c>
      <c r="B189" s="11" t="s">
        <v>560</v>
      </c>
      <c r="C189" s="11">
        <v>417</v>
      </c>
      <c r="D189" s="11" t="s">
        <v>561</v>
      </c>
      <c r="E189" s="11">
        <v>9048877317</v>
      </c>
      <c r="F189" s="11" t="s">
        <v>266</v>
      </c>
      <c r="G189" s="11" t="s">
        <v>36</v>
      </c>
      <c r="H189" s="11">
        <v>20</v>
      </c>
      <c r="I189" s="12">
        <v>43178</v>
      </c>
      <c r="J189" s="2">
        <v>3</v>
      </c>
      <c r="K189" s="11">
        <v>1166358027015</v>
      </c>
      <c r="L189" s="11" t="s">
        <v>562</v>
      </c>
      <c r="M189" s="11" t="s">
        <v>27</v>
      </c>
      <c r="N189" s="12">
        <v>43160</v>
      </c>
      <c r="O189" s="12">
        <v>43160</v>
      </c>
      <c r="P189" s="11">
        <v>3</v>
      </c>
      <c r="Q189" s="11" t="s">
        <v>560</v>
      </c>
    </row>
    <row r="190" spans="1:17" ht="13" hidden="1" x14ac:dyDescent="0.15">
      <c r="A190" s="10">
        <v>43181.416329074069</v>
      </c>
      <c r="B190" s="11" t="s">
        <v>563</v>
      </c>
      <c r="C190" s="11">
        <v>469</v>
      </c>
      <c r="D190" s="11" t="s">
        <v>564</v>
      </c>
      <c r="E190" s="11">
        <v>9061327111</v>
      </c>
      <c r="F190" s="11" t="s">
        <v>287</v>
      </c>
      <c r="G190" s="11" t="s">
        <v>565</v>
      </c>
      <c r="H190" s="11">
        <v>18</v>
      </c>
      <c r="I190" s="12">
        <v>43181</v>
      </c>
      <c r="J190" s="2">
        <v>3</v>
      </c>
      <c r="K190" s="11">
        <v>1167605005295</v>
      </c>
      <c r="L190" s="11" t="s">
        <v>566</v>
      </c>
      <c r="M190" s="11" t="s">
        <v>27</v>
      </c>
      <c r="N190" s="12">
        <v>43178</v>
      </c>
      <c r="O190" s="12">
        <v>43178</v>
      </c>
      <c r="P190" s="11">
        <v>3</v>
      </c>
      <c r="Q190" s="11" t="s">
        <v>563</v>
      </c>
    </row>
    <row r="191" spans="1:17" ht="13" hidden="1" x14ac:dyDescent="0.15">
      <c r="A191" s="10">
        <v>43181.456577962963</v>
      </c>
      <c r="B191" s="11" t="s">
        <v>567</v>
      </c>
      <c r="C191" s="11">
        <v>464</v>
      </c>
      <c r="D191" s="11" t="s">
        <v>568</v>
      </c>
      <c r="E191" s="11">
        <v>8547866385</v>
      </c>
      <c r="F191" s="11" t="s">
        <v>30</v>
      </c>
      <c r="G191" s="11" t="s">
        <v>569</v>
      </c>
      <c r="H191" s="11">
        <v>45</v>
      </c>
      <c r="I191" s="12">
        <v>43181</v>
      </c>
      <c r="J191" s="2">
        <v>3</v>
      </c>
      <c r="K191" s="11">
        <v>1156937004737</v>
      </c>
      <c r="L191" s="11" t="s">
        <v>570</v>
      </c>
      <c r="M191" s="11" t="s">
        <v>27</v>
      </c>
      <c r="N191" s="12">
        <v>43162</v>
      </c>
      <c r="O191" s="12">
        <v>43162</v>
      </c>
      <c r="P191" s="11">
        <v>3</v>
      </c>
      <c r="Q191" s="11" t="s">
        <v>567</v>
      </c>
    </row>
    <row r="192" spans="1:17" ht="13" x14ac:dyDescent="0.15">
      <c r="A192" s="10">
        <v>43181.482333703709</v>
      </c>
      <c r="B192" s="11" t="s">
        <v>50</v>
      </c>
      <c r="C192" s="11">
        <v>603</v>
      </c>
      <c r="D192" s="11" t="s">
        <v>571</v>
      </c>
      <c r="E192" s="11">
        <v>7034322221</v>
      </c>
      <c r="F192" s="11" t="s">
        <v>24</v>
      </c>
      <c r="G192" s="11" t="s">
        <v>369</v>
      </c>
      <c r="H192" s="11">
        <v>38</v>
      </c>
      <c r="I192" s="12">
        <v>43181</v>
      </c>
      <c r="J192" s="2">
        <v>3</v>
      </c>
      <c r="K192" s="11">
        <v>1145310020206</v>
      </c>
      <c r="L192" s="11" t="s">
        <v>572</v>
      </c>
      <c r="M192" s="11" t="s">
        <v>27</v>
      </c>
      <c r="N192" s="12">
        <v>43176</v>
      </c>
      <c r="O192" s="12">
        <v>43176</v>
      </c>
      <c r="P192" s="11">
        <v>3</v>
      </c>
      <c r="Q192" s="11" t="s">
        <v>50</v>
      </c>
    </row>
    <row r="193" spans="1:17" ht="13" x14ac:dyDescent="0.15">
      <c r="A193" s="10">
        <v>43181.487413078707</v>
      </c>
      <c r="B193" s="11" t="s">
        <v>573</v>
      </c>
      <c r="C193" s="11">
        <v>361</v>
      </c>
      <c r="D193" s="11" t="s">
        <v>574</v>
      </c>
      <c r="E193" s="11">
        <v>9645322229</v>
      </c>
      <c r="F193" s="11" t="s">
        <v>24</v>
      </c>
      <c r="G193" s="11" t="s">
        <v>208</v>
      </c>
      <c r="H193" s="11">
        <v>38</v>
      </c>
      <c r="I193" s="12">
        <v>43160</v>
      </c>
      <c r="J193" s="2">
        <v>2</v>
      </c>
      <c r="K193" s="11">
        <v>1146787000661</v>
      </c>
      <c r="L193" s="11" t="s">
        <v>575</v>
      </c>
      <c r="M193" s="11" t="s">
        <v>27</v>
      </c>
      <c r="N193" s="12">
        <v>43171</v>
      </c>
      <c r="O193" s="12">
        <v>43171</v>
      </c>
      <c r="P193" s="11">
        <v>2</v>
      </c>
      <c r="Q193" s="11" t="s">
        <v>573</v>
      </c>
    </row>
    <row r="194" spans="1:17" ht="13" hidden="1" x14ac:dyDescent="0.15">
      <c r="A194" s="10">
        <v>43181.494683252313</v>
      </c>
      <c r="B194" s="11" t="s">
        <v>576</v>
      </c>
      <c r="C194" s="11">
        <v>337</v>
      </c>
      <c r="D194" s="11" t="s">
        <v>577</v>
      </c>
      <c r="E194" s="11">
        <v>9072926009</v>
      </c>
      <c r="F194" s="11" t="s">
        <v>35</v>
      </c>
      <c r="G194" s="11" t="s">
        <v>276</v>
      </c>
      <c r="H194" s="11">
        <v>11</v>
      </c>
      <c r="I194" s="12">
        <v>43160</v>
      </c>
      <c r="J194" s="2">
        <v>30</v>
      </c>
      <c r="K194" s="11">
        <v>1155583000764</v>
      </c>
      <c r="L194" s="11" t="s">
        <v>113</v>
      </c>
      <c r="M194" s="11" t="s">
        <v>27</v>
      </c>
      <c r="N194" s="12">
        <v>43165</v>
      </c>
      <c r="O194" s="12">
        <v>43165</v>
      </c>
      <c r="P194" s="11">
        <v>30</v>
      </c>
      <c r="Q194" s="11" t="s">
        <v>576</v>
      </c>
    </row>
    <row r="195" spans="1:17" ht="13" hidden="1" x14ac:dyDescent="0.15">
      <c r="A195" s="10">
        <v>43181.508173437498</v>
      </c>
      <c r="B195" s="11" t="s">
        <v>382</v>
      </c>
      <c r="C195" s="11">
        <v>181</v>
      </c>
      <c r="D195" s="11" t="s">
        <v>579</v>
      </c>
      <c r="E195" s="11">
        <v>9387707733</v>
      </c>
      <c r="F195" s="11" t="s">
        <v>30</v>
      </c>
      <c r="G195" s="11" t="s">
        <v>384</v>
      </c>
      <c r="H195" s="11">
        <v>4</v>
      </c>
      <c r="I195" s="12">
        <v>43145</v>
      </c>
      <c r="J195" s="2">
        <v>5</v>
      </c>
      <c r="K195" s="11">
        <v>1156464019791</v>
      </c>
      <c r="L195" s="11" t="s">
        <v>580</v>
      </c>
      <c r="M195" s="11" t="s">
        <v>27</v>
      </c>
      <c r="N195" s="12">
        <v>43118</v>
      </c>
      <c r="O195" s="12">
        <v>43118</v>
      </c>
      <c r="P195" s="11">
        <v>5</v>
      </c>
      <c r="Q195" s="11" t="s">
        <v>382</v>
      </c>
    </row>
    <row r="196" spans="1:17" ht="13" hidden="1" x14ac:dyDescent="0.15">
      <c r="A196" s="10">
        <v>43181.593368298607</v>
      </c>
      <c r="B196" s="11" t="s">
        <v>192</v>
      </c>
      <c r="C196" s="11">
        <v>643</v>
      </c>
      <c r="D196" s="11" t="s">
        <v>581</v>
      </c>
      <c r="E196" s="11">
        <v>8943674152</v>
      </c>
      <c r="F196" s="11" t="s">
        <v>30</v>
      </c>
      <c r="G196" s="11" t="s">
        <v>157</v>
      </c>
      <c r="H196" s="11">
        <v>42</v>
      </c>
      <c r="I196" s="12">
        <v>43169</v>
      </c>
      <c r="J196" s="2">
        <v>3</v>
      </c>
      <c r="K196" s="11">
        <v>11876</v>
      </c>
      <c r="L196" s="11" t="s">
        <v>200</v>
      </c>
      <c r="M196" s="11" t="s">
        <v>27</v>
      </c>
      <c r="N196" s="12">
        <v>43168</v>
      </c>
      <c r="O196" s="12">
        <v>43168</v>
      </c>
      <c r="P196" s="11">
        <v>3</v>
      </c>
      <c r="Q196" s="11" t="s">
        <v>192</v>
      </c>
    </row>
    <row r="197" spans="1:17" ht="13" hidden="1" x14ac:dyDescent="0.15">
      <c r="A197" s="10">
        <v>43181.650850706021</v>
      </c>
      <c r="B197" s="11" t="s">
        <v>176</v>
      </c>
      <c r="C197" s="11">
        <v>325</v>
      </c>
      <c r="D197" s="11" t="s">
        <v>582</v>
      </c>
      <c r="E197" s="11">
        <v>9142099977</v>
      </c>
      <c r="F197" s="11" t="s">
        <v>30</v>
      </c>
      <c r="G197" s="11" t="s">
        <v>178</v>
      </c>
      <c r="H197" s="11">
        <v>14</v>
      </c>
      <c r="I197" s="12">
        <v>43180</v>
      </c>
      <c r="J197" s="2">
        <v>5</v>
      </c>
      <c r="K197" s="11">
        <v>1156809004362</v>
      </c>
      <c r="L197" s="11" t="s">
        <v>583</v>
      </c>
      <c r="M197" s="11" t="s">
        <v>27</v>
      </c>
      <c r="N197" s="12">
        <v>43167</v>
      </c>
      <c r="O197" s="12">
        <v>43167</v>
      </c>
      <c r="P197" s="11">
        <v>5</v>
      </c>
      <c r="Q197" s="11" t="s">
        <v>176</v>
      </c>
    </row>
    <row r="198" spans="1:17" ht="13" hidden="1" x14ac:dyDescent="0.15">
      <c r="A198" s="10">
        <v>43181.662044988421</v>
      </c>
      <c r="B198" s="11" t="s">
        <v>227</v>
      </c>
      <c r="C198" s="11">
        <v>211</v>
      </c>
      <c r="D198" s="11" t="s">
        <v>584</v>
      </c>
      <c r="E198" s="11">
        <v>8137874406</v>
      </c>
      <c r="F198" s="11" t="s">
        <v>56</v>
      </c>
      <c r="G198" s="11" t="s">
        <v>157</v>
      </c>
      <c r="H198" s="11">
        <v>42</v>
      </c>
      <c r="I198" s="12">
        <v>43179</v>
      </c>
      <c r="J198" s="2">
        <v>3</v>
      </c>
      <c r="K198" s="11">
        <v>1156241013089</v>
      </c>
      <c r="L198" s="11" t="s">
        <v>585</v>
      </c>
      <c r="M198" s="11" t="s">
        <v>27</v>
      </c>
      <c r="N198" s="12">
        <v>43133</v>
      </c>
      <c r="O198" s="12">
        <v>43133</v>
      </c>
      <c r="P198" s="11">
        <v>3</v>
      </c>
      <c r="Q198" s="11" t="s">
        <v>227</v>
      </c>
    </row>
    <row r="199" spans="1:17" ht="13" x14ac:dyDescent="0.15">
      <c r="A199" s="10">
        <v>43181.704214502315</v>
      </c>
      <c r="B199" s="11" t="s">
        <v>22</v>
      </c>
      <c r="C199" s="11">
        <v>80</v>
      </c>
      <c r="D199" s="11" t="s">
        <v>101</v>
      </c>
      <c r="E199" s="11">
        <v>9072666513</v>
      </c>
      <c r="F199" s="11" t="s">
        <v>24</v>
      </c>
      <c r="G199" s="11" t="s">
        <v>101</v>
      </c>
      <c r="H199" s="11">
        <v>54</v>
      </c>
      <c r="I199" s="12">
        <v>43181</v>
      </c>
      <c r="J199" s="2">
        <v>5</v>
      </c>
      <c r="K199" s="11">
        <v>1145077002892</v>
      </c>
      <c r="L199" s="11" t="s">
        <v>586</v>
      </c>
      <c r="M199" s="11" t="s">
        <v>27</v>
      </c>
      <c r="N199" s="12">
        <v>43124</v>
      </c>
      <c r="O199" s="12">
        <v>43124</v>
      </c>
      <c r="P199" s="11">
        <v>5</v>
      </c>
      <c r="Q199" s="11" t="s">
        <v>22</v>
      </c>
    </row>
    <row r="200" spans="1:17" ht="13" x14ac:dyDescent="0.15">
      <c r="A200" s="10">
        <v>43181.714821574074</v>
      </c>
      <c r="B200" s="11" t="s">
        <v>22</v>
      </c>
      <c r="C200" s="11">
        <v>78</v>
      </c>
      <c r="D200" s="11" t="s">
        <v>587</v>
      </c>
      <c r="E200" s="11">
        <v>9072666513</v>
      </c>
      <c r="F200" s="11" t="s">
        <v>24</v>
      </c>
      <c r="G200" s="11" t="s">
        <v>588</v>
      </c>
      <c r="H200" s="11">
        <v>54</v>
      </c>
      <c r="I200" s="12">
        <v>43181</v>
      </c>
      <c r="J200" s="2">
        <v>3</v>
      </c>
      <c r="K200" s="11">
        <v>1145073012558</v>
      </c>
      <c r="L200" s="11" t="s">
        <v>460</v>
      </c>
      <c r="M200" s="11" t="s">
        <v>27</v>
      </c>
      <c r="N200" s="12">
        <v>43124</v>
      </c>
      <c r="O200" s="12">
        <v>43124</v>
      </c>
      <c r="P200" s="11">
        <v>3</v>
      </c>
      <c r="Q200" s="11" t="s">
        <v>22</v>
      </c>
    </row>
    <row r="201" spans="1:17" ht="13" x14ac:dyDescent="0.15">
      <c r="A201" s="10">
        <v>43182.481916539356</v>
      </c>
      <c r="B201" s="11" t="s">
        <v>589</v>
      </c>
      <c r="C201" s="11">
        <v>677</v>
      </c>
      <c r="D201" s="11" t="s">
        <v>591</v>
      </c>
      <c r="E201" s="11">
        <v>9645322229</v>
      </c>
      <c r="F201" s="11" t="s">
        <v>24</v>
      </c>
      <c r="G201" s="11" t="s">
        <v>208</v>
      </c>
      <c r="H201" s="11">
        <v>38</v>
      </c>
      <c r="I201" s="12">
        <v>43179</v>
      </c>
      <c r="J201" s="2">
        <v>3</v>
      </c>
      <c r="K201" s="11">
        <v>1145466019117</v>
      </c>
      <c r="L201" s="11" t="s">
        <v>592</v>
      </c>
      <c r="M201" s="11" t="s">
        <v>27</v>
      </c>
      <c r="N201" s="12">
        <v>43181</v>
      </c>
      <c r="O201" s="12">
        <v>43181</v>
      </c>
      <c r="P201" s="11">
        <v>3</v>
      </c>
      <c r="Q201" s="11" t="s">
        <v>589</v>
      </c>
    </row>
    <row r="202" spans="1:17" ht="13" hidden="1" x14ac:dyDescent="0.15">
      <c r="A202" s="10">
        <v>43182.54925866898</v>
      </c>
      <c r="B202" s="11" t="s">
        <v>593</v>
      </c>
      <c r="C202" s="11">
        <v>544</v>
      </c>
      <c r="D202" s="11" t="s">
        <v>594</v>
      </c>
      <c r="E202" s="11">
        <v>9447092796</v>
      </c>
      <c r="F202" s="11" t="s">
        <v>46</v>
      </c>
      <c r="G202" s="11" t="s">
        <v>595</v>
      </c>
      <c r="H202" s="11">
        <v>69</v>
      </c>
      <c r="I202" s="12">
        <v>43182</v>
      </c>
      <c r="J202" s="2">
        <v>5</v>
      </c>
      <c r="K202" s="11">
        <v>1165101020971</v>
      </c>
      <c r="L202" s="11" t="s">
        <v>596</v>
      </c>
      <c r="M202" s="11" t="s">
        <v>27</v>
      </c>
      <c r="N202" s="12">
        <v>43180</v>
      </c>
      <c r="O202" s="12">
        <v>43180</v>
      </c>
      <c r="P202" s="11">
        <v>5</v>
      </c>
      <c r="Q202" s="11" t="s">
        <v>593</v>
      </c>
    </row>
    <row r="203" spans="1:17" ht="13" x14ac:dyDescent="0.15">
      <c r="A203" s="10">
        <v>43182.554834351853</v>
      </c>
      <c r="B203" s="11" t="s">
        <v>227</v>
      </c>
      <c r="C203" s="11">
        <v>248</v>
      </c>
      <c r="D203" s="11" t="s">
        <v>597</v>
      </c>
      <c r="E203" s="11">
        <v>8137874406</v>
      </c>
      <c r="F203" s="11" t="s">
        <v>24</v>
      </c>
      <c r="G203" s="11" t="s">
        <v>157</v>
      </c>
      <c r="H203" s="11">
        <v>42</v>
      </c>
      <c r="I203" s="12">
        <v>43182</v>
      </c>
      <c r="J203" s="2">
        <v>5</v>
      </c>
      <c r="K203" s="11">
        <v>1146763011414</v>
      </c>
      <c r="L203" s="11" t="s">
        <v>598</v>
      </c>
      <c r="M203" s="11" t="s">
        <v>27</v>
      </c>
      <c r="N203" s="12">
        <v>43144</v>
      </c>
      <c r="O203" s="12">
        <v>43144</v>
      </c>
      <c r="P203" s="11">
        <v>5</v>
      </c>
      <c r="Q203" s="11" t="s">
        <v>227</v>
      </c>
    </row>
    <row r="204" spans="1:17" ht="13" x14ac:dyDescent="0.15">
      <c r="A204" s="10">
        <v>43182.606613738426</v>
      </c>
      <c r="B204" s="11" t="s">
        <v>50</v>
      </c>
      <c r="C204" s="11">
        <v>592</v>
      </c>
      <c r="D204" s="11" t="s">
        <v>599</v>
      </c>
      <c r="E204" s="11">
        <v>7034322221</v>
      </c>
      <c r="F204" s="11" t="s">
        <v>24</v>
      </c>
      <c r="G204" s="11" t="s">
        <v>369</v>
      </c>
      <c r="H204" s="11">
        <v>38</v>
      </c>
      <c r="I204" s="12">
        <v>43182</v>
      </c>
      <c r="J204" s="2">
        <v>5</v>
      </c>
      <c r="K204" s="11">
        <v>1148213003952</v>
      </c>
      <c r="L204" s="11" t="s">
        <v>600</v>
      </c>
      <c r="M204" s="11" t="s">
        <v>27</v>
      </c>
      <c r="N204" s="12">
        <v>43178</v>
      </c>
      <c r="O204" s="12">
        <v>43178</v>
      </c>
      <c r="P204" s="11">
        <v>5</v>
      </c>
      <c r="Q204" s="11" t="s">
        <v>50</v>
      </c>
    </row>
    <row r="205" spans="1:17" ht="13" x14ac:dyDescent="0.15">
      <c r="A205" s="10">
        <v>43182.613311678244</v>
      </c>
      <c r="B205" s="11" t="s">
        <v>50</v>
      </c>
      <c r="C205" s="11">
        <v>399</v>
      </c>
      <c r="D205" s="11" t="s">
        <v>601</v>
      </c>
      <c r="E205" s="11">
        <v>7736806968</v>
      </c>
      <c r="F205" s="11" t="s">
        <v>24</v>
      </c>
      <c r="G205" s="11" t="s">
        <v>369</v>
      </c>
      <c r="H205" s="11">
        <v>38</v>
      </c>
      <c r="I205" s="12">
        <v>43182</v>
      </c>
      <c r="J205" s="2">
        <v>3</v>
      </c>
      <c r="K205" s="11">
        <v>1145282000246</v>
      </c>
      <c r="L205" s="11" t="s">
        <v>602</v>
      </c>
      <c r="M205" s="11" t="s">
        <v>27</v>
      </c>
      <c r="N205" s="12">
        <v>43181</v>
      </c>
      <c r="O205" s="12">
        <v>43181</v>
      </c>
      <c r="P205" s="11">
        <v>3</v>
      </c>
      <c r="Q205" s="11" t="s">
        <v>50</v>
      </c>
    </row>
    <row r="206" spans="1:17" ht="13" x14ac:dyDescent="0.15">
      <c r="A206" s="10">
        <v>43182.616849664351</v>
      </c>
      <c r="B206" s="11" t="s">
        <v>50</v>
      </c>
      <c r="C206" s="11">
        <v>400</v>
      </c>
      <c r="D206" s="11" t="s">
        <v>603</v>
      </c>
      <c r="E206" s="11">
        <v>7736806968</v>
      </c>
      <c r="F206" s="11" t="s">
        <v>24</v>
      </c>
      <c r="G206" s="11" t="s">
        <v>369</v>
      </c>
      <c r="H206" s="11">
        <v>38</v>
      </c>
      <c r="I206" s="12">
        <v>43182</v>
      </c>
      <c r="J206" s="2">
        <v>3</v>
      </c>
      <c r="K206" s="11">
        <v>1145285014702</v>
      </c>
      <c r="L206" s="11" t="s">
        <v>605</v>
      </c>
      <c r="M206" s="11" t="s">
        <v>27</v>
      </c>
      <c r="N206" s="12">
        <v>43181</v>
      </c>
      <c r="O206" s="12">
        <v>43181</v>
      </c>
      <c r="P206" s="11">
        <v>3</v>
      </c>
      <c r="Q206" s="11" t="s">
        <v>50</v>
      </c>
    </row>
    <row r="207" spans="1:17" ht="13" x14ac:dyDescent="0.15">
      <c r="A207" s="10">
        <v>43182.619450902777</v>
      </c>
      <c r="B207" s="11" t="s">
        <v>50</v>
      </c>
      <c r="C207" s="11">
        <v>398</v>
      </c>
      <c r="D207" s="11" t="s">
        <v>606</v>
      </c>
      <c r="E207" s="11">
        <v>7736806968</v>
      </c>
      <c r="F207" s="11" t="s">
        <v>24</v>
      </c>
      <c r="G207" s="11" t="s">
        <v>369</v>
      </c>
      <c r="H207" s="11">
        <v>38</v>
      </c>
      <c r="I207" s="12">
        <v>43182</v>
      </c>
      <c r="J207" s="2">
        <v>3</v>
      </c>
      <c r="K207" s="11">
        <v>1145284012039</v>
      </c>
      <c r="L207" s="11" t="s">
        <v>605</v>
      </c>
      <c r="M207" s="11" t="s">
        <v>27</v>
      </c>
      <c r="N207" s="12">
        <v>43181</v>
      </c>
      <c r="O207" s="12">
        <v>43181</v>
      </c>
      <c r="P207" s="11">
        <v>3</v>
      </c>
      <c r="Q207" s="11" t="s">
        <v>50</v>
      </c>
    </row>
    <row r="208" spans="1:17" ht="13" x14ac:dyDescent="0.15">
      <c r="A208" s="10">
        <v>43182.624896388894</v>
      </c>
      <c r="B208" s="11" t="s">
        <v>50</v>
      </c>
      <c r="C208" s="11">
        <v>345</v>
      </c>
      <c r="D208" s="11" t="s">
        <v>607</v>
      </c>
      <c r="E208" s="11">
        <v>7034322221</v>
      </c>
      <c r="F208" s="11" t="s">
        <v>24</v>
      </c>
      <c r="G208" s="11" t="s">
        <v>369</v>
      </c>
      <c r="H208" s="11">
        <v>38</v>
      </c>
      <c r="I208" s="12">
        <v>43182</v>
      </c>
      <c r="J208" s="2">
        <v>3</v>
      </c>
      <c r="K208" s="11">
        <v>1145318026476</v>
      </c>
      <c r="L208" s="11" t="s">
        <v>572</v>
      </c>
      <c r="M208" s="11" t="s">
        <v>27</v>
      </c>
      <c r="N208" s="12">
        <v>43176</v>
      </c>
      <c r="O208" s="12">
        <v>43176</v>
      </c>
      <c r="P208" s="11">
        <v>3</v>
      </c>
      <c r="Q208" s="11" t="s">
        <v>50</v>
      </c>
    </row>
    <row r="209" spans="1:17" ht="13" hidden="1" x14ac:dyDescent="0.15">
      <c r="A209" s="10">
        <v>43182.652704733795</v>
      </c>
      <c r="B209" s="11" t="s">
        <v>608</v>
      </c>
      <c r="C209" s="11">
        <v>459</v>
      </c>
      <c r="D209" s="11" t="s">
        <v>609</v>
      </c>
      <c r="E209" s="11">
        <v>9539740106</v>
      </c>
      <c r="F209" s="11" t="s">
        <v>40</v>
      </c>
      <c r="G209" s="11" t="s">
        <v>36</v>
      </c>
      <c r="H209" s="11">
        <v>20</v>
      </c>
      <c r="I209" s="12">
        <v>43159</v>
      </c>
      <c r="J209" s="2">
        <v>3</v>
      </c>
      <c r="K209" s="11">
        <v>1155201019651</v>
      </c>
      <c r="L209" s="11">
        <v>5520</v>
      </c>
      <c r="M209" s="11" t="s">
        <v>27</v>
      </c>
      <c r="N209" s="12">
        <v>43165</v>
      </c>
      <c r="O209" s="12">
        <v>43165</v>
      </c>
      <c r="P209" s="11">
        <v>3</v>
      </c>
      <c r="Q209" s="11" t="s">
        <v>610</v>
      </c>
    </row>
    <row r="210" spans="1:17" ht="13" hidden="1" x14ac:dyDescent="0.15">
      <c r="A210" s="10">
        <v>43182.665075520832</v>
      </c>
      <c r="B210" s="11" t="s">
        <v>611</v>
      </c>
      <c r="C210" s="11">
        <v>193</v>
      </c>
      <c r="D210" s="11" t="s">
        <v>612</v>
      </c>
      <c r="E210" s="11">
        <v>9447566357</v>
      </c>
      <c r="F210" s="11" t="s">
        <v>40</v>
      </c>
      <c r="G210" s="11" t="s">
        <v>36</v>
      </c>
      <c r="H210" s="11">
        <v>20</v>
      </c>
      <c r="I210" s="12">
        <v>43172</v>
      </c>
      <c r="J210" s="2">
        <v>3</v>
      </c>
      <c r="K210" s="11">
        <v>1155016016970</v>
      </c>
      <c r="L210" s="11">
        <v>5501</v>
      </c>
      <c r="M210" s="11" t="s">
        <v>27</v>
      </c>
      <c r="N210" s="12">
        <v>43154</v>
      </c>
      <c r="O210" s="12">
        <v>43154</v>
      </c>
      <c r="P210" s="11">
        <v>3</v>
      </c>
      <c r="Q210" s="11" t="s">
        <v>613</v>
      </c>
    </row>
    <row r="211" spans="1:17" ht="13" x14ac:dyDescent="0.15">
      <c r="A211" s="10">
        <v>43182.665496122689</v>
      </c>
      <c r="B211" s="11" t="s">
        <v>614</v>
      </c>
      <c r="C211" s="11">
        <v>525</v>
      </c>
      <c r="D211" s="11" t="s">
        <v>615</v>
      </c>
      <c r="E211" s="11">
        <v>8547852640</v>
      </c>
      <c r="F211" s="11" t="s">
        <v>24</v>
      </c>
      <c r="G211" s="11" t="s">
        <v>616</v>
      </c>
      <c r="H211" s="11">
        <v>65</v>
      </c>
      <c r="I211" s="12">
        <v>43182</v>
      </c>
      <c r="J211" s="2">
        <v>5</v>
      </c>
      <c r="K211" s="11">
        <v>1146763008749</v>
      </c>
      <c r="L211" s="11" t="s">
        <v>329</v>
      </c>
      <c r="M211" s="11" t="s">
        <v>27</v>
      </c>
      <c r="N211" s="12">
        <v>43181</v>
      </c>
      <c r="O211" s="12">
        <v>43181</v>
      </c>
      <c r="P211" s="11">
        <v>13</v>
      </c>
      <c r="Q211" s="11" t="s">
        <v>614</v>
      </c>
    </row>
    <row r="212" spans="1:17" ht="13" hidden="1" x14ac:dyDescent="0.15">
      <c r="A212" s="10">
        <v>43182.678563159723</v>
      </c>
      <c r="B212" s="11" t="s">
        <v>617</v>
      </c>
      <c r="C212" s="11">
        <v>501</v>
      </c>
      <c r="D212" s="11" t="s">
        <v>618</v>
      </c>
      <c r="E212" s="11">
        <v>9447113466</v>
      </c>
      <c r="F212" s="11" t="s">
        <v>30</v>
      </c>
      <c r="G212" s="11" t="s">
        <v>170</v>
      </c>
      <c r="H212" s="11">
        <v>26</v>
      </c>
      <c r="I212" s="12">
        <v>43178</v>
      </c>
      <c r="J212" s="2">
        <v>3</v>
      </c>
      <c r="K212" s="11">
        <v>1156642025013</v>
      </c>
      <c r="L212" s="11" t="s">
        <v>619</v>
      </c>
      <c r="M212" s="11" t="s">
        <v>27</v>
      </c>
      <c r="N212" s="12">
        <v>43157</v>
      </c>
      <c r="O212" s="12">
        <v>43157</v>
      </c>
      <c r="P212" s="11">
        <v>3</v>
      </c>
      <c r="Q212" s="11" t="s">
        <v>436</v>
      </c>
    </row>
    <row r="213" spans="1:17" ht="13" hidden="1" x14ac:dyDescent="0.15">
      <c r="A213" s="10">
        <v>43182.687244143519</v>
      </c>
      <c r="B213" s="11" t="s">
        <v>620</v>
      </c>
      <c r="C213" s="11">
        <v>218</v>
      </c>
      <c r="D213" s="11" t="s">
        <v>621</v>
      </c>
      <c r="E213" s="11">
        <v>9961473479</v>
      </c>
      <c r="F213" s="11" t="s">
        <v>40</v>
      </c>
      <c r="G213" s="11" t="s">
        <v>36</v>
      </c>
      <c r="H213" s="11">
        <v>20</v>
      </c>
      <c r="I213" s="12">
        <v>43181</v>
      </c>
      <c r="J213" s="2">
        <v>3</v>
      </c>
      <c r="K213" s="11">
        <v>25589</v>
      </c>
      <c r="L213" s="11">
        <v>5501</v>
      </c>
      <c r="M213" s="11" t="s">
        <v>27</v>
      </c>
      <c r="N213" s="12">
        <v>43159</v>
      </c>
      <c r="O213" s="12">
        <v>43159</v>
      </c>
      <c r="P213" s="11">
        <v>5</v>
      </c>
      <c r="Q213" s="11" t="s">
        <v>620</v>
      </c>
    </row>
    <row r="214" spans="1:17" ht="13" hidden="1" x14ac:dyDescent="0.15">
      <c r="A214" s="10">
        <v>43182.698097476852</v>
      </c>
      <c r="B214" s="11" t="s">
        <v>622</v>
      </c>
      <c r="C214" s="11">
        <v>217</v>
      </c>
      <c r="D214" s="11" t="s">
        <v>623</v>
      </c>
      <c r="E214" s="11">
        <v>9446274227</v>
      </c>
      <c r="F214" s="11" t="s">
        <v>40</v>
      </c>
      <c r="G214" s="11" t="s">
        <v>36</v>
      </c>
      <c r="H214" s="11">
        <v>20</v>
      </c>
      <c r="I214" s="12">
        <v>43174</v>
      </c>
      <c r="J214" s="2">
        <v>2</v>
      </c>
      <c r="K214" s="11">
        <v>1155018026580</v>
      </c>
      <c r="L214" s="11">
        <v>5501</v>
      </c>
      <c r="M214" s="11" t="s">
        <v>27</v>
      </c>
      <c r="N214" s="12">
        <v>43159</v>
      </c>
      <c r="O214" s="12">
        <v>43159</v>
      </c>
      <c r="P214" s="11">
        <v>3</v>
      </c>
      <c r="Q214" s="11" t="s">
        <v>624</v>
      </c>
    </row>
    <row r="215" spans="1:17" ht="13" x14ac:dyDescent="0.15">
      <c r="A215" s="10">
        <v>43182.796131354167</v>
      </c>
      <c r="B215" s="11" t="s">
        <v>625</v>
      </c>
      <c r="C215" s="11">
        <v>316</v>
      </c>
      <c r="D215" s="11" t="s">
        <v>626</v>
      </c>
      <c r="E215" s="11">
        <v>9349001255</v>
      </c>
      <c r="F215" s="11" t="s">
        <v>24</v>
      </c>
      <c r="G215" s="11" t="s">
        <v>36</v>
      </c>
      <c r="H215" s="11">
        <v>20</v>
      </c>
      <c r="I215" s="12">
        <v>43176</v>
      </c>
      <c r="J215" s="2">
        <v>3</v>
      </c>
      <c r="K215" s="11">
        <v>1145112001974</v>
      </c>
      <c r="L215" s="11" t="s">
        <v>627</v>
      </c>
      <c r="M215" s="11" t="s">
        <v>27</v>
      </c>
      <c r="N215" s="12">
        <v>43175</v>
      </c>
      <c r="O215" s="12">
        <v>43175</v>
      </c>
      <c r="P215" s="11">
        <v>3</v>
      </c>
      <c r="Q215" s="11" t="s">
        <v>625</v>
      </c>
    </row>
    <row r="216" spans="1:17" ht="13" x14ac:dyDescent="0.15">
      <c r="A216" s="10">
        <v>43182.808679131944</v>
      </c>
      <c r="B216" s="11" t="s">
        <v>625</v>
      </c>
      <c r="C216" s="11">
        <v>111</v>
      </c>
      <c r="D216" s="11" t="s">
        <v>628</v>
      </c>
      <c r="E216" s="11">
        <v>9961003336</v>
      </c>
      <c r="F216" s="11" t="s">
        <v>24</v>
      </c>
      <c r="G216" s="11" t="s">
        <v>36</v>
      </c>
      <c r="H216" s="11">
        <v>20</v>
      </c>
      <c r="I216" s="12">
        <v>43146</v>
      </c>
      <c r="J216" s="2">
        <v>3</v>
      </c>
      <c r="K216" s="11">
        <v>1145119004639</v>
      </c>
      <c r="L216" s="11" t="s">
        <v>627</v>
      </c>
      <c r="M216" s="11" t="s">
        <v>27</v>
      </c>
      <c r="N216" s="12">
        <v>43141</v>
      </c>
      <c r="O216" s="12">
        <v>43141</v>
      </c>
      <c r="P216" s="11">
        <v>3</v>
      </c>
      <c r="Q216" s="11" t="s">
        <v>625</v>
      </c>
    </row>
    <row r="217" spans="1:17" ht="13" hidden="1" x14ac:dyDescent="0.15">
      <c r="A217" s="10">
        <v>43183.454820787039</v>
      </c>
      <c r="B217" s="11" t="s">
        <v>142</v>
      </c>
      <c r="C217" s="11">
        <v>409</v>
      </c>
      <c r="D217" s="11" t="s">
        <v>630</v>
      </c>
      <c r="E217" s="11">
        <v>9895542426</v>
      </c>
      <c r="F217" s="11" t="s">
        <v>35</v>
      </c>
      <c r="G217" s="11" t="s">
        <v>36</v>
      </c>
      <c r="H217" s="11">
        <v>20</v>
      </c>
      <c r="I217" s="12">
        <v>43151</v>
      </c>
      <c r="J217" s="2">
        <v>3</v>
      </c>
      <c r="K217" s="11">
        <v>1155535004663</v>
      </c>
      <c r="L217" s="11" t="s">
        <v>631</v>
      </c>
      <c r="M217" s="11" t="s">
        <v>27</v>
      </c>
      <c r="N217" s="12">
        <v>43154</v>
      </c>
      <c r="O217" s="12">
        <v>43154</v>
      </c>
      <c r="P217" s="11">
        <v>3</v>
      </c>
      <c r="Q217" s="11" t="s">
        <v>142</v>
      </c>
    </row>
    <row r="218" spans="1:17" ht="13" hidden="1" x14ac:dyDescent="0.15">
      <c r="A218" s="10">
        <v>43183.465174895835</v>
      </c>
      <c r="B218" s="11" t="s">
        <v>142</v>
      </c>
      <c r="C218" s="11">
        <v>713</v>
      </c>
      <c r="D218" s="11" t="s">
        <v>632</v>
      </c>
      <c r="E218" s="11">
        <v>7909184515</v>
      </c>
      <c r="F218" s="11" t="s">
        <v>35</v>
      </c>
      <c r="G218" s="11" t="s">
        <v>36</v>
      </c>
      <c r="H218" s="11">
        <v>20</v>
      </c>
      <c r="I218" s="12">
        <v>43173</v>
      </c>
      <c r="J218" s="2">
        <v>5</v>
      </c>
      <c r="K218" s="11">
        <v>1155979001139</v>
      </c>
      <c r="L218" s="11" t="s">
        <v>633</v>
      </c>
      <c r="M218" s="11" t="s">
        <v>27</v>
      </c>
      <c r="N218" s="12">
        <v>43175</v>
      </c>
      <c r="O218" s="12">
        <v>43175</v>
      </c>
      <c r="P218" s="11">
        <v>5</v>
      </c>
      <c r="Q218" s="11" t="s">
        <v>142</v>
      </c>
    </row>
    <row r="219" spans="1:17" ht="13" hidden="1" x14ac:dyDescent="0.15">
      <c r="A219" s="10">
        <v>43183.480309236111</v>
      </c>
      <c r="B219" s="11" t="s">
        <v>472</v>
      </c>
      <c r="C219" s="11">
        <v>443</v>
      </c>
      <c r="D219" s="11" t="s">
        <v>634</v>
      </c>
      <c r="E219" s="11">
        <v>9744080310</v>
      </c>
      <c r="F219" s="11" t="s">
        <v>35</v>
      </c>
      <c r="G219" s="11" t="s">
        <v>134</v>
      </c>
      <c r="H219" s="11">
        <v>47</v>
      </c>
      <c r="I219" s="12">
        <v>43181</v>
      </c>
      <c r="J219" s="2">
        <v>3</v>
      </c>
      <c r="K219" s="11">
        <v>1157314023348</v>
      </c>
      <c r="L219" s="11" t="s">
        <v>435</v>
      </c>
      <c r="M219" s="11" t="s">
        <v>27</v>
      </c>
      <c r="N219" s="12">
        <v>43182</v>
      </c>
      <c r="O219" s="12">
        <v>43182</v>
      </c>
      <c r="P219" s="11">
        <v>3</v>
      </c>
      <c r="Q219" s="11" t="s">
        <v>472</v>
      </c>
    </row>
    <row r="220" spans="1:17" ht="13" x14ac:dyDescent="0.15">
      <c r="A220" s="10">
        <v>43183.480666504634</v>
      </c>
      <c r="B220" s="11" t="s">
        <v>382</v>
      </c>
      <c r="C220" s="11">
        <v>527</v>
      </c>
      <c r="D220" s="11" t="s">
        <v>635</v>
      </c>
      <c r="E220" s="11">
        <v>9387707733</v>
      </c>
      <c r="F220" s="11" t="s">
        <v>24</v>
      </c>
      <c r="G220" s="11" t="s">
        <v>384</v>
      </c>
      <c r="H220" s="11">
        <v>4</v>
      </c>
      <c r="I220" s="12">
        <v>43183</v>
      </c>
      <c r="J220" s="2">
        <v>2</v>
      </c>
      <c r="K220" s="11">
        <v>1145154013671</v>
      </c>
      <c r="L220" s="11" t="s">
        <v>636</v>
      </c>
      <c r="M220" s="11" t="s">
        <v>27</v>
      </c>
      <c r="N220" s="12">
        <v>43177</v>
      </c>
      <c r="O220" s="12">
        <v>43177</v>
      </c>
      <c r="P220" s="11">
        <v>2</v>
      </c>
      <c r="Q220" s="11" t="s">
        <v>382</v>
      </c>
    </row>
    <row r="221" spans="1:17" ht="13" hidden="1" x14ac:dyDescent="0.15">
      <c r="A221" s="10">
        <v>43183.487659097227</v>
      </c>
      <c r="B221" s="11" t="s">
        <v>142</v>
      </c>
      <c r="C221" s="11">
        <v>299</v>
      </c>
      <c r="D221" s="11" t="s">
        <v>637</v>
      </c>
      <c r="E221" s="11">
        <v>9995470933</v>
      </c>
      <c r="F221" s="11" t="s">
        <v>35</v>
      </c>
      <c r="G221" s="11" t="s">
        <v>36</v>
      </c>
      <c r="H221" s="11">
        <v>20</v>
      </c>
      <c r="I221" s="12">
        <v>43174</v>
      </c>
      <c r="J221" s="2">
        <v>3</v>
      </c>
      <c r="K221" s="11">
        <v>1155509027855</v>
      </c>
      <c r="L221" s="11" t="s">
        <v>638</v>
      </c>
      <c r="M221" s="11" t="s">
        <v>27</v>
      </c>
      <c r="N221" s="12">
        <v>43160</v>
      </c>
      <c r="O221" s="12">
        <v>43160</v>
      </c>
      <c r="P221" s="11">
        <v>3</v>
      </c>
      <c r="Q221" s="11" t="s">
        <v>142</v>
      </c>
    </row>
    <row r="222" spans="1:17" ht="13" hidden="1" x14ac:dyDescent="0.15">
      <c r="A222" s="10">
        <v>43183.510678298611</v>
      </c>
      <c r="B222" s="11" t="s">
        <v>142</v>
      </c>
      <c r="C222" s="11">
        <v>90</v>
      </c>
      <c r="D222" s="11" t="s">
        <v>639</v>
      </c>
      <c r="E222" s="11">
        <v>9847022123</v>
      </c>
      <c r="F222" s="11" t="s">
        <v>35</v>
      </c>
      <c r="G222" s="11" t="s">
        <v>36</v>
      </c>
      <c r="H222" s="11">
        <v>20</v>
      </c>
      <c r="I222" s="12">
        <v>43150</v>
      </c>
      <c r="J222" s="2">
        <v>5</v>
      </c>
      <c r="K222" s="11">
        <v>1155642013934</v>
      </c>
      <c r="L222" s="11" t="s">
        <v>148</v>
      </c>
      <c r="M222" s="11" t="s">
        <v>27</v>
      </c>
      <c r="N222" s="12">
        <v>43151</v>
      </c>
      <c r="O222" s="12">
        <v>43151</v>
      </c>
      <c r="P222" s="11">
        <v>5</v>
      </c>
      <c r="Q222" s="11" t="s">
        <v>142</v>
      </c>
    </row>
    <row r="223" spans="1:17" ht="13" x14ac:dyDescent="0.15">
      <c r="A223" s="10">
        <v>43183.528826284717</v>
      </c>
      <c r="B223" s="11" t="s">
        <v>589</v>
      </c>
      <c r="C223" s="11">
        <v>499</v>
      </c>
      <c r="D223" s="11" t="s">
        <v>640</v>
      </c>
      <c r="E223" s="11">
        <v>9645322229</v>
      </c>
      <c r="F223" s="11" t="s">
        <v>24</v>
      </c>
      <c r="G223" s="11" t="s">
        <v>369</v>
      </c>
      <c r="H223" s="11">
        <v>38</v>
      </c>
      <c r="I223" s="12">
        <v>43183</v>
      </c>
      <c r="J223" s="2">
        <v>3</v>
      </c>
      <c r="K223" s="11">
        <v>1145050004730</v>
      </c>
      <c r="L223" s="11" t="s">
        <v>641</v>
      </c>
      <c r="M223" s="11" t="s">
        <v>27</v>
      </c>
      <c r="N223" s="12">
        <v>43178</v>
      </c>
      <c r="O223" s="12">
        <v>43178</v>
      </c>
      <c r="P223" s="11">
        <v>3</v>
      </c>
      <c r="Q223" s="11" t="s">
        <v>589</v>
      </c>
    </row>
    <row r="224" spans="1:17" ht="13" hidden="1" x14ac:dyDescent="0.15">
      <c r="A224" s="10">
        <v>43183.53763958333</v>
      </c>
      <c r="B224" s="11" t="s">
        <v>642</v>
      </c>
      <c r="C224" s="11">
        <v>16</v>
      </c>
      <c r="D224" s="11" t="s">
        <v>643</v>
      </c>
      <c r="E224" s="11">
        <v>7290902928</v>
      </c>
      <c r="F224" s="11" t="s">
        <v>73</v>
      </c>
      <c r="G224" s="11" t="s">
        <v>644</v>
      </c>
      <c r="H224" s="11">
        <v>30</v>
      </c>
      <c r="I224" s="12">
        <v>43180</v>
      </c>
      <c r="J224" s="2">
        <v>3</v>
      </c>
      <c r="K224" s="11">
        <v>1145702021662</v>
      </c>
      <c r="L224" s="11" t="s">
        <v>645</v>
      </c>
      <c r="M224" s="11" t="s">
        <v>27</v>
      </c>
      <c r="N224" s="12">
        <v>43167</v>
      </c>
      <c r="O224" s="12">
        <v>43167</v>
      </c>
      <c r="P224" s="11">
        <v>3</v>
      </c>
      <c r="Q224" s="11" t="s">
        <v>642</v>
      </c>
    </row>
    <row r="225" spans="1:17" ht="13" x14ac:dyDescent="0.15">
      <c r="A225" s="10">
        <v>43183.54388143518</v>
      </c>
      <c r="B225" s="11" t="s">
        <v>22</v>
      </c>
      <c r="C225" s="11">
        <v>80</v>
      </c>
      <c r="D225" s="11" t="s">
        <v>646</v>
      </c>
      <c r="E225" s="11">
        <v>9388106363</v>
      </c>
      <c r="F225" s="11" t="s">
        <v>24</v>
      </c>
      <c r="G225" s="11" t="s">
        <v>101</v>
      </c>
      <c r="H225" s="11">
        <v>54</v>
      </c>
      <c r="I225" s="12">
        <v>43181</v>
      </c>
      <c r="J225" s="2">
        <v>5</v>
      </c>
      <c r="K225" s="11">
        <v>1145077002892</v>
      </c>
      <c r="L225" s="11" t="s">
        <v>586</v>
      </c>
      <c r="M225" s="11" t="s">
        <v>27</v>
      </c>
      <c r="N225" s="12">
        <v>43124</v>
      </c>
      <c r="O225" s="12">
        <v>43124</v>
      </c>
      <c r="P225" s="11">
        <v>5</v>
      </c>
      <c r="Q225" s="11" t="s">
        <v>22</v>
      </c>
    </row>
    <row r="226" spans="1:17" ht="13" hidden="1" x14ac:dyDescent="0.15">
      <c r="A226" s="10">
        <v>43183.555215370376</v>
      </c>
      <c r="B226" s="11" t="s">
        <v>303</v>
      </c>
      <c r="C226" s="11">
        <v>322</v>
      </c>
      <c r="D226" s="11" t="s">
        <v>647</v>
      </c>
      <c r="E226" s="11">
        <v>9400527569</v>
      </c>
      <c r="F226" s="11" t="s">
        <v>287</v>
      </c>
      <c r="G226" s="11" t="s">
        <v>280</v>
      </c>
      <c r="H226" s="11">
        <v>66</v>
      </c>
      <c r="I226" s="12">
        <v>43183</v>
      </c>
      <c r="J226" s="2">
        <v>2</v>
      </c>
      <c r="K226" s="11">
        <v>1166576010681</v>
      </c>
      <c r="L226" s="11" t="s">
        <v>288</v>
      </c>
      <c r="M226" s="11" t="s">
        <v>27</v>
      </c>
      <c r="N226" s="12">
        <v>43159</v>
      </c>
      <c r="O226" s="12">
        <v>43159</v>
      </c>
      <c r="P226" s="11">
        <v>2</v>
      </c>
      <c r="Q226" s="11" t="s">
        <v>303</v>
      </c>
    </row>
    <row r="227" spans="1:17" ht="13" hidden="1" x14ac:dyDescent="0.15">
      <c r="A227" s="10">
        <v>43183.562387546292</v>
      </c>
      <c r="B227" s="11" t="s">
        <v>303</v>
      </c>
      <c r="C227" s="11">
        <v>419</v>
      </c>
      <c r="D227" s="11" t="s">
        <v>648</v>
      </c>
      <c r="E227" s="11">
        <v>9847001883</v>
      </c>
      <c r="F227" s="11" t="s">
        <v>35</v>
      </c>
      <c r="G227" s="11" t="s">
        <v>280</v>
      </c>
      <c r="H227" s="11">
        <v>66</v>
      </c>
      <c r="I227" s="12">
        <v>43186</v>
      </c>
      <c r="J227" s="2">
        <v>3</v>
      </c>
      <c r="K227" s="11">
        <v>1157317001341</v>
      </c>
      <c r="L227" s="11" t="s">
        <v>649</v>
      </c>
      <c r="M227" s="11" t="s">
        <v>27</v>
      </c>
      <c r="N227" s="12">
        <v>43179</v>
      </c>
      <c r="O227" s="12">
        <v>43179</v>
      </c>
      <c r="P227" s="11">
        <v>3</v>
      </c>
      <c r="Q227" s="11" t="s">
        <v>303</v>
      </c>
    </row>
    <row r="228" spans="1:17" ht="13" hidden="1" x14ac:dyDescent="0.15">
      <c r="A228" s="10">
        <v>43183.566973807872</v>
      </c>
      <c r="B228" s="11" t="s">
        <v>303</v>
      </c>
      <c r="C228" s="11">
        <v>424</v>
      </c>
      <c r="D228" s="11" t="s">
        <v>650</v>
      </c>
      <c r="E228" s="11">
        <v>9995752290</v>
      </c>
      <c r="F228" s="11" t="s">
        <v>56</v>
      </c>
      <c r="G228" s="11" t="s">
        <v>280</v>
      </c>
      <c r="H228" s="11">
        <v>66</v>
      </c>
      <c r="I228" s="12">
        <v>43186</v>
      </c>
      <c r="J228" s="2">
        <v>3</v>
      </c>
      <c r="K228" s="11">
        <v>1146408016523</v>
      </c>
      <c r="L228" s="11" t="s">
        <v>652</v>
      </c>
      <c r="M228" s="11" t="s">
        <v>27</v>
      </c>
      <c r="N228" s="12">
        <v>43168</v>
      </c>
      <c r="O228" s="12">
        <v>43168</v>
      </c>
      <c r="P228" s="11">
        <v>3</v>
      </c>
      <c r="Q228" s="11" t="s">
        <v>303</v>
      </c>
    </row>
    <row r="229" spans="1:17" ht="13" hidden="1" x14ac:dyDescent="0.15">
      <c r="A229" s="10">
        <v>43183.596018518518</v>
      </c>
      <c r="B229" s="11" t="s">
        <v>303</v>
      </c>
      <c r="C229" s="11">
        <v>451</v>
      </c>
      <c r="D229" s="11" t="s">
        <v>653</v>
      </c>
      <c r="E229" s="11">
        <v>9447313917</v>
      </c>
      <c r="F229" s="11" t="s">
        <v>287</v>
      </c>
      <c r="G229" s="11" t="s">
        <v>654</v>
      </c>
      <c r="H229" s="11">
        <v>66</v>
      </c>
      <c r="I229" s="12">
        <v>43185</v>
      </c>
      <c r="J229" s="2">
        <v>3</v>
      </c>
      <c r="K229" s="11">
        <v>1166717033380</v>
      </c>
      <c r="L229" s="11" t="s">
        <v>655</v>
      </c>
      <c r="M229" s="11" t="s">
        <v>27</v>
      </c>
      <c r="N229" s="12">
        <v>43171</v>
      </c>
      <c r="O229" s="12">
        <v>43171</v>
      </c>
      <c r="P229" s="11">
        <v>3</v>
      </c>
      <c r="Q229" s="11" t="s">
        <v>303</v>
      </c>
    </row>
    <row r="230" spans="1:17" ht="13" hidden="1" x14ac:dyDescent="0.15">
      <c r="A230" s="10">
        <v>43183.599688113427</v>
      </c>
      <c r="B230" s="11" t="s">
        <v>303</v>
      </c>
      <c r="C230" s="11">
        <v>371</v>
      </c>
      <c r="D230" s="11" t="s">
        <v>656</v>
      </c>
      <c r="E230" s="11">
        <v>994648990</v>
      </c>
      <c r="F230" s="11" t="s">
        <v>35</v>
      </c>
      <c r="G230" s="11" t="s">
        <v>280</v>
      </c>
      <c r="H230" s="11">
        <v>66</v>
      </c>
      <c r="I230" s="12">
        <v>43189</v>
      </c>
      <c r="J230" s="2">
        <v>5</v>
      </c>
      <c r="K230" s="11">
        <v>1157344003206</v>
      </c>
      <c r="L230" s="11" t="s">
        <v>657</v>
      </c>
      <c r="M230" s="11" t="s">
        <v>27</v>
      </c>
      <c r="N230" s="12">
        <v>43179</v>
      </c>
      <c r="O230" s="12">
        <v>43179</v>
      </c>
      <c r="P230" s="11">
        <v>5</v>
      </c>
      <c r="Q230" s="11" t="s">
        <v>303</v>
      </c>
    </row>
    <row r="231" spans="1:17" ht="13" hidden="1" x14ac:dyDescent="0.15">
      <c r="A231" s="10">
        <v>43183.607457592589</v>
      </c>
      <c r="B231" s="11" t="s">
        <v>303</v>
      </c>
      <c r="C231" s="11">
        <v>521</v>
      </c>
      <c r="D231" s="11" t="s">
        <v>658</v>
      </c>
      <c r="E231" s="11">
        <v>9446939322</v>
      </c>
      <c r="F231" s="11" t="s">
        <v>30</v>
      </c>
      <c r="G231" s="11" t="s">
        <v>280</v>
      </c>
      <c r="H231" s="11">
        <v>66</v>
      </c>
      <c r="I231" s="12">
        <v>43188</v>
      </c>
      <c r="J231" s="2">
        <v>5</v>
      </c>
      <c r="K231" s="11">
        <v>1156782002137</v>
      </c>
      <c r="L231" s="11" t="s">
        <v>659</v>
      </c>
      <c r="M231" s="11" t="s">
        <v>27</v>
      </c>
      <c r="N231" s="12">
        <v>43178</v>
      </c>
      <c r="O231" s="12">
        <v>475441</v>
      </c>
      <c r="P231" s="11">
        <v>5</v>
      </c>
      <c r="Q231" s="11" t="s">
        <v>303</v>
      </c>
    </row>
    <row r="232" spans="1:17" ht="13" hidden="1" x14ac:dyDescent="0.15">
      <c r="A232" s="10">
        <v>43183.685413900464</v>
      </c>
      <c r="B232" s="11" t="s">
        <v>660</v>
      </c>
      <c r="C232" s="11">
        <v>655</v>
      </c>
      <c r="D232" s="11" t="s">
        <v>661</v>
      </c>
      <c r="E232" s="11">
        <v>9847897930</v>
      </c>
      <c r="F232" s="11" t="s">
        <v>35</v>
      </c>
      <c r="G232" s="11" t="s">
        <v>488</v>
      </c>
      <c r="H232" s="11">
        <v>22</v>
      </c>
      <c r="I232" s="12">
        <v>43183</v>
      </c>
      <c r="J232" s="2">
        <v>10</v>
      </c>
      <c r="K232" s="11">
        <v>1155795016061</v>
      </c>
      <c r="L232" s="11" t="s">
        <v>662</v>
      </c>
      <c r="M232" s="11" t="s">
        <v>27</v>
      </c>
      <c r="N232" s="12">
        <v>43179</v>
      </c>
      <c r="O232" s="12">
        <v>43179</v>
      </c>
      <c r="P232" s="11">
        <v>10</v>
      </c>
      <c r="Q232" s="11" t="s">
        <v>660</v>
      </c>
    </row>
    <row r="233" spans="1:17" ht="13" hidden="1" x14ac:dyDescent="0.15">
      <c r="A233" s="10">
        <v>43183.713802754632</v>
      </c>
      <c r="B233" s="11" t="s">
        <v>663</v>
      </c>
      <c r="C233" s="11">
        <v>653</v>
      </c>
      <c r="D233" s="11" t="s">
        <v>664</v>
      </c>
      <c r="E233" s="11">
        <v>9447665904</v>
      </c>
      <c r="F233" s="11" t="s">
        <v>35</v>
      </c>
      <c r="G233" s="11" t="s">
        <v>488</v>
      </c>
      <c r="H233" s="11">
        <v>22</v>
      </c>
      <c r="I233" s="12">
        <v>43183</v>
      </c>
      <c r="J233" s="2">
        <v>2</v>
      </c>
      <c r="K233" s="11">
        <v>1155792006399</v>
      </c>
      <c r="L233" s="11" t="s">
        <v>665</v>
      </c>
      <c r="M233" s="11" t="s">
        <v>27</v>
      </c>
      <c r="N233" s="12">
        <v>43179</v>
      </c>
      <c r="O233" s="12">
        <v>43179</v>
      </c>
      <c r="P233" s="11">
        <v>2</v>
      </c>
      <c r="Q233" s="11" t="s">
        <v>663</v>
      </c>
    </row>
    <row r="234" spans="1:17" ht="13" hidden="1" x14ac:dyDescent="0.15">
      <c r="A234" s="10">
        <v>43183.892737465278</v>
      </c>
      <c r="B234" s="11" t="s">
        <v>666</v>
      </c>
      <c r="C234" s="11">
        <v>638</v>
      </c>
      <c r="D234" s="11" t="s">
        <v>667</v>
      </c>
      <c r="E234" s="11">
        <v>9846542746</v>
      </c>
      <c r="F234" s="11" t="s">
        <v>287</v>
      </c>
      <c r="G234" s="11" t="s">
        <v>157</v>
      </c>
      <c r="H234" s="11">
        <v>42</v>
      </c>
      <c r="I234" s="12">
        <v>43183</v>
      </c>
      <c r="J234" s="2">
        <v>3</v>
      </c>
      <c r="K234" s="11">
        <v>1166659009665</v>
      </c>
      <c r="L234" s="11" t="s">
        <v>669</v>
      </c>
      <c r="M234" s="11" t="s">
        <v>27</v>
      </c>
      <c r="N234" s="12">
        <v>43183</v>
      </c>
      <c r="O234" s="12">
        <v>43183</v>
      </c>
      <c r="P234" s="11">
        <v>3</v>
      </c>
      <c r="Q234" s="11" t="s">
        <v>666</v>
      </c>
    </row>
    <row r="235" spans="1:17" ht="13" hidden="1" x14ac:dyDescent="0.15">
      <c r="A235" s="10">
        <v>43185.434918136569</v>
      </c>
      <c r="B235" s="11" t="s">
        <v>142</v>
      </c>
      <c r="C235" s="11">
        <v>517</v>
      </c>
      <c r="D235" s="11" t="s">
        <v>670</v>
      </c>
      <c r="E235" s="11">
        <v>9846472333</v>
      </c>
      <c r="F235" s="11" t="s">
        <v>35</v>
      </c>
      <c r="G235" s="11" t="s">
        <v>36</v>
      </c>
      <c r="H235" s="11">
        <v>20</v>
      </c>
      <c r="I235" s="12">
        <v>43160</v>
      </c>
      <c r="J235" s="2">
        <v>5</v>
      </c>
      <c r="K235" s="11">
        <v>1155979032189</v>
      </c>
      <c r="L235" s="11" t="s">
        <v>633</v>
      </c>
      <c r="M235" s="11" t="s">
        <v>27</v>
      </c>
      <c r="N235" s="12">
        <v>43109</v>
      </c>
      <c r="O235" s="12">
        <v>43109</v>
      </c>
      <c r="P235" s="11">
        <v>5</v>
      </c>
      <c r="Q235" s="11" t="s">
        <v>142</v>
      </c>
    </row>
    <row r="236" spans="1:17" ht="13" hidden="1" x14ac:dyDescent="0.15">
      <c r="A236" s="10">
        <v>43185.487344363428</v>
      </c>
      <c r="B236" s="14" t="s">
        <v>671</v>
      </c>
      <c r="C236" s="11">
        <v>487</v>
      </c>
      <c r="D236" s="11" t="s">
        <v>672</v>
      </c>
      <c r="E236" s="11">
        <v>9447130726</v>
      </c>
      <c r="F236" s="11" t="s">
        <v>287</v>
      </c>
      <c r="G236" s="11" t="s">
        <v>280</v>
      </c>
      <c r="H236" s="11">
        <v>66</v>
      </c>
      <c r="I236" s="12">
        <v>43188</v>
      </c>
      <c r="J236" s="2">
        <v>3</v>
      </c>
      <c r="K236" s="11">
        <v>1166658011910</v>
      </c>
      <c r="L236" s="11" t="s">
        <v>673</v>
      </c>
      <c r="M236" s="11" t="s">
        <v>27</v>
      </c>
      <c r="N236" s="12">
        <v>43183</v>
      </c>
      <c r="O236" s="12">
        <v>43183</v>
      </c>
      <c r="P236" s="11">
        <v>3</v>
      </c>
      <c r="Q236" s="11" t="s">
        <v>303</v>
      </c>
    </row>
    <row r="237" spans="1:17" ht="13" hidden="1" x14ac:dyDescent="0.15">
      <c r="A237" s="10">
        <v>43185.498085312502</v>
      </c>
      <c r="B237" s="11" t="s">
        <v>151</v>
      </c>
      <c r="C237" s="11">
        <v>657</v>
      </c>
      <c r="D237" s="11" t="s">
        <v>674</v>
      </c>
      <c r="E237" s="11">
        <v>7907009190</v>
      </c>
      <c r="F237" s="11" t="s">
        <v>35</v>
      </c>
      <c r="G237" s="11" t="s">
        <v>675</v>
      </c>
      <c r="H237" s="11">
        <v>42</v>
      </c>
      <c r="I237" s="12">
        <v>43185</v>
      </c>
      <c r="J237" s="2">
        <v>5</v>
      </c>
      <c r="K237" s="11">
        <v>1155417005263</v>
      </c>
      <c r="L237" s="11" t="s">
        <v>676</v>
      </c>
      <c r="M237" s="11" t="s">
        <v>27</v>
      </c>
      <c r="N237" s="12">
        <v>43185</v>
      </c>
      <c r="O237" s="12">
        <v>43185</v>
      </c>
      <c r="P237" s="11">
        <v>5</v>
      </c>
      <c r="Q237" s="11" t="s">
        <v>151</v>
      </c>
    </row>
    <row r="238" spans="1:17" ht="13" hidden="1" x14ac:dyDescent="0.15">
      <c r="A238" s="10">
        <v>43185.508613761573</v>
      </c>
      <c r="B238" s="11" t="s">
        <v>151</v>
      </c>
      <c r="C238" s="11">
        <v>640</v>
      </c>
      <c r="D238" s="11" t="s">
        <v>677</v>
      </c>
      <c r="E238" s="11">
        <v>7907009190</v>
      </c>
      <c r="F238" s="11" t="s">
        <v>40</v>
      </c>
      <c r="G238" s="11" t="s">
        <v>157</v>
      </c>
      <c r="H238" s="11">
        <v>42</v>
      </c>
      <c r="I238" s="12">
        <v>43185</v>
      </c>
      <c r="J238" s="2">
        <v>10</v>
      </c>
      <c r="K238" s="11">
        <v>1155138001077</v>
      </c>
      <c r="L238" s="11" t="s">
        <v>678</v>
      </c>
      <c r="M238" s="11" t="s">
        <v>27</v>
      </c>
      <c r="N238" s="12">
        <v>43175</v>
      </c>
      <c r="O238" s="12">
        <v>43175</v>
      </c>
      <c r="P238" s="11">
        <v>10</v>
      </c>
      <c r="Q238" s="11" t="s">
        <v>151</v>
      </c>
    </row>
    <row r="239" spans="1:17" ht="13" hidden="1" x14ac:dyDescent="0.15">
      <c r="A239" s="10">
        <v>43185.51434263889</v>
      </c>
      <c r="B239" s="11" t="s">
        <v>151</v>
      </c>
      <c r="C239" s="11">
        <v>641</v>
      </c>
      <c r="D239" s="11" t="s">
        <v>680</v>
      </c>
      <c r="E239" s="11">
        <v>7907009190</v>
      </c>
      <c r="F239" s="11" t="s">
        <v>40</v>
      </c>
      <c r="G239" s="11" t="s">
        <v>681</v>
      </c>
      <c r="H239" s="11">
        <v>42</v>
      </c>
      <c r="I239" s="12">
        <v>43153</v>
      </c>
      <c r="J239" s="2">
        <v>3</v>
      </c>
      <c r="K239" s="11">
        <v>1155018000739</v>
      </c>
      <c r="L239" s="11" t="s">
        <v>312</v>
      </c>
      <c r="M239" s="11" t="s">
        <v>27</v>
      </c>
      <c r="N239" s="12">
        <v>43117</v>
      </c>
      <c r="O239" s="12">
        <v>43117</v>
      </c>
      <c r="P239" s="11">
        <v>3</v>
      </c>
      <c r="Q239" s="11" t="s">
        <v>151</v>
      </c>
    </row>
    <row r="240" spans="1:17" ht="13" hidden="1" x14ac:dyDescent="0.15">
      <c r="A240" s="10">
        <v>43185.516925856486</v>
      </c>
      <c r="B240" s="11" t="s">
        <v>151</v>
      </c>
      <c r="C240" s="11">
        <v>422</v>
      </c>
      <c r="D240" s="11" t="s">
        <v>682</v>
      </c>
      <c r="E240" s="11">
        <v>7907009190</v>
      </c>
      <c r="F240" s="11" t="s">
        <v>40</v>
      </c>
      <c r="G240" s="11" t="s">
        <v>157</v>
      </c>
      <c r="H240" s="11">
        <v>42</v>
      </c>
      <c r="I240" s="12">
        <v>43185</v>
      </c>
      <c r="J240" s="2">
        <v>5</v>
      </c>
      <c r="K240" s="11">
        <v>1155025012962</v>
      </c>
      <c r="L240" s="11" t="s">
        <v>160</v>
      </c>
      <c r="M240" s="11" t="s">
        <v>27</v>
      </c>
      <c r="N240" s="12">
        <v>43139</v>
      </c>
      <c r="O240" s="12">
        <v>43151</v>
      </c>
      <c r="P240" s="11">
        <v>5</v>
      </c>
      <c r="Q240" s="11" t="s">
        <v>151</v>
      </c>
    </row>
    <row r="241" spans="1:17" ht="13" x14ac:dyDescent="0.15">
      <c r="A241" s="10">
        <v>43185.540312939818</v>
      </c>
      <c r="B241" s="11" t="s">
        <v>50</v>
      </c>
      <c r="C241" s="11">
        <v>621</v>
      </c>
      <c r="D241" s="11" t="s">
        <v>683</v>
      </c>
      <c r="E241" s="11">
        <v>7034322221</v>
      </c>
      <c r="F241" s="11" t="s">
        <v>24</v>
      </c>
      <c r="G241" s="11" t="s">
        <v>369</v>
      </c>
      <c r="H241" s="11">
        <v>38</v>
      </c>
      <c r="I241" s="12">
        <v>43185</v>
      </c>
      <c r="J241" s="2">
        <v>5</v>
      </c>
      <c r="K241" s="11">
        <v>1145356008460</v>
      </c>
      <c r="L241" s="11" t="s">
        <v>684</v>
      </c>
      <c r="M241" s="11" t="s">
        <v>27</v>
      </c>
      <c r="N241" s="12">
        <v>43183</v>
      </c>
      <c r="O241" s="12">
        <v>43183</v>
      </c>
      <c r="P241" s="11">
        <v>5</v>
      </c>
      <c r="Q241" s="11" t="s">
        <v>50</v>
      </c>
    </row>
    <row r="242" spans="1:17" ht="13" hidden="1" x14ac:dyDescent="0.15">
      <c r="A242" s="10">
        <v>43185.551303541666</v>
      </c>
      <c r="B242" s="11" t="s">
        <v>685</v>
      </c>
      <c r="C242" s="11">
        <v>1862</v>
      </c>
      <c r="D242" s="11" t="s">
        <v>686</v>
      </c>
      <c r="E242" s="11">
        <v>9495316481</v>
      </c>
      <c r="F242" s="11" t="s">
        <v>40</v>
      </c>
      <c r="G242" s="11" t="s">
        <v>687</v>
      </c>
      <c r="H242" s="11">
        <v>18</v>
      </c>
      <c r="I242" s="12">
        <v>43185</v>
      </c>
      <c r="J242" s="2">
        <v>3</v>
      </c>
      <c r="K242" s="11">
        <v>12365115741</v>
      </c>
      <c r="L242" s="11" t="s">
        <v>688</v>
      </c>
      <c r="M242" s="11" t="s">
        <v>27</v>
      </c>
      <c r="N242" s="12">
        <v>43183</v>
      </c>
      <c r="O242" s="12">
        <v>43183</v>
      </c>
      <c r="P242" s="11">
        <v>3</v>
      </c>
      <c r="Q242" s="11" t="s">
        <v>685</v>
      </c>
    </row>
    <row r="243" spans="1:17" ht="13" x14ac:dyDescent="0.15">
      <c r="A243" s="10">
        <v>43185.58561594908</v>
      </c>
      <c r="B243" s="11" t="s">
        <v>50</v>
      </c>
      <c r="C243" s="11">
        <v>730</v>
      </c>
      <c r="D243" s="11" t="s">
        <v>689</v>
      </c>
      <c r="E243" s="11">
        <v>7034322221</v>
      </c>
      <c r="F243" s="11" t="s">
        <v>24</v>
      </c>
      <c r="G243" s="11" t="s">
        <v>369</v>
      </c>
      <c r="H243" s="11">
        <v>38</v>
      </c>
      <c r="I243" s="12">
        <v>43185</v>
      </c>
      <c r="J243" s="2">
        <v>5</v>
      </c>
      <c r="K243" s="11">
        <v>1145253010093</v>
      </c>
      <c r="L243" s="11" t="s">
        <v>690</v>
      </c>
      <c r="M243" s="11" t="s">
        <v>27</v>
      </c>
      <c r="N243" s="12">
        <v>43180</v>
      </c>
      <c r="O243" s="12">
        <v>43180</v>
      </c>
      <c r="P243" s="11">
        <v>5</v>
      </c>
      <c r="Q243" s="11" t="s">
        <v>50</v>
      </c>
    </row>
    <row r="244" spans="1:17" ht="13" hidden="1" x14ac:dyDescent="0.15">
      <c r="A244" s="10">
        <v>43185.631623576388</v>
      </c>
      <c r="B244" s="11" t="s">
        <v>563</v>
      </c>
      <c r="C244" s="11">
        <v>753</v>
      </c>
      <c r="D244" s="11" t="s">
        <v>691</v>
      </c>
      <c r="E244" s="11">
        <v>9061327111</v>
      </c>
      <c r="F244" s="11" t="s">
        <v>287</v>
      </c>
      <c r="G244" s="11" t="s">
        <v>692</v>
      </c>
      <c r="H244" s="11">
        <v>18</v>
      </c>
      <c r="I244" s="12">
        <v>43185</v>
      </c>
      <c r="J244" s="2">
        <v>3</v>
      </c>
      <c r="K244" s="11">
        <v>1166983031937</v>
      </c>
      <c r="L244" s="11" t="s">
        <v>693</v>
      </c>
      <c r="M244" s="11" t="s">
        <v>27</v>
      </c>
      <c r="N244" s="12">
        <v>43183</v>
      </c>
      <c r="O244" s="12">
        <v>43183</v>
      </c>
      <c r="P244" s="11">
        <v>3</v>
      </c>
      <c r="Q244" s="11" t="s">
        <v>563</v>
      </c>
    </row>
    <row r="245" spans="1:17" ht="13" x14ac:dyDescent="0.15">
      <c r="A245" s="10">
        <v>43185.635643252317</v>
      </c>
      <c r="B245" s="11" t="s">
        <v>694</v>
      </c>
      <c r="C245" s="11">
        <v>347</v>
      </c>
      <c r="D245" s="11" t="s">
        <v>695</v>
      </c>
      <c r="E245" s="11">
        <v>9447072171</v>
      </c>
      <c r="F245" s="11" t="s">
        <v>24</v>
      </c>
      <c r="G245" s="11" t="s">
        <v>272</v>
      </c>
      <c r="H245" s="11">
        <v>47</v>
      </c>
      <c r="I245" s="12">
        <v>43185</v>
      </c>
      <c r="J245" s="2">
        <v>5</v>
      </c>
      <c r="K245" s="11">
        <v>1145145010957</v>
      </c>
      <c r="L245" s="11" t="s">
        <v>696</v>
      </c>
      <c r="M245" s="11" t="s">
        <v>27</v>
      </c>
      <c r="N245" s="12">
        <v>43185</v>
      </c>
      <c r="O245" s="12">
        <v>43185</v>
      </c>
      <c r="P245" s="11">
        <v>5</v>
      </c>
      <c r="Q245" s="11" t="s">
        <v>694</v>
      </c>
    </row>
    <row r="246" spans="1:17" ht="13" hidden="1" x14ac:dyDescent="0.15">
      <c r="A246" s="10">
        <v>43185.636531585653</v>
      </c>
      <c r="B246" s="11" t="s">
        <v>563</v>
      </c>
      <c r="C246" s="11">
        <v>492</v>
      </c>
      <c r="D246" s="11" t="s">
        <v>697</v>
      </c>
      <c r="E246" s="11">
        <v>9061327111</v>
      </c>
      <c r="F246" s="11" t="s">
        <v>287</v>
      </c>
      <c r="G246" s="11" t="s">
        <v>692</v>
      </c>
      <c r="H246" s="11">
        <v>18</v>
      </c>
      <c r="I246" s="12">
        <v>43185</v>
      </c>
      <c r="J246" s="2">
        <v>3</v>
      </c>
      <c r="K246" s="11">
        <v>1166460016718</v>
      </c>
      <c r="L246" s="11" t="s">
        <v>698</v>
      </c>
      <c r="M246" s="11" t="s">
        <v>27</v>
      </c>
      <c r="N246" s="12">
        <v>43182</v>
      </c>
      <c r="O246" s="12">
        <v>43182</v>
      </c>
      <c r="P246" s="11">
        <v>3</v>
      </c>
      <c r="Q246" s="11" t="s">
        <v>563</v>
      </c>
    </row>
    <row r="247" spans="1:17" ht="13" hidden="1" x14ac:dyDescent="0.15">
      <c r="A247" s="10">
        <v>43185.640904409724</v>
      </c>
      <c r="B247" s="11" t="s">
        <v>699</v>
      </c>
      <c r="C247" s="11">
        <v>339</v>
      </c>
      <c r="D247" s="11" t="s">
        <v>700</v>
      </c>
      <c r="E247" s="11">
        <v>9947702248</v>
      </c>
      <c r="F247" s="11" t="s">
        <v>56</v>
      </c>
      <c r="G247" s="11" t="s">
        <v>276</v>
      </c>
      <c r="H247" s="11">
        <v>11</v>
      </c>
      <c r="I247" s="12">
        <v>43172</v>
      </c>
      <c r="J247" s="2">
        <v>3</v>
      </c>
      <c r="K247" s="11">
        <v>1156248006063</v>
      </c>
      <c r="L247" s="11" t="s">
        <v>585</v>
      </c>
      <c r="M247" s="11" t="s">
        <v>27</v>
      </c>
      <c r="N247" s="12">
        <v>43148</v>
      </c>
      <c r="O247" s="12">
        <v>43148</v>
      </c>
      <c r="P247" s="11">
        <v>3</v>
      </c>
      <c r="Q247" s="11" t="s">
        <v>699</v>
      </c>
    </row>
    <row r="248" spans="1:17" ht="13" hidden="1" x14ac:dyDescent="0.15">
      <c r="A248" s="10">
        <v>43185.642803113427</v>
      </c>
      <c r="B248" s="11" t="s">
        <v>151</v>
      </c>
      <c r="C248" s="11">
        <v>599</v>
      </c>
      <c r="D248" s="11" t="s">
        <v>702</v>
      </c>
      <c r="E248" s="11">
        <v>7907009190</v>
      </c>
      <c r="F248" s="11" t="s">
        <v>35</v>
      </c>
      <c r="G248" s="11" t="s">
        <v>157</v>
      </c>
      <c r="H248" s="11">
        <v>42</v>
      </c>
      <c r="I248" s="12">
        <v>43185</v>
      </c>
      <c r="J248" s="2">
        <v>3</v>
      </c>
      <c r="K248" s="11">
        <v>1155983003825</v>
      </c>
      <c r="L248" s="11" t="s">
        <v>703</v>
      </c>
      <c r="M248" s="11" t="s">
        <v>27</v>
      </c>
      <c r="N248" s="12">
        <v>43173</v>
      </c>
      <c r="O248" s="12">
        <v>43173</v>
      </c>
      <c r="P248" s="11">
        <v>3</v>
      </c>
      <c r="Q248" s="11" t="s">
        <v>151</v>
      </c>
    </row>
    <row r="249" spans="1:17" ht="13" hidden="1" x14ac:dyDescent="0.15">
      <c r="A249" s="10">
        <v>43185.645419374996</v>
      </c>
      <c r="B249" s="11" t="s">
        <v>151</v>
      </c>
      <c r="C249" s="11">
        <v>635</v>
      </c>
      <c r="D249" s="11" t="s">
        <v>704</v>
      </c>
      <c r="E249" s="11">
        <v>7907009190</v>
      </c>
      <c r="F249" s="11" t="s">
        <v>35</v>
      </c>
      <c r="G249" s="11" t="s">
        <v>157</v>
      </c>
      <c r="H249" s="11">
        <v>42</v>
      </c>
      <c r="I249" s="12">
        <v>43185</v>
      </c>
      <c r="J249" s="2">
        <v>5</v>
      </c>
      <c r="K249" s="11">
        <v>1155958010802</v>
      </c>
      <c r="L249" s="11" t="s">
        <v>705</v>
      </c>
      <c r="M249" s="11" t="s">
        <v>27</v>
      </c>
      <c r="N249" s="12">
        <v>43159</v>
      </c>
      <c r="O249" s="12">
        <v>43159</v>
      </c>
      <c r="P249" s="11">
        <v>5</v>
      </c>
      <c r="Q249" s="11" t="s">
        <v>151</v>
      </c>
    </row>
    <row r="250" spans="1:17" ht="13" hidden="1" x14ac:dyDescent="0.15">
      <c r="A250" s="10">
        <v>43185.646667696754</v>
      </c>
      <c r="B250" s="11" t="s">
        <v>706</v>
      </c>
      <c r="C250" s="11">
        <v>710</v>
      </c>
      <c r="D250" s="11" t="s">
        <v>707</v>
      </c>
      <c r="E250" s="11">
        <v>9562233099</v>
      </c>
      <c r="F250" s="11" t="s">
        <v>56</v>
      </c>
      <c r="G250" s="11" t="s">
        <v>134</v>
      </c>
      <c r="H250" s="11">
        <v>47</v>
      </c>
      <c r="I250" s="12">
        <v>43185</v>
      </c>
      <c r="J250" s="2">
        <v>10</v>
      </c>
      <c r="K250" s="11">
        <v>1146480011540</v>
      </c>
      <c r="L250" s="11" t="s">
        <v>708</v>
      </c>
      <c r="M250" s="11" t="s">
        <v>27</v>
      </c>
      <c r="N250" s="12">
        <v>42898</v>
      </c>
      <c r="O250" s="12">
        <v>42898</v>
      </c>
      <c r="P250" s="11">
        <v>10</v>
      </c>
      <c r="Q250" s="11" t="s">
        <v>706</v>
      </c>
    </row>
    <row r="251" spans="1:17" ht="13" hidden="1" x14ac:dyDescent="0.15">
      <c r="A251" s="10">
        <v>43185.655734189815</v>
      </c>
      <c r="B251" s="11" t="s">
        <v>709</v>
      </c>
      <c r="C251" s="11">
        <v>244</v>
      </c>
      <c r="D251" s="11" t="s">
        <v>710</v>
      </c>
      <c r="E251" s="11">
        <v>9495336654</v>
      </c>
      <c r="F251" s="11" t="s">
        <v>73</v>
      </c>
      <c r="G251" s="11" t="s">
        <v>711</v>
      </c>
      <c r="H251" s="11">
        <v>41</v>
      </c>
      <c r="I251" s="12">
        <v>43182</v>
      </c>
      <c r="J251" s="2">
        <v>5</v>
      </c>
      <c r="K251" s="11">
        <v>1146830013300</v>
      </c>
      <c r="L251" s="11" t="s">
        <v>712</v>
      </c>
      <c r="M251" s="11" t="s">
        <v>27</v>
      </c>
      <c r="N251" s="12">
        <v>43103</v>
      </c>
      <c r="O251" s="12">
        <v>43103</v>
      </c>
      <c r="P251" s="11">
        <v>5</v>
      </c>
      <c r="Q251" s="11" t="s">
        <v>709</v>
      </c>
    </row>
    <row r="252" spans="1:17" ht="13" hidden="1" x14ac:dyDescent="0.15">
      <c r="A252" s="10">
        <v>43185.690613668979</v>
      </c>
      <c r="B252" s="11" t="s">
        <v>713</v>
      </c>
      <c r="C252" s="11">
        <v>79</v>
      </c>
      <c r="D252" s="11" t="s">
        <v>714</v>
      </c>
      <c r="E252" s="11">
        <v>9447015741</v>
      </c>
      <c r="F252" s="11" t="s">
        <v>46</v>
      </c>
      <c r="G252" s="11" t="s">
        <v>178</v>
      </c>
      <c r="H252" s="11">
        <v>14</v>
      </c>
      <c r="I252" s="12">
        <v>43183</v>
      </c>
      <c r="J252" s="2">
        <v>20</v>
      </c>
      <c r="K252" s="11">
        <v>1165171003962</v>
      </c>
      <c r="L252" s="11" t="s">
        <v>715</v>
      </c>
      <c r="M252" s="11" t="s">
        <v>27</v>
      </c>
      <c r="N252" s="12">
        <v>43164</v>
      </c>
      <c r="O252" s="12">
        <v>43164</v>
      </c>
      <c r="P252" s="11">
        <v>20</v>
      </c>
      <c r="Q252" s="11" t="s">
        <v>713</v>
      </c>
    </row>
    <row r="253" spans="1:17" ht="13" x14ac:dyDescent="0.15">
      <c r="A253" s="10">
        <v>43185.730856469905</v>
      </c>
      <c r="B253" s="11" t="s">
        <v>227</v>
      </c>
      <c r="C253" s="11">
        <v>249</v>
      </c>
      <c r="D253" s="11" t="s">
        <v>716</v>
      </c>
      <c r="E253" s="11">
        <v>8137874406</v>
      </c>
      <c r="F253" s="11" t="s">
        <v>24</v>
      </c>
      <c r="G253" s="11" t="s">
        <v>157</v>
      </c>
      <c r="H253" s="11">
        <v>42</v>
      </c>
      <c r="I253" s="12">
        <v>43149</v>
      </c>
      <c r="J253" s="2">
        <v>3</v>
      </c>
      <c r="K253" s="11">
        <v>1146768012036</v>
      </c>
      <c r="L253" s="11" t="s">
        <v>718</v>
      </c>
      <c r="M253" s="11" t="s">
        <v>27</v>
      </c>
      <c r="N253" s="12">
        <v>43094</v>
      </c>
      <c r="O253" s="12">
        <v>43094</v>
      </c>
      <c r="P253" s="11">
        <v>3</v>
      </c>
      <c r="Q253" s="11" t="s">
        <v>227</v>
      </c>
    </row>
    <row r="254" spans="1:17" ht="13" hidden="1" x14ac:dyDescent="0.15">
      <c r="A254" s="10">
        <v>43186.434131400463</v>
      </c>
      <c r="B254" s="11" t="s">
        <v>142</v>
      </c>
      <c r="C254" s="11">
        <v>254</v>
      </c>
      <c r="D254" s="11" t="s">
        <v>719</v>
      </c>
      <c r="E254" s="11">
        <v>9526991113</v>
      </c>
      <c r="F254" s="11" t="s">
        <v>35</v>
      </c>
      <c r="G254" s="11" t="s">
        <v>36</v>
      </c>
      <c r="H254" s="11">
        <v>20</v>
      </c>
      <c r="I254" s="12">
        <v>43160</v>
      </c>
      <c r="J254" s="2">
        <v>5</v>
      </c>
      <c r="K254" s="11">
        <v>1155490002911</v>
      </c>
      <c r="L254" s="11">
        <v>5549</v>
      </c>
      <c r="M254" s="11" t="s">
        <v>27</v>
      </c>
      <c r="N254" s="12">
        <v>43183</v>
      </c>
      <c r="O254" s="12">
        <v>43183</v>
      </c>
      <c r="P254" s="11">
        <v>5</v>
      </c>
      <c r="Q254" s="11" t="s">
        <v>142</v>
      </c>
    </row>
    <row r="255" spans="1:17" ht="13" hidden="1" x14ac:dyDescent="0.15">
      <c r="A255" s="10">
        <v>43186.559605960647</v>
      </c>
      <c r="B255" s="11" t="s">
        <v>720</v>
      </c>
      <c r="C255" s="11">
        <v>410</v>
      </c>
      <c r="D255" s="11" t="s">
        <v>721</v>
      </c>
      <c r="E255" s="11">
        <v>9995395129</v>
      </c>
      <c r="F255" s="11" t="s">
        <v>35</v>
      </c>
      <c r="G255" s="11" t="s">
        <v>722</v>
      </c>
      <c r="H255" s="11">
        <v>41</v>
      </c>
      <c r="I255" s="12">
        <v>43183</v>
      </c>
      <c r="J255" s="2">
        <v>2</v>
      </c>
      <c r="K255" s="11">
        <v>1156044015374</v>
      </c>
      <c r="L255" s="11" t="s">
        <v>723</v>
      </c>
      <c r="M255" s="11" t="s">
        <v>27</v>
      </c>
      <c r="N255" s="12">
        <v>43186</v>
      </c>
      <c r="O255" s="12">
        <v>43186</v>
      </c>
      <c r="P255" s="11">
        <v>2</v>
      </c>
      <c r="Q255" s="11" t="s">
        <v>720</v>
      </c>
    </row>
    <row r="256" spans="1:17" ht="13" hidden="1" x14ac:dyDescent="0.15">
      <c r="A256" s="10">
        <v>43186.681747256946</v>
      </c>
      <c r="B256" s="11" t="s">
        <v>724</v>
      </c>
      <c r="C256" s="11">
        <v>756</v>
      </c>
      <c r="D256" s="11" t="s">
        <v>725</v>
      </c>
      <c r="E256" s="11">
        <v>9995022921</v>
      </c>
      <c r="F256" s="11" t="s">
        <v>35</v>
      </c>
      <c r="G256" s="11" t="s">
        <v>488</v>
      </c>
      <c r="H256" s="11">
        <v>22</v>
      </c>
      <c r="I256" s="12">
        <v>43183</v>
      </c>
      <c r="J256" s="2">
        <v>10</v>
      </c>
      <c r="K256" s="11">
        <v>1155791011607</v>
      </c>
      <c r="L256" s="11">
        <v>5579</v>
      </c>
      <c r="M256" s="11" t="s">
        <v>27</v>
      </c>
      <c r="N256" s="12">
        <v>43180</v>
      </c>
      <c r="O256" s="12">
        <v>43180</v>
      </c>
      <c r="P256" s="11">
        <v>10</v>
      </c>
      <c r="Q256" s="11" t="s">
        <v>724</v>
      </c>
    </row>
    <row r="257" spans="1:17" ht="13" hidden="1" x14ac:dyDescent="0.15">
      <c r="A257" s="10">
        <v>43186.822854826387</v>
      </c>
      <c r="B257" s="11" t="s">
        <v>726</v>
      </c>
      <c r="C257" s="11">
        <v>466</v>
      </c>
      <c r="D257" s="11" t="s">
        <v>727</v>
      </c>
      <c r="E257" s="11">
        <v>9446487084</v>
      </c>
      <c r="F257" s="11" t="s">
        <v>35</v>
      </c>
      <c r="G257" s="11" t="s">
        <v>509</v>
      </c>
      <c r="H257" s="11">
        <v>12</v>
      </c>
      <c r="I257" s="12">
        <v>43184</v>
      </c>
      <c r="J257" s="2">
        <v>2</v>
      </c>
      <c r="K257" s="11">
        <v>1155677011163</v>
      </c>
      <c r="L257" s="11" t="s">
        <v>728</v>
      </c>
      <c r="M257" s="11" t="s">
        <v>27</v>
      </c>
      <c r="N257" s="12">
        <v>43182</v>
      </c>
      <c r="O257" s="12">
        <v>43182</v>
      </c>
      <c r="P257" s="11">
        <v>2</v>
      </c>
      <c r="Q257" s="11" t="s">
        <v>726</v>
      </c>
    </row>
    <row r="258" spans="1:17" ht="13" x14ac:dyDescent="0.15">
      <c r="A258" s="10">
        <v>43187.411990428242</v>
      </c>
      <c r="B258" s="11" t="s">
        <v>729</v>
      </c>
      <c r="C258" s="11">
        <v>318</v>
      </c>
      <c r="D258" s="11" t="s">
        <v>730</v>
      </c>
      <c r="E258" s="11">
        <v>9447009364</v>
      </c>
      <c r="F258" s="11" t="s">
        <v>24</v>
      </c>
      <c r="G258" s="11" t="s">
        <v>36</v>
      </c>
      <c r="H258" s="11">
        <v>20</v>
      </c>
      <c r="I258" s="12">
        <v>43154</v>
      </c>
      <c r="J258" s="2">
        <v>3</v>
      </c>
      <c r="K258" s="11">
        <v>1145170010461</v>
      </c>
      <c r="L258" s="11" t="s">
        <v>381</v>
      </c>
      <c r="M258" s="11" t="s">
        <v>27</v>
      </c>
      <c r="N258" s="12">
        <v>43143</v>
      </c>
      <c r="O258" s="12">
        <v>43143</v>
      </c>
      <c r="P258" s="11">
        <v>3</v>
      </c>
      <c r="Q258" s="11" t="s">
        <v>729</v>
      </c>
    </row>
    <row r="259" spans="1:17" ht="13" x14ac:dyDescent="0.15">
      <c r="A259" s="10">
        <v>43187.41932325231</v>
      </c>
      <c r="B259" s="11" t="s">
        <v>625</v>
      </c>
      <c r="C259" s="11">
        <v>37</v>
      </c>
      <c r="D259" s="11" t="s">
        <v>731</v>
      </c>
      <c r="E259" s="11">
        <v>9446368125</v>
      </c>
      <c r="F259" s="11" t="s">
        <v>24</v>
      </c>
      <c r="G259" s="11" t="s">
        <v>36</v>
      </c>
      <c r="H259" s="11">
        <v>20</v>
      </c>
      <c r="I259" s="12">
        <v>43145</v>
      </c>
      <c r="J259" s="2">
        <v>2</v>
      </c>
      <c r="K259" s="11">
        <v>1145060005572</v>
      </c>
      <c r="L259" s="11" t="s">
        <v>331</v>
      </c>
      <c r="M259" s="11" t="s">
        <v>27</v>
      </c>
      <c r="N259" s="12">
        <v>43131</v>
      </c>
      <c r="O259" s="12">
        <v>43131</v>
      </c>
      <c r="P259" s="11">
        <v>2</v>
      </c>
      <c r="Q259" s="11" t="s">
        <v>625</v>
      </c>
    </row>
    <row r="260" spans="1:17" ht="13" x14ac:dyDescent="0.15">
      <c r="A260" s="10">
        <v>43187.440452673611</v>
      </c>
      <c r="B260" s="11" t="s">
        <v>732</v>
      </c>
      <c r="C260" s="11">
        <v>157</v>
      </c>
      <c r="D260" s="11" t="s">
        <v>733</v>
      </c>
      <c r="E260" s="11">
        <v>9845999981</v>
      </c>
      <c r="F260" s="11" t="s">
        <v>24</v>
      </c>
      <c r="G260" s="11" t="s">
        <v>36</v>
      </c>
      <c r="H260" s="11">
        <v>20</v>
      </c>
      <c r="I260" s="12">
        <v>43151</v>
      </c>
      <c r="J260" s="2">
        <v>5</v>
      </c>
      <c r="K260" s="11">
        <v>1146917000400</v>
      </c>
      <c r="L260" s="11" t="s">
        <v>735</v>
      </c>
      <c r="M260" s="11" t="s">
        <v>27</v>
      </c>
      <c r="N260" s="12">
        <v>43154</v>
      </c>
      <c r="O260" s="12">
        <v>43154</v>
      </c>
      <c r="P260" s="11">
        <v>5</v>
      </c>
      <c r="Q260" s="11" t="s">
        <v>732</v>
      </c>
    </row>
    <row r="261" spans="1:17" ht="13" x14ac:dyDescent="0.15">
      <c r="A261" s="10">
        <v>43187.446670844904</v>
      </c>
      <c r="B261" s="11" t="s">
        <v>736</v>
      </c>
      <c r="C261" s="11">
        <v>111</v>
      </c>
      <c r="D261" s="11" t="s">
        <v>628</v>
      </c>
      <c r="E261" s="11">
        <v>9961177456</v>
      </c>
      <c r="F261" s="11" t="s">
        <v>24</v>
      </c>
      <c r="G261" s="11" t="s">
        <v>36</v>
      </c>
      <c r="H261" s="11">
        <v>20</v>
      </c>
      <c r="I261" s="12">
        <v>43146</v>
      </c>
      <c r="J261" s="2">
        <v>3</v>
      </c>
      <c r="K261" s="11">
        <v>1145119004639</v>
      </c>
      <c r="L261" s="11" t="s">
        <v>627</v>
      </c>
      <c r="M261" s="11" t="s">
        <v>27</v>
      </c>
      <c r="N261" s="12">
        <v>43140</v>
      </c>
      <c r="O261" s="12">
        <v>43140</v>
      </c>
      <c r="P261" s="11">
        <v>3</v>
      </c>
      <c r="Q261" s="11" t="s">
        <v>736</v>
      </c>
    </row>
    <row r="262" spans="1:17" ht="13" x14ac:dyDescent="0.15">
      <c r="A262" s="10">
        <v>43187.452914664347</v>
      </c>
      <c r="B262" s="11" t="s">
        <v>737</v>
      </c>
      <c r="C262" s="11">
        <v>60</v>
      </c>
      <c r="D262" s="11" t="s">
        <v>738</v>
      </c>
      <c r="E262" s="11">
        <v>9447270860</v>
      </c>
      <c r="F262" s="11" t="s">
        <v>24</v>
      </c>
      <c r="G262" s="11" t="s">
        <v>36</v>
      </c>
      <c r="H262" s="11">
        <v>20</v>
      </c>
      <c r="I262" s="12">
        <v>43146</v>
      </c>
      <c r="J262" s="2">
        <v>5</v>
      </c>
      <c r="K262" s="11">
        <v>1145164004112</v>
      </c>
      <c r="L262" s="11" t="s">
        <v>375</v>
      </c>
      <c r="M262" s="11" t="s">
        <v>27</v>
      </c>
      <c r="N262" s="12">
        <v>43173</v>
      </c>
      <c r="O262" s="12">
        <v>43173</v>
      </c>
      <c r="P262" s="11">
        <v>5</v>
      </c>
      <c r="Q262" s="11" t="s">
        <v>737</v>
      </c>
    </row>
    <row r="263" spans="1:17" ht="13" x14ac:dyDescent="0.15">
      <c r="A263" s="10">
        <v>43187.463672523147</v>
      </c>
      <c r="B263" s="11" t="s">
        <v>739</v>
      </c>
      <c r="C263" s="11">
        <v>319</v>
      </c>
      <c r="D263" s="11" t="s">
        <v>740</v>
      </c>
      <c r="E263" s="11">
        <v>9388581182</v>
      </c>
      <c r="F263" s="11" t="s">
        <v>24</v>
      </c>
      <c r="G263" s="11" t="s">
        <v>36</v>
      </c>
      <c r="H263" s="11">
        <v>20</v>
      </c>
      <c r="I263" s="12">
        <v>43157</v>
      </c>
      <c r="J263" s="2">
        <v>3</v>
      </c>
      <c r="K263" s="11">
        <v>1145179003188</v>
      </c>
      <c r="L263" s="11" t="s">
        <v>741</v>
      </c>
      <c r="M263" s="11" t="s">
        <v>27</v>
      </c>
      <c r="N263" s="12">
        <v>43151</v>
      </c>
      <c r="O263" s="12">
        <v>43151</v>
      </c>
      <c r="P263" s="11">
        <v>3</v>
      </c>
      <c r="Q263" s="11" t="s">
        <v>739</v>
      </c>
    </row>
    <row r="264" spans="1:17" ht="13" hidden="1" x14ac:dyDescent="0.15">
      <c r="A264" s="10">
        <v>43187.466920995372</v>
      </c>
      <c r="B264" s="11" t="s">
        <v>742</v>
      </c>
      <c r="C264" s="11">
        <v>500</v>
      </c>
      <c r="D264" s="11" t="s">
        <v>743</v>
      </c>
      <c r="E264" s="11">
        <v>7907041878</v>
      </c>
      <c r="F264" s="11" t="s">
        <v>30</v>
      </c>
      <c r="G264" s="11" t="s">
        <v>744</v>
      </c>
      <c r="H264" s="11">
        <v>26</v>
      </c>
      <c r="I264" s="12">
        <v>43178</v>
      </c>
      <c r="J264" s="2">
        <v>3</v>
      </c>
      <c r="K264" s="11">
        <v>2156731700216</v>
      </c>
      <c r="L264" s="11" t="s">
        <v>745</v>
      </c>
      <c r="M264" s="11" t="s">
        <v>27</v>
      </c>
      <c r="N264" s="12">
        <v>43179</v>
      </c>
      <c r="O264" s="12">
        <v>43179</v>
      </c>
      <c r="P264" s="11">
        <v>33</v>
      </c>
      <c r="Q264" s="11" t="s">
        <v>436</v>
      </c>
    </row>
    <row r="265" spans="1:17" ht="13" x14ac:dyDescent="0.15">
      <c r="A265" s="10">
        <v>43187.489950416668</v>
      </c>
      <c r="B265" s="11" t="s">
        <v>746</v>
      </c>
      <c r="C265" s="11">
        <v>243</v>
      </c>
      <c r="D265" s="11" t="s">
        <v>747</v>
      </c>
      <c r="E265" s="11">
        <v>9400732197</v>
      </c>
      <c r="F265" s="11" t="s">
        <v>24</v>
      </c>
      <c r="G265" s="11" t="s">
        <v>36</v>
      </c>
      <c r="H265" s="11">
        <v>20</v>
      </c>
      <c r="I265" s="12">
        <v>43160</v>
      </c>
      <c r="J265" s="2">
        <v>3</v>
      </c>
      <c r="K265" s="11">
        <v>1146765002099</v>
      </c>
      <c r="L265" s="11" t="s">
        <v>748</v>
      </c>
      <c r="M265" s="11" t="s">
        <v>27</v>
      </c>
      <c r="N265" s="12">
        <v>43150</v>
      </c>
      <c r="O265" s="12">
        <v>43150</v>
      </c>
      <c r="P265" s="11">
        <v>3</v>
      </c>
      <c r="Q265" s="11" t="s">
        <v>746</v>
      </c>
    </row>
    <row r="266" spans="1:17" ht="13" x14ac:dyDescent="0.15">
      <c r="A266" s="10">
        <v>43187.4938296412</v>
      </c>
      <c r="B266" s="11" t="s">
        <v>749</v>
      </c>
      <c r="C266" s="11">
        <v>353</v>
      </c>
      <c r="D266" s="11" t="s">
        <v>750</v>
      </c>
      <c r="E266" s="11">
        <v>9633154618</v>
      </c>
      <c r="F266" s="11" t="s">
        <v>24</v>
      </c>
      <c r="G266" s="11" t="s">
        <v>36</v>
      </c>
      <c r="H266" s="11">
        <v>20</v>
      </c>
      <c r="I266" s="12">
        <v>43162</v>
      </c>
      <c r="J266" s="2">
        <v>2</v>
      </c>
      <c r="K266" s="11">
        <v>1145217025351</v>
      </c>
      <c r="L266" s="11" t="s">
        <v>751</v>
      </c>
      <c r="M266" s="11" t="s">
        <v>27</v>
      </c>
      <c r="N266" s="12">
        <v>43176</v>
      </c>
      <c r="O266" s="12">
        <v>43173</v>
      </c>
      <c r="P266" s="11">
        <v>2</v>
      </c>
      <c r="Q266" s="11" t="s">
        <v>749</v>
      </c>
    </row>
    <row r="267" spans="1:17" ht="13" x14ac:dyDescent="0.15">
      <c r="A267" s="10">
        <v>43187.534776238426</v>
      </c>
      <c r="B267" s="11" t="s">
        <v>625</v>
      </c>
      <c r="C267" s="11">
        <v>153</v>
      </c>
      <c r="D267" s="11" t="s">
        <v>752</v>
      </c>
      <c r="E267" s="11">
        <v>9961003336</v>
      </c>
      <c r="F267" s="11" t="s">
        <v>24</v>
      </c>
      <c r="G267" s="11" t="s">
        <v>36</v>
      </c>
      <c r="H267" s="11">
        <v>20</v>
      </c>
      <c r="I267" s="12">
        <v>43161</v>
      </c>
      <c r="J267" s="2">
        <v>3</v>
      </c>
      <c r="K267" s="11">
        <v>1145069003477</v>
      </c>
      <c r="L267" s="11" t="s">
        <v>331</v>
      </c>
      <c r="M267" s="11" t="s">
        <v>27</v>
      </c>
      <c r="N267" s="12">
        <v>43147</v>
      </c>
      <c r="O267" s="12">
        <v>43147</v>
      </c>
      <c r="P267" s="11">
        <v>3</v>
      </c>
      <c r="Q267" s="11" t="s">
        <v>625</v>
      </c>
    </row>
    <row r="268" spans="1:17" ht="13" x14ac:dyDescent="0.15">
      <c r="A268" s="10">
        <v>43187.54135078704</v>
      </c>
      <c r="B268" s="11" t="s">
        <v>754</v>
      </c>
      <c r="C268" s="11">
        <v>33</v>
      </c>
      <c r="D268" s="11" t="s">
        <v>755</v>
      </c>
      <c r="E268" s="11">
        <v>9447047320</v>
      </c>
      <c r="F268" s="11" t="s">
        <v>24</v>
      </c>
      <c r="G268" s="11" t="s">
        <v>36</v>
      </c>
      <c r="H268" s="11">
        <v>20</v>
      </c>
      <c r="I268" s="12">
        <v>43167</v>
      </c>
      <c r="J268" s="2">
        <v>3</v>
      </c>
      <c r="K268" s="11">
        <v>1145041010222</v>
      </c>
      <c r="L268" s="11" t="s">
        <v>756</v>
      </c>
      <c r="M268" s="11" t="s">
        <v>27</v>
      </c>
      <c r="N268" s="12">
        <v>43162</v>
      </c>
      <c r="O268" s="12">
        <v>43162</v>
      </c>
      <c r="P268" s="11">
        <v>3</v>
      </c>
      <c r="Q268" s="11" t="s">
        <v>754</v>
      </c>
    </row>
    <row r="269" spans="1:17" ht="13" x14ac:dyDescent="0.15">
      <c r="A269" s="10">
        <v>43187.547892175928</v>
      </c>
      <c r="B269" s="11" t="s">
        <v>757</v>
      </c>
      <c r="C269" s="11">
        <v>309</v>
      </c>
      <c r="D269" s="11" t="s">
        <v>758</v>
      </c>
      <c r="E269" s="11">
        <v>9447862736</v>
      </c>
      <c r="F269" s="11" t="s">
        <v>24</v>
      </c>
      <c r="G269" s="11" t="s">
        <v>36</v>
      </c>
      <c r="H269" s="11">
        <v>20</v>
      </c>
      <c r="I269" s="12">
        <v>43171</v>
      </c>
      <c r="J269" s="2">
        <v>3</v>
      </c>
      <c r="K269" s="11">
        <v>1145171011186</v>
      </c>
      <c r="L269" s="11" t="s">
        <v>381</v>
      </c>
      <c r="M269" s="11" t="s">
        <v>27</v>
      </c>
      <c r="N269" s="12">
        <v>43152</v>
      </c>
      <c r="O269" s="12">
        <v>43152</v>
      </c>
      <c r="P269" s="11">
        <v>3</v>
      </c>
      <c r="Q269" s="11" t="s">
        <v>757</v>
      </c>
    </row>
    <row r="270" spans="1:17" ht="13" x14ac:dyDescent="0.15">
      <c r="A270" s="10">
        <v>43187.553559398148</v>
      </c>
      <c r="B270" s="11" t="s">
        <v>759</v>
      </c>
      <c r="C270" s="11">
        <v>126</v>
      </c>
      <c r="D270" s="11" t="s">
        <v>760</v>
      </c>
      <c r="E270" s="11">
        <v>9496587592</v>
      </c>
      <c r="F270" s="11" t="s">
        <v>24</v>
      </c>
      <c r="G270" s="11" t="s">
        <v>36</v>
      </c>
      <c r="H270" s="11">
        <v>20</v>
      </c>
      <c r="I270" s="12">
        <v>43171</v>
      </c>
      <c r="J270" s="2">
        <v>5</v>
      </c>
      <c r="K270" s="11">
        <v>1145199012954</v>
      </c>
      <c r="L270" s="11" t="s">
        <v>26</v>
      </c>
      <c r="M270" s="11" t="s">
        <v>27</v>
      </c>
      <c r="N270" s="12">
        <v>43158</v>
      </c>
      <c r="O270" s="12">
        <v>43158</v>
      </c>
      <c r="P270" s="11">
        <v>5</v>
      </c>
      <c r="Q270" s="11" t="s">
        <v>759</v>
      </c>
    </row>
    <row r="271" spans="1:17" ht="13" x14ac:dyDescent="0.15">
      <c r="A271" s="10">
        <v>43187.56692986111</v>
      </c>
      <c r="B271" s="11" t="s">
        <v>761</v>
      </c>
      <c r="C271" s="11">
        <v>583</v>
      </c>
      <c r="D271" s="11" t="s">
        <v>762</v>
      </c>
      <c r="E271" s="11">
        <v>9495517221</v>
      </c>
      <c r="F271" s="11" t="s">
        <v>24</v>
      </c>
      <c r="G271" s="11" t="s">
        <v>36</v>
      </c>
      <c r="H271" s="11">
        <v>20</v>
      </c>
      <c r="I271" s="12">
        <v>43183</v>
      </c>
      <c r="J271" s="2">
        <v>5</v>
      </c>
      <c r="K271" s="11">
        <v>1145320025243</v>
      </c>
      <c r="L271" s="11" t="s">
        <v>763</v>
      </c>
      <c r="M271" s="11" t="s">
        <v>27</v>
      </c>
      <c r="N271" s="12">
        <v>43176</v>
      </c>
      <c r="O271" s="12">
        <v>43176</v>
      </c>
      <c r="P271" s="11">
        <v>5</v>
      </c>
      <c r="Q271" s="11" t="s">
        <v>761</v>
      </c>
    </row>
    <row r="272" spans="1:17" ht="13" x14ac:dyDescent="0.15">
      <c r="A272" s="10">
        <v>43187.57096125</v>
      </c>
      <c r="B272" s="11" t="s">
        <v>764</v>
      </c>
      <c r="C272" s="11">
        <v>537</v>
      </c>
      <c r="D272" s="11" t="s">
        <v>765</v>
      </c>
      <c r="E272" s="11">
        <v>9447699915</v>
      </c>
      <c r="F272" s="11" t="s">
        <v>24</v>
      </c>
      <c r="G272" s="11" t="s">
        <v>36</v>
      </c>
      <c r="H272" s="11">
        <v>20</v>
      </c>
      <c r="I272" s="12">
        <v>43172</v>
      </c>
      <c r="J272" s="2">
        <v>3</v>
      </c>
      <c r="K272" s="11">
        <v>1145068011689</v>
      </c>
      <c r="L272" s="11" t="s">
        <v>331</v>
      </c>
      <c r="M272" s="11" t="s">
        <v>27</v>
      </c>
      <c r="N272" s="12">
        <v>43166</v>
      </c>
      <c r="O272" s="12">
        <v>43166</v>
      </c>
      <c r="P272" s="11">
        <v>3</v>
      </c>
      <c r="Q272" s="11" t="s">
        <v>764</v>
      </c>
    </row>
    <row r="273" spans="1:17" ht="13" x14ac:dyDescent="0.15">
      <c r="A273" s="10">
        <v>43187.585051724542</v>
      </c>
      <c r="B273" s="11" t="s">
        <v>766</v>
      </c>
      <c r="C273" s="11">
        <v>222</v>
      </c>
      <c r="D273" s="11" t="s">
        <v>767</v>
      </c>
      <c r="E273" s="11">
        <v>7025093344</v>
      </c>
      <c r="F273" s="11" t="s">
        <v>24</v>
      </c>
      <c r="G273" s="11" t="s">
        <v>36</v>
      </c>
      <c r="H273" s="11">
        <v>20</v>
      </c>
      <c r="I273" s="12">
        <v>43172</v>
      </c>
      <c r="J273" s="2">
        <v>5</v>
      </c>
      <c r="K273" s="11">
        <v>1145198019789</v>
      </c>
      <c r="L273" s="11" t="s">
        <v>26</v>
      </c>
      <c r="M273" s="11" t="s">
        <v>27</v>
      </c>
      <c r="N273" s="12">
        <v>43173</v>
      </c>
      <c r="O273" s="12">
        <v>43173</v>
      </c>
      <c r="P273" s="11">
        <v>5</v>
      </c>
      <c r="Q273" s="11" t="s">
        <v>766</v>
      </c>
    </row>
    <row r="274" spans="1:17" ht="13" x14ac:dyDescent="0.15">
      <c r="A274" s="10">
        <v>43187.58840173611</v>
      </c>
      <c r="B274" s="11" t="s">
        <v>768</v>
      </c>
      <c r="C274" s="11">
        <v>200</v>
      </c>
      <c r="D274" s="11" t="s">
        <v>770</v>
      </c>
      <c r="E274" s="11">
        <v>9447011018</v>
      </c>
      <c r="F274" s="11" t="s">
        <v>24</v>
      </c>
      <c r="G274" s="11" t="s">
        <v>36</v>
      </c>
      <c r="H274" s="11">
        <v>20</v>
      </c>
      <c r="I274" s="12">
        <v>43162</v>
      </c>
      <c r="J274" s="2">
        <v>3</v>
      </c>
      <c r="K274" s="11">
        <v>1145168012712</v>
      </c>
      <c r="L274" s="11" t="s">
        <v>375</v>
      </c>
      <c r="M274" s="11" t="s">
        <v>27</v>
      </c>
      <c r="N274" s="12">
        <v>43159</v>
      </c>
      <c r="O274" s="12">
        <v>43159</v>
      </c>
      <c r="P274" s="11">
        <v>3</v>
      </c>
      <c r="Q274" s="11" t="s">
        <v>768</v>
      </c>
    </row>
    <row r="275" spans="1:17" ht="13" hidden="1" x14ac:dyDescent="0.15">
      <c r="A275" s="10">
        <v>43187.595636018523</v>
      </c>
      <c r="B275" s="11" t="s">
        <v>469</v>
      </c>
      <c r="C275" s="11">
        <v>495</v>
      </c>
      <c r="D275" s="11" t="s">
        <v>771</v>
      </c>
      <c r="E275" s="11">
        <v>9388155155</v>
      </c>
      <c r="F275" s="11" t="s">
        <v>30</v>
      </c>
      <c r="G275" s="11" t="s">
        <v>772</v>
      </c>
      <c r="H275" s="11">
        <v>48</v>
      </c>
      <c r="I275" s="12">
        <v>43187</v>
      </c>
      <c r="J275" s="2">
        <v>5</v>
      </c>
      <c r="K275" s="11">
        <v>1156722023095</v>
      </c>
      <c r="L275" s="11" t="s">
        <v>773</v>
      </c>
      <c r="M275" s="11" t="s">
        <v>27</v>
      </c>
      <c r="N275" s="12">
        <v>43175</v>
      </c>
      <c r="O275" s="12">
        <v>43175</v>
      </c>
      <c r="P275" s="11">
        <v>5</v>
      </c>
      <c r="Q275" s="11" t="s">
        <v>469</v>
      </c>
    </row>
    <row r="276" spans="1:17" ht="13" x14ac:dyDescent="0.15">
      <c r="A276" s="10">
        <v>43187.596093101849</v>
      </c>
      <c r="B276" s="11" t="s">
        <v>774</v>
      </c>
      <c r="C276" s="11">
        <v>594</v>
      </c>
      <c r="D276" s="11" t="s">
        <v>775</v>
      </c>
      <c r="E276" s="11">
        <v>9995861996</v>
      </c>
      <c r="F276" s="11" t="s">
        <v>24</v>
      </c>
      <c r="G276" s="11" t="s">
        <v>36</v>
      </c>
      <c r="H276" s="11">
        <v>20</v>
      </c>
      <c r="I276" s="12">
        <v>43173</v>
      </c>
      <c r="J276" s="2">
        <v>3</v>
      </c>
      <c r="K276" s="11">
        <v>1145144013526</v>
      </c>
      <c r="L276" s="11" t="s">
        <v>462</v>
      </c>
      <c r="M276" s="11" t="s">
        <v>27</v>
      </c>
      <c r="N276" s="12">
        <v>43181</v>
      </c>
      <c r="O276" s="12">
        <v>43181</v>
      </c>
      <c r="P276" s="11">
        <v>3</v>
      </c>
      <c r="Q276" s="11" t="s">
        <v>774</v>
      </c>
    </row>
    <row r="277" spans="1:17" ht="13" x14ac:dyDescent="0.15">
      <c r="A277" s="10">
        <v>43187.602855624995</v>
      </c>
      <c r="B277" s="11" t="s">
        <v>776</v>
      </c>
      <c r="C277" s="11">
        <v>375</v>
      </c>
      <c r="D277" s="11" t="s">
        <v>777</v>
      </c>
      <c r="E277" s="11">
        <v>9446500107</v>
      </c>
      <c r="F277" s="11" t="s">
        <v>24</v>
      </c>
      <c r="G277" s="11" t="s">
        <v>36</v>
      </c>
      <c r="H277" s="11">
        <v>20</v>
      </c>
      <c r="I277" s="12">
        <v>43174</v>
      </c>
      <c r="J277" s="2">
        <v>5</v>
      </c>
      <c r="K277" s="11">
        <v>1145166008786</v>
      </c>
      <c r="L277" s="11" t="s">
        <v>375</v>
      </c>
      <c r="M277" s="11" t="s">
        <v>27</v>
      </c>
      <c r="N277" s="12">
        <v>43168</v>
      </c>
      <c r="O277" s="12">
        <v>43168</v>
      </c>
      <c r="P277" s="11">
        <v>5</v>
      </c>
      <c r="Q277" s="11" t="s">
        <v>776</v>
      </c>
    </row>
    <row r="278" spans="1:17" ht="13" x14ac:dyDescent="0.15">
      <c r="A278" s="10">
        <v>43187.612663587963</v>
      </c>
      <c r="B278" s="11" t="s">
        <v>778</v>
      </c>
      <c r="C278" s="11">
        <v>359</v>
      </c>
      <c r="D278" s="11" t="s">
        <v>779</v>
      </c>
      <c r="E278" s="11">
        <v>9847117505</v>
      </c>
      <c r="F278" s="11" t="s">
        <v>24</v>
      </c>
      <c r="G278" s="11" t="s">
        <v>36</v>
      </c>
      <c r="H278" s="11">
        <v>20</v>
      </c>
      <c r="I278" s="12">
        <v>43174</v>
      </c>
      <c r="J278" s="2">
        <v>3</v>
      </c>
      <c r="K278" s="11">
        <v>1145082000422</v>
      </c>
      <c r="L278" s="11" t="s">
        <v>485</v>
      </c>
      <c r="M278" s="11" t="s">
        <v>27</v>
      </c>
      <c r="N278" s="12">
        <v>43173</v>
      </c>
      <c r="O278" s="12">
        <v>43173</v>
      </c>
      <c r="P278" s="11">
        <v>3</v>
      </c>
      <c r="Q278" s="11" t="s">
        <v>778</v>
      </c>
    </row>
    <row r="279" spans="1:17" ht="13" x14ac:dyDescent="0.15">
      <c r="A279" s="10">
        <v>43187.619385092592</v>
      </c>
      <c r="B279" s="11" t="s">
        <v>780</v>
      </c>
      <c r="C279" s="11">
        <v>678</v>
      </c>
      <c r="D279" s="11" t="s">
        <v>781</v>
      </c>
      <c r="E279" s="11">
        <v>9496994304</v>
      </c>
      <c r="F279" s="11" t="s">
        <v>24</v>
      </c>
      <c r="G279" s="11" t="s">
        <v>36</v>
      </c>
      <c r="H279" s="11">
        <v>20</v>
      </c>
      <c r="I279" s="12">
        <v>43179</v>
      </c>
      <c r="J279" s="2">
        <v>3</v>
      </c>
      <c r="K279" s="11">
        <v>1145432016776</v>
      </c>
      <c r="L279" s="11" t="s">
        <v>782</v>
      </c>
      <c r="M279" s="11" t="s">
        <v>27</v>
      </c>
      <c r="N279" s="12">
        <v>43172</v>
      </c>
      <c r="O279" s="12">
        <v>43172</v>
      </c>
      <c r="P279" s="11">
        <v>3</v>
      </c>
      <c r="Q279" s="11" t="s">
        <v>780</v>
      </c>
    </row>
    <row r="280" spans="1:17" ht="13" x14ac:dyDescent="0.15">
      <c r="A280" s="10">
        <v>43187.622735937504</v>
      </c>
      <c r="B280" s="11" t="s">
        <v>783</v>
      </c>
      <c r="C280" s="11">
        <v>408</v>
      </c>
      <c r="D280" s="11" t="s">
        <v>784</v>
      </c>
      <c r="E280" s="11">
        <v>9496172725</v>
      </c>
      <c r="F280" s="11" t="s">
        <v>24</v>
      </c>
      <c r="G280" s="11" t="s">
        <v>36</v>
      </c>
      <c r="H280" s="11">
        <v>20</v>
      </c>
      <c r="I280" s="12">
        <v>43179</v>
      </c>
      <c r="J280" s="2">
        <v>3</v>
      </c>
      <c r="K280" s="11">
        <v>1145169005674</v>
      </c>
      <c r="L280" s="11" t="s">
        <v>375</v>
      </c>
      <c r="M280" s="11" t="s">
        <v>27</v>
      </c>
      <c r="N280" s="12">
        <v>43174</v>
      </c>
      <c r="O280" s="12">
        <v>43174</v>
      </c>
      <c r="P280" s="11">
        <v>3</v>
      </c>
      <c r="Q280" s="11" t="s">
        <v>783</v>
      </c>
    </row>
    <row r="281" spans="1:17" ht="13" hidden="1" x14ac:dyDescent="0.15">
      <c r="A281" s="10">
        <v>43187.626962071758</v>
      </c>
      <c r="B281" s="11" t="s">
        <v>786</v>
      </c>
      <c r="C281" s="11">
        <v>434</v>
      </c>
      <c r="D281" s="11" t="s">
        <v>787</v>
      </c>
      <c r="E281" s="11">
        <v>9847424452</v>
      </c>
      <c r="F281" s="11" t="s">
        <v>30</v>
      </c>
      <c r="G281" s="11" t="s">
        <v>36</v>
      </c>
      <c r="H281" s="11">
        <v>20</v>
      </c>
      <c r="I281" s="12">
        <v>43182</v>
      </c>
      <c r="J281" s="2">
        <v>5</v>
      </c>
      <c r="K281" s="11">
        <v>1156713012553</v>
      </c>
      <c r="L281" s="11" t="s">
        <v>205</v>
      </c>
      <c r="M281" s="11" t="s">
        <v>27</v>
      </c>
      <c r="N281" s="12">
        <v>43182</v>
      </c>
      <c r="O281" s="12">
        <v>43182</v>
      </c>
      <c r="P281" s="11">
        <v>5</v>
      </c>
      <c r="Q281" s="11" t="s">
        <v>786</v>
      </c>
    </row>
    <row r="282" spans="1:17" ht="13" x14ac:dyDescent="0.15">
      <c r="A282" s="10">
        <v>43187.626968796292</v>
      </c>
      <c r="B282" s="11" t="s">
        <v>788</v>
      </c>
      <c r="C282" s="11">
        <v>538</v>
      </c>
      <c r="D282" s="11" t="s">
        <v>789</v>
      </c>
      <c r="E282" s="11">
        <v>9745535374</v>
      </c>
      <c r="F282" s="11" t="s">
        <v>24</v>
      </c>
      <c r="G282" s="11" t="s">
        <v>36</v>
      </c>
      <c r="H282" s="11">
        <v>20</v>
      </c>
      <c r="I282" s="12">
        <v>43179</v>
      </c>
      <c r="J282" s="2">
        <v>5</v>
      </c>
      <c r="K282" s="11">
        <v>1145128030088</v>
      </c>
      <c r="L282" s="11" t="s">
        <v>790</v>
      </c>
      <c r="M282" s="11" t="s">
        <v>27</v>
      </c>
      <c r="N282" s="12">
        <v>43179</v>
      </c>
      <c r="O282" s="12">
        <v>43179</v>
      </c>
      <c r="P282" s="11">
        <v>5</v>
      </c>
      <c r="Q282" s="11" t="s">
        <v>788</v>
      </c>
    </row>
    <row r="283" spans="1:17" ht="13" x14ac:dyDescent="0.15">
      <c r="A283" s="10">
        <v>43187.641711550925</v>
      </c>
      <c r="B283" s="11" t="s">
        <v>791</v>
      </c>
      <c r="C283" s="11">
        <v>596</v>
      </c>
      <c r="D283" s="11" t="s">
        <v>792</v>
      </c>
      <c r="E283" s="11">
        <v>9746187900</v>
      </c>
      <c r="F283" s="11" t="s">
        <v>24</v>
      </c>
      <c r="G283" s="11" t="s">
        <v>36</v>
      </c>
      <c r="H283" s="11">
        <v>20</v>
      </c>
      <c r="I283" s="12">
        <v>43180</v>
      </c>
      <c r="J283" s="2">
        <v>2</v>
      </c>
      <c r="K283" s="11">
        <v>1145079010891</v>
      </c>
      <c r="L283" s="11" t="s">
        <v>460</v>
      </c>
      <c r="M283" s="11" t="s">
        <v>27</v>
      </c>
      <c r="N283" s="12">
        <v>43178</v>
      </c>
      <c r="O283" s="12">
        <v>43178</v>
      </c>
      <c r="P283" s="11">
        <v>2</v>
      </c>
      <c r="Q283" s="11" t="s">
        <v>791</v>
      </c>
    </row>
    <row r="284" spans="1:17" ht="13" x14ac:dyDescent="0.15">
      <c r="A284" s="10">
        <v>43187.635916724539</v>
      </c>
      <c r="B284" s="11" t="s">
        <v>791</v>
      </c>
      <c r="C284" s="11">
        <v>597</v>
      </c>
      <c r="D284" s="11" t="s">
        <v>793</v>
      </c>
      <c r="E284" s="11">
        <v>9746187900</v>
      </c>
      <c r="F284" s="11" t="s">
        <v>24</v>
      </c>
      <c r="G284" s="11" t="s">
        <v>36</v>
      </c>
      <c r="H284" s="11">
        <v>20</v>
      </c>
      <c r="I284" s="12">
        <v>43180</v>
      </c>
      <c r="J284" s="2">
        <v>3</v>
      </c>
      <c r="K284" s="11">
        <v>1145073010890</v>
      </c>
      <c r="L284" s="11" t="s">
        <v>460</v>
      </c>
      <c r="M284" s="11" t="s">
        <v>27</v>
      </c>
      <c r="N284" s="12">
        <v>43178</v>
      </c>
      <c r="O284" s="12">
        <v>43178</v>
      </c>
      <c r="P284" s="11">
        <v>3</v>
      </c>
      <c r="Q284" s="11" t="s">
        <v>791</v>
      </c>
    </row>
    <row r="285" spans="1:17" ht="13" hidden="1" x14ac:dyDescent="0.15">
      <c r="A285" s="10">
        <v>43187.664960972223</v>
      </c>
      <c r="B285" s="11" t="s">
        <v>475</v>
      </c>
      <c r="C285" s="11">
        <v>616</v>
      </c>
      <c r="D285" s="11" t="s">
        <v>794</v>
      </c>
      <c r="E285" s="11">
        <v>8281610064</v>
      </c>
      <c r="F285" s="11" t="s">
        <v>56</v>
      </c>
      <c r="G285" s="11" t="s">
        <v>276</v>
      </c>
      <c r="H285" s="11">
        <v>11</v>
      </c>
      <c r="I285" s="12">
        <v>43182</v>
      </c>
      <c r="J285" s="2">
        <v>3</v>
      </c>
      <c r="K285" s="11">
        <v>1146314009783</v>
      </c>
      <c r="L285" s="11" t="s">
        <v>795</v>
      </c>
      <c r="M285" s="11" t="s">
        <v>27</v>
      </c>
      <c r="N285" s="12">
        <v>43176</v>
      </c>
      <c r="O285" s="12">
        <v>43176</v>
      </c>
      <c r="P285" s="11">
        <v>3</v>
      </c>
      <c r="Q285" s="11" t="s">
        <v>475</v>
      </c>
    </row>
    <row r="286" spans="1:17" ht="13" hidden="1" x14ac:dyDescent="0.15">
      <c r="A286" s="10">
        <v>43187.683252650459</v>
      </c>
      <c r="B286" s="11" t="s">
        <v>475</v>
      </c>
      <c r="C286" s="11">
        <v>341</v>
      </c>
      <c r="D286" s="11" t="s">
        <v>796</v>
      </c>
      <c r="E286" s="11">
        <v>9072626009</v>
      </c>
      <c r="F286" s="11" t="s">
        <v>61</v>
      </c>
      <c r="G286" s="11" t="s">
        <v>276</v>
      </c>
      <c r="H286" s="11">
        <v>11</v>
      </c>
      <c r="I286" s="12">
        <v>43169</v>
      </c>
      <c r="J286" s="2">
        <v>3</v>
      </c>
      <c r="K286" s="11">
        <v>1146173012875</v>
      </c>
      <c r="L286" s="11" t="s">
        <v>797</v>
      </c>
      <c r="M286" s="11" t="s">
        <v>27</v>
      </c>
      <c r="N286" s="12">
        <v>43156</v>
      </c>
      <c r="O286" s="12">
        <v>43156</v>
      </c>
      <c r="P286" s="11">
        <v>3</v>
      </c>
      <c r="Q286" s="11" t="s">
        <v>475</v>
      </c>
    </row>
    <row r="287" spans="1:17" ht="13" hidden="1" x14ac:dyDescent="0.15">
      <c r="A287" s="10">
        <v>43187.690914583334</v>
      </c>
      <c r="B287" s="11" t="s">
        <v>469</v>
      </c>
      <c r="C287" s="11">
        <v>494</v>
      </c>
      <c r="D287" s="11" t="s">
        <v>798</v>
      </c>
      <c r="E287" s="11">
        <v>9388155155</v>
      </c>
      <c r="F287" s="11" t="s">
        <v>30</v>
      </c>
      <c r="G287" s="11" t="s">
        <v>772</v>
      </c>
      <c r="H287" s="11">
        <v>48</v>
      </c>
      <c r="I287" s="12">
        <v>43187</v>
      </c>
      <c r="J287" s="2">
        <v>3</v>
      </c>
      <c r="K287" s="11">
        <v>1156887002181</v>
      </c>
      <c r="L287" s="11" t="s">
        <v>800</v>
      </c>
      <c r="M287" s="11" t="s">
        <v>27</v>
      </c>
      <c r="N287" s="12">
        <v>43185</v>
      </c>
      <c r="O287" s="12">
        <v>43185</v>
      </c>
      <c r="P287" s="11">
        <v>3</v>
      </c>
      <c r="Q287" s="11" t="s">
        <v>469</v>
      </c>
    </row>
    <row r="288" spans="1:17" ht="13" hidden="1" x14ac:dyDescent="0.15">
      <c r="A288" s="10">
        <v>43187.740282118059</v>
      </c>
      <c r="B288" s="11" t="s">
        <v>475</v>
      </c>
      <c r="C288" s="11">
        <v>340</v>
      </c>
      <c r="D288" s="11" t="s">
        <v>801</v>
      </c>
      <c r="E288" s="11">
        <v>9496028092</v>
      </c>
      <c r="F288" s="11" t="s">
        <v>287</v>
      </c>
      <c r="G288" s="11" t="s">
        <v>276</v>
      </c>
      <c r="H288" s="11">
        <v>11</v>
      </c>
      <c r="I288" s="12">
        <v>43108</v>
      </c>
      <c r="J288" s="2">
        <v>5</v>
      </c>
      <c r="K288" s="11">
        <v>1166483027197</v>
      </c>
      <c r="L288" s="11" t="s">
        <v>802</v>
      </c>
      <c r="M288" s="11" t="s">
        <v>27</v>
      </c>
      <c r="N288" s="12">
        <v>43108</v>
      </c>
      <c r="O288" s="12">
        <v>43108</v>
      </c>
      <c r="P288" s="11">
        <v>5</v>
      </c>
      <c r="Q288" s="11" t="s">
        <v>475</v>
      </c>
    </row>
    <row r="289" spans="1:17" ht="13" x14ac:dyDescent="0.15">
      <c r="A289" s="10">
        <v>43187.897969467595</v>
      </c>
      <c r="B289" s="11" t="s">
        <v>803</v>
      </c>
      <c r="C289" s="11">
        <v>683</v>
      </c>
      <c r="D289" s="11" t="s">
        <v>804</v>
      </c>
      <c r="E289" s="11">
        <v>9447586439</v>
      </c>
      <c r="F289" s="11" t="s">
        <v>24</v>
      </c>
      <c r="G289" s="11" t="s">
        <v>36</v>
      </c>
      <c r="H289" s="11">
        <v>20</v>
      </c>
      <c r="I289" s="12">
        <v>43185</v>
      </c>
      <c r="J289" s="2">
        <v>3</v>
      </c>
      <c r="K289" s="11">
        <v>1145056001369</v>
      </c>
      <c r="L289" s="11" t="s">
        <v>122</v>
      </c>
      <c r="M289" s="11" t="s">
        <v>27</v>
      </c>
      <c r="N289" s="12">
        <v>43181</v>
      </c>
      <c r="O289" s="12">
        <v>43181</v>
      </c>
      <c r="P289" s="11">
        <v>3</v>
      </c>
      <c r="Q289" s="11" t="s">
        <v>803</v>
      </c>
    </row>
    <row r="290" spans="1:17" ht="13" x14ac:dyDescent="0.15">
      <c r="A290" s="10">
        <v>43187.905569490744</v>
      </c>
      <c r="B290" s="11" t="s">
        <v>805</v>
      </c>
      <c r="C290" s="11">
        <v>304</v>
      </c>
      <c r="D290" s="11" t="s">
        <v>806</v>
      </c>
      <c r="E290" s="11">
        <v>8281143377</v>
      </c>
      <c r="F290" s="11" t="s">
        <v>24</v>
      </c>
      <c r="G290" s="11" t="s">
        <v>36</v>
      </c>
      <c r="H290" s="11">
        <v>20</v>
      </c>
      <c r="I290" s="12">
        <v>43181</v>
      </c>
      <c r="J290" s="2">
        <v>3</v>
      </c>
      <c r="K290" s="11">
        <v>1145127020907</v>
      </c>
      <c r="L290" s="11" t="s">
        <v>790</v>
      </c>
      <c r="M290" s="11" t="s">
        <v>27</v>
      </c>
      <c r="N290" s="12">
        <v>43172</v>
      </c>
      <c r="O290" s="12">
        <v>43172</v>
      </c>
      <c r="P290" s="11">
        <v>3</v>
      </c>
      <c r="Q290" s="11" t="s">
        <v>805</v>
      </c>
    </row>
    <row r="291" spans="1:17" ht="13" x14ac:dyDescent="0.15">
      <c r="A291" s="10">
        <v>43187.924024432868</v>
      </c>
      <c r="B291" s="11" t="s">
        <v>807</v>
      </c>
      <c r="C291" s="11">
        <v>582</v>
      </c>
      <c r="D291" s="11" t="s">
        <v>808</v>
      </c>
      <c r="E291" s="11">
        <v>9497234788</v>
      </c>
      <c r="F291" s="11" t="s">
        <v>24</v>
      </c>
      <c r="G291" s="11" t="s">
        <v>36</v>
      </c>
      <c r="H291" s="11">
        <v>20</v>
      </c>
      <c r="I291" s="12">
        <v>43181</v>
      </c>
      <c r="J291" s="2">
        <v>5</v>
      </c>
      <c r="K291" s="11">
        <v>1145137001052</v>
      </c>
      <c r="L291" s="11" t="s">
        <v>809</v>
      </c>
      <c r="M291" s="11" t="s">
        <v>27</v>
      </c>
      <c r="N291" s="12">
        <v>43179</v>
      </c>
      <c r="O291" s="12">
        <v>43179</v>
      </c>
      <c r="P291" s="11">
        <v>5</v>
      </c>
      <c r="Q291" s="11" t="s">
        <v>807</v>
      </c>
    </row>
    <row r="292" spans="1:17" ht="13" x14ac:dyDescent="0.15">
      <c r="A292" s="10">
        <v>43187.928992071757</v>
      </c>
      <c r="B292" s="11" t="s">
        <v>810</v>
      </c>
      <c r="C292" s="11">
        <v>741</v>
      </c>
      <c r="D292" s="11" t="s">
        <v>811</v>
      </c>
      <c r="E292" s="11">
        <v>9447244774</v>
      </c>
      <c r="F292" s="11" t="s">
        <v>24</v>
      </c>
      <c r="G292" s="11" t="s">
        <v>36</v>
      </c>
      <c r="H292" s="11">
        <v>20</v>
      </c>
      <c r="I292" s="12">
        <v>43184</v>
      </c>
      <c r="J292" s="2">
        <v>3</v>
      </c>
      <c r="K292" s="11">
        <v>1145066006362</v>
      </c>
      <c r="L292" s="11" t="s">
        <v>331</v>
      </c>
      <c r="M292" s="11" t="s">
        <v>27</v>
      </c>
      <c r="N292" s="12">
        <v>43183</v>
      </c>
      <c r="O292" s="12">
        <v>43183</v>
      </c>
      <c r="P292" s="11">
        <v>3</v>
      </c>
      <c r="Q292" s="11" t="s">
        <v>810</v>
      </c>
    </row>
    <row r="293" spans="1:17" ht="13" x14ac:dyDescent="0.15">
      <c r="A293" s="10">
        <v>43187.936919409723</v>
      </c>
      <c r="B293" s="11" t="s">
        <v>625</v>
      </c>
      <c r="C293" s="11">
        <v>242</v>
      </c>
      <c r="D293" s="11" t="s">
        <v>812</v>
      </c>
      <c r="E293" s="11">
        <v>8547989462</v>
      </c>
      <c r="F293" s="11" t="s">
        <v>24</v>
      </c>
      <c r="G293" s="11" t="s">
        <v>36</v>
      </c>
      <c r="H293" s="11">
        <v>20</v>
      </c>
      <c r="I293" s="12">
        <v>43164</v>
      </c>
      <c r="J293" s="2">
        <v>3</v>
      </c>
      <c r="K293" s="11">
        <v>1145065001499</v>
      </c>
      <c r="L293" s="11" t="s">
        <v>331</v>
      </c>
      <c r="M293" s="11" t="s">
        <v>27</v>
      </c>
      <c r="N293" s="12">
        <v>43157</v>
      </c>
      <c r="O293" s="12">
        <v>43157</v>
      </c>
      <c r="P293" s="11">
        <v>3</v>
      </c>
      <c r="Q293" s="11" t="s">
        <v>625</v>
      </c>
    </row>
    <row r="294" spans="1:17" ht="13" x14ac:dyDescent="0.15">
      <c r="A294" s="10">
        <v>43187.941182650466</v>
      </c>
      <c r="B294" s="11" t="s">
        <v>625</v>
      </c>
      <c r="C294" s="11">
        <v>258</v>
      </c>
      <c r="D294" s="11" t="s">
        <v>814</v>
      </c>
      <c r="E294" s="11">
        <v>9447697705</v>
      </c>
      <c r="F294" s="11" t="s">
        <v>24</v>
      </c>
      <c r="G294" s="11" t="s">
        <v>36</v>
      </c>
      <c r="H294" s="11">
        <v>20</v>
      </c>
      <c r="I294" s="12">
        <v>43164</v>
      </c>
      <c r="J294" s="2">
        <v>2</v>
      </c>
      <c r="K294" s="11">
        <v>1145068006776</v>
      </c>
      <c r="L294" s="11" t="s">
        <v>331</v>
      </c>
      <c r="M294" s="11" t="s">
        <v>27</v>
      </c>
      <c r="N294" s="12">
        <v>43153</v>
      </c>
      <c r="O294" s="12">
        <v>43153</v>
      </c>
      <c r="P294" s="11">
        <v>2</v>
      </c>
      <c r="Q294" s="11" t="s">
        <v>625</v>
      </c>
    </row>
    <row r="295" spans="1:17" ht="13" x14ac:dyDescent="0.15">
      <c r="A295" s="10">
        <v>43187.945172488427</v>
      </c>
      <c r="B295" s="11" t="s">
        <v>625</v>
      </c>
      <c r="C295" s="11">
        <v>257</v>
      </c>
      <c r="D295" s="11" t="s">
        <v>814</v>
      </c>
      <c r="E295" s="11">
        <v>9447697705</v>
      </c>
      <c r="F295" s="11" t="s">
        <v>24</v>
      </c>
      <c r="G295" s="11" t="s">
        <v>36</v>
      </c>
      <c r="H295" s="11">
        <v>20</v>
      </c>
      <c r="I295" s="12">
        <v>43164</v>
      </c>
      <c r="J295" s="2">
        <v>3</v>
      </c>
      <c r="K295" s="11">
        <v>1145068001429</v>
      </c>
      <c r="L295" s="11" t="s">
        <v>331</v>
      </c>
      <c r="M295" s="11" t="s">
        <v>27</v>
      </c>
      <c r="N295" s="12">
        <v>43153</v>
      </c>
      <c r="O295" s="12">
        <v>43153</v>
      </c>
      <c r="P295" s="11">
        <v>3</v>
      </c>
      <c r="Q295" s="11" t="s">
        <v>625</v>
      </c>
    </row>
    <row r="296" spans="1:17" ht="13" x14ac:dyDescent="0.15">
      <c r="A296" s="10">
        <v>43188.530684618054</v>
      </c>
      <c r="B296" s="11" t="s">
        <v>22</v>
      </c>
      <c r="C296" s="11">
        <v>170</v>
      </c>
      <c r="D296" s="11" t="s">
        <v>815</v>
      </c>
      <c r="E296" s="11">
        <v>9388106363</v>
      </c>
      <c r="F296" s="11" t="s">
        <v>24</v>
      </c>
      <c r="G296" s="11" t="s">
        <v>25</v>
      </c>
      <c r="H296" s="11">
        <v>54</v>
      </c>
      <c r="I296" s="12">
        <v>43188</v>
      </c>
      <c r="J296" s="2">
        <v>10</v>
      </c>
      <c r="K296" s="11">
        <v>1145097004609</v>
      </c>
      <c r="L296" s="11" t="s">
        <v>816</v>
      </c>
      <c r="M296" s="11" t="s">
        <v>27</v>
      </c>
      <c r="N296" s="12">
        <v>43158</v>
      </c>
      <c r="O296" s="12">
        <v>43158</v>
      </c>
      <c r="P296" s="11">
        <v>10</v>
      </c>
      <c r="Q296" s="11" t="s">
        <v>22</v>
      </c>
    </row>
    <row r="297" spans="1:17" ht="13" hidden="1" x14ac:dyDescent="0.15">
      <c r="A297" s="10">
        <v>43188.71727695602</v>
      </c>
      <c r="B297" s="11" t="s">
        <v>726</v>
      </c>
      <c r="C297" s="11">
        <v>466</v>
      </c>
      <c r="D297" s="11" t="s">
        <v>727</v>
      </c>
      <c r="E297" s="11">
        <v>9446487084</v>
      </c>
      <c r="F297" s="11" t="s">
        <v>35</v>
      </c>
      <c r="G297" s="11" t="s">
        <v>509</v>
      </c>
      <c r="H297" s="11">
        <v>12</v>
      </c>
      <c r="I297" s="12">
        <v>43184</v>
      </c>
      <c r="J297" s="2">
        <v>2</v>
      </c>
      <c r="K297" s="11">
        <v>1155677011163</v>
      </c>
      <c r="L297" s="11" t="s">
        <v>728</v>
      </c>
      <c r="M297" s="11" t="s">
        <v>27</v>
      </c>
      <c r="N297" s="12">
        <v>43182</v>
      </c>
      <c r="O297" s="12">
        <v>43182</v>
      </c>
      <c r="P297" s="11">
        <v>2</v>
      </c>
      <c r="Q297" s="11" t="s">
        <v>726</v>
      </c>
    </row>
    <row r="298" spans="1:17" ht="13" x14ac:dyDescent="0.15">
      <c r="A298" s="10">
        <v>43188.718105462962</v>
      </c>
      <c r="B298" s="11" t="s">
        <v>227</v>
      </c>
      <c r="C298" s="11">
        <v>156</v>
      </c>
      <c r="D298" s="11" t="s">
        <v>817</v>
      </c>
      <c r="E298" s="11">
        <v>8137874406</v>
      </c>
      <c r="F298" s="11" t="s">
        <v>24</v>
      </c>
      <c r="G298" s="11" t="s">
        <v>157</v>
      </c>
      <c r="H298" s="11">
        <v>42</v>
      </c>
      <c r="I298" s="12">
        <v>43188</v>
      </c>
      <c r="J298" s="2">
        <v>3</v>
      </c>
      <c r="K298" s="11">
        <v>1145069000034</v>
      </c>
      <c r="L298" s="11" t="s">
        <v>535</v>
      </c>
      <c r="M298" s="11" t="s">
        <v>27</v>
      </c>
      <c r="N298" s="12">
        <v>43171</v>
      </c>
      <c r="O298" s="12">
        <v>43171</v>
      </c>
      <c r="P298" s="11">
        <v>3</v>
      </c>
      <c r="Q298" s="11" t="s">
        <v>227</v>
      </c>
    </row>
    <row r="299" spans="1:17" ht="13" hidden="1" x14ac:dyDescent="0.15">
      <c r="A299" s="10">
        <v>43188.723933194444</v>
      </c>
      <c r="B299" s="11" t="s">
        <v>818</v>
      </c>
      <c r="C299" s="11">
        <v>607</v>
      </c>
      <c r="D299" s="11" t="s">
        <v>819</v>
      </c>
      <c r="E299" s="11">
        <v>9745007037</v>
      </c>
      <c r="F299" s="11" t="s">
        <v>30</v>
      </c>
      <c r="G299" s="11" t="s">
        <v>36</v>
      </c>
      <c r="H299" s="11">
        <v>20</v>
      </c>
      <c r="I299" s="12">
        <v>43185</v>
      </c>
      <c r="J299" s="2">
        <v>3</v>
      </c>
      <c r="K299" s="11">
        <v>1156695018279</v>
      </c>
      <c r="L299" s="11" t="s">
        <v>821</v>
      </c>
      <c r="M299" s="11" t="s">
        <v>27</v>
      </c>
      <c r="N299" s="12">
        <v>43184</v>
      </c>
      <c r="O299" s="12">
        <v>43184</v>
      </c>
      <c r="P299" s="11">
        <v>3</v>
      </c>
      <c r="Q299" s="11" t="s">
        <v>818</v>
      </c>
    </row>
    <row r="300" spans="1:17" ht="13" x14ac:dyDescent="0.15">
      <c r="A300" s="10">
        <v>43188.725535879625</v>
      </c>
      <c r="B300" s="11" t="s">
        <v>227</v>
      </c>
      <c r="C300" s="11">
        <v>656</v>
      </c>
      <c r="D300" s="11" t="s">
        <v>822</v>
      </c>
      <c r="E300" s="11">
        <v>8137874406</v>
      </c>
      <c r="F300" s="11" t="s">
        <v>24</v>
      </c>
      <c r="G300" s="11" t="s">
        <v>157</v>
      </c>
      <c r="H300" s="11">
        <v>42</v>
      </c>
      <c r="I300" s="12">
        <v>43188</v>
      </c>
      <c r="J300" s="2">
        <v>3</v>
      </c>
      <c r="K300" s="11">
        <v>1145113011828</v>
      </c>
      <c r="L300" s="11" t="s">
        <v>823</v>
      </c>
      <c r="M300" s="11" t="s">
        <v>27</v>
      </c>
      <c r="N300" s="12">
        <v>43180</v>
      </c>
      <c r="O300" s="12">
        <v>43180</v>
      </c>
      <c r="P300" s="11">
        <v>3</v>
      </c>
      <c r="Q300" s="11" t="s">
        <v>227</v>
      </c>
    </row>
    <row r="301" spans="1:17" ht="13" x14ac:dyDescent="0.15">
      <c r="A301" s="10">
        <v>43188.727973807865</v>
      </c>
      <c r="B301" s="11" t="s">
        <v>227</v>
      </c>
      <c r="C301" s="11">
        <v>563</v>
      </c>
      <c r="D301" s="11" t="s">
        <v>824</v>
      </c>
      <c r="E301" s="11">
        <v>8137874406</v>
      </c>
      <c r="F301" s="11" t="s">
        <v>24</v>
      </c>
      <c r="G301" s="11" t="s">
        <v>157</v>
      </c>
      <c r="H301" s="11">
        <v>42</v>
      </c>
      <c r="I301" s="12">
        <v>43187</v>
      </c>
      <c r="J301" s="2">
        <v>3</v>
      </c>
      <c r="K301" s="11">
        <v>1145073002524</v>
      </c>
      <c r="L301" s="11" t="s">
        <v>102</v>
      </c>
      <c r="M301" s="11" t="s">
        <v>27</v>
      </c>
      <c r="N301" s="12">
        <v>43140</v>
      </c>
      <c r="O301" s="12">
        <v>43140</v>
      </c>
      <c r="P301" s="11">
        <v>3</v>
      </c>
      <c r="Q301" s="11" t="s">
        <v>227</v>
      </c>
    </row>
    <row r="302" spans="1:17" ht="13" x14ac:dyDescent="0.15">
      <c r="A302" s="10">
        <v>43188.729837557868</v>
      </c>
      <c r="B302" s="11" t="s">
        <v>227</v>
      </c>
      <c r="C302" s="11">
        <v>564</v>
      </c>
      <c r="D302" s="11" t="s">
        <v>825</v>
      </c>
      <c r="E302" s="11">
        <v>8137874406</v>
      </c>
      <c r="F302" s="11" t="s">
        <v>24</v>
      </c>
      <c r="G302" s="11" t="s">
        <v>157</v>
      </c>
      <c r="H302" s="11">
        <v>42</v>
      </c>
      <c r="I302" s="12">
        <v>43188</v>
      </c>
      <c r="J302" s="2">
        <v>5</v>
      </c>
      <c r="K302" s="11">
        <v>1145078002525</v>
      </c>
      <c r="L302" s="11" t="s">
        <v>102</v>
      </c>
      <c r="M302" s="11" t="s">
        <v>27</v>
      </c>
      <c r="N302" s="12">
        <v>43140</v>
      </c>
      <c r="O302" s="12">
        <v>43140</v>
      </c>
      <c r="P302" s="11">
        <v>5</v>
      </c>
      <c r="Q302" s="11" t="s">
        <v>227</v>
      </c>
    </row>
    <row r="303" spans="1:17" ht="13" hidden="1" x14ac:dyDescent="0.15">
      <c r="A303" s="10">
        <v>43188.777459340279</v>
      </c>
      <c r="B303" s="11" t="s">
        <v>826</v>
      </c>
      <c r="C303" s="11">
        <v>386</v>
      </c>
      <c r="D303" s="11" t="s">
        <v>827</v>
      </c>
      <c r="E303" s="11">
        <v>8547439290</v>
      </c>
      <c r="F303" s="11" t="s">
        <v>35</v>
      </c>
      <c r="G303" s="11" t="s">
        <v>509</v>
      </c>
      <c r="H303" s="11">
        <v>12</v>
      </c>
      <c r="I303" s="12">
        <v>43179</v>
      </c>
      <c r="J303" s="2">
        <v>2</v>
      </c>
      <c r="K303" s="11">
        <v>1155514012833</v>
      </c>
      <c r="L303" s="11" t="s">
        <v>828</v>
      </c>
      <c r="M303" s="11" t="s">
        <v>27</v>
      </c>
      <c r="N303" s="12">
        <v>43180</v>
      </c>
      <c r="O303" s="12">
        <v>43180</v>
      </c>
      <c r="P303" s="11">
        <v>2</v>
      </c>
      <c r="Q303" s="11" t="s">
        <v>826</v>
      </c>
    </row>
    <row r="304" spans="1:17" ht="13" hidden="1" x14ac:dyDescent="0.15">
      <c r="A304" s="10">
        <v>43188.784905231485</v>
      </c>
      <c r="B304" s="11" t="s">
        <v>829</v>
      </c>
      <c r="C304" s="11">
        <v>636</v>
      </c>
      <c r="D304" s="11" t="s">
        <v>830</v>
      </c>
      <c r="E304" s="11">
        <v>9747583876</v>
      </c>
      <c r="F304" s="11" t="s">
        <v>35</v>
      </c>
      <c r="G304" s="11" t="s">
        <v>431</v>
      </c>
      <c r="H304" s="11">
        <v>33</v>
      </c>
      <c r="I304" s="12">
        <v>43188</v>
      </c>
      <c r="J304" s="2">
        <v>3</v>
      </c>
      <c r="K304" s="11">
        <v>1156018021383</v>
      </c>
      <c r="L304" s="11" t="s">
        <v>831</v>
      </c>
      <c r="M304" s="11" t="s">
        <v>27</v>
      </c>
      <c r="N304" s="12">
        <v>43188</v>
      </c>
      <c r="O304" s="12">
        <v>43188</v>
      </c>
      <c r="P304" s="11">
        <v>3</v>
      </c>
      <c r="Q304" s="11" t="s">
        <v>829</v>
      </c>
    </row>
    <row r="305" spans="1:17" ht="13" hidden="1" x14ac:dyDescent="0.15">
      <c r="A305" s="10">
        <v>43188.788143495374</v>
      </c>
      <c r="B305" s="11" t="s">
        <v>833</v>
      </c>
      <c r="C305" s="11">
        <v>526</v>
      </c>
      <c r="D305" s="11" t="s">
        <v>834</v>
      </c>
      <c r="E305" s="11">
        <v>9544394449</v>
      </c>
      <c r="F305" s="11" t="s">
        <v>35</v>
      </c>
      <c r="G305" s="11" t="s">
        <v>509</v>
      </c>
      <c r="H305" s="11">
        <v>12</v>
      </c>
      <c r="I305" s="12">
        <v>43173</v>
      </c>
      <c r="J305" s="2">
        <v>3</v>
      </c>
      <c r="K305" s="11">
        <v>1155718005444</v>
      </c>
      <c r="L305" s="11" t="s">
        <v>835</v>
      </c>
      <c r="M305" s="11" t="s">
        <v>27</v>
      </c>
      <c r="N305" s="12">
        <v>43182</v>
      </c>
      <c r="O305" s="12">
        <v>43182</v>
      </c>
      <c r="P305" s="11">
        <v>3</v>
      </c>
      <c r="Q305" s="11" t="s">
        <v>833</v>
      </c>
    </row>
    <row r="306" spans="1:17" ht="13" hidden="1" x14ac:dyDescent="0.15">
      <c r="A306" s="10">
        <v>43188.794049178236</v>
      </c>
      <c r="B306" s="11" t="s">
        <v>829</v>
      </c>
      <c r="C306" s="11">
        <v>639</v>
      </c>
      <c r="D306" s="11" t="s">
        <v>836</v>
      </c>
      <c r="E306" s="11">
        <v>9446207463</v>
      </c>
      <c r="F306" s="11" t="s">
        <v>35</v>
      </c>
      <c r="G306" s="11" t="s">
        <v>431</v>
      </c>
      <c r="H306" s="11">
        <v>33</v>
      </c>
      <c r="I306" s="12">
        <v>43188</v>
      </c>
      <c r="J306" s="2">
        <v>3</v>
      </c>
      <c r="K306" s="11">
        <v>1155565004124</v>
      </c>
      <c r="L306" s="11" t="s">
        <v>837</v>
      </c>
      <c r="M306" s="11" t="s">
        <v>27</v>
      </c>
      <c r="N306" s="12">
        <v>43188</v>
      </c>
      <c r="O306" s="12">
        <v>43188</v>
      </c>
      <c r="P306" s="11">
        <v>3</v>
      </c>
      <c r="Q306" s="11" t="s">
        <v>829</v>
      </c>
    </row>
    <row r="307" spans="1:17" ht="13" hidden="1" x14ac:dyDescent="0.15">
      <c r="A307" s="10">
        <v>43188.80094912037</v>
      </c>
      <c r="B307" s="11" t="s">
        <v>829</v>
      </c>
      <c r="C307" s="11">
        <v>571</v>
      </c>
      <c r="D307" s="11" t="s">
        <v>838</v>
      </c>
      <c r="E307" s="11">
        <v>9446607260</v>
      </c>
      <c r="F307" s="11" t="s">
        <v>35</v>
      </c>
      <c r="G307" s="11" t="s">
        <v>431</v>
      </c>
      <c r="H307" s="11">
        <v>33</v>
      </c>
      <c r="I307" s="12">
        <v>43188</v>
      </c>
      <c r="J307" s="2">
        <v>5</v>
      </c>
      <c r="K307" s="11">
        <v>1155962007422</v>
      </c>
      <c r="L307" s="11" t="s">
        <v>839</v>
      </c>
      <c r="M307" s="11" t="s">
        <v>27</v>
      </c>
      <c r="N307" s="12">
        <v>43180</v>
      </c>
      <c r="O307" s="12">
        <v>43180</v>
      </c>
      <c r="P307" s="11">
        <v>5</v>
      </c>
      <c r="Q307" s="11" t="s">
        <v>829</v>
      </c>
    </row>
    <row r="308" spans="1:17" ht="13" hidden="1" x14ac:dyDescent="0.15">
      <c r="A308" s="10">
        <v>43189.460264131943</v>
      </c>
      <c r="B308" s="11" t="s">
        <v>382</v>
      </c>
      <c r="C308" s="11">
        <v>412</v>
      </c>
      <c r="D308" s="11" t="s">
        <v>840</v>
      </c>
      <c r="E308" s="11">
        <v>9387707733</v>
      </c>
      <c r="F308" s="11" t="s">
        <v>46</v>
      </c>
      <c r="G308" s="11" t="s">
        <v>384</v>
      </c>
      <c r="H308" s="11">
        <v>4</v>
      </c>
      <c r="I308" s="12">
        <v>43181</v>
      </c>
      <c r="J308" s="2">
        <v>3</v>
      </c>
      <c r="K308" s="11">
        <v>1167055012674</v>
      </c>
      <c r="L308" s="11" t="s">
        <v>841</v>
      </c>
      <c r="M308" s="11" t="s">
        <v>27</v>
      </c>
      <c r="N308" s="12">
        <v>43178</v>
      </c>
      <c r="O308" s="12">
        <v>43178</v>
      </c>
      <c r="P308" s="11">
        <v>3</v>
      </c>
      <c r="Q308" s="11" t="s">
        <v>382</v>
      </c>
    </row>
    <row r="309" spans="1:17" ht="13" hidden="1" x14ac:dyDescent="0.15">
      <c r="A309" s="10">
        <v>43189.50798855324</v>
      </c>
      <c r="B309" s="11" t="s">
        <v>382</v>
      </c>
      <c r="C309" s="11">
        <v>579</v>
      </c>
      <c r="D309" s="11" t="s">
        <v>842</v>
      </c>
      <c r="E309" s="11">
        <v>9387707733</v>
      </c>
      <c r="F309" s="11" t="s">
        <v>30</v>
      </c>
      <c r="G309" s="11" t="s">
        <v>384</v>
      </c>
      <c r="H309" s="11">
        <v>4</v>
      </c>
      <c r="I309" s="12">
        <v>43175</v>
      </c>
      <c r="J309" s="2">
        <v>3</v>
      </c>
      <c r="K309" s="11">
        <v>13577</v>
      </c>
      <c r="L309" s="11" t="s">
        <v>843</v>
      </c>
      <c r="M309" s="11" t="s">
        <v>27</v>
      </c>
      <c r="N309" s="12">
        <v>43176</v>
      </c>
      <c r="O309" s="12">
        <v>43176</v>
      </c>
      <c r="P309" s="11">
        <v>3</v>
      </c>
      <c r="Q309" s="11" t="s">
        <v>382</v>
      </c>
    </row>
    <row r="310" spans="1:17" ht="13" hidden="1" x14ac:dyDescent="0.15">
      <c r="A310" s="10">
        <v>43189.530764641204</v>
      </c>
      <c r="B310" s="11" t="s">
        <v>844</v>
      </c>
      <c r="C310" s="11">
        <v>623</v>
      </c>
      <c r="D310" s="11" t="s">
        <v>845</v>
      </c>
      <c r="E310" s="11">
        <v>9495047482</v>
      </c>
      <c r="F310" s="11" t="s">
        <v>30</v>
      </c>
      <c r="G310" s="11" t="s">
        <v>36</v>
      </c>
      <c r="H310" s="11">
        <v>20</v>
      </c>
      <c r="I310" s="12">
        <v>43186</v>
      </c>
      <c r="J310" s="2">
        <v>3</v>
      </c>
      <c r="K310" s="11">
        <v>1157184005466</v>
      </c>
      <c r="L310" s="11" t="s">
        <v>846</v>
      </c>
      <c r="M310" s="11" t="s">
        <v>27</v>
      </c>
      <c r="N310" s="12">
        <v>43186</v>
      </c>
      <c r="O310" s="12">
        <v>43186</v>
      </c>
      <c r="P310" s="11">
        <v>3</v>
      </c>
      <c r="Q310" s="11" t="s">
        <v>844</v>
      </c>
    </row>
    <row r="311" spans="1:17" ht="13" hidden="1" x14ac:dyDescent="0.15">
      <c r="A311" s="10">
        <v>43189.650305891206</v>
      </c>
      <c r="B311" s="11" t="s">
        <v>848</v>
      </c>
      <c r="C311" s="11">
        <v>561</v>
      </c>
      <c r="D311" s="11" t="s">
        <v>849</v>
      </c>
      <c r="E311" s="11">
        <v>9895496697</v>
      </c>
      <c r="F311" s="11" t="s">
        <v>30</v>
      </c>
      <c r="G311" s="11" t="s">
        <v>36</v>
      </c>
      <c r="H311" s="11">
        <v>20</v>
      </c>
      <c r="I311" s="12">
        <v>43185</v>
      </c>
      <c r="J311" s="2">
        <v>3</v>
      </c>
      <c r="K311" s="11">
        <v>1156755015696</v>
      </c>
      <c r="L311" s="11" t="s">
        <v>850</v>
      </c>
      <c r="M311" s="11" t="s">
        <v>27</v>
      </c>
      <c r="N311" s="12">
        <v>43449</v>
      </c>
      <c r="O311" s="12">
        <v>43449</v>
      </c>
      <c r="P311" s="11">
        <v>3</v>
      </c>
      <c r="Q311" s="11" t="s">
        <v>848</v>
      </c>
    </row>
    <row r="312" spans="1:17" ht="13" hidden="1" x14ac:dyDescent="0.15">
      <c r="A312" s="10">
        <v>43189.65381231482</v>
      </c>
      <c r="B312" s="11" t="s">
        <v>382</v>
      </c>
      <c r="C312" s="11">
        <v>475</v>
      </c>
      <c r="D312" s="11" t="s">
        <v>851</v>
      </c>
      <c r="E312" s="11">
        <v>9387707733</v>
      </c>
      <c r="F312" s="11" t="s">
        <v>287</v>
      </c>
      <c r="G312" s="11" t="s">
        <v>384</v>
      </c>
      <c r="H312" s="11">
        <v>4</v>
      </c>
      <c r="I312" s="12">
        <v>43182</v>
      </c>
      <c r="J312" s="2">
        <v>5</v>
      </c>
      <c r="K312" s="11">
        <v>1166692007127</v>
      </c>
      <c r="L312" s="11" t="s">
        <v>852</v>
      </c>
      <c r="M312" s="11" t="s">
        <v>27</v>
      </c>
      <c r="N312" s="12">
        <v>43047</v>
      </c>
      <c r="O312" s="12">
        <v>43047</v>
      </c>
      <c r="P312" s="11">
        <v>5</v>
      </c>
      <c r="Q312" s="11" t="s">
        <v>382</v>
      </c>
    </row>
    <row r="313" spans="1:17" ht="13" hidden="1" x14ac:dyDescent="0.15">
      <c r="A313" s="10">
        <v>43189.657303842592</v>
      </c>
      <c r="B313" s="11" t="s">
        <v>382</v>
      </c>
      <c r="C313" s="11">
        <v>476</v>
      </c>
      <c r="D313" s="11" t="s">
        <v>853</v>
      </c>
      <c r="E313" s="11">
        <v>9387707733</v>
      </c>
      <c r="F313" s="11" t="s">
        <v>266</v>
      </c>
      <c r="G313" s="11" t="s">
        <v>384</v>
      </c>
      <c r="H313" s="11">
        <v>4</v>
      </c>
      <c r="I313" s="12">
        <v>43185</v>
      </c>
      <c r="J313" s="2">
        <v>5</v>
      </c>
      <c r="K313" s="11">
        <v>1166056006258</v>
      </c>
      <c r="L313" s="11" t="s">
        <v>854</v>
      </c>
      <c r="M313" s="11" t="s">
        <v>27</v>
      </c>
      <c r="N313" s="12">
        <v>43161</v>
      </c>
      <c r="O313" s="12">
        <v>43161</v>
      </c>
      <c r="P313" s="11">
        <v>5</v>
      </c>
      <c r="Q313" s="11" t="s">
        <v>382</v>
      </c>
    </row>
    <row r="314" spans="1:17" ht="13" hidden="1" x14ac:dyDescent="0.15">
      <c r="A314" s="10">
        <v>43189.661640729166</v>
      </c>
      <c r="B314" s="11" t="s">
        <v>382</v>
      </c>
      <c r="C314" s="11">
        <v>57</v>
      </c>
      <c r="D314" s="11" t="s">
        <v>855</v>
      </c>
      <c r="E314" s="11">
        <v>9387707733</v>
      </c>
      <c r="F314" s="11" t="s">
        <v>266</v>
      </c>
      <c r="G314" s="11" t="s">
        <v>384</v>
      </c>
      <c r="H314" s="11">
        <v>4</v>
      </c>
      <c r="I314" s="12">
        <v>43185</v>
      </c>
      <c r="J314" s="2">
        <v>5</v>
      </c>
      <c r="K314" s="11">
        <v>15466</v>
      </c>
      <c r="L314" s="11" t="s">
        <v>856</v>
      </c>
      <c r="M314" s="11" t="s">
        <v>27</v>
      </c>
      <c r="N314" s="12">
        <v>43185</v>
      </c>
      <c r="O314" s="12">
        <v>43185</v>
      </c>
      <c r="P314" s="11">
        <v>5</v>
      </c>
      <c r="Q314" s="11" t="s">
        <v>382</v>
      </c>
    </row>
    <row r="315" spans="1:17" ht="13" hidden="1" x14ac:dyDescent="0.15">
      <c r="A315" s="10">
        <v>43190.535416076389</v>
      </c>
      <c r="B315" s="11" t="s">
        <v>857</v>
      </c>
      <c r="C315" s="11">
        <v>338</v>
      </c>
      <c r="D315" s="11" t="s">
        <v>858</v>
      </c>
      <c r="E315" s="11">
        <v>9847286765</v>
      </c>
      <c r="F315" s="11" t="s">
        <v>56</v>
      </c>
      <c r="G315" s="11" t="s">
        <v>276</v>
      </c>
      <c r="H315" s="11">
        <v>11</v>
      </c>
      <c r="I315" s="12">
        <v>43166</v>
      </c>
      <c r="J315" s="2">
        <v>3</v>
      </c>
      <c r="K315" s="11">
        <v>1157073012076</v>
      </c>
      <c r="L315" s="11" t="s">
        <v>859</v>
      </c>
      <c r="M315" s="11" t="s">
        <v>27</v>
      </c>
      <c r="N315" s="12">
        <v>43113</v>
      </c>
      <c r="O315" s="12">
        <v>43113</v>
      </c>
      <c r="P315" s="11">
        <v>3</v>
      </c>
      <c r="Q315" s="11" t="s">
        <v>857</v>
      </c>
    </row>
    <row r="316" spans="1:17" ht="13" x14ac:dyDescent="0.15">
      <c r="A316" s="10">
        <v>43190.586805335653</v>
      </c>
      <c r="B316" s="11" t="s">
        <v>22</v>
      </c>
      <c r="C316" s="11">
        <v>321</v>
      </c>
      <c r="D316" s="11" t="s">
        <v>861</v>
      </c>
      <c r="E316" s="11">
        <v>9388106363</v>
      </c>
      <c r="F316" s="11" t="s">
        <v>24</v>
      </c>
      <c r="G316" s="11" t="s">
        <v>101</v>
      </c>
      <c r="H316" s="11">
        <v>54</v>
      </c>
      <c r="I316" s="12">
        <v>43178</v>
      </c>
      <c r="J316" s="2">
        <v>3</v>
      </c>
      <c r="K316" s="11">
        <v>1145140003455</v>
      </c>
      <c r="L316" s="11" t="s">
        <v>462</v>
      </c>
      <c r="M316" s="11" t="s">
        <v>27</v>
      </c>
      <c r="N316" s="12">
        <v>43171</v>
      </c>
      <c r="O316" s="12">
        <v>43171</v>
      </c>
      <c r="P316" s="11">
        <v>3</v>
      </c>
      <c r="Q316" s="11" t="s">
        <v>22</v>
      </c>
    </row>
    <row r="317" spans="1:17" ht="13" hidden="1" x14ac:dyDescent="0.15">
      <c r="A317" s="10">
        <v>43190.645828402776</v>
      </c>
      <c r="B317" s="11" t="s">
        <v>862</v>
      </c>
      <c r="C317" s="11">
        <v>81</v>
      </c>
      <c r="D317" s="11" t="s">
        <v>863</v>
      </c>
      <c r="E317" s="11">
        <v>9846121789</v>
      </c>
      <c r="F317" s="11" t="s">
        <v>46</v>
      </c>
      <c r="G317" s="11" t="s">
        <v>36</v>
      </c>
      <c r="H317" s="11">
        <v>20</v>
      </c>
      <c r="I317" s="12">
        <v>43169</v>
      </c>
      <c r="J317" s="2">
        <v>3</v>
      </c>
      <c r="K317" s="11">
        <v>1165294001251</v>
      </c>
      <c r="L317" s="11" t="s">
        <v>864</v>
      </c>
      <c r="M317" s="11" t="s">
        <v>27</v>
      </c>
      <c r="N317" s="12">
        <v>43186</v>
      </c>
      <c r="O317" s="12">
        <v>43186</v>
      </c>
      <c r="P317" s="11">
        <v>3</v>
      </c>
      <c r="Q317" s="11" t="s">
        <v>862</v>
      </c>
    </row>
    <row r="318" spans="1:17" ht="13" x14ac:dyDescent="0.15">
      <c r="A318" s="10">
        <v>43190.68998354167</v>
      </c>
      <c r="B318" s="11" t="s">
        <v>22</v>
      </c>
      <c r="C318" s="11">
        <v>539</v>
      </c>
      <c r="D318" s="11" t="s">
        <v>865</v>
      </c>
      <c r="E318" s="11">
        <v>9388106363</v>
      </c>
      <c r="F318" s="11" t="s">
        <v>24</v>
      </c>
      <c r="G318" s="11" t="s">
        <v>101</v>
      </c>
      <c r="H318" s="11">
        <v>54</v>
      </c>
      <c r="I318" s="12">
        <v>43190</v>
      </c>
      <c r="J318" s="2">
        <v>5</v>
      </c>
      <c r="K318" s="11">
        <v>1145464030134</v>
      </c>
      <c r="L318" s="11" t="s">
        <v>602</v>
      </c>
      <c r="M318" s="11" t="s">
        <v>27</v>
      </c>
      <c r="N318" s="12">
        <v>43169</v>
      </c>
      <c r="O318" s="12">
        <v>43169</v>
      </c>
      <c r="P318" s="11">
        <v>5</v>
      </c>
      <c r="Q318" s="11" t="s">
        <v>22</v>
      </c>
    </row>
    <row r="319" spans="1:17" ht="13" hidden="1" x14ac:dyDescent="0.15">
      <c r="A319" s="10">
        <v>43190.69488505787</v>
      </c>
      <c r="B319" s="11" t="s">
        <v>303</v>
      </c>
      <c r="C319" s="11">
        <v>323</v>
      </c>
      <c r="D319" s="11" t="s">
        <v>866</v>
      </c>
      <c r="E319" s="11">
        <v>9847010462</v>
      </c>
      <c r="F319" s="11" t="s">
        <v>287</v>
      </c>
      <c r="G319" s="11" t="s">
        <v>280</v>
      </c>
      <c r="H319" s="11">
        <v>66</v>
      </c>
      <c r="I319" s="12">
        <v>43197</v>
      </c>
      <c r="J319" s="2">
        <v>5</v>
      </c>
      <c r="K319" s="11">
        <v>1166543016037</v>
      </c>
      <c r="L319" s="11" t="s">
        <v>867</v>
      </c>
      <c r="M319" s="11" t="s">
        <v>27</v>
      </c>
      <c r="N319" s="12">
        <v>43166</v>
      </c>
      <c r="O319" s="12">
        <v>43166</v>
      </c>
      <c r="P319" s="11">
        <v>5</v>
      </c>
      <c r="Q319" s="11" t="s">
        <v>303</v>
      </c>
    </row>
    <row r="320" spans="1:17" ht="13" hidden="1" x14ac:dyDescent="0.15">
      <c r="A320" s="10">
        <v>43190.703850092592</v>
      </c>
      <c r="B320" s="11" t="s">
        <v>303</v>
      </c>
      <c r="C320" s="11">
        <v>430</v>
      </c>
      <c r="D320" s="11" t="s">
        <v>868</v>
      </c>
      <c r="E320" s="11">
        <v>9633251931</v>
      </c>
      <c r="F320" s="11" t="s">
        <v>287</v>
      </c>
      <c r="G320" s="11" t="s">
        <v>280</v>
      </c>
      <c r="H320" s="11">
        <v>66</v>
      </c>
      <c r="I320" s="12">
        <v>43189</v>
      </c>
      <c r="J320" s="2">
        <v>3</v>
      </c>
      <c r="K320" s="11">
        <v>1166639015755</v>
      </c>
      <c r="L320" s="11" t="s">
        <v>869</v>
      </c>
      <c r="M320" s="11" t="s">
        <v>27</v>
      </c>
      <c r="N320" s="12">
        <v>43166</v>
      </c>
      <c r="O320" s="12">
        <v>43166</v>
      </c>
      <c r="P320" s="11">
        <v>3</v>
      </c>
      <c r="Q320" s="11" t="s">
        <v>303</v>
      </c>
    </row>
    <row r="321" spans="1:17" ht="13" hidden="1" x14ac:dyDescent="0.15">
      <c r="A321" s="10">
        <v>43190.732558969903</v>
      </c>
      <c r="B321" s="11" t="s">
        <v>382</v>
      </c>
      <c r="C321" s="11">
        <v>477</v>
      </c>
      <c r="D321" s="11" t="s">
        <v>870</v>
      </c>
      <c r="E321" s="11">
        <v>9387707733</v>
      </c>
      <c r="F321" s="11" t="s">
        <v>266</v>
      </c>
      <c r="G321" s="11" t="s">
        <v>384</v>
      </c>
      <c r="H321" s="11">
        <v>4</v>
      </c>
      <c r="I321" s="12">
        <v>43185</v>
      </c>
      <c r="J321" s="2">
        <v>5</v>
      </c>
      <c r="K321" s="11">
        <v>1165970015904</v>
      </c>
      <c r="L321" s="11" t="s">
        <v>872</v>
      </c>
      <c r="M321" s="11" t="s">
        <v>27</v>
      </c>
      <c r="N321" s="12">
        <v>43186</v>
      </c>
      <c r="O321" s="12">
        <v>43186</v>
      </c>
      <c r="P321" s="11">
        <v>5</v>
      </c>
      <c r="Q321" s="11" t="s">
        <v>382</v>
      </c>
    </row>
    <row r="322" spans="1:17" ht="13" hidden="1" x14ac:dyDescent="0.15">
      <c r="A322" s="10">
        <v>43192.413307604162</v>
      </c>
      <c r="B322" s="11" t="s">
        <v>873</v>
      </c>
      <c r="C322" s="11">
        <v>483</v>
      </c>
      <c r="D322" s="11" t="s">
        <v>874</v>
      </c>
      <c r="E322" s="11">
        <v>9846576545</v>
      </c>
      <c r="F322" s="11" t="s">
        <v>35</v>
      </c>
      <c r="G322" s="11" t="s">
        <v>280</v>
      </c>
      <c r="H322" s="11">
        <v>66</v>
      </c>
      <c r="I322" s="12">
        <v>43192</v>
      </c>
      <c r="J322" s="2">
        <v>3</v>
      </c>
      <c r="K322" s="11">
        <v>1155737011436</v>
      </c>
      <c r="L322" s="11" t="s">
        <v>875</v>
      </c>
      <c r="M322" s="11" t="s">
        <v>27</v>
      </c>
      <c r="N322" s="12">
        <v>43182</v>
      </c>
      <c r="O322" s="12">
        <v>43182</v>
      </c>
      <c r="P322" s="11">
        <v>3</v>
      </c>
      <c r="Q322" s="11" t="s">
        <v>873</v>
      </c>
    </row>
    <row r="323" spans="1:17" ht="13" hidden="1" x14ac:dyDescent="0.15">
      <c r="A323" s="10">
        <v>43192.445744918979</v>
      </c>
      <c r="B323" s="11" t="s">
        <v>876</v>
      </c>
      <c r="C323" s="11">
        <v>482</v>
      </c>
      <c r="D323" s="11" t="s">
        <v>877</v>
      </c>
      <c r="E323" s="11">
        <v>8943235466</v>
      </c>
      <c r="F323" s="11" t="s">
        <v>35</v>
      </c>
      <c r="G323" s="11" t="s">
        <v>280</v>
      </c>
      <c r="H323" s="11">
        <v>66</v>
      </c>
      <c r="I323" s="12">
        <v>43192</v>
      </c>
      <c r="J323" s="2">
        <v>3</v>
      </c>
      <c r="K323" s="11">
        <v>1157317000716</v>
      </c>
      <c r="L323" s="11" t="s">
        <v>878</v>
      </c>
      <c r="M323" s="11" t="s">
        <v>27</v>
      </c>
      <c r="N323" s="12">
        <v>43181</v>
      </c>
      <c r="O323" s="12">
        <v>43181</v>
      </c>
      <c r="P323" s="11">
        <v>3</v>
      </c>
      <c r="Q323" s="11" t="s">
        <v>876</v>
      </c>
    </row>
    <row r="324" spans="1:17" ht="13" hidden="1" x14ac:dyDescent="0.15">
      <c r="A324" s="10">
        <v>43192.486806261571</v>
      </c>
      <c r="B324" s="11" t="s">
        <v>879</v>
      </c>
      <c r="C324" s="11">
        <v>588</v>
      </c>
      <c r="D324" s="11" t="s">
        <v>880</v>
      </c>
      <c r="E324" s="11">
        <v>9995275186</v>
      </c>
      <c r="F324" s="11" t="s">
        <v>35</v>
      </c>
      <c r="G324" s="11" t="s">
        <v>280</v>
      </c>
      <c r="H324" s="11">
        <v>66</v>
      </c>
      <c r="I324" s="12">
        <v>43192</v>
      </c>
      <c r="J324" s="2">
        <v>3</v>
      </c>
      <c r="K324" s="11">
        <v>1155641005273</v>
      </c>
      <c r="L324" s="11" t="s">
        <v>881</v>
      </c>
      <c r="M324" s="11" t="s">
        <v>27</v>
      </c>
      <c r="N324" s="12">
        <v>43190</v>
      </c>
      <c r="O324" s="12">
        <v>43190</v>
      </c>
      <c r="P324" s="11">
        <v>3</v>
      </c>
      <c r="Q324" s="11" t="s">
        <v>879</v>
      </c>
    </row>
    <row r="325" spans="1:17" ht="13" hidden="1" x14ac:dyDescent="0.15">
      <c r="A325" s="10">
        <v>43192.508160972226</v>
      </c>
      <c r="B325" s="11" t="s">
        <v>882</v>
      </c>
      <c r="C325" s="11">
        <v>531</v>
      </c>
      <c r="D325" s="11" t="s">
        <v>883</v>
      </c>
      <c r="E325" s="11">
        <v>9387894381</v>
      </c>
      <c r="F325" s="11" t="s">
        <v>35</v>
      </c>
      <c r="G325" s="11" t="s">
        <v>280</v>
      </c>
      <c r="H325" s="11">
        <v>66</v>
      </c>
      <c r="I325" s="12">
        <v>43192</v>
      </c>
      <c r="J325" s="2">
        <v>3</v>
      </c>
      <c r="K325" s="11">
        <v>1155433010997</v>
      </c>
      <c r="L325" s="11" t="s">
        <v>884</v>
      </c>
      <c r="M325" s="11" t="s">
        <v>27</v>
      </c>
      <c r="N325" s="12">
        <v>43178</v>
      </c>
      <c r="O325" s="12">
        <v>43178</v>
      </c>
      <c r="P325" s="11">
        <v>3</v>
      </c>
      <c r="Q325" s="11" t="s">
        <v>882</v>
      </c>
    </row>
    <row r="326" spans="1:17" ht="13" hidden="1" x14ac:dyDescent="0.15">
      <c r="A326" s="10">
        <v>43192.511067893516</v>
      </c>
      <c r="B326" s="11" t="s">
        <v>885</v>
      </c>
      <c r="C326" s="11">
        <v>692</v>
      </c>
      <c r="D326" s="11" t="s">
        <v>886</v>
      </c>
      <c r="E326" s="11">
        <v>954979006</v>
      </c>
      <c r="F326" s="11" t="s">
        <v>35</v>
      </c>
      <c r="G326" s="11" t="s">
        <v>280</v>
      </c>
      <c r="H326" s="11">
        <v>66</v>
      </c>
      <c r="I326" s="12">
        <v>43192</v>
      </c>
      <c r="J326" s="2">
        <v>3</v>
      </c>
      <c r="K326" s="11">
        <v>1155476027330</v>
      </c>
      <c r="L326" s="11" t="s">
        <v>887</v>
      </c>
      <c r="M326" s="11" t="s">
        <v>27</v>
      </c>
      <c r="N326" s="12">
        <v>43120</v>
      </c>
      <c r="O326" s="12">
        <v>43120</v>
      </c>
      <c r="P326" s="11">
        <v>3</v>
      </c>
      <c r="Q326" s="11" t="s">
        <v>885</v>
      </c>
    </row>
    <row r="327" spans="1:17" ht="13" hidden="1" x14ac:dyDescent="0.15">
      <c r="A327" s="10">
        <v>43192.513605567132</v>
      </c>
      <c r="B327" s="11" t="s">
        <v>888</v>
      </c>
      <c r="C327" s="11">
        <v>590</v>
      </c>
      <c r="D327" s="11" t="s">
        <v>889</v>
      </c>
      <c r="E327" s="11">
        <v>8943037840</v>
      </c>
      <c r="F327" s="11" t="s">
        <v>35</v>
      </c>
      <c r="G327" s="11" t="s">
        <v>280</v>
      </c>
      <c r="H327" s="11">
        <v>66</v>
      </c>
      <c r="I327" s="12">
        <v>43192</v>
      </c>
      <c r="J327" s="2">
        <v>3</v>
      </c>
      <c r="K327" s="11">
        <v>1155955013672</v>
      </c>
      <c r="L327" s="11" t="s">
        <v>890</v>
      </c>
      <c r="M327" s="11" t="s">
        <v>27</v>
      </c>
      <c r="N327" s="12">
        <v>43185</v>
      </c>
      <c r="O327" s="12">
        <v>43185</v>
      </c>
      <c r="P327" s="11">
        <v>3</v>
      </c>
      <c r="Q327" s="11" t="s">
        <v>888</v>
      </c>
    </row>
    <row r="328" spans="1:17" ht="13" x14ac:dyDescent="0.15">
      <c r="A328" s="10">
        <v>43192.722800243057</v>
      </c>
      <c r="B328" s="11" t="s">
        <v>379</v>
      </c>
      <c r="C328" s="11">
        <v>194</v>
      </c>
      <c r="D328" s="11" t="s">
        <v>891</v>
      </c>
      <c r="E328" s="11">
        <v>9061536777</v>
      </c>
      <c r="F328" s="11" t="s">
        <v>24</v>
      </c>
      <c r="G328" s="11" t="s">
        <v>276</v>
      </c>
      <c r="H328" s="11">
        <v>11</v>
      </c>
      <c r="I328" s="12">
        <v>43182</v>
      </c>
      <c r="J328" s="2">
        <v>3</v>
      </c>
      <c r="K328" s="11">
        <v>1145177013462</v>
      </c>
      <c r="L328" s="11" t="s">
        <v>741</v>
      </c>
      <c r="M328" s="11" t="s">
        <v>27</v>
      </c>
      <c r="N328" s="12">
        <v>43192</v>
      </c>
      <c r="O328" s="12">
        <v>43192</v>
      </c>
      <c r="P328" s="11">
        <v>3</v>
      </c>
      <c r="Q328" s="11" t="s">
        <v>379</v>
      </c>
    </row>
    <row r="329" spans="1:17" ht="13" x14ac:dyDescent="0.15">
      <c r="A329" s="10">
        <v>43193.498762303236</v>
      </c>
      <c r="B329" s="11" t="s">
        <v>50</v>
      </c>
      <c r="C329" s="11">
        <v>401</v>
      </c>
      <c r="D329" s="11" t="s">
        <v>892</v>
      </c>
      <c r="E329" s="11">
        <v>7034322221</v>
      </c>
      <c r="F329" s="11" t="s">
        <v>24</v>
      </c>
      <c r="G329" s="11" t="s">
        <v>369</v>
      </c>
      <c r="H329" s="11">
        <v>38</v>
      </c>
      <c r="I329" s="12">
        <v>43193</v>
      </c>
      <c r="J329" s="2">
        <v>3</v>
      </c>
      <c r="K329" s="11">
        <v>1145302007832</v>
      </c>
      <c r="L329" s="11" t="s">
        <v>893</v>
      </c>
      <c r="M329" s="11" t="s">
        <v>27</v>
      </c>
      <c r="N329" s="12">
        <v>43179</v>
      </c>
      <c r="O329" s="12">
        <v>43179</v>
      </c>
      <c r="P329" s="11">
        <v>3</v>
      </c>
      <c r="Q329" s="11" t="s">
        <v>50</v>
      </c>
    </row>
    <row r="330" spans="1:17" ht="13" x14ac:dyDescent="0.15">
      <c r="A330" s="10">
        <v>43193.503310023152</v>
      </c>
      <c r="B330" s="11" t="s">
        <v>22</v>
      </c>
      <c r="C330" s="11">
        <v>580</v>
      </c>
      <c r="D330" s="11" t="s">
        <v>894</v>
      </c>
      <c r="E330" s="11">
        <v>9388106363</v>
      </c>
      <c r="F330" s="11" t="s">
        <v>24</v>
      </c>
      <c r="G330" s="11" t="s">
        <v>101</v>
      </c>
      <c r="H330" s="11">
        <v>54</v>
      </c>
      <c r="I330" s="12">
        <v>43193</v>
      </c>
      <c r="J330" s="2">
        <v>3</v>
      </c>
      <c r="K330" s="11">
        <v>1145115018573</v>
      </c>
      <c r="L330" s="11" t="s">
        <v>627</v>
      </c>
      <c r="M330" s="11" t="s">
        <v>27</v>
      </c>
      <c r="N330" s="12">
        <v>43177</v>
      </c>
      <c r="O330" s="12">
        <v>43177</v>
      </c>
      <c r="P330" s="11">
        <v>3</v>
      </c>
      <c r="Q330" s="11" t="s">
        <v>22</v>
      </c>
    </row>
    <row r="331" spans="1:17" ht="13" x14ac:dyDescent="0.15">
      <c r="A331" s="10">
        <v>43193.507330428241</v>
      </c>
      <c r="B331" s="11" t="s">
        <v>382</v>
      </c>
      <c r="C331" s="11">
        <v>802</v>
      </c>
      <c r="D331" s="11" t="s">
        <v>895</v>
      </c>
      <c r="E331" s="11">
        <v>9387707733</v>
      </c>
      <c r="F331" s="11" t="s">
        <v>24</v>
      </c>
      <c r="G331" s="11" t="s">
        <v>384</v>
      </c>
      <c r="H331" s="11">
        <v>4</v>
      </c>
      <c r="I331" s="12">
        <v>43193</v>
      </c>
      <c r="J331" s="2">
        <v>2</v>
      </c>
      <c r="K331" s="11">
        <v>1145183016703</v>
      </c>
      <c r="L331" s="11" t="s">
        <v>264</v>
      </c>
      <c r="M331" s="11" t="s">
        <v>27</v>
      </c>
      <c r="N331" s="12">
        <v>43186</v>
      </c>
      <c r="O331" s="12">
        <v>43186</v>
      </c>
      <c r="P331" s="11">
        <v>2</v>
      </c>
      <c r="Q331" s="11" t="s">
        <v>382</v>
      </c>
    </row>
    <row r="332" spans="1:17" ht="13" x14ac:dyDescent="0.15">
      <c r="A332" s="10">
        <v>43193.514182037034</v>
      </c>
      <c r="B332" s="11" t="s">
        <v>382</v>
      </c>
      <c r="C332" s="11">
        <v>800</v>
      </c>
      <c r="D332" s="11" t="s">
        <v>897</v>
      </c>
      <c r="E332" s="11">
        <v>9387707733</v>
      </c>
      <c r="F332" s="11" t="s">
        <v>24</v>
      </c>
      <c r="G332" s="11" t="s">
        <v>384</v>
      </c>
      <c r="H332" s="11">
        <v>4</v>
      </c>
      <c r="I332" s="12">
        <v>43193</v>
      </c>
      <c r="J332" s="2">
        <v>2</v>
      </c>
      <c r="K332" s="11">
        <v>1145183012822</v>
      </c>
      <c r="L332" s="11" t="s">
        <v>264</v>
      </c>
      <c r="M332" s="11" t="s">
        <v>27</v>
      </c>
      <c r="N332" s="12">
        <v>43186</v>
      </c>
      <c r="O332" s="12">
        <v>43186</v>
      </c>
      <c r="P332" s="11">
        <v>2</v>
      </c>
      <c r="Q332" s="11" t="s">
        <v>382</v>
      </c>
    </row>
    <row r="333" spans="1:17" ht="13" x14ac:dyDescent="0.15">
      <c r="A333" s="10">
        <v>43193.723779259264</v>
      </c>
      <c r="B333" s="11" t="s">
        <v>22</v>
      </c>
      <c r="C333" s="11">
        <v>826</v>
      </c>
      <c r="D333" s="11" t="s">
        <v>898</v>
      </c>
      <c r="E333" s="11">
        <v>9388106363</v>
      </c>
      <c r="F333" s="11" t="s">
        <v>24</v>
      </c>
      <c r="G333" s="11" t="s">
        <v>101</v>
      </c>
      <c r="H333" s="11">
        <v>54</v>
      </c>
      <c r="I333" s="12">
        <v>43193</v>
      </c>
      <c r="J333" s="2">
        <v>3</v>
      </c>
      <c r="K333" s="11">
        <v>5596</v>
      </c>
      <c r="L333" s="11" t="s">
        <v>381</v>
      </c>
      <c r="M333" s="11" t="s">
        <v>27</v>
      </c>
      <c r="N333" s="12">
        <v>43186</v>
      </c>
      <c r="O333" s="12">
        <v>43186</v>
      </c>
      <c r="P333" s="11">
        <v>3</v>
      </c>
      <c r="Q333" s="11" t="s">
        <v>22</v>
      </c>
    </row>
    <row r="334" spans="1:17" ht="13" hidden="1" x14ac:dyDescent="0.15">
      <c r="A334" s="10">
        <v>43193.783601840274</v>
      </c>
      <c r="B334" s="11" t="s">
        <v>899</v>
      </c>
      <c r="C334" s="11">
        <v>312</v>
      </c>
      <c r="D334" s="11" t="s">
        <v>900</v>
      </c>
      <c r="E334" s="11">
        <v>9447745446</v>
      </c>
      <c r="F334" s="11" t="s">
        <v>270</v>
      </c>
      <c r="G334" s="11" t="s">
        <v>901</v>
      </c>
      <c r="H334" s="11">
        <v>20</v>
      </c>
      <c r="I334" s="12">
        <v>43176</v>
      </c>
      <c r="J334" s="2">
        <v>5</v>
      </c>
      <c r="K334" s="11">
        <v>1156181028646</v>
      </c>
      <c r="L334" s="11" t="s">
        <v>902</v>
      </c>
      <c r="M334" s="11" t="s">
        <v>27</v>
      </c>
      <c r="N334" s="12">
        <v>43175</v>
      </c>
      <c r="O334" s="12">
        <v>43175</v>
      </c>
      <c r="P334" s="11">
        <v>5</v>
      </c>
      <c r="Q334" s="11" t="s">
        <v>899</v>
      </c>
    </row>
    <row r="335" spans="1:17" ht="13" hidden="1" x14ac:dyDescent="0.15">
      <c r="A335" s="10">
        <v>43194.495692662036</v>
      </c>
      <c r="B335" s="11" t="s">
        <v>903</v>
      </c>
      <c r="C335" s="11">
        <v>637</v>
      </c>
      <c r="D335" s="11" t="s">
        <v>904</v>
      </c>
      <c r="E335" s="11">
        <v>9562233099</v>
      </c>
      <c r="F335" s="11" t="s">
        <v>56</v>
      </c>
      <c r="G335" s="11" t="s">
        <v>134</v>
      </c>
      <c r="H335" s="11">
        <v>47</v>
      </c>
      <c r="I335" s="12">
        <v>43193</v>
      </c>
      <c r="J335" s="2">
        <v>3</v>
      </c>
      <c r="K335" s="11">
        <v>1157495008090</v>
      </c>
      <c r="L335" s="11" t="s">
        <v>905</v>
      </c>
      <c r="M335" s="11" t="s">
        <v>27</v>
      </c>
      <c r="N335" s="12">
        <v>43191</v>
      </c>
      <c r="O335" s="12">
        <v>43193</v>
      </c>
      <c r="P335" s="11">
        <v>3</v>
      </c>
      <c r="Q335" s="11" t="s">
        <v>903</v>
      </c>
    </row>
    <row r="336" spans="1:17" ht="13" hidden="1" x14ac:dyDescent="0.15">
      <c r="A336" s="10">
        <v>43194.518782534724</v>
      </c>
      <c r="B336" s="11" t="s">
        <v>906</v>
      </c>
      <c r="C336" s="11">
        <v>727</v>
      </c>
      <c r="D336" s="11" t="s">
        <v>907</v>
      </c>
      <c r="E336" s="11">
        <v>9847033388</v>
      </c>
      <c r="F336" s="11" t="s">
        <v>40</v>
      </c>
      <c r="G336" s="11" t="s">
        <v>908</v>
      </c>
      <c r="H336" s="11">
        <v>20</v>
      </c>
      <c r="I336" s="12">
        <v>43193</v>
      </c>
      <c r="J336" s="2">
        <v>15</v>
      </c>
      <c r="K336" s="11">
        <v>1155020002645</v>
      </c>
      <c r="L336" s="11">
        <v>5502</v>
      </c>
      <c r="M336" s="11" t="s">
        <v>27</v>
      </c>
      <c r="N336" s="12">
        <v>43180</v>
      </c>
      <c r="O336" s="12">
        <v>43180</v>
      </c>
      <c r="P336" s="11">
        <v>15</v>
      </c>
      <c r="Q336" s="11" t="s">
        <v>906</v>
      </c>
    </row>
    <row r="337" spans="1:17" ht="13" hidden="1" x14ac:dyDescent="0.15">
      <c r="A337" s="10">
        <v>43194.522533912037</v>
      </c>
      <c r="B337" s="11" t="s">
        <v>909</v>
      </c>
      <c r="C337" s="11">
        <v>219</v>
      </c>
      <c r="D337" s="11" t="s">
        <v>910</v>
      </c>
      <c r="E337" s="11">
        <v>9847301733</v>
      </c>
      <c r="F337" s="11" t="s">
        <v>40</v>
      </c>
      <c r="G337" s="11" t="s">
        <v>908</v>
      </c>
      <c r="H337" s="11">
        <v>20</v>
      </c>
      <c r="I337" s="12">
        <v>43185</v>
      </c>
      <c r="J337" s="2">
        <v>5</v>
      </c>
      <c r="K337" s="11">
        <v>1155013014495</v>
      </c>
      <c r="L337" s="11">
        <v>5501</v>
      </c>
      <c r="M337" s="11" t="s">
        <v>27</v>
      </c>
      <c r="N337" s="12">
        <v>43159</v>
      </c>
      <c r="O337" s="12">
        <v>43159</v>
      </c>
      <c r="P337" s="11">
        <v>5</v>
      </c>
      <c r="Q337" s="11" t="s">
        <v>909</v>
      </c>
    </row>
    <row r="338" spans="1:17" ht="13" hidden="1" x14ac:dyDescent="0.15">
      <c r="A338" s="10">
        <v>43194.52527489583</v>
      </c>
      <c r="B338" s="11" t="s">
        <v>909</v>
      </c>
      <c r="C338" s="11">
        <v>216</v>
      </c>
      <c r="D338" s="11" t="s">
        <v>911</v>
      </c>
      <c r="E338" s="11">
        <v>9446419023</v>
      </c>
      <c r="F338" s="11" t="s">
        <v>40</v>
      </c>
      <c r="G338" s="11" t="s">
        <v>908</v>
      </c>
      <c r="H338" s="11">
        <v>20</v>
      </c>
      <c r="I338" s="12">
        <v>43159</v>
      </c>
      <c r="J338" s="2">
        <v>5</v>
      </c>
      <c r="K338" s="11">
        <v>1155011028854</v>
      </c>
      <c r="L338" s="11">
        <v>5502</v>
      </c>
      <c r="M338" s="11" t="s">
        <v>27</v>
      </c>
      <c r="N338" s="12">
        <v>43159</v>
      </c>
      <c r="O338" s="12">
        <v>43159</v>
      </c>
      <c r="P338" s="11">
        <v>5</v>
      </c>
      <c r="Q338" s="11" t="s">
        <v>909</v>
      </c>
    </row>
    <row r="339" spans="1:17" ht="13" hidden="1" x14ac:dyDescent="0.15">
      <c r="A339" s="10">
        <v>43194.531129837967</v>
      </c>
      <c r="B339" s="11" t="s">
        <v>909</v>
      </c>
      <c r="C339" s="11">
        <v>587</v>
      </c>
      <c r="D339" s="11" t="s">
        <v>912</v>
      </c>
      <c r="E339" s="11">
        <v>9447163009</v>
      </c>
      <c r="F339" s="11" t="s">
        <v>40</v>
      </c>
      <c r="G339" s="11" t="s">
        <v>908</v>
      </c>
      <c r="H339" s="11">
        <v>20</v>
      </c>
      <c r="I339" s="12">
        <v>43172</v>
      </c>
      <c r="J339" s="2">
        <v>3</v>
      </c>
      <c r="K339" s="11">
        <v>1155024009118</v>
      </c>
      <c r="L339" s="11">
        <v>5502</v>
      </c>
      <c r="M339" s="11" t="s">
        <v>27</v>
      </c>
      <c r="N339" s="12">
        <v>43172</v>
      </c>
      <c r="O339" s="12">
        <v>43172</v>
      </c>
      <c r="P339" s="11">
        <v>5</v>
      </c>
      <c r="Q339" s="11" t="s">
        <v>909</v>
      </c>
    </row>
    <row r="340" spans="1:17" ht="13" hidden="1" x14ac:dyDescent="0.15">
      <c r="A340" s="10">
        <v>43194.543213657409</v>
      </c>
      <c r="B340" s="11" t="s">
        <v>913</v>
      </c>
      <c r="C340" s="11">
        <v>745</v>
      </c>
      <c r="D340" s="11" t="s">
        <v>914</v>
      </c>
      <c r="E340" s="11">
        <v>9142099977</v>
      </c>
      <c r="F340" s="11" t="s">
        <v>35</v>
      </c>
      <c r="G340" s="11" t="s">
        <v>916</v>
      </c>
      <c r="H340" s="11">
        <v>14</v>
      </c>
      <c r="I340" s="12">
        <v>43222</v>
      </c>
      <c r="J340" s="2">
        <v>10</v>
      </c>
      <c r="K340" s="11">
        <v>1155428008105</v>
      </c>
      <c r="L340" s="11" t="s">
        <v>917</v>
      </c>
      <c r="M340" s="11" t="s">
        <v>27</v>
      </c>
      <c r="N340" s="12">
        <v>43194</v>
      </c>
      <c r="O340" s="12">
        <v>43194</v>
      </c>
      <c r="P340" s="11">
        <v>10</v>
      </c>
      <c r="Q340" s="11" t="s">
        <v>176</v>
      </c>
    </row>
    <row r="341" spans="1:17" ht="13" hidden="1" x14ac:dyDescent="0.15">
      <c r="A341" s="10">
        <v>43194.595444664352</v>
      </c>
      <c r="B341" s="11" t="s">
        <v>469</v>
      </c>
      <c r="C341" s="11">
        <v>496</v>
      </c>
      <c r="D341" s="11" t="s">
        <v>918</v>
      </c>
      <c r="E341" s="11">
        <v>9388144144</v>
      </c>
      <c r="F341" s="11" t="s">
        <v>30</v>
      </c>
      <c r="G341" s="11" t="s">
        <v>772</v>
      </c>
      <c r="H341" s="11">
        <v>48</v>
      </c>
      <c r="I341" s="12">
        <v>43171</v>
      </c>
      <c r="J341" s="2">
        <v>3</v>
      </c>
      <c r="K341" s="11">
        <v>1156566024581</v>
      </c>
      <c r="L341" s="11" t="s">
        <v>919</v>
      </c>
      <c r="M341" s="11" t="s">
        <v>27</v>
      </c>
      <c r="N341" s="12">
        <v>43194</v>
      </c>
      <c r="O341" s="12">
        <v>43194</v>
      </c>
      <c r="P341" s="11">
        <v>3</v>
      </c>
      <c r="Q341" s="11" t="s">
        <v>469</v>
      </c>
    </row>
    <row r="342" spans="1:17" ht="13" hidden="1" x14ac:dyDescent="0.15">
      <c r="A342" s="10">
        <v>43194.631985636574</v>
      </c>
      <c r="B342" s="11" t="s">
        <v>469</v>
      </c>
      <c r="C342" s="11">
        <v>497</v>
      </c>
      <c r="D342" s="11" t="s">
        <v>920</v>
      </c>
      <c r="E342" s="11">
        <v>9388155155</v>
      </c>
      <c r="F342" s="11" t="s">
        <v>30</v>
      </c>
      <c r="G342" s="11" t="s">
        <v>772</v>
      </c>
      <c r="H342" s="11">
        <v>48</v>
      </c>
      <c r="I342" s="12">
        <v>43171</v>
      </c>
      <c r="J342" s="2">
        <v>3</v>
      </c>
      <c r="K342" s="11">
        <v>1156391011145</v>
      </c>
      <c r="L342" s="11" t="s">
        <v>921</v>
      </c>
      <c r="M342" s="11" t="s">
        <v>27</v>
      </c>
      <c r="N342" s="12">
        <v>43194</v>
      </c>
      <c r="O342" s="12">
        <v>43194</v>
      </c>
      <c r="P342" s="11">
        <v>3</v>
      </c>
      <c r="Q342" s="11" t="s">
        <v>469</v>
      </c>
    </row>
    <row r="343" spans="1:17" ht="13" hidden="1" x14ac:dyDescent="0.15">
      <c r="A343" s="10">
        <v>43194.686808425926</v>
      </c>
      <c r="B343" s="11" t="s">
        <v>303</v>
      </c>
      <c r="C343" s="11">
        <v>605</v>
      </c>
      <c r="D343" s="11" t="s">
        <v>922</v>
      </c>
      <c r="E343" s="11">
        <v>9495334009</v>
      </c>
      <c r="F343" s="11" t="s">
        <v>56</v>
      </c>
      <c r="G343" s="11" t="s">
        <v>280</v>
      </c>
      <c r="H343" s="11">
        <v>66</v>
      </c>
      <c r="I343" s="12">
        <v>43185</v>
      </c>
      <c r="J343" s="2">
        <v>5</v>
      </c>
      <c r="K343" s="11">
        <v>1156281012</v>
      </c>
      <c r="L343" s="11" t="s">
        <v>923</v>
      </c>
      <c r="M343" s="11" t="s">
        <v>27</v>
      </c>
      <c r="N343" s="12">
        <v>43179</v>
      </c>
      <c r="O343" s="12">
        <v>43179</v>
      </c>
      <c r="P343" s="11">
        <v>5</v>
      </c>
      <c r="Q343" s="11" t="s">
        <v>303</v>
      </c>
    </row>
    <row r="344" spans="1:17" ht="13" x14ac:dyDescent="0.15">
      <c r="A344" s="10">
        <v>43195.33716033565</v>
      </c>
      <c r="B344" s="11" t="s">
        <v>924</v>
      </c>
      <c r="C344" s="11">
        <v>331</v>
      </c>
      <c r="D344" s="11" t="s">
        <v>925</v>
      </c>
      <c r="E344" s="11">
        <v>9645078974</v>
      </c>
      <c r="F344" s="11" t="s">
        <v>24</v>
      </c>
      <c r="G344" s="11" t="s">
        <v>183</v>
      </c>
      <c r="H344" s="11">
        <v>56</v>
      </c>
      <c r="I344" s="12">
        <v>43192</v>
      </c>
      <c r="J344" s="2">
        <v>40</v>
      </c>
      <c r="K344" s="11">
        <v>1345200031301</v>
      </c>
      <c r="L344" s="11" t="s">
        <v>926</v>
      </c>
      <c r="M344" s="11" t="s">
        <v>27</v>
      </c>
      <c r="N344" s="12">
        <v>43185</v>
      </c>
      <c r="O344" s="12">
        <v>43185</v>
      </c>
      <c r="P344" s="11">
        <v>40</v>
      </c>
      <c r="Q344" s="11" t="s">
        <v>927</v>
      </c>
    </row>
    <row r="345" spans="1:17" ht="13" x14ac:dyDescent="0.15">
      <c r="A345" s="10">
        <v>43195.351232893518</v>
      </c>
      <c r="B345" s="11" t="s">
        <v>928</v>
      </c>
      <c r="C345" s="11">
        <v>364</v>
      </c>
      <c r="D345" s="11" t="s">
        <v>929</v>
      </c>
      <c r="E345" s="11">
        <v>8136844330</v>
      </c>
      <c r="F345" s="11" t="s">
        <v>24</v>
      </c>
      <c r="G345" s="11" t="s">
        <v>183</v>
      </c>
      <c r="H345" s="11">
        <v>56</v>
      </c>
      <c r="I345" s="12">
        <v>43183</v>
      </c>
      <c r="J345" s="2">
        <v>3</v>
      </c>
      <c r="K345" s="11">
        <v>1145062005593</v>
      </c>
      <c r="L345" s="11" t="s">
        <v>930</v>
      </c>
      <c r="M345" s="11" t="s">
        <v>27</v>
      </c>
      <c r="N345" s="12">
        <v>43166</v>
      </c>
      <c r="O345" s="12">
        <v>43166</v>
      </c>
      <c r="P345" s="11">
        <v>3</v>
      </c>
      <c r="Q345" s="11" t="s">
        <v>931</v>
      </c>
    </row>
    <row r="346" spans="1:17" ht="13" hidden="1" x14ac:dyDescent="0.15">
      <c r="A346" s="10">
        <v>43195.354570682874</v>
      </c>
      <c r="B346" s="11" t="s">
        <v>932</v>
      </c>
      <c r="C346" s="11">
        <v>506</v>
      </c>
      <c r="D346" s="11" t="s">
        <v>933</v>
      </c>
      <c r="E346" s="11">
        <v>9544824472</v>
      </c>
      <c r="F346" s="11" t="s">
        <v>40</v>
      </c>
      <c r="G346" s="11" t="s">
        <v>183</v>
      </c>
      <c r="H346" s="11">
        <v>56</v>
      </c>
      <c r="I346" s="12">
        <v>43176</v>
      </c>
      <c r="J346" s="2">
        <v>3</v>
      </c>
      <c r="K346" s="11">
        <v>116655230010659</v>
      </c>
      <c r="L346" s="11" t="s">
        <v>934</v>
      </c>
      <c r="M346" s="11" t="s">
        <v>27</v>
      </c>
      <c r="N346" s="12">
        <v>43209</v>
      </c>
      <c r="O346" s="12">
        <v>43209</v>
      </c>
      <c r="P346" s="11">
        <v>3</v>
      </c>
      <c r="Q346" s="11" t="s">
        <v>932</v>
      </c>
    </row>
    <row r="347" spans="1:17" ht="13" x14ac:dyDescent="0.15">
      <c r="A347" s="10">
        <v>43195.374726562499</v>
      </c>
      <c r="B347" s="11" t="s">
        <v>935</v>
      </c>
      <c r="C347" s="11">
        <v>376</v>
      </c>
      <c r="D347" s="11" t="s">
        <v>936</v>
      </c>
      <c r="E347" s="11">
        <v>9497542179</v>
      </c>
      <c r="F347" s="11" t="s">
        <v>24</v>
      </c>
      <c r="G347" s="11" t="s">
        <v>183</v>
      </c>
      <c r="H347" s="11">
        <v>56</v>
      </c>
      <c r="I347" s="12">
        <v>43192</v>
      </c>
      <c r="J347" s="2">
        <v>5</v>
      </c>
      <c r="K347" s="11">
        <v>1145024017378</v>
      </c>
      <c r="L347" s="11" t="s">
        <v>937</v>
      </c>
      <c r="M347" s="11" t="s">
        <v>27</v>
      </c>
      <c r="N347" s="12">
        <v>43168</v>
      </c>
      <c r="O347" s="12">
        <v>43168</v>
      </c>
      <c r="P347" s="11">
        <v>5</v>
      </c>
      <c r="Q347" s="11" t="s">
        <v>935</v>
      </c>
    </row>
    <row r="348" spans="1:17" ht="13" hidden="1" x14ac:dyDescent="0.15">
      <c r="A348" s="10">
        <v>43195.377402627317</v>
      </c>
      <c r="B348" s="11" t="s">
        <v>932</v>
      </c>
      <c r="C348" s="11">
        <v>707</v>
      </c>
      <c r="D348" s="11" t="s">
        <v>938</v>
      </c>
      <c r="E348" s="11">
        <v>9645078974</v>
      </c>
      <c r="F348" s="11" t="s">
        <v>35</v>
      </c>
      <c r="G348" s="11" t="s">
        <v>183</v>
      </c>
      <c r="H348" s="11">
        <v>56</v>
      </c>
      <c r="I348" s="12">
        <v>43188</v>
      </c>
      <c r="J348" s="2">
        <v>3</v>
      </c>
      <c r="K348" s="11">
        <v>1155561009677</v>
      </c>
      <c r="L348" s="11" t="s">
        <v>837</v>
      </c>
      <c r="M348" s="11" t="s">
        <v>27</v>
      </c>
      <c r="N348" s="12">
        <v>43179</v>
      </c>
      <c r="O348" s="12">
        <v>43179</v>
      </c>
      <c r="P348" s="11">
        <v>3</v>
      </c>
      <c r="Q348" s="11" t="s">
        <v>932</v>
      </c>
    </row>
    <row r="349" spans="1:17" ht="13" hidden="1" x14ac:dyDescent="0.15">
      <c r="A349" s="10">
        <v>43195.612216979163</v>
      </c>
      <c r="B349" s="11" t="s">
        <v>939</v>
      </c>
      <c r="C349" s="11">
        <v>551</v>
      </c>
      <c r="D349" s="11" t="s">
        <v>940</v>
      </c>
      <c r="E349" s="11">
        <v>9447132290</v>
      </c>
      <c r="F349" s="11" t="s">
        <v>46</v>
      </c>
      <c r="G349" s="11" t="s">
        <v>942</v>
      </c>
      <c r="H349" s="11">
        <v>11</v>
      </c>
      <c r="I349" s="12">
        <v>43195</v>
      </c>
      <c r="J349" s="2">
        <v>3</v>
      </c>
      <c r="K349" s="11">
        <v>1165173001012</v>
      </c>
      <c r="L349" s="11" t="s">
        <v>943</v>
      </c>
      <c r="M349" s="11" t="s">
        <v>27</v>
      </c>
      <c r="N349" s="12">
        <v>43195</v>
      </c>
      <c r="O349" s="12">
        <v>43195</v>
      </c>
      <c r="P349" s="11">
        <v>3</v>
      </c>
      <c r="Q349" s="11" t="s">
        <v>939</v>
      </c>
    </row>
    <row r="350" spans="1:17" ht="13" hidden="1" x14ac:dyDescent="0.15">
      <c r="A350" s="10">
        <v>43195.663306886578</v>
      </c>
      <c r="B350" s="11" t="s">
        <v>227</v>
      </c>
      <c r="C350" s="11">
        <v>671</v>
      </c>
      <c r="D350" s="11" t="s">
        <v>944</v>
      </c>
      <c r="E350" s="11">
        <v>8137874406</v>
      </c>
      <c r="F350" s="11" t="s">
        <v>266</v>
      </c>
      <c r="G350" s="11" t="s">
        <v>157</v>
      </c>
      <c r="H350" s="11">
        <v>42</v>
      </c>
      <c r="I350" s="12">
        <v>43195</v>
      </c>
      <c r="J350" s="2">
        <v>2</v>
      </c>
      <c r="K350" s="11">
        <v>1166355006441</v>
      </c>
      <c r="L350" s="11" t="s">
        <v>945</v>
      </c>
      <c r="M350" s="11" t="s">
        <v>27</v>
      </c>
      <c r="N350" s="12">
        <v>43180</v>
      </c>
      <c r="O350" s="12">
        <v>43180</v>
      </c>
      <c r="P350" s="11">
        <v>2</v>
      </c>
      <c r="Q350" s="11" t="s">
        <v>227</v>
      </c>
    </row>
    <row r="351" spans="1:17" ht="13" hidden="1" x14ac:dyDescent="0.15">
      <c r="A351" s="10">
        <v>43196.457689456016</v>
      </c>
      <c r="B351" s="11" t="s">
        <v>946</v>
      </c>
      <c r="C351" s="11">
        <v>279</v>
      </c>
      <c r="D351" s="11" t="s">
        <v>947</v>
      </c>
      <c r="E351" s="11">
        <v>7021147935</v>
      </c>
      <c r="F351" s="11" t="s">
        <v>73</v>
      </c>
      <c r="G351" s="11" t="s">
        <v>948</v>
      </c>
      <c r="H351" s="11">
        <v>20</v>
      </c>
      <c r="I351" s="12">
        <v>43165</v>
      </c>
      <c r="J351" s="2">
        <v>5</v>
      </c>
      <c r="K351" s="11">
        <v>1145625010106</v>
      </c>
      <c r="L351" s="11" t="s">
        <v>949</v>
      </c>
      <c r="M351" s="11" t="s">
        <v>27</v>
      </c>
      <c r="N351" s="12">
        <v>43029</v>
      </c>
      <c r="O351" s="12">
        <v>43029</v>
      </c>
      <c r="P351" s="11">
        <v>5</v>
      </c>
      <c r="Q351" s="11" t="s">
        <v>950</v>
      </c>
    </row>
    <row r="352" spans="1:17" ht="13" hidden="1" x14ac:dyDescent="0.15">
      <c r="A352" s="10">
        <v>43196.495801689816</v>
      </c>
      <c r="B352" s="11" t="s">
        <v>185</v>
      </c>
      <c r="C352" s="11">
        <v>608</v>
      </c>
      <c r="D352" s="11" t="s">
        <v>951</v>
      </c>
      <c r="E352" s="11">
        <v>9745459244</v>
      </c>
      <c r="F352" s="11" t="s">
        <v>30</v>
      </c>
      <c r="G352" s="11" t="s">
        <v>952</v>
      </c>
      <c r="H352" s="11">
        <v>20</v>
      </c>
      <c r="I352" s="12">
        <v>43185</v>
      </c>
      <c r="J352" s="2">
        <v>3</v>
      </c>
      <c r="K352" s="11">
        <v>1156775000745</v>
      </c>
      <c r="L352" s="11" t="s">
        <v>284</v>
      </c>
      <c r="M352" s="11" t="s">
        <v>27</v>
      </c>
      <c r="N352" s="12">
        <v>43190</v>
      </c>
      <c r="O352" s="12">
        <v>43190</v>
      </c>
      <c r="P352" s="11">
        <v>3</v>
      </c>
      <c r="Q352" s="11" t="s">
        <v>185</v>
      </c>
    </row>
    <row r="353" spans="1:17" ht="13" hidden="1" x14ac:dyDescent="0.15">
      <c r="A353" s="10">
        <v>43196.503202719905</v>
      </c>
      <c r="B353" s="11" t="s">
        <v>371</v>
      </c>
      <c r="C353" s="11">
        <v>595</v>
      </c>
      <c r="D353" s="11" t="s">
        <v>953</v>
      </c>
      <c r="E353" s="11">
        <v>8547564126</v>
      </c>
      <c r="F353" s="11" t="s">
        <v>266</v>
      </c>
      <c r="G353" s="11" t="s">
        <v>215</v>
      </c>
      <c r="H353" s="11">
        <v>27</v>
      </c>
      <c r="I353" s="12">
        <v>43182</v>
      </c>
      <c r="J353" s="2">
        <v>3</v>
      </c>
      <c r="K353" s="11">
        <v>1165997000939</v>
      </c>
      <c r="L353" s="11" t="s">
        <v>954</v>
      </c>
      <c r="M353" s="11" t="s">
        <v>27</v>
      </c>
      <c r="N353" s="12">
        <v>43176</v>
      </c>
      <c r="O353" s="12">
        <v>43176</v>
      </c>
      <c r="P353" s="11">
        <v>3</v>
      </c>
      <c r="Q353" s="11" t="s">
        <v>371</v>
      </c>
    </row>
    <row r="354" spans="1:17" ht="13" hidden="1" x14ac:dyDescent="0.15">
      <c r="A354" s="10">
        <v>43196.508296053245</v>
      </c>
      <c r="B354" s="11" t="s">
        <v>371</v>
      </c>
      <c r="C354" s="11">
        <v>593</v>
      </c>
      <c r="D354" s="11" t="s">
        <v>955</v>
      </c>
      <c r="E354" s="11">
        <v>8547564126</v>
      </c>
      <c r="F354" s="11" t="s">
        <v>266</v>
      </c>
      <c r="G354" s="11" t="s">
        <v>215</v>
      </c>
      <c r="H354" s="11">
        <v>27</v>
      </c>
      <c r="I354" s="12">
        <v>43185</v>
      </c>
      <c r="J354" s="2">
        <v>3</v>
      </c>
      <c r="K354" s="11">
        <v>1165980014774</v>
      </c>
      <c r="L354" s="11" t="s">
        <v>956</v>
      </c>
      <c r="M354" s="11" t="s">
        <v>27</v>
      </c>
      <c r="N354" s="12">
        <v>43167</v>
      </c>
      <c r="O354" s="12">
        <v>43167</v>
      </c>
      <c r="P354" s="11">
        <v>3</v>
      </c>
      <c r="Q354" s="11" t="s">
        <v>371</v>
      </c>
    </row>
    <row r="355" spans="1:17" ht="13" x14ac:dyDescent="0.15">
      <c r="A355" s="10">
        <v>43196.519467777776</v>
      </c>
      <c r="B355" s="11" t="s">
        <v>371</v>
      </c>
      <c r="C355" s="11">
        <v>437</v>
      </c>
      <c r="D355" s="11" t="s">
        <v>957</v>
      </c>
      <c r="E355" s="11">
        <v>8547564126</v>
      </c>
      <c r="F355" s="11" t="s">
        <v>24</v>
      </c>
      <c r="G355" s="11" t="s">
        <v>215</v>
      </c>
      <c r="H355" s="11">
        <v>27</v>
      </c>
      <c r="I355" s="12">
        <v>43165</v>
      </c>
      <c r="J355" s="2">
        <v>3</v>
      </c>
      <c r="K355" s="11">
        <v>1145094031362</v>
      </c>
      <c r="L355" s="11" t="s">
        <v>958</v>
      </c>
      <c r="M355" s="11" t="s">
        <v>27</v>
      </c>
      <c r="N355" s="12">
        <v>43194</v>
      </c>
      <c r="O355" s="12">
        <v>43194</v>
      </c>
      <c r="P355" s="11">
        <v>3</v>
      </c>
      <c r="Q355" s="11" t="s">
        <v>371</v>
      </c>
    </row>
    <row r="356" spans="1:17" ht="13" hidden="1" x14ac:dyDescent="0.15">
      <c r="A356" s="10">
        <v>43196.544412407406</v>
      </c>
      <c r="B356" s="11" t="s">
        <v>185</v>
      </c>
      <c r="C356" s="11">
        <v>732</v>
      </c>
      <c r="D356" s="11" t="s">
        <v>959</v>
      </c>
      <c r="E356" s="11">
        <v>8129658207</v>
      </c>
      <c r="F356" s="11" t="s">
        <v>30</v>
      </c>
      <c r="G356" s="11" t="s">
        <v>952</v>
      </c>
      <c r="H356" s="11">
        <v>20</v>
      </c>
      <c r="I356" s="12">
        <v>43194</v>
      </c>
      <c r="J356" s="2">
        <v>3</v>
      </c>
      <c r="K356" s="11">
        <v>11566900005104</v>
      </c>
      <c r="L356" s="11" t="s">
        <v>960</v>
      </c>
      <c r="M356" s="11" t="s">
        <v>27</v>
      </c>
      <c r="N356" s="12">
        <v>43195</v>
      </c>
      <c r="O356" s="12">
        <v>43195</v>
      </c>
      <c r="P356" s="11">
        <v>3</v>
      </c>
      <c r="Q356" s="11" t="s">
        <v>185</v>
      </c>
    </row>
    <row r="357" spans="1:17" ht="13" hidden="1" x14ac:dyDescent="0.15">
      <c r="A357" s="10">
        <v>43196.552172488431</v>
      </c>
      <c r="B357" s="11" t="s">
        <v>371</v>
      </c>
      <c r="C357" s="11">
        <v>669</v>
      </c>
      <c r="D357" s="11" t="s">
        <v>962</v>
      </c>
      <c r="E357" s="11">
        <v>8547564126</v>
      </c>
      <c r="F357" s="11" t="s">
        <v>73</v>
      </c>
      <c r="G357" s="11" t="s">
        <v>215</v>
      </c>
      <c r="H357" s="11">
        <v>27</v>
      </c>
      <c r="I357" s="12">
        <v>43186</v>
      </c>
      <c r="J357" s="2">
        <v>3</v>
      </c>
      <c r="K357" s="11">
        <v>1145671020886</v>
      </c>
      <c r="L357" s="11" t="s">
        <v>963</v>
      </c>
      <c r="M357" s="11" t="s">
        <v>27</v>
      </c>
      <c r="N357" s="12">
        <v>43186</v>
      </c>
      <c r="O357" s="12">
        <v>43186</v>
      </c>
      <c r="P357" s="11">
        <v>3</v>
      </c>
      <c r="Q357" s="11" t="s">
        <v>371</v>
      </c>
    </row>
    <row r="358" spans="1:17" ht="13" hidden="1" x14ac:dyDescent="0.15">
      <c r="A358" s="10">
        <v>43196.551711666667</v>
      </c>
      <c r="B358" s="11" t="s">
        <v>371</v>
      </c>
      <c r="C358" s="11">
        <v>425</v>
      </c>
      <c r="D358" s="11" t="s">
        <v>964</v>
      </c>
      <c r="E358" s="11">
        <v>8547564126</v>
      </c>
      <c r="F358" s="11" t="s">
        <v>73</v>
      </c>
      <c r="G358" s="11" t="s">
        <v>215</v>
      </c>
      <c r="H358" s="11">
        <v>27</v>
      </c>
      <c r="I358" s="12">
        <v>43182</v>
      </c>
      <c r="J358" s="2">
        <v>3</v>
      </c>
      <c r="K358" s="11">
        <v>1145743000007</v>
      </c>
      <c r="L358" s="11" t="s">
        <v>965</v>
      </c>
      <c r="M358" s="11" t="s">
        <v>27</v>
      </c>
      <c r="N358" s="12">
        <v>43185</v>
      </c>
      <c r="O358" s="12">
        <v>43185</v>
      </c>
      <c r="P358" s="11">
        <v>3</v>
      </c>
      <c r="Q358" s="11" t="s">
        <v>371</v>
      </c>
    </row>
    <row r="359" spans="1:17" ht="13" hidden="1" x14ac:dyDescent="0.15">
      <c r="A359" s="10">
        <v>43196.636730196755</v>
      </c>
      <c r="B359" s="11" t="s">
        <v>371</v>
      </c>
      <c r="C359" s="11">
        <v>315</v>
      </c>
      <c r="D359" s="11" t="s">
        <v>966</v>
      </c>
      <c r="E359" s="11">
        <v>8547564126</v>
      </c>
      <c r="F359" s="11" t="s">
        <v>73</v>
      </c>
      <c r="G359" s="11" t="s">
        <v>215</v>
      </c>
      <c r="H359" s="11">
        <v>27</v>
      </c>
      <c r="I359" s="12">
        <v>43194</v>
      </c>
      <c r="J359" s="2">
        <v>3</v>
      </c>
      <c r="K359" s="11">
        <v>1145648015508</v>
      </c>
      <c r="L359" s="11" t="s">
        <v>967</v>
      </c>
      <c r="M359" s="11" t="s">
        <v>27</v>
      </c>
      <c r="N359" s="12">
        <v>43174</v>
      </c>
      <c r="O359" s="12">
        <v>43174</v>
      </c>
      <c r="P359" s="11">
        <v>3</v>
      </c>
      <c r="Q359" s="11" t="s">
        <v>371</v>
      </c>
    </row>
    <row r="360" spans="1:17" ht="13" hidden="1" x14ac:dyDescent="0.15">
      <c r="A360" s="10">
        <v>43196.660444594905</v>
      </c>
      <c r="B360" s="11" t="s">
        <v>968</v>
      </c>
      <c r="C360" s="11">
        <v>714</v>
      </c>
      <c r="D360" s="11" t="s">
        <v>969</v>
      </c>
      <c r="E360" s="11">
        <v>9562233099</v>
      </c>
      <c r="F360" s="11" t="s">
        <v>35</v>
      </c>
      <c r="G360" s="11" t="s">
        <v>134</v>
      </c>
      <c r="H360" s="11">
        <v>47</v>
      </c>
      <c r="I360" s="12">
        <v>43196</v>
      </c>
      <c r="J360" s="2">
        <v>3</v>
      </c>
      <c r="K360" s="11">
        <v>1155554020738</v>
      </c>
      <c r="L360" s="11" t="s">
        <v>970</v>
      </c>
      <c r="M360" s="11" t="s">
        <v>27</v>
      </c>
      <c r="N360" s="12">
        <v>43186</v>
      </c>
      <c r="O360" s="12">
        <v>43186</v>
      </c>
      <c r="P360" s="11">
        <v>3</v>
      </c>
      <c r="Q360" s="11" t="s">
        <v>968</v>
      </c>
    </row>
    <row r="361" spans="1:17" ht="13" hidden="1" x14ac:dyDescent="0.15">
      <c r="A361" s="10">
        <v>43197.420985069446</v>
      </c>
      <c r="B361" s="11" t="s">
        <v>971</v>
      </c>
      <c r="C361" s="11">
        <v>20</v>
      </c>
      <c r="D361" s="11" t="s">
        <v>972</v>
      </c>
      <c r="E361" s="11">
        <v>9349605201</v>
      </c>
      <c r="F361" s="11" t="s">
        <v>46</v>
      </c>
      <c r="G361" s="11" t="s">
        <v>973</v>
      </c>
      <c r="H361" s="11">
        <v>20</v>
      </c>
      <c r="I361" s="12">
        <v>43194</v>
      </c>
      <c r="J361" s="2">
        <v>5</v>
      </c>
      <c r="K361" s="11">
        <v>1165299009540</v>
      </c>
      <c r="L361" s="11" t="s">
        <v>974</v>
      </c>
      <c r="M361" s="11" t="s">
        <v>27</v>
      </c>
      <c r="N361" s="12">
        <v>43179</v>
      </c>
      <c r="O361" s="12">
        <v>43179</v>
      </c>
      <c r="P361" s="11">
        <v>20</v>
      </c>
      <c r="Q361" s="11" t="s">
        <v>971</v>
      </c>
    </row>
    <row r="362" spans="1:17" ht="13" hidden="1" x14ac:dyDescent="0.15">
      <c r="A362" s="10">
        <v>43197.423620173606</v>
      </c>
      <c r="B362" s="11" t="s">
        <v>303</v>
      </c>
      <c r="C362" s="11">
        <v>498</v>
      </c>
      <c r="D362" s="11" t="s">
        <v>975</v>
      </c>
      <c r="E362" s="11">
        <v>9447721504</v>
      </c>
      <c r="F362" s="11" t="s">
        <v>35</v>
      </c>
      <c r="G362" s="11" t="s">
        <v>280</v>
      </c>
      <c r="H362" s="11">
        <v>66</v>
      </c>
      <c r="I362" s="12">
        <v>43201</v>
      </c>
      <c r="J362" s="2">
        <v>20</v>
      </c>
      <c r="K362" s="11">
        <v>1155843023791</v>
      </c>
      <c r="L362" s="11" t="s">
        <v>976</v>
      </c>
      <c r="M362" s="11" t="s">
        <v>27</v>
      </c>
      <c r="N362" s="12">
        <v>43178</v>
      </c>
      <c r="O362" s="12">
        <v>43178</v>
      </c>
      <c r="P362" s="11">
        <v>20</v>
      </c>
      <c r="Q362" s="11" t="s">
        <v>303</v>
      </c>
    </row>
    <row r="363" spans="1:17" ht="13" hidden="1" x14ac:dyDescent="0.15">
      <c r="A363" s="10">
        <v>43197.514336134263</v>
      </c>
      <c r="B363" s="11" t="s">
        <v>303</v>
      </c>
      <c r="C363" s="11">
        <v>436</v>
      </c>
      <c r="D363" s="11" t="s">
        <v>977</v>
      </c>
      <c r="E363" s="11">
        <v>4902362402</v>
      </c>
      <c r="F363" s="11" t="s">
        <v>287</v>
      </c>
      <c r="G363" s="11" t="s">
        <v>280</v>
      </c>
      <c r="H363" s="11">
        <v>66</v>
      </c>
      <c r="I363" s="12">
        <v>43203</v>
      </c>
      <c r="J363" s="2">
        <v>5</v>
      </c>
      <c r="K363" s="11">
        <v>1166802007857</v>
      </c>
      <c r="L363" s="11" t="s">
        <v>979</v>
      </c>
      <c r="M363" s="11" t="s">
        <v>27</v>
      </c>
      <c r="N363" s="12">
        <v>43173</v>
      </c>
      <c r="O363" s="12">
        <v>43173</v>
      </c>
      <c r="P363" s="11">
        <v>5</v>
      </c>
      <c r="Q363" s="11" t="s">
        <v>303</v>
      </c>
    </row>
    <row r="364" spans="1:17" ht="13" hidden="1" x14ac:dyDescent="0.15">
      <c r="A364" s="10">
        <v>43197.533620138885</v>
      </c>
      <c r="B364" s="11" t="s">
        <v>185</v>
      </c>
      <c r="C364" s="11">
        <v>610</v>
      </c>
      <c r="D364" s="11" t="s">
        <v>980</v>
      </c>
      <c r="E364" s="11">
        <v>9497064064</v>
      </c>
      <c r="F364" s="11" t="s">
        <v>30</v>
      </c>
      <c r="G364" s="11" t="s">
        <v>952</v>
      </c>
      <c r="H364" s="11">
        <v>20</v>
      </c>
      <c r="I364" s="12">
        <v>43197</v>
      </c>
      <c r="J364" s="2">
        <v>3</v>
      </c>
      <c r="K364" s="11">
        <v>1156815012473</v>
      </c>
      <c r="L364" s="11" t="s">
        <v>468</v>
      </c>
      <c r="M364" s="11" t="s">
        <v>27</v>
      </c>
      <c r="N364" s="12">
        <v>43193</v>
      </c>
      <c r="O364" s="12">
        <v>43193</v>
      </c>
      <c r="P364" s="11">
        <v>3</v>
      </c>
      <c r="Q364" s="11" t="s">
        <v>185</v>
      </c>
    </row>
    <row r="365" spans="1:17" ht="13" hidden="1" x14ac:dyDescent="0.15">
      <c r="A365" s="10">
        <v>43200.451951944444</v>
      </c>
      <c r="B365" s="11" t="s">
        <v>142</v>
      </c>
      <c r="C365" s="11">
        <v>151</v>
      </c>
      <c r="D365" s="11" t="s">
        <v>981</v>
      </c>
      <c r="E365" s="11">
        <v>9526997775</v>
      </c>
      <c r="F365" s="11" t="s">
        <v>35</v>
      </c>
      <c r="G365" s="11" t="s">
        <v>36</v>
      </c>
      <c r="H365" s="11">
        <v>20</v>
      </c>
      <c r="I365" s="12">
        <v>43161</v>
      </c>
      <c r="J365" s="2">
        <v>3</v>
      </c>
      <c r="K365" s="11">
        <v>1155515029599</v>
      </c>
      <c r="L365" s="11" t="s">
        <v>828</v>
      </c>
      <c r="M365" s="11" t="s">
        <v>27</v>
      </c>
      <c r="N365" s="12">
        <v>43174</v>
      </c>
      <c r="O365" s="12">
        <v>43174</v>
      </c>
      <c r="P365" s="11">
        <v>3</v>
      </c>
      <c r="Q365" s="11" t="s">
        <v>142</v>
      </c>
    </row>
    <row r="366" spans="1:17" ht="13" hidden="1" x14ac:dyDescent="0.15">
      <c r="A366" s="10">
        <v>43200.50862581018</v>
      </c>
      <c r="B366" s="11" t="s">
        <v>982</v>
      </c>
      <c r="C366" s="11">
        <v>570</v>
      </c>
      <c r="D366" s="11" t="s">
        <v>983</v>
      </c>
      <c r="E366" s="11">
        <v>9846135595</v>
      </c>
      <c r="F366" s="11" t="s">
        <v>30</v>
      </c>
      <c r="G366" s="11" t="s">
        <v>565</v>
      </c>
      <c r="H366" s="11">
        <v>18</v>
      </c>
      <c r="I366" s="12">
        <v>43179</v>
      </c>
      <c r="J366" s="2">
        <v>3</v>
      </c>
      <c r="K366" s="11">
        <v>1156607012213</v>
      </c>
      <c r="L366" s="11" t="s">
        <v>984</v>
      </c>
      <c r="M366" s="11" t="s">
        <v>27</v>
      </c>
      <c r="N366" s="12">
        <v>43174</v>
      </c>
      <c r="O366" s="12">
        <v>43174</v>
      </c>
      <c r="P366" s="11">
        <v>3</v>
      </c>
      <c r="Q366" s="11" t="s">
        <v>982</v>
      </c>
    </row>
    <row r="367" spans="1:17" ht="13" hidden="1" x14ac:dyDescent="0.15">
      <c r="A367" s="10">
        <v>43200.550008726852</v>
      </c>
      <c r="B367" s="11" t="s">
        <v>982</v>
      </c>
      <c r="C367" s="11">
        <v>569</v>
      </c>
      <c r="D367" s="11" t="s">
        <v>985</v>
      </c>
      <c r="E367" s="11">
        <v>9447097145</v>
      </c>
      <c r="F367" s="11" t="s">
        <v>30</v>
      </c>
      <c r="G367" s="11" t="s">
        <v>565</v>
      </c>
      <c r="H367" s="11">
        <v>18</v>
      </c>
      <c r="I367" s="12">
        <v>43174</v>
      </c>
      <c r="J367" s="2">
        <v>3</v>
      </c>
      <c r="K367" s="11">
        <v>1156601025683</v>
      </c>
      <c r="L367" s="11" t="s">
        <v>984</v>
      </c>
      <c r="M367" s="11" t="s">
        <v>27</v>
      </c>
      <c r="N367" s="12">
        <v>43174</v>
      </c>
      <c r="O367" s="12">
        <v>43174</v>
      </c>
      <c r="P367" s="11">
        <v>3</v>
      </c>
      <c r="Q367" s="11" t="s">
        <v>982</v>
      </c>
    </row>
    <row r="368" spans="1:17" ht="13" hidden="1" x14ac:dyDescent="0.15">
      <c r="A368" s="10">
        <v>43200.598883668979</v>
      </c>
      <c r="B368" s="11" t="s">
        <v>475</v>
      </c>
      <c r="C368" s="11">
        <v>789</v>
      </c>
      <c r="D368" s="11" t="s">
        <v>986</v>
      </c>
      <c r="E368" s="11">
        <v>9072626009</v>
      </c>
      <c r="F368" s="11" t="s">
        <v>287</v>
      </c>
      <c r="G368" s="11" t="s">
        <v>987</v>
      </c>
      <c r="H368" s="11">
        <v>11</v>
      </c>
      <c r="I368" s="12">
        <v>43200</v>
      </c>
      <c r="J368" s="2">
        <v>5</v>
      </c>
      <c r="K368" s="11">
        <v>1166468003155</v>
      </c>
      <c r="L368" s="11" t="s">
        <v>988</v>
      </c>
      <c r="M368" s="11" t="s">
        <v>27</v>
      </c>
      <c r="N368" s="12">
        <v>43168</v>
      </c>
      <c r="O368" s="12">
        <v>43168</v>
      </c>
      <c r="P368" s="11">
        <v>5</v>
      </c>
      <c r="Q368" s="11" t="s">
        <v>475</v>
      </c>
    </row>
    <row r="369" spans="1:17" ht="13" hidden="1" x14ac:dyDescent="0.15">
      <c r="A369" s="10">
        <v>43200.62611070602</v>
      </c>
      <c r="B369" s="11" t="s">
        <v>982</v>
      </c>
      <c r="C369" s="11">
        <v>511</v>
      </c>
      <c r="D369" s="11" t="s">
        <v>989</v>
      </c>
      <c r="E369" s="11">
        <v>8304024331</v>
      </c>
      <c r="F369" s="11" t="s">
        <v>30</v>
      </c>
      <c r="G369" s="11" t="s">
        <v>565</v>
      </c>
      <c r="H369" s="11">
        <v>18</v>
      </c>
      <c r="I369" s="12">
        <v>43172</v>
      </c>
      <c r="J369" s="2">
        <v>3</v>
      </c>
      <c r="K369" s="11">
        <v>1156815007521</v>
      </c>
      <c r="L369" s="11" t="s">
        <v>990</v>
      </c>
      <c r="M369" s="11" t="s">
        <v>27</v>
      </c>
      <c r="N369" s="12">
        <v>43172</v>
      </c>
      <c r="O369" s="12">
        <v>43172</v>
      </c>
      <c r="P369" s="11">
        <v>3</v>
      </c>
      <c r="Q369" s="11" t="s">
        <v>982</v>
      </c>
    </row>
    <row r="370" spans="1:17" ht="13" hidden="1" x14ac:dyDescent="0.15">
      <c r="A370" s="10">
        <v>43200.637329328703</v>
      </c>
      <c r="B370" s="11" t="s">
        <v>469</v>
      </c>
      <c r="C370" s="11">
        <v>792</v>
      </c>
      <c r="D370" s="11" t="s">
        <v>991</v>
      </c>
      <c r="E370" s="11">
        <v>9388155155</v>
      </c>
      <c r="F370" s="11" t="s">
        <v>30</v>
      </c>
      <c r="G370" s="11" t="s">
        <v>772</v>
      </c>
      <c r="H370" s="11">
        <v>48</v>
      </c>
      <c r="I370" s="12">
        <v>43190</v>
      </c>
      <c r="J370" s="2">
        <v>5</v>
      </c>
      <c r="K370" s="11">
        <v>1157009006720</v>
      </c>
      <c r="L370" s="11" t="s">
        <v>992</v>
      </c>
      <c r="M370" s="11" t="s">
        <v>27</v>
      </c>
      <c r="N370" s="12">
        <v>43200</v>
      </c>
      <c r="O370" s="12">
        <v>43200</v>
      </c>
      <c r="P370" s="11">
        <v>5</v>
      </c>
      <c r="Q370" s="11" t="s">
        <v>469</v>
      </c>
    </row>
    <row r="371" spans="1:17" ht="13" hidden="1" x14ac:dyDescent="0.15">
      <c r="A371" s="10">
        <v>43200.685508831019</v>
      </c>
      <c r="B371" s="11" t="s">
        <v>993</v>
      </c>
      <c r="C371" s="11">
        <v>705</v>
      </c>
      <c r="D371" s="11" t="s">
        <v>994</v>
      </c>
      <c r="E371" s="11">
        <v>9446053652</v>
      </c>
      <c r="F371" s="11" t="s">
        <v>30</v>
      </c>
      <c r="G371" s="11" t="s">
        <v>952</v>
      </c>
      <c r="H371" s="11">
        <v>20</v>
      </c>
      <c r="I371" s="12">
        <v>43194</v>
      </c>
      <c r="J371" s="2">
        <v>3</v>
      </c>
      <c r="K371" s="11">
        <v>1156526026732</v>
      </c>
      <c r="L371" s="11" t="s">
        <v>995</v>
      </c>
      <c r="M371" s="11" t="s">
        <v>27</v>
      </c>
      <c r="N371" s="12">
        <v>43194</v>
      </c>
      <c r="O371" s="12">
        <v>43194</v>
      </c>
      <c r="P371" s="11">
        <v>3</v>
      </c>
      <c r="Q371" s="11" t="s">
        <v>993</v>
      </c>
    </row>
    <row r="372" spans="1:17" ht="13" hidden="1" x14ac:dyDescent="0.15">
      <c r="A372" s="10">
        <v>43200.692827222221</v>
      </c>
      <c r="B372" s="11" t="s">
        <v>997</v>
      </c>
      <c r="C372" s="11">
        <v>791</v>
      </c>
      <c r="D372" s="11" t="s">
        <v>998</v>
      </c>
      <c r="E372" s="11">
        <v>9447218331</v>
      </c>
      <c r="F372" s="11" t="s">
        <v>56</v>
      </c>
      <c r="G372" s="11" t="s">
        <v>999</v>
      </c>
      <c r="H372" s="11">
        <v>11</v>
      </c>
      <c r="I372" s="12">
        <v>43200</v>
      </c>
      <c r="J372" s="2">
        <v>3</v>
      </c>
      <c r="K372" s="11">
        <v>1146863005363</v>
      </c>
      <c r="L372" s="11" t="s">
        <v>1000</v>
      </c>
      <c r="M372" s="11" t="s">
        <v>27</v>
      </c>
      <c r="N372" s="12">
        <v>43200</v>
      </c>
      <c r="O372" s="12">
        <v>43200</v>
      </c>
      <c r="P372" s="11">
        <v>3</v>
      </c>
      <c r="Q372" s="11" t="s">
        <v>475</v>
      </c>
    </row>
    <row r="373" spans="1:17" ht="13" hidden="1" x14ac:dyDescent="0.15">
      <c r="A373" s="10">
        <v>43201.411579363426</v>
      </c>
      <c r="B373" s="11" t="s">
        <v>176</v>
      </c>
      <c r="C373" s="11">
        <v>778</v>
      </c>
      <c r="D373" s="11" t="s">
        <v>1001</v>
      </c>
      <c r="E373" s="11">
        <v>9142099977</v>
      </c>
      <c r="F373" s="11" t="s">
        <v>182</v>
      </c>
      <c r="G373" s="11" t="s">
        <v>178</v>
      </c>
      <c r="H373" s="11">
        <v>14</v>
      </c>
      <c r="I373" s="12">
        <v>43200</v>
      </c>
      <c r="J373" s="2">
        <v>3</v>
      </c>
      <c r="K373" s="11">
        <v>1165172014209</v>
      </c>
      <c r="L373" s="11" t="s">
        <v>715</v>
      </c>
      <c r="M373" s="11" t="s">
        <v>27</v>
      </c>
      <c r="N373" s="12">
        <v>43182</v>
      </c>
      <c r="O373" s="12">
        <v>43182</v>
      </c>
      <c r="P373" s="11">
        <v>3</v>
      </c>
      <c r="Q373" s="11" t="s">
        <v>176</v>
      </c>
    </row>
    <row r="374" spans="1:17" ht="13" hidden="1" x14ac:dyDescent="0.15">
      <c r="A374" s="10">
        <v>43201.45581107639</v>
      </c>
      <c r="B374" s="11" t="s">
        <v>1002</v>
      </c>
      <c r="C374" s="11">
        <v>377</v>
      </c>
      <c r="D374" s="11" t="s">
        <v>1003</v>
      </c>
      <c r="E374" s="11">
        <v>9946759604</v>
      </c>
      <c r="F374" s="11" t="s">
        <v>30</v>
      </c>
      <c r="G374" s="11" t="s">
        <v>509</v>
      </c>
      <c r="H374" s="11">
        <v>12</v>
      </c>
      <c r="I374" s="12">
        <v>43179</v>
      </c>
      <c r="J374" s="2">
        <v>3</v>
      </c>
      <c r="K374" s="11">
        <v>1156809017028</v>
      </c>
      <c r="L374" s="11" t="s">
        <v>583</v>
      </c>
      <c r="M374" s="11" t="s">
        <v>27</v>
      </c>
      <c r="N374" s="12">
        <v>43172</v>
      </c>
      <c r="O374" s="12">
        <v>43172</v>
      </c>
      <c r="P374" s="11">
        <v>3</v>
      </c>
      <c r="Q374" s="11" t="s">
        <v>1002</v>
      </c>
    </row>
    <row r="375" spans="1:17" ht="13" hidden="1" x14ac:dyDescent="0.15">
      <c r="A375" s="10">
        <v>43201.462957916665</v>
      </c>
      <c r="B375" s="11" t="s">
        <v>1004</v>
      </c>
      <c r="C375" s="11">
        <v>381</v>
      </c>
      <c r="D375" s="11" t="s">
        <v>1005</v>
      </c>
      <c r="E375" s="11">
        <v>7012521861</v>
      </c>
      <c r="F375" s="11" t="s">
        <v>30</v>
      </c>
      <c r="G375" s="11" t="s">
        <v>509</v>
      </c>
      <c r="H375" s="11">
        <v>12</v>
      </c>
      <c r="I375" s="12">
        <v>43179</v>
      </c>
      <c r="J375" s="2">
        <v>5</v>
      </c>
      <c r="K375" s="11">
        <v>11276</v>
      </c>
      <c r="L375" s="11" t="s">
        <v>1006</v>
      </c>
      <c r="M375" s="11" t="s">
        <v>27</v>
      </c>
      <c r="N375" s="12">
        <v>43179</v>
      </c>
      <c r="O375" s="12">
        <v>43179</v>
      </c>
      <c r="P375" s="11">
        <v>5</v>
      </c>
      <c r="Q375" s="11" t="s">
        <v>1004</v>
      </c>
    </row>
    <row r="376" spans="1:17" ht="13" hidden="1" x14ac:dyDescent="0.15">
      <c r="A376" s="10">
        <v>43201.467629421299</v>
      </c>
      <c r="B376" s="11" t="s">
        <v>1007</v>
      </c>
      <c r="C376" s="11">
        <v>380</v>
      </c>
      <c r="D376" s="11" t="s">
        <v>1008</v>
      </c>
      <c r="E376" s="11">
        <v>8921402652</v>
      </c>
      <c r="F376" s="11" t="s">
        <v>30</v>
      </c>
      <c r="G376" s="11" t="s">
        <v>509</v>
      </c>
      <c r="H376" s="11">
        <v>12</v>
      </c>
      <c r="I376" s="12">
        <v>43179</v>
      </c>
      <c r="J376" s="2">
        <v>3</v>
      </c>
      <c r="K376" s="11">
        <v>11155</v>
      </c>
      <c r="L376" s="11" t="s">
        <v>1006</v>
      </c>
      <c r="M376" s="11" t="s">
        <v>27</v>
      </c>
      <c r="N376" s="12">
        <v>43179</v>
      </c>
      <c r="O376" s="12">
        <v>43179</v>
      </c>
      <c r="P376" s="11">
        <v>3</v>
      </c>
      <c r="Q376" s="11" t="s">
        <v>1007</v>
      </c>
    </row>
    <row r="377" spans="1:17" ht="13" hidden="1" x14ac:dyDescent="0.15">
      <c r="A377" s="10">
        <v>43201.636273472221</v>
      </c>
      <c r="B377" s="11" t="s">
        <v>1009</v>
      </c>
      <c r="C377" s="11">
        <v>602</v>
      </c>
      <c r="D377" s="11" t="s">
        <v>1010</v>
      </c>
      <c r="E377" s="11">
        <v>9446450117</v>
      </c>
      <c r="F377" s="11" t="s">
        <v>182</v>
      </c>
      <c r="G377" s="11" t="s">
        <v>999</v>
      </c>
      <c r="H377" s="11">
        <v>11</v>
      </c>
      <c r="I377" s="12">
        <v>43201</v>
      </c>
      <c r="J377" s="2">
        <v>25</v>
      </c>
      <c r="K377" s="11">
        <v>1165528033764</v>
      </c>
      <c r="L377" s="11" t="s">
        <v>1011</v>
      </c>
      <c r="M377" s="11" t="s">
        <v>27</v>
      </c>
      <c r="N377" s="12">
        <v>43158</v>
      </c>
      <c r="O377" s="12">
        <v>43158</v>
      </c>
      <c r="P377" s="11">
        <v>25</v>
      </c>
      <c r="Q377" s="11" t="s">
        <v>1009</v>
      </c>
    </row>
    <row r="378" spans="1:17" ht="13" hidden="1" x14ac:dyDescent="0.15">
      <c r="A378" s="10">
        <v>43202.465374525462</v>
      </c>
      <c r="B378" s="11" t="s">
        <v>371</v>
      </c>
      <c r="C378" s="11">
        <v>899</v>
      </c>
      <c r="D378" s="11" t="s">
        <v>1012</v>
      </c>
      <c r="E378" s="11">
        <v>8547564126</v>
      </c>
      <c r="F378" s="11" t="s">
        <v>30</v>
      </c>
      <c r="G378" s="11" t="s">
        <v>215</v>
      </c>
      <c r="H378" s="11">
        <v>27</v>
      </c>
      <c r="I378" s="12">
        <v>43179</v>
      </c>
      <c r="J378" s="2">
        <v>3</v>
      </c>
      <c r="K378" s="11">
        <v>1156856020830</v>
      </c>
      <c r="L378" s="11" t="s">
        <v>220</v>
      </c>
      <c r="M378" s="11" t="s">
        <v>27</v>
      </c>
      <c r="N378" s="12">
        <v>43186</v>
      </c>
      <c r="O378" s="12">
        <v>43186</v>
      </c>
      <c r="P378" s="11">
        <v>3</v>
      </c>
      <c r="Q378" s="11" t="s">
        <v>371</v>
      </c>
    </row>
    <row r="379" spans="1:17" ht="13" hidden="1" x14ac:dyDescent="0.15">
      <c r="A379" s="10">
        <v>43202.472203784724</v>
      </c>
      <c r="B379" s="11" t="s">
        <v>371</v>
      </c>
      <c r="C379" s="11">
        <v>439</v>
      </c>
      <c r="D379" s="11" t="s">
        <v>1013</v>
      </c>
      <c r="E379" s="11">
        <v>8547564126</v>
      </c>
      <c r="F379" s="11" t="s">
        <v>61</v>
      </c>
      <c r="G379" s="11" t="s">
        <v>215</v>
      </c>
      <c r="H379" s="11">
        <v>27</v>
      </c>
      <c r="I379" s="12">
        <v>43186</v>
      </c>
      <c r="J379" s="2">
        <v>3</v>
      </c>
      <c r="K379" s="11">
        <v>1146236022310</v>
      </c>
      <c r="L379" s="11" t="s">
        <v>1014</v>
      </c>
      <c r="M379" s="11" t="s">
        <v>27</v>
      </c>
      <c r="N379" s="12">
        <v>43196</v>
      </c>
      <c r="O379" s="12">
        <v>43196</v>
      </c>
      <c r="P379" s="11">
        <v>3</v>
      </c>
      <c r="Q379" s="11" t="s">
        <v>371</v>
      </c>
    </row>
    <row r="380" spans="1:17" ht="13" x14ac:dyDescent="0.15">
      <c r="A380" s="10">
        <v>43202.472448495369</v>
      </c>
      <c r="B380" s="11" t="s">
        <v>371</v>
      </c>
      <c r="C380" s="11">
        <v>877</v>
      </c>
      <c r="D380" s="11" t="s">
        <v>1015</v>
      </c>
      <c r="E380" s="11">
        <v>8547562146</v>
      </c>
      <c r="F380" s="11" t="s">
        <v>24</v>
      </c>
      <c r="G380" s="11" t="s">
        <v>215</v>
      </c>
      <c r="H380" s="11">
        <v>27</v>
      </c>
      <c r="I380" s="12">
        <v>43186</v>
      </c>
      <c r="J380" s="2">
        <v>5</v>
      </c>
      <c r="K380" s="11">
        <v>1145245021057</v>
      </c>
      <c r="L380" s="11" t="s">
        <v>1016</v>
      </c>
      <c r="M380" s="11" t="s">
        <v>27</v>
      </c>
      <c r="N380" s="12">
        <v>43186</v>
      </c>
      <c r="O380" s="12">
        <v>43186</v>
      </c>
      <c r="P380" s="11">
        <v>5</v>
      </c>
      <c r="Q380" s="11" t="s">
        <v>371</v>
      </c>
    </row>
    <row r="381" spans="1:17" ht="13" hidden="1" x14ac:dyDescent="0.15">
      <c r="A381" s="10">
        <v>43202.502440752316</v>
      </c>
      <c r="B381" s="11" t="s">
        <v>1018</v>
      </c>
      <c r="C381" s="11">
        <v>505</v>
      </c>
      <c r="D381" s="11" t="s">
        <v>1019</v>
      </c>
      <c r="E381" s="11">
        <v>9947387901</v>
      </c>
      <c r="F381" s="11" t="s">
        <v>61</v>
      </c>
      <c r="G381" s="11" t="s">
        <v>1020</v>
      </c>
      <c r="H381" s="11">
        <v>21</v>
      </c>
      <c r="I381" s="12">
        <v>43192</v>
      </c>
      <c r="J381" s="2">
        <v>2</v>
      </c>
      <c r="K381" s="11">
        <v>1146228012156</v>
      </c>
      <c r="L381" s="11" t="s">
        <v>1021</v>
      </c>
      <c r="M381" s="11" t="s">
        <v>27</v>
      </c>
      <c r="N381" s="12">
        <v>43185</v>
      </c>
      <c r="O381" s="12">
        <v>43185</v>
      </c>
      <c r="P381" s="11">
        <v>2</v>
      </c>
      <c r="Q381" s="11" t="s">
        <v>1018</v>
      </c>
    </row>
    <row r="382" spans="1:17" ht="13" hidden="1" x14ac:dyDescent="0.15">
      <c r="A382" s="10">
        <v>43202.519225428245</v>
      </c>
      <c r="B382" s="11" t="s">
        <v>1022</v>
      </c>
      <c r="C382" s="11">
        <v>468</v>
      </c>
      <c r="D382" s="11" t="s">
        <v>1023</v>
      </c>
      <c r="E382" s="11">
        <v>7025533131</v>
      </c>
      <c r="F382" s="11" t="s">
        <v>61</v>
      </c>
      <c r="G382" s="11" t="s">
        <v>1024</v>
      </c>
      <c r="H382" s="11">
        <v>21</v>
      </c>
      <c r="I382" s="12">
        <v>43186</v>
      </c>
      <c r="J382" s="2">
        <v>3</v>
      </c>
      <c r="K382" s="11">
        <v>1146243000201</v>
      </c>
      <c r="L382" s="11" t="s">
        <v>1025</v>
      </c>
      <c r="M382" s="11" t="s">
        <v>27</v>
      </c>
      <c r="N382" s="12">
        <v>43190</v>
      </c>
      <c r="O382" s="12">
        <v>43190</v>
      </c>
      <c r="P382" s="11">
        <v>3</v>
      </c>
      <c r="Q382" s="11" t="s">
        <v>1022</v>
      </c>
    </row>
    <row r="383" spans="1:17" ht="13" x14ac:dyDescent="0.15">
      <c r="A383" s="10">
        <v>43202.567322037037</v>
      </c>
      <c r="B383" s="11" t="s">
        <v>1026</v>
      </c>
      <c r="C383" s="11">
        <v>686</v>
      </c>
      <c r="D383" s="11" t="s">
        <v>1027</v>
      </c>
      <c r="E383" s="11">
        <v>9495910565</v>
      </c>
      <c r="F383" s="11" t="s">
        <v>24</v>
      </c>
      <c r="G383" s="11" t="s">
        <v>121</v>
      </c>
      <c r="H383" s="11">
        <v>3</v>
      </c>
      <c r="I383" s="12">
        <v>43200</v>
      </c>
      <c r="J383" s="2">
        <v>30</v>
      </c>
      <c r="K383" s="11">
        <v>1145115007295</v>
      </c>
      <c r="L383" s="11" t="s">
        <v>627</v>
      </c>
      <c r="M383" s="11" t="s">
        <v>27</v>
      </c>
      <c r="N383" s="12">
        <v>43177</v>
      </c>
      <c r="O383" s="12">
        <v>43177</v>
      </c>
      <c r="P383" s="11">
        <v>30</v>
      </c>
      <c r="Q383" s="11" t="s">
        <v>123</v>
      </c>
    </row>
    <row r="384" spans="1:17" ht="13" hidden="1" x14ac:dyDescent="0.15">
      <c r="A384" s="10">
        <v>43202.572879247688</v>
      </c>
      <c r="B384" s="11" t="s">
        <v>913</v>
      </c>
      <c r="C384" s="11">
        <v>774</v>
      </c>
      <c r="D384" s="11" t="s">
        <v>1028</v>
      </c>
      <c r="E384" s="11">
        <v>9387037222</v>
      </c>
      <c r="F384" s="11" t="s">
        <v>35</v>
      </c>
      <c r="G384" s="11" t="s">
        <v>916</v>
      </c>
      <c r="H384" s="11">
        <v>14</v>
      </c>
      <c r="I384" s="12">
        <v>43227</v>
      </c>
      <c r="J384" s="2">
        <v>5</v>
      </c>
      <c r="K384" s="11">
        <v>1155672018614</v>
      </c>
      <c r="L384" s="11" t="s">
        <v>1029</v>
      </c>
      <c r="M384" s="11" t="s">
        <v>27</v>
      </c>
      <c r="N384" s="12">
        <v>43196</v>
      </c>
      <c r="O384" s="12">
        <v>43196</v>
      </c>
      <c r="P384" s="11">
        <v>5</v>
      </c>
      <c r="Q384" s="11" t="s">
        <v>176</v>
      </c>
    </row>
    <row r="385" spans="1:17" ht="13" hidden="1" x14ac:dyDescent="0.15">
      <c r="A385" s="10">
        <v>43202.60391125</v>
      </c>
      <c r="B385" s="11" t="s">
        <v>1018</v>
      </c>
      <c r="C385" s="11">
        <v>744</v>
      </c>
      <c r="D385" s="11" t="s">
        <v>1030</v>
      </c>
      <c r="E385" s="11">
        <v>9539004140</v>
      </c>
      <c r="F385" s="11" t="s">
        <v>35</v>
      </c>
      <c r="G385" s="11" t="s">
        <v>1024</v>
      </c>
      <c r="H385" s="11">
        <v>21</v>
      </c>
      <c r="I385" s="12">
        <v>43202</v>
      </c>
      <c r="J385" s="2">
        <v>3</v>
      </c>
      <c r="K385" s="11">
        <v>1157336013316</v>
      </c>
      <c r="L385" s="11" t="s">
        <v>1031</v>
      </c>
      <c r="M385" s="11" t="s">
        <v>27</v>
      </c>
      <c r="N385" s="12">
        <v>43187</v>
      </c>
      <c r="O385" s="12">
        <v>43187</v>
      </c>
      <c r="P385" s="11">
        <v>3</v>
      </c>
      <c r="Q385" s="11" t="s">
        <v>1018</v>
      </c>
    </row>
    <row r="386" spans="1:17" ht="13" hidden="1" x14ac:dyDescent="0.15">
      <c r="A386" s="10">
        <v>43202.612537650464</v>
      </c>
      <c r="B386" s="11" t="s">
        <v>142</v>
      </c>
      <c r="C386" s="11">
        <v>703</v>
      </c>
      <c r="D386" s="11" t="s">
        <v>1032</v>
      </c>
      <c r="E386" s="11">
        <v>9526991113</v>
      </c>
      <c r="F386" s="11" t="s">
        <v>35</v>
      </c>
      <c r="G386" s="11" t="s">
        <v>36</v>
      </c>
      <c r="H386" s="11">
        <v>20</v>
      </c>
      <c r="I386" s="12">
        <v>43202</v>
      </c>
      <c r="J386" s="2">
        <v>3</v>
      </c>
      <c r="K386" s="11">
        <v>1157319011444</v>
      </c>
      <c r="L386" s="11" t="s">
        <v>649</v>
      </c>
      <c r="M386" s="11" t="s">
        <v>27</v>
      </c>
      <c r="N386" s="12">
        <v>43199</v>
      </c>
      <c r="O386" s="12">
        <v>43199</v>
      </c>
      <c r="P386" s="11">
        <v>3</v>
      </c>
      <c r="Q386" s="11" t="s">
        <v>142</v>
      </c>
    </row>
    <row r="387" spans="1:17" ht="13" hidden="1" x14ac:dyDescent="0.15">
      <c r="A387" s="10">
        <v>43202.618413298609</v>
      </c>
      <c r="B387" s="11" t="s">
        <v>1033</v>
      </c>
      <c r="C387" s="11">
        <v>660</v>
      </c>
      <c r="D387" s="11" t="s">
        <v>1034</v>
      </c>
      <c r="E387" s="11">
        <v>9400928128</v>
      </c>
      <c r="F387" s="11" t="s">
        <v>61</v>
      </c>
      <c r="G387" s="11" t="s">
        <v>1024</v>
      </c>
      <c r="H387" s="11">
        <v>21</v>
      </c>
      <c r="I387" s="12">
        <v>43202</v>
      </c>
      <c r="J387" s="2">
        <v>2</v>
      </c>
      <c r="K387" s="11">
        <v>1146230004334</v>
      </c>
      <c r="L387" s="11" t="s">
        <v>1014</v>
      </c>
      <c r="M387" s="11" t="s">
        <v>27</v>
      </c>
      <c r="N387" s="12">
        <v>43193</v>
      </c>
      <c r="O387" s="12">
        <v>43193</v>
      </c>
      <c r="P387" s="11">
        <v>2</v>
      </c>
      <c r="Q387" s="11" t="s">
        <v>1033</v>
      </c>
    </row>
    <row r="388" spans="1:17" ht="13" hidden="1" x14ac:dyDescent="0.15">
      <c r="A388" s="10">
        <v>43202.65441101852</v>
      </c>
      <c r="B388" s="11" t="s">
        <v>303</v>
      </c>
      <c r="C388" s="11">
        <v>719</v>
      </c>
      <c r="D388" s="11" t="s">
        <v>1035</v>
      </c>
      <c r="E388" s="11">
        <v>9895810851</v>
      </c>
      <c r="F388" s="11" t="s">
        <v>182</v>
      </c>
      <c r="G388" s="11" t="s">
        <v>280</v>
      </c>
      <c r="H388" s="11">
        <v>66</v>
      </c>
      <c r="I388" s="12">
        <v>43197</v>
      </c>
      <c r="J388" s="2">
        <v>3</v>
      </c>
      <c r="K388" s="11">
        <v>1167086002806</v>
      </c>
      <c r="L388" s="11" t="s">
        <v>1036</v>
      </c>
      <c r="M388" s="11" t="s">
        <v>27</v>
      </c>
      <c r="N388" s="12">
        <v>43193</v>
      </c>
      <c r="O388" s="12">
        <v>43193</v>
      </c>
      <c r="P388" s="11">
        <v>3</v>
      </c>
      <c r="Q388" s="11" t="s">
        <v>303</v>
      </c>
    </row>
    <row r="389" spans="1:17" ht="13" hidden="1" x14ac:dyDescent="0.15">
      <c r="A389" s="10">
        <v>43202.65739842593</v>
      </c>
      <c r="B389" s="11" t="s">
        <v>303</v>
      </c>
      <c r="C389" s="11">
        <v>720</v>
      </c>
      <c r="D389" s="11" t="s">
        <v>1037</v>
      </c>
      <c r="E389" s="11">
        <v>9895810851</v>
      </c>
      <c r="F389" s="11" t="s">
        <v>182</v>
      </c>
      <c r="G389" s="11" t="s">
        <v>280</v>
      </c>
      <c r="H389" s="11">
        <v>66</v>
      </c>
      <c r="I389" s="12">
        <v>43197</v>
      </c>
      <c r="J389" s="2">
        <v>3</v>
      </c>
      <c r="K389" s="11">
        <v>1165551001648</v>
      </c>
      <c r="L389" s="11" t="s">
        <v>1038</v>
      </c>
      <c r="M389" s="11" t="s">
        <v>27</v>
      </c>
      <c r="N389" s="12">
        <v>43185</v>
      </c>
      <c r="O389" s="12">
        <v>43185</v>
      </c>
      <c r="P389" s="11">
        <v>3</v>
      </c>
      <c r="Q389" s="11" t="s">
        <v>303</v>
      </c>
    </row>
    <row r="390" spans="1:17" ht="13" hidden="1" x14ac:dyDescent="0.15">
      <c r="A390" s="10">
        <v>43202.658209131943</v>
      </c>
      <c r="B390" s="11" t="s">
        <v>1039</v>
      </c>
      <c r="C390" s="11">
        <v>772</v>
      </c>
      <c r="D390" s="11" t="s">
        <v>1040</v>
      </c>
      <c r="E390" s="11">
        <v>9656155418</v>
      </c>
      <c r="F390" s="11" t="s">
        <v>30</v>
      </c>
      <c r="G390" s="11" t="s">
        <v>999</v>
      </c>
      <c r="H390" s="11">
        <v>11</v>
      </c>
      <c r="I390" s="12">
        <v>43202</v>
      </c>
      <c r="J390" s="2">
        <v>5</v>
      </c>
      <c r="K390" s="11">
        <v>21552</v>
      </c>
      <c r="L390" s="11" t="s">
        <v>1042</v>
      </c>
      <c r="M390" s="11" t="s">
        <v>27</v>
      </c>
      <c r="N390" s="12">
        <v>43202</v>
      </c>
      <c r="O390" s="12">
        <v>43202</v>
      </c>
      <c r="P390" s="11">
        <v>5</v>
      </c>
      <c r="Q390" s="11" t="s">
        <v>1039</v>
      </c>
    </row>
    <row r="391" spans="1:17" ht="13" hidden="1" x14ac:dyDescent="0.15">
      <c r="A391" s="10">
        <v>43202.687922812504</v>
      </c>
      <c r="B391" s="11" t="s">
        <v>1043</v>
      </c>
      <c r="C391" s="11">
        <v>40</v>
      </c>
      <c r="D391" s="11" t="s">
        <v>1044</v>
      </c>
      <c r="E391" s="11">
        <v>9496346223</v>
      </c>
      <c r="F391" s="11" t="s">
        <v>30</v>
      </c>
      <c r="G391" s="11" t="s">
        <v>952</v>
      </c>
      <c r="H391" s="11">
        <v>20</v>
      </c>
      <c r="I391" s="12">
        <v>43201</v>
      </c>
      <c r="J391" s="2">
        <v>5</v>
      </c>
      <c r="K391" s="11">
        <v>1156699019963</v>
      </c>
      <c r="L391" s="11" t="s">
        <v>960</v>
      </c>
      <c r="M391" s="11" t="s">
        <v>27</v>
      </c>
      <c r="N391" s="12">
        <v>43195</v>
      </c>
      <c r="O391" s="12">
        <v>43195</v>
      </c>
      <c r="P391" s="11">
        <v>10</v>
      </c>
      <c r="Q391" s="11" t="s">
        <v>1043</v>
      </c>
    </row>
    <row r="392" spans="1:17" ht="13" hidden="1" x14ac:dyDescent="0.15">
      <c r="A392" s="10">
        <v>43202.699262337963</v>
      </c>
      <c r="B392" s="11" t="s">
        <v>371</v>
      </c>
      <c r="C392" s="11">
        <v>900</v>
      </c>
      <c r="D392" s="11" t="s">
        <v>1045</v>
      </c>
      <c r="E392" s="11">
        <v>8547564126</v>
      </c>
      <c r="F392" s="11" t="s">
        <v>266</v>
      </c>
      <c r="G392" s="11" t="s">
        <v>215</v>
      </c>
      <c r="H392" s="11">
        <v>27</v>
      </c>
      <c r="I392" s="12">
        <v>43201</v>
      </c>
      <c r="J392" s="2">
        <v>3</v>
      </c>
      <c r="K392" s="11">
        <v>116604011263</v>
      </c>
      <c r="L392" s="11" t="s">
        <v>1046</v>
      </c>
      <c r="M392" s="11" t="s">
        <v>27</v>
      </c>
      <c r="N392" s="12">
        <v>43194</v>
      </c>
      <c r="O392" s="12">
        <v>43194</v>
      </c>
      <c r="P392" s="11">
        <v>3</v>
      </c>
      <c r="Q392" s="11" t="s">
        <v>371</v>
      </c>
    </row>
    <row r="393" spans="1:17" ht="13" hidden="1" x14ac:dyDescent="0.15">
      <c r="A393" s="10">
        <v>43202.818677280091</v>
      </c>
      <c r="B393" s="11" t="s">
        <v>1047</v>
      </c>
      <c r="C393" s="11">
        <v>690</v>
      </c>
      <c r="D393" s="11" t="s">
        <v>1048</v>
      </c>
      <c r="E393" s="11">
        <v>9446552548</v>
      </c>
      <c r="F393" s="11" t="s">
        <v>270</v>
      </c>
      <c r="G393" s="11" t="s">
        <v>1049</v>
      </c>
      <c r="H393" s="11">
        <v>20</v>
      </c>
      <c r="I393" s="12">
        <v>43202</v>
      </c>
      <c r="J393" s="2">
        <v>3</v>
      </c>
      <c r="K393" s="11">
        <v>1156195001415</v>
      </c>
      <c r="L393" s="11" t="s">
        <v>1050</v>
      </c>
      <c r="M393" s="11" t="s">
        <v>27</v>
      </c>
      <c r="N393" s="12">
        <v>43180</v>
      </c>
      <c r="O393" s="12">
        <v>43180</v>
      </c>
      <c r="P393" s="11">
        <v>3</v>
      </c>
      <c r="Q393" s="11" t="s">
        <v>1051</v>
      </c>
    </row>
    <row r="394" spans="1:17" ht="13" hidden="1" x14ac:dyDescent="0.15">
      <c r="A394" s="10">
        <v>43203.42238444445</v>
      </c>
      <c r="B394" s="11" t="s">
        <v>176</v>
      </c>
      <c r="C394" s="11">
        <v>467</v>
      </c>
      <c r="D394" s="11" t="s">
        <v>1052</v>
      </c>
      <c r="E394" s="11">
        <v>7356817771</v>
      </c>
      <c r="F394" s="11" t="s">
        <v>182</v>
      </c>
      <c r="G394" s="11" t="s">
        <v>1053</v>
      </c>
      <c r="H394" s="11">
        <v>14</v>
      </c>
      <c r="I394" s="12">
        <v>43202</v>
      </c>
      <c r="J394" s="2">
        <v>3</v>
      </c>
      <c r="K394" s="11">
        <v>1165654029901</v>
      </c>
      <c r="L394" s="11" t="s">
        <v>1054</v>
      </c>
      <c r="M394" s="11" t="s">
        <v>27</v>
      </c>
      <c r="N394" s="12">
        <v>43201</v>
      </c>
      <c r="O394" s="12">
        <v>43201</v>
      </c>
      <c r="P394" s="11">
        <v>3</v>
      </c>
      <c r="Q394" s="11" t="s">
        <v>176</v>
      </c>
    </row>
    <row r="395" spans="1:17" ht="13" hidden="1" x14ac:dyDescent="0.15">
      <c r="A395" s="10">
        <v>43203.464116967589</v>
      </c>
      <c r="B395" s="11" t="s">
        <v>176</v>
      </c>
      <c r="C395" s="11">
        <v>134</v>
      </c>
      <c r="D395" s="11" t="s">
        <v>1055</v>
      </c>
      <c r="E395" s="11">
        <v>9142099977</v>
      </c>
      <c r="F395" s="11" t="s">
        <v>182</v>
      </c>
      <c r="G395" s="11" t="s">
        <v>1053</v>
      </c>
      <c r="H395" s="11">
        <v>14</v>
      </c>
      <c r="I395" s="12">
        <v>43200</v>
      </c>
      <c r="J395" s="2">
        <v>5</v>
      </c>
      <c r="K395" s="11">
        <v>1167418006561</v>
      </c>
      <c r="L395" s="11" t="s">
        <v>1056</v>
      </c>
      <c r="M395" s="11" t="s">
        <v>27</v>
      </c>
      <c r="N395" s="12">
        <v>43199</v>
      </c>
      <c r="O395" s="12">
        <v>43199</v>
      </c>
      <c r="P395" s="11">
        <v>5</v>
      </c>
      <c r="Q395" s="11" t="s">
        <v>176</v>
      </c>
    </row>
    <row r="396" spans="1:17" ht="13" hidden="1" x14ac:dyDescent="0.15">
      <c r="A396" s="10">
        <v>43203.537729780088</v>
      </c>
      <c r="B396" s="11" t="s">
        <v>563</v>
      </c>
      <c r="C396" s="11">
        <v>751</v>
      </c>
      <c r="D396" s="11" t="s">
        <v>1057</v>
      </c>
      <c r="E396" s="11">
        <v>9061327111</v>
      </c>
      <c r="F396" s="11" t="s">
        <v>287</v>
      </c>
      <c r="G396" s="11" t="s">
        <v>692</v>
      </c>
      <c r="H396" s="11">
        <v>18</v>
      </c>
      <c r="I396" s="12">
        <v>43203</v>
      </c>
      <c r="J396" s="2">
        <v>10</v>
      </c>
      <c r="K396" s="11">
        <v>1166488011845</v>
      </c>
      <c r="L396" s="11" t="s">
        <v>1058</v>
      </c>
      <c r="M396" s="11" t="s">
        <v>27</v>
      </c>
      <c r="N396" s="12">
        <v>43200</v>
      </c>
      <c r="O396" s="12">
        <v>43200</v>
      </c>
      <c r="P396" s="11">
        <v>10</v>
      </c>
      <c r="Q396" s="11" t="s">
        <v>563</v>
      </c>
    </row>
    <row r="397" spans="1:17" ht="13" hidden="1" x14ac:dyDescent="0.15">
      <c r="A397" s="10">
        <v>43203.618552662039</v>
      </c>
      <c r="B397" s="11" t="s">
        <v>563</v>
      </c>
      <c r="C397" s="11">
        <v>777</v>
      </c>
      <c r="D397" s="11" t="s">
        <v>1059</v>
      </c>
      <c r="E397" s="11">
        <v>9061327111</v>
      </c>
      <c r="F397" s="11" t="s">
        <v>56</v>
      </c>
      <c r="G397" s="11" t="s">
        <v>692</v>
      </c>
      <c r="H397" s="11">
        <v>18</v>
      </c>
      <c r="I397" s="12">
        <v>43203</v>
      </c>
      <c r="J397" s="2">
        <v>10</v>
      </c>
      <c r="K397" s="11">
        <v>1156352018557</v>
      </c>
      <c r="L397" s="11" t="s">
        <v>1060</v>
      </c>
      <c r="M397" s="11" t="s">
        <v>27</v>
      </c>
      <c r="N397" s="12">
        <v>43187</v>
      </c>
      <c r="O397" s="12">
        <v>43187</v>
      </c>
      <c r="P397" s="11">
        <v>10</v>
      </c>
      <c r="Q397" s="11" t="s">
        <v>563</v>
      </c>
    </row>
    <row r="398" spans="1:17" ht="13" hidden="1" x14ac:dyDescent="0.15">
      <c r="A398" s="10">
        <v>43203.854882094907</v>
      </c>
      <c r="B398" s="11" t="s">
        <v>1061</v>
      </c>
      <c r="C398" s="11">
        <v>795</v>
      </c>
      <c r="D398" s="11" t="s">
        <v>1062</v>
      </c>
      <c r="E398" s="11">
        <v>9847342428</v>
      </c>
      <c r="F398" s="11" t="s">
        <v>270</v>
      </c>
      <c r="G398" s="11" t="s">
        <v>1063</v>
      </c>
      <c r="H398" s="11">
        <v>17</v>
      </c>
      <c r="I398" s="12">
        <v>43199</v>
      </c>
      <c r="J398" s="2">
        <v>3</v>
      </c>
      <c r="K398" s="11">
        <v>1157436008965</v>
      </c>
      <c r="L398" s="11" t="s">
        <v>1064</v>
      </c>
      <c r="M398" s="11" t="s">
        <v>27</v>
      </c>
      <c r="N398" s="12">
        <v>43203</v>
      </c>
      <c r="O398" s="12">
        <v>43203</v>
      </c>
      <c r="P398" s="11">
        <v>3</v>
      </c>
      <c r="Q398" s="11" t="s">
        <v>1065</v>
      </c>
    </row>
    <row r="399" spans="1:17" ht="13" hidden="1" x14ac:dyDescent="0.15">
      <c r="A399" s="10">
        <v>43204.665837152774</v>
      </c>
      <c r="B399" s="11" t="s">
        <v>1066</v>
      </c>
      <c r="C399" s="11">
        <v>622</v>
      </c>
      <c r="D399" s="11" t="s">
        <v>1067</v>
      </c>
      <c r="E399" s="11">
        <v>9495764190</v>
      </c>
      <c r="F399" s="11" t="s">
        <v>35</v>
      </c>
      <c r="G399" s="11" t="s">
        <v>170</v>
      </c>
      <c r="H399" s="11">
        <v>26</v>
      </c>
      <c r="I399" s="12">
        <v>43190</v>
      </c>
      <c r="J399" s="2">
        <v>3</v>
      </c>
      <c r="K399" s="11">
        <v>1155689011946</v>
      </c>
      <c r="L399" s="11" t="s">
        <v>171</v>
      </c>
      <c r="M399" s="11" t="s">
        <v>27</v>
      </c>
      <c r="N399" s="12">
        <v>43194</v>
      </c>
      <c r="O399" s="12">
        <v>43194</v>
      </c>
      <c r="P399" s="11">
        <v>28</v>
      </c>
      <c r="Q399" s="11" t="s">
        <v>436</v>
      </c>
    </row>
    <row r="400" spans="1:17" ht="13" hidden="1" x14ac:dyDescent="0.15">
      <c r="A400" s="10">
        <v>43204.6739919213</v>
      </c>
      <c r="B400" s="11" t="s">
        <v>1068</v>
      </c>
      <c r="C400" s="11">
        <v>515</v>
      </c>
      <c r="D400" s="11" t="s">
        <v>1070</v>
      </c>
      <c r="E400" s="11">
        <v>9995009963</v>
      </c>
      <c r="F400" s="11" t="s">
        <v>35</v>
      </c>
      <c r="G400" s="11" t="s">
        <v>170</v>
      </c>
      <c r="H400" s="11">
        <v>26</v>
      </c>
      <c r="I400" s="12">
        <v>43194</v>
      </c>
      <c r="J400" s="2">
        <v>3</v>
      </c>
      <c r="K400" s="11">
        <v>1155500016268</v>
      </c>
      <c r="L400" s="11" t="s">
        <v>1071</v>
      </c>
      <c r="M400" s="11" t="s">
        <v>27</v>
      </c>
      <c r="N400" s="12">
        <v>43161</v>
      </c>
      <c r="O400" s="12">
        <v>43161</v>
      </c>
      <c r="P400" s="11">
        <v>13</v>
      </c>
      <c r="Q400" s="11" t="s">
        <v>436</v>
      </c>
    </row>
    <row r="401" spans="1:17" ht="13" hidden="1" x14ac:dyDescent="0.15">
      <c r="A401" s="10">
        <v>43204.680214976848</v>
      </c>
      <c r="B401" s="11" t="s">
        <v>1072</v>
      </c>
      <c r="C401" s="11">
        <v>591</v>
      </c>
      <c r="D401" s="11" t="s">
        <v>1073</v>
      </c>
      <c r="E401" s="11">
        <v>9447062174</v>
      </c>
      <c r="F401" s="11" t="s">
        <v>35</v>
      </c>
      <c r="G401" s="11" t="s">
        <v>170</v>
      </c>
      <c r="H401" s="11">
        <v>26</v>
      </c>
      <c r="I401" s="12">
        <v>43193</v>
      </c>
      <c r="J401" s="2">
        <v>5</v>
      </c>
      <c r="K401" s="11">
        <v>1155685009668</v>
      </c>
      <c r="L401" s="11" t="s">
        <v>171</v>
      </c>
      <c r="M401" s="11" t="s">
        <v>27</v>
      </c>
      <c r="N401" s="12">
        <v>43194</v>
      </c>
      <c r="O401" s="12">
        <v>43194</v>
      </c>
      <c r="P401" s="11">
        <v>5</v>
      </c>
      <c r="Q401" s="11" t="s">
        <v>436</v>
      </c>
    </row>
    <row r="402" spans="1:17" ht="13" hidden="1" x14ac:dyDescent="0.15">
      <c r="A402" s="10">
        <v>43206.482498055557</v>
      </c>
      <c r="B402" s="11" t="s">
        <v>1074</v>
      </c>
      <c r="C402" s="11">
        <v>600</v>
      </c>
      <c r="D402" s="11" t="s">
        <v>1075</v>
      </c>
      <c r="E402" s="11">
        <v>9061480999</v>
      </c>
      <c r="F402" s="11" t="s">
        <v>61</v>
      </c>
      <c r="G402" s="11" t="s">
        <v>1076</v>
      </c>
      <c r="H402" s="11">
        <v>21</v>
      </c>
      <c r="I402" s="12">
        <v>43195</v>
      </c>
      <c r="J402" s="2">
        <v>3</v>
      </c>
      <c r="K402" s="11">
        <v>1146232001094</v>
      </c>
      <c r="L402" s="11" t="s">
        <v>1014</v>
      </c>
      <c r="M402" s="11" t="s">
        <v>27</v>
      </c>
      <c r="N402" s="12">
        <v>43202</v>
      </c>
      <c r="O402" s="12">
        <v>43202</v>
      </c>
      <c r="P402" s="11">
        <v>3</v>
      </c>
      <c r="Q402" s="11" t="s">
        <v>1074</v>
      </c>
    </row>
    <row r="403" spans="1:17" ht="13" x14ac:dyDescent="0.15">
      <c r="A403" s="10">
        <v>43206.520639918977</v>
      </c>
      <c r="B403" s="11" t="s">
        <v>22</v>
      </c>
      <c r="C403" s="11">
        <v>574</v>
      </c>
      <c r="D403" s="11" t="s">
        <v>1077</v>
      </c>
      <c r="E403" s="11">
        <v>9072666513</v>
      </c>
      <c r="F403" s="11" t="s">
        <v>24</v>
      </c>
      <c r="G403" s="11" t="s">
        <v>101</v>
      </c>
      <c r="H403" s="11">
        <v>54</v>
      </c>
      <c r="I403" s="12">
        <v>43206</v>
      </c>
      <c r="J403" s="2">
        <v>3</v>
      </c>
      <c r="K403" s="11">
        <v>1145208005002</v>
      </c>
      <c r="L403" s="11" t="s">
        <v>1078</v>
      </c>
      <c r="M403" s="11" t="s">
        <v>27</v>
      </c>
      <c r="N403" s="12">
        <v>43178</v>
      </c>
      <c r="O403" s="12">
        <v>43178</v>
      </c>
      <c r="P403" s="11">
        <v>3</v>
      </c>
      <c r="Q403" s="11" t="s">
        <v>22</v>
      </c>
    </row>
    <row r="404" spans="1:17" ht="13" hidden="1" x14ac:dyDescent="0.15">
      <c r="A404" s="10">
        <v>43206.543635243055</v>
      </c>
      <c r="B404" s="11" t="s">
        <v>303</v>
      </c>
      <c r="C404" s="11">
        <v>728</v>
      </c>
      <c r="D404" s="11" t="s">
        <v>1079</v>
      </c>
      <c r="E404" s="11">
        <v>9846044370</v>
      </c>
      <c r="F404" s="11" t="s">
        <v>35</v>
      </c>
      <c r="G404" s="11" t="s">
        <v>280</v>
      </c>
      <c r="H404" s="11">
        <v>66</v>
      </c>
      <c r="I404" s="12">
        <v>43210</v>
      </c>
      <c r="J404" s="2">
        <v>5</v>
      </c>
      <c r="K404" s="11">
        <v>1155455025540</v>
      </c>
      <c r="L404" s="11" t="s">
        <v>1080</v>
      </c>
      <c r="M404" s="11" t="s">
        <v>27</v>
      </c>
      <c r="N404" s="12">
        <v>43183</v>
      </c>
      <c r="O404" s="12">
        <v>43183</v>
      </c>
      <c r="P404" s="11">
        <v>5</v>
      </c>
      <c r="Q404" s="11" t="s">
        <v>303</v>
      </c>
    </row>
    <row r="405" spans="1:17" ht="13" hidden="1" x14ac:dyDescent="0.15">
      <c r="A405" s="10">
        <v>43206.554218148143</v>
      </c>
      <c r="B405" s="11" t="s">
        <v>303</v>
      </c>
      <c r="C405" s="11">
        <v>488</v>
      </c>
      <c r="D405" s="11" t="s">
        <v>1081</v>
      </c>
      <c r="E405" s="11">
        <v>9400741816</v>
      </c>
      <c r="F405" s="11" t="s">
        <v>35</v>
      </c>
      <c r="G405" s="11" t="s">
        <v>280</v>
      </c>
      <c r="H405" s="11">
        <v>66</v>
      </c>
      <c r="I405" s="12">
        <v>43210</v>
      </c>
      <c r="J405" s="2">
        <v>3</v>
      </c>
      <c r="K405" s="11">
        <v>1157486004453</v>
      </c>
      <c r="L405" s="11" t="s">
        <v>1082</v>
      </c>
      <c r="M405" s="11" t="s">
        <v>27</v>
      </c>
      <c r="N405" s="12">
        <v>43186</v>
      </c>
      <c r="O405" s="12">
        <v>43186</v>
      </c>
      <c r="P405" s="11">
        <v>3</v>
      </c>
      <c r="Q405" s="11" t="s">
        <v>303</v>
      </c>
    </row>
    <row r="406" spans="1:17" ht="13" hidden="1" x14ac:dyDescent="0.15">
      <c r="A406" s="10">
        <v>43206.700143391208</v>
      </c>
      <c r="B406" s="11" t="s">
        <v>709</v>
      </c>
      <c r="C406" s="11">
        <v>834</v>
      </c>
      <c r="D406" s="11" t="s">
        <v>1083</v>
      </c>
      <c r="E406" s="11">
        <v>9495336654</v>
      </c>
      <c r="F406" s="11" t="s">
        <v>73</v>
      </c>
      <c r="G406" s="11" t="s">
        <v>1084</v>
      </c>
      <c r="H406" s="11">
        <v>41</v>
      </c>
      <c r="I406" s="12">
        <v>43202</v>
      </c>
      <c r="J406" s="2">
        <v>3</v>
      </c>
      <c r="K406" s="11">
        <v>1145624012522</v>
      </c>
      <c r="L406" s="11" t="s">
        <v>1085</v>
      </c>
      <c r="M406" s="11" t="s">
        <v>27</v>
      </c>
      <c r="N406" s="12">
        <v>43186</v>
      </c>
      <c r="O406" s="12">
        <v>43186</v>
      </c>
      <c r="P406" s="11">
        <v>3</v>
      </c>
      <c r="Q406" s="11" t="s">
        <v>709</v>
      </c>
    </row>
    <row r="407" spans="1:17" ht="13" hidden="1" x14ac:dyDescent="0.15">
      <c r="A407" s="10">
        <v>43207.438082488428</v>
      </c>
      <c r="B407" s="11" t="s">
        <v>1086</v>
      </c>
      <c r="C407" s="11">
        <v>930</v>
      </c>
      <c r="D407" s="11" t="s">
        <v>1087</v>
      </c>
      <c r="E407" s="11">
        <v>9447719274</v>
      </c>
      <c r="F407" s="11" t="s">
        <v>30</v>
      </c>
      <c r="G407" s="11" t="s">
        <v>1088</v>
      </c>
      <c r="H407" s="11">
        <v>41</v>
      </c>
      <c r="I407" s="12">
        <v>43206</v>
      </c>
      <c r="J407" s="2">
        <v>10</v>
      </c>
      <c r="K407" s="11">
        <v>1156865008724</v>
      </c>
      <c r="L407" s="11" t="s">
        <v>1089</v>
      </c>
      <c r="M407" s="11" t="s">
        <v>27</v>
      </c>
      <c r="N407" s="12">
        <v>43186</v>
      </c>
      <c r="O407" s="12">
        <v>43186</v>
      </c>
      <c r="P407" s="11">
        <v>10</v>
      </c>
      <c r="Q407" s="11" t="s">
        <v>1086</v>
      </c>
    </row>
    <row r="408" spans="1:17" ht="13" hidden="1" x14ac:dyDescent="0.15">
      <c r="A408" s="10">
        <v>43207.451482997683</v>
      </c>
      <c r="B408" s="11" t="s">
        <v>142</v>
      </c>
      <c r="C408" s="11">
        <v>278</v>
      </c>
      <c r="D408" s="11" t="s">
        <v>1090</v>
      </c>
      <c r="E408" s="11">
        <v>9895591724</v>
      </c>
      <c r="F408" s="11" t="s">
        <v>35</v>
      </c>
      <c r="G408" s="11" t="s">
        <v>36</v>
      </c>
      <c r="H408" s="11">
        <v>20</v>
      </c>
      <c r="I408" s="12">
        <v>43201</v>
      </c>
      <c r="J408" s="2">
        <v>3</v>
      </c>
      <c r="K408" s="11">
        <v>1155693022141</v>
      </c>
      <c r="L408" s="11" t="s">
        <v>1091</v>
      </c>
      <c r="M408" s="11" t="s">
        <v>27</v>
      </c>
      <c r="N408" s="12">
        <v>43154</v>
      </c>
      <c r="O408" s="12">
        <v>43154</v>
      </c>
      <c r="P408" s="11">
        <v>3</v>
      </c>
      <c r="Q408" s="11" t="s">
        <v>142</v>
      </c>
    </row>
    <row r="409" spans="1:17" ht="13" hidden="1" x14ac:dyDescent="0.15">
      <c r="A409" s="10">
        <v>43207.462629062502</v>
      </c>
      <c r="B409" s="11" t="s">
        <v>142</v>
      </c>
      <c r="C409" s="11">
        <v>34</v>
      </c>
      <c r="D409" s="11" t="s">
        <v>1093</v>
      </c>
      <c r="E409" s="11">
        <v>9447921639</v>
      </c>
      <c r="F409" s="11" t="s">
        <v>35</v>
      </c>
      <c r="G409" s="11" t="s">
        <v>36</v>
      </c>
      <c r="H409" s="11">
        <v>20</v>
      </c>
      <c r="I409" s="12">
        <v>43182</v>
      </c>
      <c r="J409" s="2">
        <v>3</v>
      </c>
      <c r="K409" s="11">
        <v>1155972008673</v>
      </c>
      <c r="L409" s="11" t="s">
        <v>1094</v>
      </c>
      <c r="M409" s="11" t="s">
        <v>27</v>
      </c>
      <c r="N409" s="12">
        <v>43140</v>
      </c>
      <c r="O409" s="12">
        <v>43140</v>
      </c>
      <c r="P409" s="11">
        <v>3</v>
      </c>
      <c r="Q409" s="11" t="s">
        <v>142</v>
      </c>
    </row>
    <row r="410" spans="1:17" ht="13" hidden="1" x14ac:dyDescent="0.15">
      <c r="A410" s="10">
        <v>43207.463630358798</v>
      </c>
      <c r="B410" s="11" t="s">
        <v>1095</v>
      </c>
      <c r="C410" s="11">
        <v>737</v>
      </c>
      <c r="D410" s="11" t="s">
        <v>1067</v>
      </c>
      <c r="E410" s="11">
        <v>8891873088</v>
      </c>
      <c r="F410" s="11" t="s">
        <v>35</v>
      </c>
      <c r="G410" s="11" t="s">
        <v>134</v>
      </c>
      <c r="H410" s="11">
        <v>47</v>
      </c>
      <c r="I410" s="12">
        <v>43206</v>
      </c>
      <c r="J410" s="2">
        <v>3</v>
      </c>
      <c r="K410" s="11">
        <v>1155681011633</v>
      </c>
      <c r="L410" s="11" t="s">
        <v>171</v>
      </c>
      <c r="M410" s="11" t="s">
        <v>27</v>
      </c>
      <c r="N410" s="12">
        <v>43207</v>
      </c>
      <c r="O410" s="12">
        <v>43207</v>
      </c>
      <c r="P410" s="11">
        <v>3</v>
      </c>
      <c r="Q410" s="11" t="s">
        <v>1095</v>
      </c>
    </row>
    <row r="411" spans="1:17" ht="13" hidden="1" x14ac:dyDescent="0.15">
      <c r="A411" s="10">
        <v>43207.474908159726</v>
      </c>
      <c r="B411" s="11" t="s">
        <v>142</v>
      </c>
      <c r="C411" s="11">
        <v>84</v>
      </c>
      <c r="D411" s="11" t="s">
        <v>1096</v>
      </c>
      <c r="E411" s="11">
        <v>9526991113</v>
      </c>
      <c r="F411" s="11" t="s">
        <v>35</v>
      </c>
      <c r="G411" s="11" t="s">
        <v>36</v>
      </c>
      <c r="H411" s="11">
        <v>20</v>
      </c>
      <c r="I411" s="12">
        <v>43169</v>
      </c>
      <c r="J411" s="2">
        <v>3</v>
      </c>
      <c r="K411" s="11">
        <v>1155918019126</v>
      </c>
      <c r="L411" s="11" t="s">
        <v>1097</v>
      </c>
      <c r="M411" s="11" t="s">
        <v>27</v>
      </c>
      <c r="N411" s="12">
        <v>43155</v>
      </c>
      <c r="O411" s="12">
        <v>43155</v>
      </c>
      <c r="P411" s="11">
        <v>3</v>
      </c>
      <c r="Q411" s="11" t="s">
        <v>142</v>
      </c>
    </row>
    <row r="412" spans="1:17" ht="13" hidden="1" x14ac:dyDescent="0.15">
      <c r="A412" s="10">
        <v>43207.635476539348</v>
      </c>
      <c r="B412" s="11" t="s">
        <v>371</v>
      </c>
      <c r="C412" s="11">
        <v>948</v>
      </c>
      <c r="D412" s="11" t="s">
        <v>1098</v>
      </c>
      <c r="E412" s="11">
        <v>8547564126</v>
      </c>
      <c r="F412" s="11" t="s">
        <v>30</v>
      </c>
      <c r="G412" s="11" t="s">
        <v>215</v>
      </c>
      <c r="H412" s="11">
        <v>27</v>
      </c>
      <c r="I412" s="12">
        <v>43200</v>
      </c>
      <c r="J412" s="2">
        <v>3</v>
      </c>
      <c r="K412" s="11">
        <v>1156671004607</v>
      </c>
      <c r="L412" s="11" t="s">
        <v>1099</v>
      </c>
      <c r="M412" s="11" t="s">
        <v>27</v>
      </c>
      <c r="N412" s="12">
        <v>43207</v>
      </c>
      <c r="O412" s="12">
        <v>43207</v>
      </c>
      <c r="P412" s="11">
        <v>3</v>
      </c>
      <c r="Q412" s="11" t="s">
        <v>371</v>
      </c>
    </row>
    <row r="413" spans="1:17" ht="13" hidden="1" x14ac:dyDescent="0.15">
      <c r="A413" s="10">
        <v>43207.654249583335</v>
      </c>
      <c r="B413" s="11" t="s">
        <v>371</v>
      </c>
      <c r="C413" s="11">
        <v>878</v>
      </c>
      <c r="D413" s="11" t="s">
        <v>1100</v>
      </c>
      <c r="E413" s="11">
        <v>8547564126</v>
      </c>
      <c r="F413" s="11" t="s">
        <v>30</v>
      </c>
      <c r="G413" s="11" t="s">
        <v>215</v>
      </c>
      <c r="H413" s="11">
        <v>27</v>
      </c>
      <c r="I413" s="12">
        <v>43201</v>
      </c>
      <c r="J413" s="2">
        <v>3</v>
      </c>
      <c r="K413" s="11">
        <v>1156602003347</v>
      </c>
      <c r="L413" s="11" t="s">
        <v>1101</v>
      </c>
      <c r="M413" s="11" t="s">
        <v>27</v>
      </c>
      <c r="N413" s="12">
        <v>43204</v>
      </c>
      <c r="O413" s="12">
        <v>43204</v>
      </c>
      <c r="P413" s="11">
        <v>3</v>
      </c>
      <c r="Q413" s="11" t="s">
        <v>371</v>
      </c>
    </row>
    <row r="414" spans="1:17" ht="13" hidden="1" x14ac:dyDescent="0.15">
      <c r="A414" s="10">
        <v>43207.79359538194</v>
      </c>
      <c r="B414" s="11" t="s">
        <v>1102</v>
      </c>
      <c r="C414" s="11">
        <v>117</v>
      </c>
      <c r="D414" s="11" t="s">
        <v>1103</v>
      </c>
      <c r="E414" s="11">
        <v>9747562754</v>
      </c>
      <c r="F414" s="11" t="s">
        <v>30</v>
      </c>
      <c r="G414" s="11" t="s">
        <v>1104</v>
      </c>
      <c r="H414" s="11">
        <v>7</v>
      </c>
      <c r="I414" s="12">
        <v>43162</v>
      </c>
      <c r="J414" s="2">
        <v>2</v>
      </c>
      <c r="K414" s="11">
        <v>1156514026761</v>
      </c>
      <c r="L414" s="11" t="s">
        <v>1105</v>
      </c>
      <c r="M414" s="11" t="s">
        <v>27</v>
      </c>
      <c r="N414" s="12">
        <v>43145</v>
      </c>
      <c r="O414" s="12">
        <v>43145</v>
      </c>
      <c r="P414" s="11">
        <v>2</v>
      </c>
      <c r="Q414" s="11" t="s">
        <v>1102</v>
      </c>
    </row>
    <row r="415" spans="1:17" ht="13" x14ac:dyDescent="0.15">
      <c r="A415" s="10">
        <v>43208.45349630787</v>
      </c>
      <c r="B415" s="11" t="s">
        <v>22</v>
      </c>
      <c r="C415" s="11">
        <v>259</v>
      </c>
      <c r="D415" s="11" t="s">
        <v>1106</v>
      </c>
      <c r="E415" s="11">
        <v>9072666513</v>
      </c>
      <c r="F415" s="11" t="s">
        <v>24</v>
      </c>
      <c r="G415" s="11" t="s">
        <v>101</v>
      </c>
      <c r="H415" s="11">
        <v>54</v>
      </c>
      <c r="I415" s="12">
        <v>43208</v>
      </c>
      <c r="J415" s="2">
        <v>5</v>
      </c>
      <c r="K415" s="11">
        <v>1145596001262</v>
      </c>
      <c r="L415" s="11" t="s">
        <v>1107</v>
      </c>
      <c r="M415" s="11" t="s">
        <v>27</v>
      </c>
      <c r="N415" s="12">
        <v>43197</v>
      </c>
      <c r="O415" s="12">
        <v>43197</v>
      </c>
      <c r="P415" s="11">
        <v>5</v>
      </c>
      <c r="Q415" s="11" t="s">
        <v>22</v>
      </c>
    </row>
    <row r="416" spans="1:17" ht="13" hidden="1" x14ac:dyDescent="0.15">
      <c r="A416" s="10">
        <v>43208.511507627314</v>
      </c>
      <c r="B416" s="11" t="s">
        <v>1108</v>
      </c>
      <c r="C416" s="11">
        <v>624</v>
      </c>
      <c r="D416" s="11" t="s">
        <v>1109</v>
      </c>
      <c r="E416" s="11">
        <v>9400622930</v>
      </c>
      <c r="F416" s="11" t="s">
        <v>46</v>
      </c>
      <c r="G416" s="11" t="s">
        <v>36</v>
      </c>
      <c r="H416" s="11">
        <v>20</v>
      </c>
      <c r="I416" s="12">
        <v>43196</v>
      </c>
      <c r="J416" s="2">
        <v>3</v>
      </c>
      <c r="K416" s="11">
        <v>1167540013198</v>
      </c>
      <c r="L416" s="11" t="s">
        <v>1110</v>
      </c>
      <c r="M416" s="11" t="s">
        <v>27</v>
      </c>
      <c r="N416" s="12">
        <v>43196</v>
      </c>
      <c r="O416" s="12">
        <v>43196</v>
      </c>
      <c r="P416" s="11">
        <v>3</v>
      </c>
      <c r="Q416" s="11" t="s">
        <v>1108</v>
      </c>
    </row>
    <row r="417" spans="1:17" ht="13" hidden="1" x14ac:dyDescent="0.15">
      <c r="A417" s="10">
        <v>43208.616851539351</v>
      </c>
      <c r="B417" s="11" t="s">
        <v>1111</v>
      </c>
      <c r="C417" s="11">
        <v>472</v>
      </c>
      <c r="D417" s="11" t="s">
        <v>1112</v>
      </c>
      <c r="E417" s="11">
        <v>9446572480</v>
      </c>
      <c r="F417" s="11" t="s">
        <v>40</v>
      </c>
      <c r="G417" s="11" t="s">
        <v>1113</v>
      </c>
      <c r="H417" s="11">
        <v>7</v>
      </c>
      <c r="I417" s="12">
        <v>43206</v>
      </c>
      <c r="J417" s="2">
        <v>10</v>
      </c>
      <c r="K417" s="11">
        <v>1157047025199</v>
      </c>
      <c r="L417" s="11" t="s">
        <v>1114</v>
      </c>
      <c r="M417" s="11" t="s">
        <v>27</v>
      </c>
      <c r="N417" s="12">
        <v>43194</v>
      </c>
      <c r="O417" s="12">
        <v>43194</v>
      </c>
      <c r="P417" s="11">
        <v>10</v>
      </c>
      <c r="Q417" s="11" t="s">
        <v>1111</v>
      </c>
    </row>
    <row r="418" spans="1:17" ht="13" hidden="1" x14ac:dyDescent="0.15">
      <c r="A418" s="10">
        <v>43208.746705046295</v>
      </c>
      <c r="B418" s="11" t="s">
        <v>1116</v>
      </c>
      <c r="C418" s="11">
        <v>750</v>
      </c>
      <c r="D418" s="11" t="s">
        <v>1117</v>
      </c>
      <c r="E418" s="11">
        <v>9495018286</v>
      </c>
      <c r="F418" s="11" t="s">
        <v>46</v>
      </c>
      <c r="G418" s="11" t="s">
        <v>1118</v>
      </c>
      <c r="H418" s="11">
        <v>20</v>
      </c>
      <c r="I418" s="12">
        <v>43186</v>
      </c>
      <c r="J418" s="2">
        <v>3</v>
      </c>
      <c r="K418" s="11">
        <v>16555</v>
      </c>
      <c r="L418" s="11" t="s">
        <v>1119</v>
      </c>
      <c r="M418" s="11" t="s">
        <v>27</v>
      </c>
      <c r="N418" s="12">
        <v>43206</v>
      </c>
      <c r="O418" s="12">
        <v>43206</v>
      </c>
      <c r="P418" s="11">
        <v>3</v>
      </c>
      <c r="Q418" s="11" t="s">
        <v>1116</v>
      </c>
    </row>
    <row r="419" spans="1:17" ht="13" hidden="1" x14ac:dyDescent="0.15">
      <c r="A419" s="10">
        <v>43208.75107914352</v>
      </c>
      <c r="B419" s="11" t="s">
        <v>1120</v>
      </c>
      <c r="C419" s="11">
        <v>567</v>
      </c>
      <c r="D419" s="11" t="s">
        <v>1121</v>
      </c>
      <c r="E419" s="11">
        <v>9496176703</v>
      </c>
      <c r="F419" s="11" t="s">
        <v>46</v>
      </c>
      <c r="G419" s="11" t="s">
        <v>1118</v>
      </c>
      <c r="H419" s="11">
        <v>20</v>
      </c>
      <c r="I419" s="12">
        <v>43193</v>
      </c>
      <c r="J419" s="2">
        <v>3</v>
      </c>
      <c r="K419" s="11">
        <v>22359</v>
      </c>
      <c r="L419" s="11" t="s">
        <v>1122</v>
      </c>
      <c r="M419" s="11" t="s">
        <v>27</v>
      </c>
      <c r="N419" s="12">
        <v>43206</v>
      </c>
      <c r="O419" s="12">
        <v>43206</v>
      </c>
      <c r="P419" s="11">
        <v>3</v>
      </c>
      <c r="Q419" s="11" t="s">
        <v>1120</v>
      </c>
    </row>
    <row r="420" spans="1:17" ht="13" hidden="1" x14ac:dyDescent="0.15">
      <c r="A420" s="10">
        <v>43208.95080175926</v>
      </c>
      <c r="B420" s="11" t="s">
        <v>666</v>
      </c>
      <c r="C420" s="11">
        <v>922</v>
      </c>
      <c r="D420" s="11" t="s">
        <v>1123</v>
      </c>
      <c r="E420" s="11">
        <v>9846542746</v>
      </c>
      <c r="F420" s="11" t="s">
        <v>1124</v>
      </c>
      <c r="G420" s="11" t="s">
        <v>157</v>
      </c>
      <c r="H420" s="11">
        <v>42</v>
      </c>
      <c r="I420" s="12">
        <v>43208</v>
      </c>
      <c r="J420" s="2">
        <v>3</v>
      </c>
      <c r="K420" s="11">
        <v>1166920005595</v>
      </c>
      <c r="L420" s="11" t="s">
        <v>1125</v>
      </c>
      <c r="M420" s="11" t="s">
        <v>27</v>
      </c>
      <c r="N420" s="12">
        <v>43200</v>
      </c>
      <c r="O420" s="12">
        <v>43200</v>
      </c>
      <c r="P420" s="11">
        <v>3</v>
      </c>
      <c r="Q420" s="11" t="s">
        <v>666</v>
      </c>
    </row>
    <row r="421" spans="1:17" ht="13" hidden="1" x14ac:dyDescent="0.15">
      <c r="A421" s="10">
        <v>43209.391713888894</v>
      </c>
      <c r="B421" s="11" t="s">
        <v>1126</v>
      </c>
      <c r="C421" s="11">
        <v>925</v>
      </c>
      <c r="D421" s="11" t="s">
        <v>1127</v>
      </c>
      <c r="E421" s="11">
        <v>9447393634</v>
      </c>
      <c r="F421" s="11" t="s">
        <v>270</v>
      </c>
      <c r="G421" s="11" t="s">
        <v>134</v>
      </c>
      <c r="H421" s="11">
        <v>47</v>
      </c>
      <c r="I421" s="12">
        <v>43209</v>
      </c>
      <c r="J421" s="2">
        <v>5</v>
      </c>
      <c r="K421" s="11">
        <v>1157537011151</v>
      </c>
      <c r="L421" s="11" t="s">
        <v>1128</v>
      </c>
      <c r="M421" s="11" t="s">
        <v>27</v>
      </c>
      <c r="N421" s="12">
        <v>43208</v>
      </c>
      <c r="O421" s="12">
        <v>43208</v>
      </c>
      <c r="P421" s="11">
        <v>5</v>
      </c>
      <c r="Q421" s="11" t="s">
        <v>1126</v>
      </c>
    </row>
    <row r="422" spans="1:17" ht="13" hidden="1" x14ac:dyDescent="0.15">
      <c r="A422" s="10">
        <v>43209.403662916666</v>
      </c>
      <c r="B422" s="11" t="s">
        <v>44</v>
      </c>
      <c r="C422" s="11">
        <v>982</v>
      </c>
      <c r="D422" s="11" t="s">
        <v>1129</v>
      </c>
      <c r="E422" s="11">
        <v>7012781155</v>
      </c>
      <c r="F422" s="11" t="s">
        <v>46</v>
      </c>
      <c r="G422" s="11" t="s">
        <v>1130</v>
      </c>
      <c r="H422" s="11">
        <v>53</v>
      </c>
      <c r="I422" s="12">
        <v>43209</v>
      </c>
      <c r="J422" s="2">
        <v>3</v>
      </c>
      <c r="K422" s="11">
        <v>1165102026954</v>
      </c>
      <c r="L422" s="11" t="s">
        <v>1131</v>
      </c>
      <c r="M422" s="11" t="s">
        <v>27</v>
      </c>
      <c r="N422" s="12">
        <v>43187</v>
      </c>
      <c r="O422" s="12">
        <v>43187</v>
      </c>
      <c r="P422" s="11">
        <v>3</v>
      </c>
      <c r="Q422" s="11" t="s">
        <v>49</v>
      </c>
    </row>
    <row r="423" spans="1:17" ht="13" hidden="1" x14ac:dyDescent="0.15">
      <c r="A423" s="10">
        <v>43209.450612916669</v>
      </c>
      <c r="B423" s="11" t="s">
        <v>1132</v>
      </c>
      <c r="C423" s="11">
        <v>980</v>
      </c>
      <c r="D423" s="11" t="s">
        <v>1133</v>
      </c>
      <c r="E423" s="11">
        <v>7293224916</v>
      </c>
      <c r="F423" s="11" t="s">
        <v>266</v>
      </c>
      <c r="G423" s="11" t="s">
        <v>1134</v>
      </c>
      <c r="H423" s="11">
        <v>20</v>
      </c>
      <c r="I423" s="12">
        <v>43166</v>
      </c>
      <c r="J423" s="2">
        <v>3</v>
      </c>
      <c r="K423" s="11">
        <v>1165975011702</v>
      </c>
      <c r="L423" s="11" t="s">
        <v>872</v>
      </c>
      <c r="M423" s="11" t="s">
        <v>27</v>
      </c>
      <c r="N423" s="12">
        <v>43171</v>
      </c>
      <c r="O423" s="12">
        <v>43171</v>
      </c>
      <c r="P423" s="11">
        <v>3</v>
      </c>
      <c r="Q423" s="11" t="s">
        <v>1132</v>
      </c>
    </row>
    <row r="424" spans="1:17" ht="13" hidden="1" x14ac:dyDescent="0.15">
      <c r="A424" s="10">
        <v>43209.634225150468</v>
      </c>
      <c r="B424" s="11" t="s">
        <v>1135</v>
      </c>
      <c r="C424" s="11">
        <v>659</v>
      </c>
      <c r="D424" s="11" t="s">
        <v>1136</v>
      </c>
      <c r="E424" s="11">
        <v>9447269497</v>
      </c>
      <c r="F424" s="11" t="s">
        <v>61</v>
      </c>
      <c r="G424" s="11" t="s">
        <v>1076</v>
      </c>
      <c r="H424" s="11">
        <v>21</v>
      </c>
      <c r="I424" s="12">
        <v>43209</v>
      </c>
      <c r="J424" s="2">
        <v>3</v>
      </c>
      <c r="K424" s="11">
        <v>1146142000764</v>
      </c>
      <c r="L424" s="11" t="s">
        <v>1137</v>
      </c>
      <c r="M424" s="11" t="s">
        <v>27</v>
      </c>
      <c r="N424" s="12">
        <v>43195</v>
      </c>
      <c r="O424" s="12">
        <v>43195</v>
      </c>
      <c r="P424" s="11">
        <v>3</v>
      </c>
      <c r="Q424" s="11" t="s">
        <v>1135</v>
      </c>
    </row>
    <row r="425" spans="1:17" ht="13" hidden="1" x14ac:dyDescent="0.15">
      <c r="A425" s="10">
        <v>43209.640498842593</v>
      </c>
      <c r="B425" s="11" t="s">
        <v>185</v>
      </c>
      <c r="C425" s="11">
        <v>909</v>
      </c>
      <c r="D425" s="11" t="s">
        <v>1138</v>
      </c>
      <c r="E425" s="11">
        <v>9846033557</v>
      </c>
      <c r="F425" s="11" t="s">
        <v>30</v>
      </c>
      <c r="G425" s="11" t="s">
        <v>952</v>
      </c>
      <c r="H425" s="11">
        <v>20</v>
      </c>
      <c r="I425" s="12">
        <v>43209</v>
      </c>
      <c r="J425" s="2">
        <v>5</v>
      </c>
      <c r="K425" s="11">
        <v>13420</v>
      </c>
      <c r="L425" s="11" t="s">
        <v>322</v>
      </c>
      <c r="M425" s="11" t="s">
        <v>27</v>
      </c>
      <c r="N425" s="12">
        <v>43207</v>
      </c>
      <c r="O425" s="12">
        <v>43207</v>
      </c>
      <c r="P425" s="11">
        <v>5</v>
      </c>
      <c r="Q425" s="11" t="s">
        <v>185</v>
      </c>
    </row>
    <row r="426" spans="1:17" ht="13" hidden="1" x14ac:dyDescent="0.15">
      <c r="A426" s="10">
        <v>43209.721998564812</v>
      </c>
      <c r="B426" s="11" t="s">
        <v>371</v>
      </c>
      <c r="C426" s="11">
        <v>779</v>
      </c>
      <c r="D426" s="11" t="s">
        <v>1140</v>
      </c>
      <c r="E426" s="11">
        <v>8547564126</v>
      </c>
      <c r="F426" s="11" t="s">
        <v>30</v>
      </c>
      <c r="G426" s="11" t="s">
        <v>215</v>
      </c>
      <c r="H426" s="11">
        <v>27</v>
      </c>
      <c r="I426" s="12">
        <v>43207</v>
      </c>
      <c r="J426" s="2">
        <v>3</v>
      </c>
      <c r="K426" s="11">
        <v>1157160008464</v>
      </c>
      <c r="L426" s="11" t="s">
        <v>1141</v>
      </c>
      <c r="M426" s="11" t="s">
        <v>27</v>
      </c>
      <c r="N426" s="12">
        <v>43207</v>
      </c>
      <c r="O426" s="12">
        <v>43207</v>
      </c>
      <c r="P426" s="11">
        <v>3</v>
      </c>
      <c r="Q426" s="11" t="s">
        <v>371</v>
      </c>
    </row>
    <row r="427" spans="1:17" ht="13" hidden="1" x14ac:dyDescent="0.15">
      <c r="A427" s="10">
        <v>43210.432554178245</v>
      </c>
      <c r="B427" s="11" t="s">
        <v>303</v>
      </c>
      <c r="C427" s="11">
        <v>717</v>
      </c>
      <c r="D427" s="11" t="s">
        <v>1142</v>
      </c>
      <c r="E427" s="11">
        <v>9400940508</v>
      </c>
      <c r="F427" s="11" t="s">
        <v>1124</v>
      </c>
      <c r="G427" s="11" t="s">
        <v>280</v>
      </c>
      <c r="H427" s="11">
        <v>66</v>
      </c>
      <c r="I427" s="12">
        <v>43211</v>
      </c>
      <c r="J427" s="2">
        <v>2</v>
      </c>
      <c r="K427" s="11">
        <v>1166898003745</v>
      </c>
      <c r="L427" s="11" t="s">
        <v>1143</v>
      </c>
      <c r="M427" s="11" t="s">
        <v>27</v>
      </c>
      <c r="N427" s="12">
        <v>43174</v>
      </c>
      <c r="O427" s="12">
        <v>43174</v>
      </c>
      <c r="P427" s="11">
        <v>2</v>
      </c>
      <c r="Q427" s="11" t="s">
        <v>303</v>
      </c>
    </row>
    <row r="428" spans="1:17" ht="13" hidden="1" x14ac:dyDescent="0.15">
      <c r="A428" s="10">
        <v>43210.526094108791</v>
      </c>
      <c r="B428" s="11" t="s">
        <v>382</v>
      </c>
      <c r="C428" s="11">
        <v>735</v>
      </c>
      <c r="D428" s="11" t="s">
        <v>1144</v>
      </c>
      <c r="E428" s="11">
        <v>9387707733</v>
      </c>
      <c r="F428" s="11" t="s">
        <v>30</v>
      </c>
      <c r="G428" s="11" t="s">
        <v>1145</v>
      </c>
      <c r="H428" s="11">
        <v>4</v>
      </c>
      <c r="I428" s="12">
        <v>43209</v>
      </c>
      <c r="J428" s="2">
        <v>3</v>
      </c>
      <c r="K428" s="11">
        <v>1156828005653</v>
      </c>
      <c r="L428" s="11" t="s">
        <v>1146</v>
      </c>
      <c r="M428" s="11" t="s">
        <v>27</v>
      </c>
      <c r="N428" s="12">
        <v>43208</v>
      </c>
      <c r="O428" s="12">
        <v>43208</v>
      </c>
      <c r="P428" s="11">
        <v>3</v>
      </c>
      <c r="Q428" s="11" t="s">
        <v>382</v>
      </c>
    </row>
    <row r="429" spans="1:17" ht="13" hidden="1" x14ac:dyDescent="0.15">
      <c r="A429" s="10">
        <v>43211.452507060181</v>
      </c>
      <c r="B429" s="11" t="s">
        <v>1147</v>
      </c>
      <c r="C429" s="11">
        <v>969</v>
      </c>
      <c r="D429" s="11" t="s">
        <v>1148</v>
      </c>
      <c r="E429" s="11">
        <v>8289938304</v>
      </c>
      <c r="F429" s="11" t="s">
        <v>35</v>
      </c>
      <c r="G429" s="11" t="s">
        <v>1024</v>
      </c>
      <c r="H429" s="11">
        <v>21</v>
      </c>
      <c r="I429" s="12">
        <v>43214</v>
      </c>
      <c r="J429" s="2">
        <v>100</v>
      </c>
      <c r="K429" s="11">
        <v>1355670002136</v>
      </c>
      <c r="L429" s="11" t="s">
        <v>1149</v>
      </c>
      <c r="M429" s="11" t="s">
        <v>27</v>
      </c>
      <c r="N429" s="12">
        <v>43195</v>
      </c>
      <c r="O429" s="12">
        <v>43195</v>
      </c>
      <c r="P429" s="11">
        <v>100</v>
      </c>
      <c r="Q429" s="11" t="s">
        <v>1147</v>
      </c>
    </row>
    <row r="430" spans="1:17" ht="13" hidden="1" x14ac:dyDescent="0.15">
      <c r="A430" s="10">
        <v>43211.469351099542</v>
      </c>
      <c r="B430" s="11" t="s">
        <v>1150</v>
      </c>
      <c r="C430" s="11">
        <v>743</v>
      </c>
      <c r="D430" s="11" t="s">
        <v>1151</v>
      </c>
      <c r="E430" s="11">
        <v>9447258255</v>
      </c>
      <c r="F430" s="11" t="s">
        <v>40</v>
      </c>
      <c r="G430" s="11" t="s">
        <v>1076</v>
      </c>
      <c r="H430" s="11">
        <v>21</v>
      </c>
      <c r="I430" s="12">
        <v>43205</v>
      </c>
      <c r="J430" s="2">
        <v>2</v>
      </c>
      <c r="K430" s="11">
        <v>1155262000388</v>
      </c>
      <c r="L430" s="11" t="s">
        <v>1152</v>
      </c>
      <c r="M430" s="11" t="s">
        <v>27</v>
      </c>
      <c r="N430" s="12">
        <v>43206</v>
      </c>
      <c r="O430" s="12">
        <v>43206</v>
      </c>
      <c r="P430" s="11">
        <v>2</v>
      </c>
      <c r="Q430" s="11" t="s">
        <v>1150</v>
      </c>
    </row>
    <row r="431" spans="1:17" ht="13" hidden="1" x14ac:dyDescent="0.15">
      <c r="A431" s="10">
        <v>43211.642965833336</v>
      </c>
      <c r="B431" s="11" t="s">
        <v>303</v>
      </c>
      <c r="C431" s="11">
        <v>810</v>
      </c>
      <c r="D431" s="11" t="s">
        <v>1153</v>
      </c>
      <c r="E431" s="11">
        <v>9387393939</v>
      </c>
      <c r="F431" s="11" t="s">
        <v>287</v>
      </c>
      <c r="G431" s="11" t="s">
        <v>280</v>
      </c>
      <c r="H431" s="11">
        <v>66</v>
      </c>
      <c r="I431" s="12">
        <v>43210</v>
      </c>
      <c r="J431" s="2">
        <v>5</v>
      </c>
      <c r="K431" s="11">
        <v>1166588018060</v>
      </c>
      <c r="L431" s="11" t="s">
        <v>1154</v>
      </c>
      <c r="M431" s="11" t="s">
        <v>27</v>
      </c>
      <c r="N431" s="12">
        <v>43197</v>
      </c>
      <c r="O431" s="12">
        <v>43197</v>
      </c>
      <c r="P431" s="11">
        <v>5</v>
      </c>
      <c r="Q431" s="11" t="s">
        <v>303</v>
      </c>
    </row>
    <row r="432" spans="1:17" ht="13" hidden="1" x14ac:dyDescent="0.15">
      <c r="A432" s="10">
        <v>43211.678161493051</v>
      </c>
      <c r="B432" s="11" t="s">
        <v>303</v>
      </c>
      <c r="C432" s="11">
        <v>630</v>
      </c>
      <c r="D432" s="11" t="s">
        <v>1155</v>
      </c>
      <c r="E432" s="11">
        <v>8606390151</v>
      </c>
      <c r="F432" s="11" t="s">
        <v>287</v>
      </c>
      <c r="G432" s="11" t="s">
        <v>280</v>
      </c>
      <c r="H432" s="11">
        <v>66</v>
      </c>
      <c r="I432" s="12">
        <v>43210</v>
      </c>
      <c r="J432" s="2">
        <v>2</v>
      </c>
      <c r="K432" s="11">
        <v>1166739015440</v>
      </c>
      <c r="L432" s="11" t="s">
        <v>1156</v>
      </c>
      <c r="M432" s="11" t="s">
        <v>27</v>
      </c>
      <c r="N432" s="12">
        <v>43210</v>
      </c>
      <c r="O432" s="12">
        <v>43210</v>
      </c>
      <c r="P432" s="11">
        <v>2</v>
      </c>
      <c r="Q432" s="11" t="s">
        <v>303</v>
      </c>
    </row>
    <row r="433" spans="1:17" ht="13" hidden="1" x14ac:dyDescent="0.15">
      <c r="A433" s="10">
        <v>43212.496946053245</v>
      </c>
      <c r="B433" s="11" t="s">
        <v>1157</v>
      </c>
      <c r="C433" s="11">
        <v>957</v>
      </c>
      <c r="D433" s="11" t="s">
        <v>1158</v>
      </c>
      <c r="E433" s="11">
        <v>8547736075</v>
      </c>
      <c r="F433" s="11" t="s">
        <v>73</v>
      </c>
      <c r="G433" s="11" t="s">
        <v>157</v>
      </c>
      <c r="H433" s="11">
        <v>42</v>
      </c>
      <c r="I433" s="12">
        <v>43209</v>
      </c>
      <c r="J433" s="2">
        <v>5</v>
      </c>
      <c r="K433" s="11">
        <v>1145852005537</v>
      </c>
      <c r="L433" s="11" t="s">
        <v>1159</v>
      </c>
      <c r="M433" s="11" t="s">
        <v>27</v>
      </c>
      <c r="N433" s="12">
        <v>43207</v>
      </c>
      <c r="O433" s="12">
        <v>43207</v>
      </c>
      <c r="P433" s="11">
        <v>5</v>
      </c>
      <c r="Q433" s="11" t="s">
        <v>1157</v>
      </c>
    </row>
    <row r="434" spans="1:17" ht="13" x14ac:dyDescent="0.15">
      <c r="A434" s="10">
        <v>43213.433825138884</v>
      </c>
      <c r="B434" s="11" t="s">
        <v>22</v>
      </c>
      <c r="C434" s="11">
        <v>797</v>
      </c>
      <c r="D434" s="11" t="s">
        <v>1160</v>
      </c>
      <c r="E434" s="11">
        <v>9388106363</v>
      </c>
      <c r="F434" s="11" t="s">
        <v>24</v>
      </c>
      <c r="G434" s="11" t="s">
        <v>1161</v>
      </c>
      <c r="H434" s="11">
        <v>54</v>
      </c>
      <c r="I434" s="12">
        <v>43213</v>
      </c>
      <c r="J434" s="2">
        <v>3</v>
      </c>
      <c r="K434" s="11">
        <v>1145098025497</v>
      </c>
      <c r="L434" s="11" t="s">
        <v>816</v>
      </c>
      <c r="M434" s="11" t="s">
        <v>27</v>
      </c>
      <c r="N434" s="12">
        <v>43196</v>
      </c>
      <c r="O434" s="12">
        <v>43196</v>
      </c>
      <c r="P434" s="11">
        <v>3</v>
      </c>
      <c r="Q434" s="11" t="s">
        <v>22</v>
      </c>
    </row>
    <row r="435" spans="1:17" ht="13" x14ac:dyDescent="0.15">
      <c r="A435" s="10">
        <v>43213.510299548609</v>
      </c>
      <c r="B435" s="11" t="s">
        <v>303</v>
      </c>
      <c r="C435" s="11">
        <v>491</v>
      </c>
      <c r="D435" s="11" t="s">
        <v>1162</v>
      </c>
      <c r="E435" s="11">
        <v>9447656938</v>
      </c>
      <c r="F435" s="11" t="s">
        <v>24</v>
      </c>
      <c r="G435" s="11" t="s">
        <v>280</v>
      </c>
      <c r="H435" s="11">
        <v>66</v>
      </c>
      <c r="I435" s="12">
        <v>43216</v>
      </c>
      <c r="J435" s="2">
        <v>2</v>
      </c>
      <c r="K435" s="11">
        <v>1146761001300</v>
      </c>
      <c r="L435" s="11" t="s">
        <v>1164</v>
      </c>
      <c r="M435" s="11" t="s">
        <v>27</v>
      </c>
      <c r="N435" s="12">
        <v>43179</v>
      </c>
      <c r="O435" s="12">
        <v>43179</v>
      </c>
      <c r="P435" s="11">
        <v>2</v>
      </c>
      <c r="Q435" s="11" t="s">
        <v>303</v>
      </c>
    </row>
    <row r="436" spans="1:17" ht="13" x14ac:dyDescent="0.15">
      <c r="A436" s="10">
        <v>43213.517397442134</v>
      </c>
      <c r="B436" s="11" t="s">
        <v>22</v>
      </c>
      <c r="C436" s="11">
        <v>994</v>
      </c>
      <c r="D436" s="11" t="s">
        <v>1165</v>
      </c>
      <c r="E436" s="11">
        <v>9388106363</v>
      </c>
      <c r="F436" s="11" t="s">
        <v>24</v>
      </c>
      <c r="G436" s="11" t="s">
        <v>101</v>
      </c>
      <c r="H436" s="11">
        <v>54</v>
      </c>
      <c r="I436" s="12">
        <v>43213</v>
      </c>
      <c r="J436" s="2">
        <v>40</v>
      </c>
      <c r="K436" s="11">
        <v>1145074009002</v>
      </c>
      <c r="L436" s="11" t="s">
        <v>586</v>
      </c>
      <c r="M436" s="11" t="s">
        <v>27</v>
      </c>
      <c r="N436" s="12">
        <v>43209</v>
      </c>
      <c r="O436" s="12">
        <v>43209</v>
      </c>
      <c r="P436" s="11">
        <v>40</v>
      </c>
      <c r="Q436" s="11" t="s">
        <v>22</v>
      </c>
    </row>
    <row r="437" spans="1:17" ht="13" hidden="1" x14ac:dyDescent="0.15">
      <c r="A437" s="10">
        <v>43213.562965138888</v>
      </c>
      <c r="B437" s="11" t="s">
        <v>176</v>
      </c>
      <c r="C437" s="11">
        <v>41</v>
      </c>
      <c r="D437" s="11" t="s">
        <v>1166</v>
      </c>
      <c r="E437" s="11">
        <v>9142099977</v>
      </c>
      <c r="F437" s="11" t="s">
        <v>182</v>
      </c>
      <c r="G437" s="11" t="s">
        <v>916</v>
      </c>
      <c r="H437" s="11">
        <v>14</v>
      </c>
      <c r="I437" s="12">
        <v>43213</v>
      </c>
      <c r="J437" s="2">
        <v>2</v>
      </c>
      <c r="K437" s="11">
        <v>1165717038758</v>
      </c>
      <c r="L437" s="11" t="s">
        <v>1167</v>
      </c>
      <c r="M437" s="11" t="s">
        <v>27</v>
      </c>
      <c r="N437" s="12">
        <v>43210</v>
      </c>
      <c r="O437" s="12">
        <v>43210</v>
      </c>
      <c r="P437" s="11">
        <v>2</v>
      </c>
      <c r="Q437" s="11" t="s">
        <v>176</v>
      </c>
    </row>
    <row r="438" spans="1:17" ht="13" hidden="1" x14ac:dyDescent="0.15">
      <c r="A438" s="10">
        <v>43213.646125995372</v>
      </c>
      <c r="B438" s="11" t="s">
        <v>1168</v>
      </c>
      <c r="C438" s="11">
        <v>654</v>
      </c>
      <c r="D438" s="11">
        <v>8547300303</v>
      </c>
      <c r="E438" s="11">
        <v>8547300303</v>
      </c>
      <c r="F438" s="11" t="s">
        <v>35</v>
      </c>
      <c r="G438" s="11" t="s">
        <v>488</v>
      </c>
      <c r="H438" s="11">
        <v>22</v>
      </c>
      <c r="I438" s="12">
        <v>43186</v>
      </c>
      <c r="J438" s="2">
        <v>10</v>
      </c>
      <c r="K438" s="11">
        <v>1156016010309</v>
      </c>
      <c r="L438" s="11" t="s">
        <v>1169</v>
      </c>
      <c r="M438" s="11" t="s">
        <v>27</v>
      </c>
      <c r="N438" s="12">
        <v>43185</v>
      </c>
      <c r="O438" s="12">
        <v>43185</v>
      </c>
      <c r="P438" s="11">
        <v>10</v>
      </c>
      <c r="Q438" s="11" t="s">
        <v>1170</v>
      </c>
    </row>
    <row r="439" spans="1:17" ht="13" hidden="1" x14ac:dyDescent="0.15">
      <c r="A439" s="10">
        <v>43214.52809871528</v>
      </c>
      <c r="B439" s="11" t="s">
        <v>1171</v>
      </c>
      <c r="C439" s="11">
        <v>693</v>
      </c>
      <c r="D439" s="11" t="s">
        <v>1172</v>
      </c>
      <c r="E439" s="11">
        <v>9746479500</v>
      </c>
      <c r="F439" s="11" t="s">
        <v>35</v>
      </c>
      <c r="G439" s="11" t="s">
        <v>280</v>
      </c>
      <c r="H439" s="11">
        <v>66</v>
      </c>
      <c r="I439" s="12">
        <v>43214</v>
      </c>
      <c r="J439" s="2">
        <v>3</v>
      </c>
      <c r="K439" s="11">
        <v>1157505006499</v>
      </c>
      <c r="L439" s="11" t="s">
        <v>1173</v>
      </c>
      <c r="M439" s="11" t="s">
        <v>27</v>
      </c>
      <c r="N439" s="12">
        <v>43197</v>
      </c>
      <c r="O439" s="12">
        <v>43197</v>
      </c>
      <c r="P439" s="11">
        <v>3</v>
      </c>
      <c r="Q439" s="11" t="s">
        <v>1171</v>
      </c>
    </row>
    <row r="440" spans="1:17" ht="13" hidden="1" x14ac:dyDescent="0.15">
      <c r="A440" s="10">
        <v>43214.530971087966</v>
      </c>
      <c r="B440" s="11" t="s">
        <v>1174</v>
      </c>
      <c r="C440" s="11">
        <v>542</v>
      </c>
      <c r="D440" s="11" t="s">
        <v>1175</v>
      </c>
      <c r="E440" s="11">
        <v>9895057000</v>
      </c>
      <c r="F440" s="11" t="s">
        <v>35</v>
      </c>
      <c r="G440" s="11" t="s">
        <v>280</v>
      </c>
      <c r="H440" s="11">
        <v>66</v>
      </c>
      <c r="I440" s="12">
        <v>43214</v>
      </c>
      <c r="J440" s="2">
        <v>5</v>
      </c>
      <c r="K440" s="11">
        <v>1157334003911</v>
      </c>
      <c r="L440" s="11" t="s">
        <v>1031</v>
      </c>
      <c r="M440" s="11" t="s">
        <v>27</v>
      </c>
      <c r="N440" s="12">
        <v>43187</v>
      </c>
      <c r="O440" s="12">
        <v>43187</v>
      </c>
      <c r="P440" s="11">
        <v>5</v>
      </c>
      <c r="Q440" s="11" t="s">
        <v>1174</v>
      </c>
    </row>
    <row r="441" spans="1:17" ht="13" hidden="1" x14ac:dyDescent="0.15">
      <c r="A441" s="10">
        <v>43214.535003518518</v>
      </c>
      <c r="B441" s="11" t="s">
        <v>1176</v>
      </c>
      <c r="C441" s="11">
        <v>589</v>
      </c>
      <c r="D441" s="11" t="s">
        <v>1177</v>
      </c>
      <c r="E441" s="11">
        <v>9562121110</v>
      </c>
      <c r="F441" s="11" t="s">
        <v>35</v>
      </c>
      <c r="G441" s="11" t="s">
        <v>280</v>
      </c>
      <c r="H441" s="11">
        <v>66</v>
      </c>
      <c r="I441" s="12">
        <v>43214</v>
      </c>
      <c r="J441" s="2">
        <v>3</v>
      </c>
      <c r="K441" s="11">
        <v>1157333001380</v>
      </c>
      <c r="L441" s="11" t="s">
        <v>1031</v>
      </c>
      <c r="M441" s="11" t="s">
        <v>27</v>
      </c>
      <c r="N441" s="12">
        <v>43175</v>
      </c>
      <c r="O441" s="12">
        <v>43175</v>
      </c>
      <c r="P441" s="11">
        <v>3</v>
      </c>
      <c r="Q441" s="11" t="s">
        <v>1176</v>
      </c>
    </row>
    <row r="442" spans="1:17" ht="13" hidden="1" x14ac:dyDescent="0.15">
      <c r="A442" s="10">
        <v>43214.53819871528</v>
      </c>
      <c r="B442" s="11" t="s">
        <v>1178</v>
      </c>
      <c r="C442" s="11">
        <v>691</v>
      </c>
      <c r="D442" s="11" t="s">
        <v>1179</v>
      </c>
      <c r="E442" s="11">
        <v>7736070266</v>
      </c>
      <c r="F442" s="11" t="s">
        <v>35</v>
      </c>
      <c r="G442" s="11" t="s">
        <v>280</v>
      </c>
      <c r="H442" s="11">
        <v>66</v>
      </c>
      <c r="I442" s="12">
        <v>43214</v>
      </c>
      <c r="J442" s="2">
        <v>3</v>
      </c>
      <c r="K442" s="11">
        <v>1155568021880</v>
      </c>
      <c r="L442" s="11" t="s">
        <v>538</v>
      </c>
      <c r="M442" s="11" t="s">
        <v>27</v>
      </c>
      <c r="N442" s="12">
        <v>43185</v>
      </c>
      <c r="O442" s="12">
        <v>43185</v>
      </c>
      <c r="P442" s="11">
        <v>3</v>
      </c>
      <c r="Q442" s="11" t="s">
        <v>1178</v>
      </c>
    </row>
    <row r="443" spans="1:17" ht="13" hidden="1" x14ac:dyDescent="0.15">
      <c r="A443" s="10">
        <v>43214.541067638886</v>
      </c>
      <c r="B443" s="11" t="s">
        <v>1180</v>
      </c>
      <c r="C443" s="11">
        <v>532</v>
      </c>
      <c r="D443" s="11" t="s">
        <v>1181</v>
      </c>
      <c r="E443" s="11">
        <v>9349949390</v>
      </c>
      <c r="F443" s="11" t="s">
        <v>35</v>
      </c>
      <c r="G443" s="11" t="s">
        <v>280</v>
      </c>
      <c r="H443" s="11">
        <v>66</v>
      </c>
      <c r="I443" s="12">
        <v>43214</v>
      </c>
      <c r="J443" s="2">
        <v>3</v>
      </c>
      <c r="K443" s="11">
        <v>1155567008792</v>
      </c>
      <c r="L443" s="11" t="s">
        <v>538</v>
      </c>
      <c r="M443" s="11" t="s">
        <v>27</v>
      </c>
      <c r="N443" s="12">
        <v>43174</v>
      </c>
      <c r="O443" s="12">
        <v>43174</v>
      </c>
      <c r="P443" s="11">
        <v>3</v>
      </c>
      <c r="Q443" s="11" t="s">
        <v>1180</v>
      </c>
    </row>
    <row r="444" spans="1:17" ht="13" hidden="1" x14ac:dyDescent="0.15">
      <c r="A444" s="10">
        <v>43214.545757685184</v>
      </c>
      <c r="B444" s="11" t="s">
        <v>1183</v>
      </c>
      <c r="C444" s="11">
        <v>395</v>
      </c>
      <c r="D444" s="11" t="s">
        <v>1184</v>
      </c>
      <c r="E444" s="11">
        <v>9995373886</v>
      </c>
      <c r="F444" s="11" t="s">
        <v>35</v>
      </c>
      <c r="G444" s="11" t="s">
        <v>280</v>
      </c>
      <c r="H444" s="11">
        <v>66</v>
      </c>
      <c r="I444" s="12">
        <v>43214</v>
      </c>
      <c r="J444" s="2">
        <v>3</v>
      </c>
      <c r="K444" s="11">
        <v>1155437000655</v>
      </c>
      <c r="L444" s="11" t="s">
        <v>884</v>
      </c>
      <c r="M444" s="11" t="s">
        <v>27</v>
      </c>
      <c r="N444" s="12">
        <v>43178</v>
      </c>
      <c r="O444" s="12">
        <v>43178</v>
      </c>
      <c r="P444" s="11">
        <v>3</v>
      </c>
      <c r="Q444" s="11" t="s">
        <v>1183</v>
      </c>
    </row>
    <row r="445" spans="1:17" ht="13" hidden="1" x14ac:dyDescent="0.15">
      <c r="A445" s="10">
        <v>43214.559386898152</v>
      </c>
      <c r="B445" s="11" t="s">
        <v>1185</v>
      </c>
      <c r="C445" s="11">
        <v>786</v>
      </c>
      <c r="D445" s="11" t="s">
        <v>1186</v>
      </c>
      <c r="E445" s="11">
        <v>9447150067</v>
      </c>
      <c r="F445" s="11" t="s">
        <v>35</v>
      </c>
      <c r="G445" s="11" t="s">
        <v>280</v>
      </c>
      <c r="H445" s="11">
        <v>66</v>
      </c>
      <c r="I445" s="12">
        <v>43214</v>
      </c>
      <c r="J445" s="2">
        <v>2</v>
      </c>
      <c r="K445" s="11">
        <v>1155550026907</v>
      </c>
      <c r="L445" s="11" t="s">
        <v>1187</v>
      </c>
      <c r="M445" s="11" t="s">
        <v>27</v>
      </c>
      <c r="N445" s="12">
        <v>43192</v>
      </c>
      <c r="O445" s="12">
        <v>43192</v>
      </c>
      <c r="P445" s="11">
        <v>2</v>
      </c>
      <c r="Q445" s="11" t="s">
        <v>1185</v>
      </c>
    </row>
    <row r="446" spans="1:17" ht="13" hidden="1" x14ac:dyDescent="0.15">
      <c r="A446" s="10">
        <v>43214.562629560183</v>
      </c>
      <c r="B446" s="11" t="s">
        <v>1188</v>
      </c>
      <c r="C446" s="11">
        <v>529</v>
      </c>
      <c r="D446" s="11" t="s">
        <v>1189</v>
      </c>
      <c r="E446" s="11">
        <v>9961664620</v>
      </c>
      <c r="F446" s="11" t="s">
        <v>35</v>
      </c>
      <c r="G446" s="11" t="s">
        <v>280</v>
      </c>
      <c r="H446" s="11">
        <v>66</v>
      </c>
      <c r="I446" s="12">
        <v>43214</v>
      </c>
      <c r="J446" s="2">
        <v>5</v>
      </c>
      <c r="K446" s="11">
        <v>1156023022138</v>
      </c>
      <c r="L446" s="11" t="s">
        <v>533</v>
      </c>
      <c r="M446" s="11" t="s">
        <v>27</v>
      </c>
      <c r="N446" s="12">
        <v>43173</v>
      </c>
      <c r="O446" s="12">
        <v>43173</v>
      </c>
      <c r="P446" s="11">
        <v>6</v>
      </c>
      <c r="Q446" s="11" t="s">
        <v>1188</v>
      </c>
    </row>
    <row r="447" spans="1:17" ht="13" hidden="1" x14ac:dyDescent="0.15">
      <c r="A447" s="10">
        <v>43214.565483009261</v>
      </c>
      <c r="B447" s="11" t="s">
        <v>1190</v>
      </c>
      <c r="C447" s="11">
        <v>696</v>
      </c>
      <c r="D447" s="11" t="s">
        <v>1191</v>
      </c>
      <c r="E447" s="11">
        <v>7907875445</v>
      </c>
      <c r="F447" s="11" t="s">
        <v>35</v>
      </c>
      <c r="G447" s="11" t="s">
        <v>280</v>
      </c>
      <c r="H447" s="11">
        <v>66</v>
      </c>
      <c r="I447" s="12">
        <v>43214</v>
      </c>
      <c r="J447" s="2">
        <v>3</v>
      </c>
      <c r="K447" s="11">
        <v>1155628036179</v>
      </c>
      <c r="L447" s="11" t="s">
        <v>1192</v>
      </c>
      <c r="M447" s="11" t="s">
        <v>27</v>
      </c>
      <c r="N447" s="12">
        <v>43203</v>
      </c>
      <c r="O447" s="12">
        <v>43203</v>
      </c>
      <c r="P447" s="11">
        <v>3</v>
      </c>
      <c r="Q447" s="11" t="s">
        <v>1190</v>
      </c>
    </row>
    <row r="448" spans="1:17" ht="13" hidden="1" x14ac:dyDescent="0.15">
      <c r="A448" s="10">
        <v>43214.571087847224</v>
      </c>
      <c r="B448" s="11" t="s">
        <v>1193</v>
      </c>
      <c r="C448" s="11">
        <v>785</v>
      </c>
      <c r="D448" s="11" t="s">
        <v>1194</v>
      </c>
      <c r="E448" s="11">
        <v>9388638933</v>
      </c>
      <c r="F448" s="11" t="s">
        <v>35</v>
      </c>
      <c r="G448" s="11" t="s">
        <v>280</v>
      </c>
      <c r="H448" s="11">
        <v>66</v>
      </c>
      <c r="I448" s="12">
        <v>43214</v>
      </c>
      <c r="J448" s="2">
        <v>10</v>
      </c>
      <c r="K448" s="11">
        <v>1155479018094</v>
      </c>
      <c r="L448" s="11" t="s">
        <v>887</v>
      </c>
      <c r="M448" s="11" t="s">
        <v>27</v>
      </c>
      <c r="N448" s="12">
        <v>43193</v>
      </c>
      <c r="O448" s="12">
        <v>43193</v>
      </c>
      <c r="P448" s="11">
        <v>10</v>
      </c>
      <c r="Q448" s="11" t="s">
        <v>1193</v>
      </c>
    </row>
    <row r="449" spans="1:17" ht="13" hidden="1" x14ac:dyDescent="0.15">
      <c r="A449" s="10">
        <v>43214.571861608798</v>
      </c>
      <c r="B449" s="11" t="s">
        <v>1195</v>
      </c>
      <c r="C449" s="11">
        <v>97</v>
      </c>
      <c r="D449" s="11" t="s">
        <v>1196</v>
      </c>
      <c r="E449" s="11">
        <v>9544295120</v>
      </c>
      <c r="F449" s="11" t="s">
        <v>46</v>
      </c>
      <c r="G449" s="11" t="s">
        <v>973</v>
      </c>
      <c r="H449" s="11">
        <v>20</v>
      </c>
      <c r="I449" s="12">
        <v>43170</v>
      </c>
      <c r="J449" s="2">
        <v>5</v>
      </c>
      <c r="K449" s="11">
        <v>12347</v>
      </c>
      <c r="L449" s="11" t="s">
        <v>1197</v>
      </c>
      <c r="M449" s="11" t="s">
        <v>27</v>
      </c>
      <c r="N449" s="12">
        <v>43208</v>
      </c>
      <c r="O449" s="12">
        <v>43208</v>
      </c>
      <c r="P449" s="11">
        <v>5</v>
      </c>
      <c r="Q449" s="11" t="s">
        <v>1195</v>
      </c>
    </row>
    <row r="450" spans="1:17" ht="13" hidden="1" x14ac:dyDescent="0.15">
      <c r="A450" s="10">
        <v>43214.573658796297</v>
      </c>
      <c r="B450" s="11" t="s">
        <v>1198</v>
      </c>
      <c r="C450" s="11">
        <v>697</v>
      </c>
      <c r="D450" s="11" t="s">
        <v>1199</v>
      </c>
      <c r="E450" s="11">
        <v>9446020172</v>
      </c>
      <c r="F450" s="11" t="s">
        <v>35</v>
      </c>
      <c r="G450" s="11" t="s">
        <v>280</v>
      </c>
      <c r="H450" s="11">
        <v>66</v>
      </c>
      <c r="I450" s="12">
        <v>43214</v>
      </c>
      <c r="J450" s="2">
        <v>3</v>
      </c>
      <c r="K450" s="11">
        <v>1156713004364</v>
      </c>
      <c r="L450" s="11" t="s">
        <v>835</v>
      </c>
      <c r="M450" s="11" t="s">
        <v>27</v>
      </c>
      <c r="N450" s="12">
        <v>43187</v>
      </c>
      <c r="O450" s="12">
        <v>43187</v>
      </c>
      <c r="P450" s="11">
        <v>3</v>
      </c>
      <c r="Q450" s="11" t="s">
        <v>1198</v>
      </c>
    </row>
    <row r="451" spans="1:17" ht="13" hidden="1" x14ac:dyDescent="0.15">
      <c r="A451" s="10">
        <v>43214.575791875002</v>
      </c>
      <c r="B451" s="11" t="s">
        <v>1200</v>
      </c>
      <c r="C451" s="11">
        <v>612</v>
      </c>
      <c r="D451" s="11" t="s">
        <v>1201</v>
      </c>
      <c r="E451" s="11">
        <v>9846067550</v>
      </c>
      <c r="F451" s="11" t="s">
        <v>35</v>
      </c>
      <c r="G451" s="11" t="s">
        <v>280</v>
      </c>
      <c r="H451" s="11">
        <v>66</v>
      </c>
      <c r="I451" s="12">
        <v>43214</v>
      </c>
      <c r="J451" s="2">
        <v>3</v>
      </c>
      <c r="K451" s="11">
        <v>1156075006047</v>
      </c>
      <c r="L451" s="11" t="s">
        <v>1202</v>
      </c>
      <c r="M451" s="11" t="s">
        <v>27</v>
      </c>
      <c r="N451" s="12">
        <v>43181</v>
      </c>
      <c r="O451" s="12">
        <v>43181</v>
      </c>
      <c r="P451" s="11">
        <v>3</v>
      </c>
      <c r="Q451" s="11" t="s">
        <v>1200</v>
      </c>
    </row>
    <row r="452" spans="1:17" ht="13" hidden="1" x14ac:dyDescent="0.15">
      <c r="A452" s="10">
        <v>43214.577992268518</v>
      </c>
      <c r="B452" s="11" t="s">
        <v>1200</v>
      </c>
      <c r="C452" s="11">
        <v>738</v>
      </c>
      <c r="D452" s="11" t="s">
        <v>1203</v>
      </c>
      <c r="E452" s="11">
        <v>9961256898</v>
      </c>
      <c r="F452" s="11" t="s">
        <v>35</v>
      </c>
      <c r="G452" s="11" t="s">
        <v>280</v>
      </c>
      <c r="H452" s="11">
        <v>66</v>
      </c>
      <c r="I452" s="12">
        <v>43214</v>
      </c>
      <c r="J452" s="2">
        <v>2</v>
      </c>
      <c r="K452" s="11">
        <v>1156078000636</v>
      </c>
      <c r="L452" s="11" t="s">
        <v>1202</v>
      </c>
      <c r="M452" s="11" t="s">
        <v>27</v>
      </c>
      <c r="N452" s="12">
        <v>43190</v>
      </c>
      <c r="O452" s="12">
        <v>43190</v>
      </c>
      <c r="P452" s="11">
        <v>2</v>
      </c>
      <c r="Q452" s="11" t="s">
        <v>1200</v>
      </c>
    </row>
    <row r="453" spans="1:17" ht="13" hidden="1" x14ac:dyDescent="0.15">
      <c r="A453" s="10">
        <v>43214.58033005787</v>
      </c>
      <c r="B453" s="11" t="s">
        <v>1205</v>
      </c>
      <c r="C453" s="11">
        <v>740</v>
      </c>
      <c r="D453" s="11" t="s">
        <v>1206</v>
      </c>
      <c r="E453" s="11">
        <v>9895184339</v>
      </c>
      <c r="F453" s="11" t="s">
        <v>35</v>
      </c>
      <c r="G453" s="11" t="s">
        <v>280</v>
      </c>
      <c r="H453" s="11">
        <v>66</v>
      </c>
      <c r="I453" s="12">
        <v>43214</v>
      </c>
      <c r="J453" s="2">
        <v>3</v>
      </c>
      <c r="K453" s="11">
        <v>1155618008237</v>
      </c>
      <c r="L453" s="11" t="s">
        <v>1207</v>
      </c>
      <c r="M453" s="11" t="s">
        <v>27</v>
      </c>
      <c r="N453" s="12">
        <v>43196</v>
      </c>
      <c r="O453" s="12">
        <v>43196</v>
      </c>
      <c r="P453" s="11">
        <v>3</v>
      </c>
      <c r="Q453" s="11" t="s">
        <v>1205</v>
      </c>
    </row>
    <row r="454" spans="1:17" ht="13" hidden="1" x14ac:dyDescent="0.15">
      <c r="A454" s="10">
        <v>43214.58240885417</v>
      </c>
      <c r="B454" s="11" t="s">
        <v>1208</v>
      </c>
      <c r="C454" s="11">
        <v>695</v>
      </c>
      <c r="D454" s="11" t="s">
        <v>1209</v>
      </c>
      <c r="E454" s="11">
        <v>9447007077</v>
      </c>
      <c r="F454" s="11" t="s">
        <v>35</v>
      </c>
      <c r="G454" s="11" t="s">
        <v>280</v>
      </c>
      <c r="H454" s="11">
        <v>66</v>
      </c>
      <c r="I454" s="12">
        <v>43214</v>
      </c>
      <c r="J454" s="2">
        <v>3</v>
      </c>
      <c r="K454" s="11">
        <v>1157352000079</v>
      </c>
      <c r="L454" s="11" t="s">
        <v>1210</v>
      </c>
      <c r="M454" s="11" t="s">
        <v>27</v>
      </c>
      <c r="N454" s="12">
        <v>43181</v>
      </c>
      <c r="O454" s="12">
        <v>43181</v>
      </c>
      <c r="P454" s="11">
        <v>3</v>
      </c>
      <c r="Q454" s="11" t="s">
        <v>1208</v>
      </c>
    </row>
    <row r="455" spans="1:17" ht="13" hidden="1" x14ac:dyDescent="0.15">
      <c r="A455" s="10">
        <v>43214.586296168985</v>
      </c>
      <c r="B455" s="11" t="s">
        <v>1208</v>
      </c>
      <c r="C455" s="11">
        <v>694</v>
      </c>
      <c r="D455" s="11" t="s">
        <v>1211</v>
      </c>
      <c r="E455" s="11">
        <v>9900014667</v>
      </c>
      <c r="F455" s="11" t="s">
        <v>35</v>
      </c>
      <c r="G455" s="11" t="s">
        <v>280</v>
      </c>
      <c r="H455" s="11">
        <v>66</v>
      </c>
      <c r="I455" s="12">
        <v>43214</v>
      </c>
      <c r="J455" s="2">
        <v>5</v>
      </c>
      <c r="K455" s="11">
        <v>1157358000081</v>
      </c>
      <c r="L455" s="11" t="s">
        <v>1210</v>
      </c>
      <c r="M455" s="11" t="s">
        <v>27</v>
      </c>
      <c r="N455" s="12">
        <v>43181</v>
      </c>
      <c r="O455" s="12">
        <v>43181</v>
      </c>
      <c r="P455" s="11">
        <v>5</v>
      </c>
      <c r="Q455" s="11" t="s">
        <v>1208</v>
      </c>
    </row>
    <row r="456" spans="1:17" ht="13" x14ac:dyDescent="0.15">
      <c r="A456" s="10">
        <v>43214.613096388886</v>
      </c>
      <c r="B456" s="11" t="s">
        <v>303</v>
      </c>
      <c r="C456" s="11">
        <v>523</v>
      </c>
      <c r="D456" s="11" t="s">
        <v>1212</v>
      </c>
      <c r="E456" s="11">
        <v>9447817206</v>
      </c>
      <c r="F456" s="11" t="s">
        <v>24</v>
      </c>
      <c r="G456" s="11" t="s">
        <v>280</v>
      </c>
      <c r="H456" s="11">
        <v>66</v>
      </c>
      <c r="I456" s="12">
        <v>43215</v>
      </c>
      <c r="J456" s="2">
        <v>5</v>
      </c>
      <c r="K456" s="11">
        <v>1145124021783</v>
      </c>
      <c r="L456" s="11" t="s">
        <v>1213</v>
      </c>
      <c r="M456" s="11" t="s">
        <v>27</v>
      </c>
      <c r="N456" s="12">
        <v>43188</v>
      </c>
      <c r="O456" s="12">
        <v>43188</v>
      </c>
      <c r="P456" s="11">
        <v>5</v>
      </c>
      <c r="Q456" s="11" t="s">
        <v>303</v>
      </c>
    </row>
    <row r="457" spans="1:17" ht="13" x14ac:dyDescent="0.15">
      <c r="A457" s="10">
        <v>43214.625328437498</v>
      </c>
      <c r="B457" s="11" t="s">
        <v>303</v>
      </c>
      <c r="C457" s="11">
        <v>718</v>
      </c>
      <c r="D457" s="11" t="s">
        <v>1214</v>
      </c>
      <c r="E457" s="11">
        <v>9895900001</v>
      </c>
      <c r="F457" s="11" t="s">
        <v>24</v>
      </c>
      <c r="G457" s="11" t="s">
        <v>280</v>
      </c>
      <c r="H457" s="11">
        <v>66</v>
      </c>
      <c r="I457" s="12">
        <v>43214</v>
      </c>
      <c r="J457" s="2">
        <v>5</v>
      </c>
      <c r="K457" s="11">
        <v>1146912009433</v>
      </c>
      <c r="L457" s="11" t="s">
        <v>1216</v>
      </c>
      <c r="M457" s="11" t="s">
        <v>27</v>
      </c>
      <c r="N457" s="12">
        <v>43188</v>
      </c>
      <c r="O457" s="12">
        <v>43188</v>
      </c>
      <c r="P457" s="11">
        <v>5</v>
      </c>
      <c r="Q457" s="11" t="s">
        <v>303</v>
      </c>
    </row>
    <row r="458" spans="1:17" ht="13" hidden="1" x14ac:dyDescent="0.15">
      <c r="A458" s="10">
        <v>43214.658800451391</v>
      </c>
      <c r="B458" s="11" t="s">
        <v>1217</v>
      </c>
      <c r="C458" s="11">
        <v>853</v>
      </c>
      <c r="D458" s="11" t="s">
        <v>1218</v>
      </c>
      <c r="E458" s="11">
        <v>9446043898</v>
      </c>
      <c r="F458" s="11" t="s">
        <v>61</v>
      </c>
      <c r="G458" s="11" t="s">
        <v>1076</v>
      </c>
      <c r="H458" s="11">
        <v>21</v>
      </c>
      <c r="I458" s="12">
        <v>43214</v>
      </c>
      <c r="J458" s="2">
        <v>2</v>
      </c>
      <c r="K458" s="11">
        <v>1146172017466</v>
      </c>
      <c r="L458" s="11" t="s">
        <v>797</v>
      </c>
      <c r="M458" s="11" t="s">
        <v>27</v>
      </c>
      <c r="N458" s="12">
        <v>43206</v>
      </c>
      <c r="O458" s="12">
        <v>43206</v>
      </c>
      <c r="P458" s="11">
        <v>2</v>
      </c>
      <c r="Q458" s="11" t="s">
        <v>1217</v>
      </c>
    </row>
    <row r="459" spans="1:17" ht="13" hidden="1" x14ac:dyDescent="0.15">
      <c r="A459" s="10">
        <v>43214.683554675925</v>
      </c>
      <c r="B459" s="11" t="s">
        <v>1219</v>
      </c>
      <c r="C459" s="11">
        <v>739</v>
      </c>
      <c r="D459" s="11" t="s">
        <v>1220</v>
      </c>
      <c r="E459" s="11">
        <v>9497461391</v>
      </c>
      <c r="F459" s="11" t="s">
        <v>35</v>
      </c>
      <c r="G459" s="11" t="s">
        <v>1221</v>
      </c>
      <c r="H459" s="11">
        <v>66</v>
      </c>
      <c r="I459" s="12">
        <v>43214</v>
      </c>
      <c r="J459" s="2">
        <v>2</v>
      </c>
      <c r="K459" s="11">
        <v>1155473016889</v>
      </c>
      <c r="L459" s="11" t="s">
        <v>887</v>
      </c>
      <c r="M459" s="11" t="s">
        <v>27</v>
      </c>
      <c r="N459" s="12">
        <v>43182</v>
      </c>
      <c r="O459" s="12">
        <v>43182</v>
      </c>
      <c r="P459" s="11">
        <v>2</v>
      </c>
      <c r="Q459" s="11" t="s">
        <v>1219</v>
      </c>
    </row>
    <row r="460" spans="1:17" ht="13" hidden="1" x14ac:dyDescent="0.15">
      <c r="A460" s="10">
        <v>43215.565018263893</v>
      </c>
      <c r="B460" s="11" t="s">
        <v>142</v>
      </c>
      <c r="C460" s="11">
        <v>519</v>
      </c>
      <c r="D460" s="11" t="s">
        <v>1222</v>
      </c>
      <c r="E460" s="11">
        <v>9526991113</v>
      </c>
      <c r="F460" s="11" t="s">
        <v>35</v>
      </c>
      <c r="G460" s="11" t="s">
        <v>36</v>
      </c>
      <c r="H460" s="11">
        <v>20</v>
      </c>
      <c r="I460" s="12">
        <v>43205</v>
      </c>
      <c r="J460" s="2">
        <v>3</v>
      </c>
      <c r="K460" s="11">
        <v>1155486011825</v>
      </c>
      <c r="L460" s="11" t="s">
        <v>1223</v>
      </c>
      <c r="M460" s="11" t="s">
        <v>27</v>
      </c>
      <c r="N460" s="12">
        <v>43192</v>
      </c>
      <c r="O460" s="12">
        <v>43192</v>
      </c>
      <c r="P460" s="11">
        <v>3</v>
      </c>
      <c r="Q460" s="11" t="s">
        <v>142</v>
      </c>
    </row>
    <row r="461" spans="1:17" ht="13" x14ac:dyDescent="0.15">
      <c r="A461" s="10">
        <v>43215.69148454861</v>
      </c>
      <c r="B461" s="11" t="s">
        <v>1224</v>
      </c>
      <c r="C461" s="11">
        <v>444</v>
      </c>
      <c r="D461" s="11" t="s">
        <v>1225</v>
      </c>
      <c r="E461" s="11">
        <v>9447024425</v>
      </c>
      <c r="F461" s="11" t="s">
        <v>24</v>
      </c>
      <c r="G461" s="11" t="s">
        <v>1226</v>
      </c>
      <c r="H461" s="11">
        <v>20</v>
      </c>
      <c r="I461" s="12">
        <v>43172</v>
      </c>
      <c r="J461" s="2">
        <v>3</v>
      </c>
      <c r="K461" s="11">
        <v>1145190011700</v>
      </c>
      <c r="L461" s="11" t="s">
        <v>26</v>
      </c>
      <c r="M461" s="11" t="s">
        <v>27</v>
      </c>
      <c r="N461" s="12">
        <v>43174</v>
      </c>
      <c r="O461" s="12">
        <v>43174</v>
      </c>
      <c r="P461" s="11">
        <v>3</v>
      </c>
      <c r="Q461" s="11" t="s">
        <v>1224</v>
      </c>
    </row>
    <row r="462" spans="1:17" ht="13" x14ac:dyDescent="0.15">
      <c r="A462" s="10">
        <v>43215.69593775463</v>
      </c>
      <c r="B462" s="11" t="s">
        <v>1227</v>
      </c>
      <c r="C462" s="11">
        <v>366</v>
      </c>
      <c r="D462" s="11" t="s">
        <v>1228</v>
      </c>
      <c r="E462" s="11">
        <v>9446558386</v>
      </c>
      <c r="F462" s="11" t="s">
        <v>24</v>
      </c>
      <c r="G462" s="11" t="s">
        <v>1226</v>
      </c>
      <c r="H462" s="11">
        <v>20</v>
      </c>
      <c r="I462" s="12">
        <v>43194</v>
      </c>
      <c r="J462" s="2">
        <v>2</v>
      </c>
      <c r="K462" s="11">
        <v>1145167010259</v>
      </c>
      <c r="L462" s="11" t="s">
        <v>375</v>
      </c>
      <c r="M462" s="11" t="s">
        <v>27</v>
      </c>
      <c r="N462" s="12">
        <v>43188</v>
      </c>
      <c r="O462" s="12">
        <v>43188</v>
      </c>
      <c r="P462" s="11">
        <v>2</v>
      </c>
      <c r="Q462" s="11" t="s">
        <v>1227</v>
      </c>
    </row>
    <row r="463" spans="1:17" ht="13" x14ac:dyDescent="0.15">
      <c r="A463" s="10">
        <v>43215.699573333332</v>
      </c>
      <c r="B463" s="11" t="s">
        <v>625</v>
      </c>
      <c r="C463" s="11">
        <v>581</v>
      </c>
      <c r="D463" s="11" t="s">
        <v>1229</v>
      </c>
      <c r="E463" s="11">
        <v>9895809060</v>
      </c>
      <c r="F463" s="11" t="s">
        <v>24</v>
      </c>
      <c r="G463" s="11" t="s">
        <v>1226</v>
      </c>
      <c r="H463" s="11">
        <v>20</v>
      </c>
      <c r="I463" s="12">
        <v>43200</v>
      </c>
      <c r="J463" s="2">
        <v>5</v>
      </c>
      <c r="K463" s="11">
        <v>1145249018731</v>
      </c>
      <c r="L463" s="11" t="s">
        <v>1230</v>
      </c>
      <c r="M463" s="11" t="s">
        <v>27</v>
      </c>
      <c r="N463" s="12">
        <v>43210</v>
      </c>
      <c r="O463" s="12">
        <v>43210</v>
      </c>
      <c r="P463" s="11">
        <v>5</v>
      </c>
      <c r="Q463" s="11" t="s">
        <v>625</v>
      </c>
    </row>
    <row r="464" spans="1:17" ht="13" hidden="1" x14ac:dyDescent="0.15">
      <c r="A464" s="10">
        <v>43215.705157847224</v>
      </c>
      <c r="B464" s="11" t="s">
        <v>1231</v>
      </c>
      <c r="C464" s="11">
        <v>935</v>
      </c>
      <c r="D464" s="11" t="s">
        <v>1232</v>
      </c>
      <c r="E464" s="11">
        <v>8289938304</v>
      </c>
      <c r="F464" s="11" t="s">
        <v>35</v>
      </c>
      <c r="G464" s="11" t="s">
        <v>1233</v>
      </c>
      <c r="H464" s="11">
        <v>21</v>
      </c>
      <c r="I464" s="12">
        <v>43216</v>
      </c>
      <c r="J464" s="2">
        <v>20</v>
      </c>
      <c r="K464" s="11">
        <v>1156599008992</v>
      </c>
      <c r="L464" s="11" t="s">
        <v>1235</v>
      </c>
      <c r="M464" s="11" t="s">
        <v>27</v>
      </c>
      <c r="N464" s="12">
        <v>43204</v>
      </c>
      <c r="O464" s="12">
        <v>43204</v>
      </c>
      <c r="P464" s="11">
        <v>20</v>
      </c>
      <c r="Q464" s="11" t="s">
        <v>1231</v>
      </c>
    </row>
    <row r="465" spans="1:17" ht="13" x14ac:dyDescent="0.15">
      <c r="A465" s="10">
        <v>43215.706984201388</v>
      </c>
      <c r="B465" s="11" t="s">
        <v>1236</v>
      </c>
      <c r="C465" s="11">
        <v>684</v>
      </c>
      <c r="D465" s="11" t="s">
        <v>1237</v>
      </c>
      <c r="E465" s="11">
        <v>8281419473</v>
      </c>
      <c r="F465" s="11" t="s">
        <v>24</v>
      </c>
      <c r="G465" s="11" t="s">
        <v>1226</v>
      </c>
      <c r="H465" s="11">
        <v>20</v>
      </c>
      <c r="I465" s="12">
        <v>43194</v>
      </c>
      <c r="J465" s="2">
        <v>10</v>
      </c>
      <c r="K465" s="11">
        <v>1146748008848</v>
      </c>
      <c r="L465" s="11" t="s">
        <v>1238</v>
      </c>
      <c r="M465" s="11" t="s">
        <v>27</v>
      </c>
      <c r="N465" s="12">
        <v>43182</v>
      </c>
      <c r="O465" s="12">
        <v>43182</v>
      </c>
      <c r="P465" s="11">
        <v>10</v>
      </c>
      <c r="Q465" s="11" t="s">
        <v>625</v>
      </c>
    </row>
    <row r="466" spans="1:17" ht="13" x14ac:dyDescent="0.15">
      <c r="A466" s="10">
        <v>43215.709329363424</v>
      </c>
      <c r="B466" s="11" t="s">
        <v>1239</v>
      </c>
      <c r="C466" s="11">
        <v>742</v>
      </c>
      <c r="D466" s="11" t="s">
        <v>1240</v>
      </c>
      <c r="E466" s="11">
        <v>8921286203</v>
      </c>
      <c r="F466" s="11" t="s">
        <v>24</v>
      </c>
      <c r="G466" s="11" t="s">
        <v>1226</v>
      </c>
      <c r="H466" s="11">
        <v>20</v>
      </c>
      <c r="I466" s="12">
        <v>43195</v>
      </c>
      <c r="J466" s="2">
        <v>3</v>
      </c>
      <c r="K466" s="11">
        <v>1145307006287</v>
      </c>
      <c r="L466" s="11" t="s">
        <v>1241</v>
      </c>
      <c r="M466" s="11" t="s">
        <v>27</v>
      </c>
      <c r="N466" s="12">
        <v>43186</v>
      </c>
      <c r="O466" s="12">
        <v>43186</v>
      </c>
      <c r="P466" s="11">
        <v>3</v>
      </c>
      <c r="Q466" s="11" t="s">
        <v>1239</v>
      </c>
    </row>
    <row r="467" spans="1:17" ht="13" x14ac:dyDescent="0.15">
      <c r="A467" s="10">
        <v>43215.727158020833</v>
      </c>
      <c r="B467" s="11" t="s">
        <v>625</v>
      </c>
      <c r="C467" s="11">
        <v>682</v>
      </c>
      <c r="D467" s="11" t="s">
        <v>1242</v>
      </c>
      <c r="E467" s="11">
        <v>9847192250</v>
      </c>
      <c r="F467" s="11" t="s">
        <v>24</v>
      </c>
      <c r="G467" s="11" t="s">
        <v>1226</v>
      </c>
      <c r="H467" s="11">
        <v>20</v>
      </c>
      <c r="I467" s="12">
        <v>43215</v>
      </c>
      <c r="J467" s="2">
        <v>3</v>
      </c>
      <c r="K467" s="11">
        <v>1146764012338</v>
      </c>
      <c r="L467" s="11" t="s">
        <v>329</v>
      </c>
      <c r="M467" s="11" t="s">
        <v>27</v>
      </c>
      <c r="N467" s="12">
        <v>43197</v>
      </c>
      <c r="O467" s="12">
        <v>43197</v>
      </c>
      <c r="P467" s="11">
        <v>3</v>
      </c>
      <c r="Q467" s="11" t="s">
        <v>625</v>
      </c>
    </row>
    <row r="468" spans="1:17" ht="13" x14ac:dyDescent="0.15">
      <c r="A468" s="10">
        <v>43215.734052500004</v>
      </c>
      <c r="B468" s="11" t="s">
        <v>1243</v>
      </c>
      <c r="C468" s="11">
        <v>584</v>
      </c>
      <c r="D468" s="11" t="s">
        <v>1244</v>
      </c>
      <c r="E468" s="11">
        <v>8943267973</v>
      </c>
      <c r="F468" s="11" t="s">
        <v>24</v>
      </c>
      <c r="G468" s="11" t="s">
        <v>1245</v>
      </c>
      <c r="H468" s="11">
        <v>20</v>
      </c>
      <c r="I468" s="12">
        <v>43206</v>
      </c>
      <c r="J468" s="2">
        <v>3</v>
      </c>
      <c r="K468" s="11">
        <v>1145119004639</v>
      </c>
      <c r="L468" s="11" t="s">
        <v>627</v>
      </c>
      <c r="M468" s="11" t="s">
        <v>27</v>
      </c>
      <c r="N468" s="12">
        <v>43143</v>
      </c>
      <c r="O468" s="12">
        <v>43143</v>
      </c>
      <c r="P468" s="11">
        <v>3</v>
      </c>
      <c r="Q468" s="11" t="s">
        <v>1243</v>
      </c>
    </row>
    <row r="469" spans="1:17" ht="13" x14ac:dyDescent="0.15">
      <c r="A469" s="10">
        <v>43215.736688645833</v>
      </c>
      <c r="B469" s="11" t="s">
        <v>625</v>
      </c>
      <c r="C469" s="11">
        <v>862</v>
      </c>
      <c r="D469" s="11" t="s">
        <v>1246</v>
      </c>
      <c r="E469" s="11">
        <v>9847525884</v>
      </c>
      <c r="F469" s="11" t="s">
        <v>24</v>
      </c>
      <c r="G469" s="11" t="s">
        <v>1226</v>
      </c>
      <c r="H469" s="11">
        <v>20</v>
      </c>
      <c r="I469" s="12">
        <v>43147</v>
      </c>
      <c r="J469" s="2">
        <v>3</v>
      </c>
      <c r="K469" s="11">
        <v>5660</v>
      </c>
      <c r="L469" s="11" t="s">
        <v>381</v>
      </c>
      <c r="M469" s="11" t="s">
        <v>27</v>
      </c>
      <c r="N469" s="12">
        <v>43203</v>
      </c>
      <c r="O469" s="12">
        <v>43203</v>
      </c>
      <c r="P469" s="11">
        <v>3</v>
      </c>
      <c r="Q469" s="11" t="s">
        <v>625</v>
      </c>
    </row>
    <row r="470" spans="1:17" ht="13" x14ac:dyDescent="0.15">
      <c r="A470" s="10">
        <v>43215.738664780089</v>
      </c>
      <c r="B470" s="11" t="s">
        <v>1247</v>
      </c>
      <c r="C470" s="11">
        <v>821</v>
      </c>
      <c r="D470" s="11" t="s">
        <v>1248</v>
      </c>
      <c r="E470" s="11">
        <v>9645759926</v>
      </c>
      <c r="F470" s="11" t="s">
        <v>24</v>
      </c>
      <c r="G470" s="11" t="s">
        <v>1226</v>
      </c>
      <c r="H470" s="11">
        <v>20</v>
      </c>
      <c r="I470" s="12">
        <v>43211</v>
      </c>
      <c r="J470" s="2">
        <v>3</v>
      </c>
      <c r="K470" s="11">
        <v>12125</v>
      </c>
      <c r="L470" s="11" t="s">
        <v>741</v>
      </c>
      <c r="M470" s="11" t="s">
        <v>27</v>
      </c>
      <c r="N470" s="12">
        <v>43207</v>
      </c>
      <c r="O470" s="12">
        <v>43207</v>
      </c>
      <c r="P470" s="11">
        <v>3</v>
      </c>
      <c r="Q470" s="11" t="s">
        <v>1247</v>
      </c>
    </row>
    <row r="471" spans="1:17" ht="13" x14ac:dyDescent="0.15">
      <c r="A471" s="10">
        <v>43215.741695173609</v>
      </c>
      <c r="B471" s="11" t="s">
        <v>1250</v>
      </c>
      <c r="C471" s="11">
        <v>832</v>
      </c>
      <c r="D471" s="11" t="s">
        <v>1251</v>
      </c>
      <c r="E471" s="11">
        <v>9447156255</v>
      </c>
      <c r="F471" s="11" t="s">
        <v>24</v>
      </c>
      <c r="G471" s="11" t="s">
        <v>1226</v>
      </c>
      <c r="H471" s="11">
        <v>20</v>
      </c>
      <c r="I471" s="12">
        <v>43215</v>
      </c>
      <c r="J471" s="2">
        <v>2</v>
      </c>
      <c r="K471" s="11">
        <v>5870</v>
      </c>
      <c r="L471" s="11" t="s">
        <v>381</v>
      </c>
      <c r="M471" s="11" t="s">
        <v>27</v>
      </c>
      <c r="N471" s="12">
        <v>43206</v>
      </c>
      <c r="O471" s="12">
        <v>43206</v>
      </c>
      <c r="P471" s="11">
        <v>2</v>
      </c>
      <c r="Q471" s="11" t="s">
        <v>1250</v>
      </c>
    </row>
    <row r="472" spans="1:17" ht="13" x14ac:dyDescent="0.15">
      <c r="A472" s="10">
        <v>43215.867612210648</v>
      </c>
      <c r="B472" s="11" t="s">
        <v>22</v>
      </c>
      <c r="C472" s="11">
        <v>823</v>
      </c>
      <c r="D472" s="11" t="s">
        <v>1252</v>
      </c>
      <c r="E472" s="11">
        <v>9072666513</v>
      </c>
      <c r="F472" s="11" t="s">
        <v>24</v>
      </c>
      <c r="G472" s="11" t="s">
        <v>101</v>
      </c>
      <c r="H472" s="11">
        <v>54</v>
      </c>
      <c r="I472" s="12">
        <v>43203</v>
      </c>
      <c r="J472" s="2">
        <v>10</v>
      </c>
      <c r="K472" s="11">
        <v>1145079004534</v>
      </c>
      <c r="L472" s="11" t="s">
        <v>1253</v>
      </c>
      <c r="M472" s="11" t="s">
        <v>27</v>
      </c>
      <c r="N472" s="12">
        <v>43203</v>
      </c>
      <c r="O472" s="12">
        <v>43203</v>
      </c>
      <c r="P472" s="11">
        <v>10</v>
      </c>
      <c r="Q472" s="11" t="s">
        <v>22</v>
      </c>
    </row>
    <row r="473" spans="1:17" ht="13" hidden="1" x14ac:dyDescent="0.15">
      <c r="A473" s="10">
        <v>43216.470647905095</v>
      </c>
      <c r="B473" s="11" t="s">
        <v>227</v>
      </c>
      <c r="C473" s="11">
        <v>905</v>
      </c>
      <c r="D473" s="11" t="s">
        <v>1254</v>
      </c>
      <c r="E473" s="11">
        <v>8137874406</v>
      </c>
      <c r="F473" s="11" t="s">
        <v>30</v>
      </c>
      <c r="G473" s="11" t="s">
        <v>157</v>
      </c>
      <c r="H473" s="11">
        <v>42</v>
      </c>
      <c r="I473" s="12">
        <v>43188</v>
      </c>
      <c r="J473" s="2">
        <v>10</v>
      </c>
      <c r="K473" s="11">
        <v>21</v>
      </c>
      <c r="L473" s="11" t="s">
        <v>322</v>
      </c>
      <c r="M473" s="11" t="s">
        <v>27</v>
      </c>
      <c r="N473" s="12">
        <v>43186</v>
      </c>
      <c r="O473" s="12">
        <v>43186</v>
      </c>
      <c r="P473" s="11">
        <v>10</v>
      </c>
      <c r="Q473" s="11" t="s">
        <v>227</v>
      </c>
    </row>
    <row r="474" spans="1:17" ht="13" x14ac:dyDescent="0.15">
      <c r="A474" s="10">
        <v>43216.478789826389</v>
      </c>
      <c r="B474" s="11" t="s">
        <v>22</v>
      </c>
      <c r="C474" s="11">
        <v>736</v>
      </c>
      <c r="D474" s="11" t="s">
        <v>1255</v>
      </c>
      <c r="E474" s="11">
        <v>9388106363</v>
      </c>
      <c r="F474" s="11" t="s">
        <v>24</v>
      </c>
      <c r="G474" s="11" t="s">
        <v>101</v>
      </c>
      <c r="H474" s="11">
        <v>54</v>
      </c>
      <c r="I474" s="12">
        <v>43216</v>
      </c>
      <c r="J474" s="2">
        <v>3</v>
      </c>
      <c r="K474" s="11">
        <v>7273</v>
      </c>
      <c r="L474" s="11" t="s">
        <v>381</v>
      </c>
      <c r="M474" s="11" t="s">
        <v>27</v>
      </c>
      <c r="N474" s="12">
        <v>43203</v>
      </c>
      <c r="O474" s="12">
        <v>43203</v>
      </c>
      <c r="P474" s="11">
        <v>3</v>
      </c>
      <c r="Q474" s="11" t="s">
        <v>22</v>
      </c>
    </row>
    <row r="475" spans="1:17" ht="13" hidden="1" x14ac:dyDescent="0.15">
      <c r="A475" s="10">
        <v>43216.478952743055</v>
      </c>
      <c r="B475" s="11" t="s">
        <v>475</v>
      </c>
      <c r="C475" s="11">
        <v>793</v>
      </c>
      <c r="D475" s="11" t="s">
        <v>1256</v>
      </c>
      <c r="E475" s="11">
        <v>9072626009</v>
      </c>
      <c r="F475" s="11" t="s">
        <v>35</v>
      </c>
      <c r="G475" s="11" t="s">
        <v>1257</v>
      </c>
      <c r="H475" s="11">
        <v>11</v>
      </c>
      <c r="I475" s="12">
        <v>43216</v>
      </c>
      <c r="J475" s="2">
        <v>5</v>
      </c>
      <c r="K475" s="11">
        <v>1155780007381</v>
      </c>
      <c r="L475" s="11" t="s">
        <v>1258</v>
      </c>
      <c r="M475" s="11" t="s">
        <v>27</v>
      </c>
      <c r="N475" s="12">
        <v>43216</v>
      </c>
      <c r="O475" s="12">
        <v>43216</v>
      </c>
      <c r="P475" s="11">
        <v>5</v>
      </c>
      <c r="Q475" s="11" t="s">
        <v>475</v>
      </c>
    </row>
    <row r="476" spans="1:17" ht="13" x14ac:dyDescent="0.15">
      <c r="A476" s="10">
        <v>43216.540627939816</v>
      </c>
      <c r="B476" s="11" t="s">
        <v>22</v>
      </c>
      <c r="C476" s="11">
        <v>764</v>
      </c>
      <c r="D476" s="11" t="s">
        <v>1260</v>
      </c>
      <c r="E476" s="11">
        <v>9388106363</v>
      </c>
      <c r="F476" s="11" t="s">
        <v>24</v>
      </c>
      <c r="G476" s="11" t="s">
        <v>101</v>
      </c>
      <c r="H476" s="11">
        <v>54</v>
      </c>
      <c r="I476" s="12">
        <v>43216</v>
      </c>
      <c r="J476" s="2">
        <v>3</v>
      </c>
      <c r="K476" s="11">
        <v>1145160010144</v>
      </c>
      <c r="L476" s="11" t="s">
        <v>375</v>
      </c>
      <c r="M476" s="11" t="s">
        <v>27</v>
      </c>
      <c r="N476" s="12">
        <v>43209</v>
      </c>
      <c r="O476" s="12">
        <v>43209</v>
      </c>
      <c r="P476" s="11">
        <v>3</v>
      </c>
      <c r="Q476" s="11" t="s">
        <v>22</v>
      </c>
    </row>
    <row r="477" spans="1:17" ht="13" hidden="1" x14ac:dyDescent="0.15">
      <c r="A477" s="10">
        <v>43216.593687789355</v>
      </c>
      <c r="B477" s="11" t="s">
        <v>475</v>
      </c>
      <c r="C477" s="11">
        <v>829</v>
      </c>
      <c r="D477" s="11" t="s">
        <v>1261</v>
      </c>
      <c r="E477" s="11">
        <v>9072626009</v>
      </c>
      <c r="F477" s="11" t="s">
        <v>56</v>
      </c>
      <c r="G477" s="11" t="s">
        <v>1262</v>
      </c>
      <c r="H477" s="11">
        <v>11</v>
      </c>
      <c r="I477" s="12">
        <v>43216</v>
      </c>
      <c r="J477" s="2">
        <v>3</v>
      </c>
      <c r="K477" s="11">
        <v>11563540181887</v>
      </c>
      <c r="L477" s="11" t="s">
        <v>1263</v>
      </c>
      <c r="M477" s="11" t="s">
        <v>27</v>
      </c>
      <c r="N477" s="12">
        <v>43216</v>
      </c>
      <c r="O477" s="12">
        <v>43216</v>
      </c>
      <c r="P477" s="11">
        <v>3</v>
      </c>
      <c r="Q477" s="11" t="s">
        <v>475</v>
      </c>
    </row>
    <row r="478" spans="1:17" ht="13" x14ac:dyDescent="0.15">
      <c r="A478" s="10">
        <v>43216.659545960647</v>
      </c>
      <c r="B478" s="11" t="s">
        <v>1264</v>
      </c>
      <c r="C478" s="11">
        <v>833</v>
      </c>
      <c r="D478" s="11" t="s">
        <v>1265</v>
      </c>
      <c r="E478" s="11">
        <v>8547661663</v>
      </c>
      <c r="F478" s="11" t="s">
        <v>24</v>
      </c>
      <c r="G478" s="11" t="s">
        <v>1226</v>
      </c>
      <c r="H478" s="11">
        <v>20</v>
      </c>
      <c r="I478" s="12">
        <v>43207</v>
      </c>
      <c r="J478" s="2">
        <v>3</v>
      </c>
      <c r="K478" s="11">
        <v>1145168003501</v>
      </c>
      <c r="L478" s="11" t="s">
        <v>375</v>
      </c>
      <c r="M478" s="11" t="s">
        <v>27</v>
      </c>
      <c r="N478" s="12">
        <v>43214</v>
      </c>
      <c r="O478" s="12">
        <v>43214</v>
      </c>
      <c r="P478" s="11">
        <v>3</v>
      </c>
      <c r="Q478" s="11" t="s">
        <v>1264</v>
      </c>
    </row>
    <row r="479" spans="1:17" ht="13" hidden="1" x14ac:dyDescent="0.15">
      <c r="A479" s="10">
        <v>43216.660750219904</v>
      </c>
      <c r="B479" s="11" t="s">
        <v>371</v>
      </c>
      <c r="C479" s="11">
        <v>702</v>
      </c>
      <c r="D479" s="11" t="s">
        <v>1266</v>
      </c>
      <c r="E479" s="11">
        <v>8547564126</v>
      </c>
      <c r="F479" s="11" t="s">
        <v>61</v>
      </c>
      <c r="G479" s="11" t="s">
        <v>215</v>
      </c>
      <c r="H479" s="11">
        <v>27</v>
      </c>
      <c r="I479" s="12">
        <v>43214</v>
      </c>
      <c r="J479" s="2">
        <v>3</v>
      </c>
      <c r="K479" s="11">
        <v>1146874001298</v>
      </c>
      <c r="L479" s="11" t="s">
        <v>1267</v>
      </c>
      <c r="M479" s="11" t="s">
        <v>27</v>
      </c>
      <c r="N479" s="12">
        <v>43214</v>
      </c>
      <c r="O479" s="12">
        <v>43214</v>
      </c>
      <c r="P479" s="11">
        <v>3</v>
      </c>
      <c r="Q479" s="11" t="s">
        <v>371</v>
      </c>
    </row>
    <row r="480" spans="1:17" ht="13" hidden="1" x14ac:dyDescent="0.15">
      <c r="A480" s="10">
        <v>43216.663008425923</v>
      </c>
      <c r="B480" s="11" t="s">
        <v>371</v>
      </c>
      <c r="C480" s="11">
        <v>688</v>
      </c>
      <c r="D480" s="11" t="s">
        <v>1268</v>
      </c>
      <c r="E480" s="11">
        <v>8547564126</v>
      </c>
      <c r="F480" s="11" t="s">
        <v>61</v>
      </c>
      <c r="G480" s="11" t="s">
        <v>215</v>
      </c>
      <c r="H480" s="11">
        <v>27</v>
      </c>
      <c r="I480" s="12">
        <v>43214</v>
      </c>
      <c r="J480" s="2">
        <v>3</v>
      </c>
      <c r="K480" s="11">
        <v>1146875001300</v>
      </c>
      <c r="L480" s="11" t="s">
        <v>1267</v>
      </c>
      <c r="M480" s="11" t="s">
        <v>27</v>
      </c>
      <c r="N480" s="12">
        <v>43214</v>
      </c>
      <c r="O480" s="12">
        <v>43214</v>
      </c>
      <c r="P480" s="11">
        <v>3</v>
      </c>
      <c r="Q480" s="11" t="s">
        <v>371</v>
      </c>
    </row>
    <row r="481" spans="1:17" ht="13" x14ac:dyDescent="0.15">
      <c r="A481" s="10">
        <v>43216.673579733797</v>
      </c>
      <c r="B481" s="11" t="s">
        <v>1270</v>
      </c>
      <c r="C481" s="11">
        <v>486</v>
      </c>
      <c r="D481" s="11" t="s">
        <v>1271</v>
      </c>
      <c r="E481" s="11">
        <v>9447418166</v>
      </c>
      <c r="F481" s="11" t="s">
        <v>24</v>
      </c>
      <c r="G481" s="11" t="s">
        <v>1272</v>
      </c>
      <c r="H481" s="11">
        <v>58</v>
      </c>
      <c r="I481" s="12">
        <v>43209</v>
      </c>
      <c r="J481" s="2">
        <v>3</v>
      </c>
      <c r="K481" s="11">
        <v>1145142022138</v>
      </c>
      <c r="L481" s="11" t="s">
        <v>1273</v>
      </c>
      <c r="M481" s="11" t="s">
        <v>27</v>
      </c>
      <c r="N481" s="12">
        <v>43206</v>
      </c>
      <c r="O481" s="12">
        <v>43206</v>
      </c>
      <c r="P481" s="11">
        <v>3</v>
      </c>
      <c r="Q481" s="11" t="s">
        <v>1270</v>
      </c>
    </row>
    <row r="482" spans="1:17" ht="13" hidden="1" x14ac:dyDescent="0.15">
      <c r="A482" s="10">
        <v>43216.677687789357</v>
      </c>
      <c r="B482" s="11" t="s">
        <v>1018</v>
      </c>
      <c r="C482" s="11">
        <v>661</v>
      </c>
      <c r="D482" s="11" t="s">
        <v>1274</v>
      </c>
      <c r="E482" s="11">
        <v>8078198729</v>
      </c>
      <c r="F482" s="11" t="s">
        <v>61</v>
      </c>
      <c r="G482" s="11" t="s">
        <v>1076</v>
      </c>
      <c r="H482" s="11">
        <v>21</v>
      </c>
      <c r="I482" s="12">
        <v>43216</v>
      </c>
      <c r="J482" s="2">
        <v>2</v>
      </c>
      <c r="K482" s="11">
        <v>1146056000290</v>
      </c>
      <c r="L482" s="11" t="s">
        <v>1275</v>
      </c>
      <c r="M482" s="11" t="s">
        <v>27</v>
      </c>
      <c r="N482" s="12">
        <v>43245</v>
      </c>
      <c r="O482" s="12">
        <v>43245</v>
      </c>
      <c r="P482" s="11">
        <v>2</v>
      </c>
      <c r="Q482" s="11" t="s">
        <v>1018</v>
      </c>
    </row>
    <row r="483" spans="1:17" ht="13" hidden="1" x14ac:dyDescent="0.15">
      <c r="A483" s="10">
        <v>43216.679935497683</v>
      </c>
      <c r="B483" s="11" t="s">
        <v>1018</v>
      </c>
      <c r="C483" s="11">
        <v>644</v>
      </c>
      <c r="D483" s="11" t="s">
        <v>1276</v>
      </c>
      <c r="E483" s="11">
        <v>9847366683</v>
      </c>
      <c r="F483" s="11" t="s">
        <v>61</v>
      </c>
      <c r="G483" s="11" t="s">
        <v>1076</v>
      </c>
      <c r="H483" s="11">
        <v>21</v>
      </c>
      <c r="I483" s="12">
        <v>43216</v>
      </c>
      <c r="J483" s="2">
        <v>2</v>
      </c>
      <c r="K483" s="11">
        <v>1146058000279</v>
      </c>
      <c r="L483" s="11" t="s">
        <v>1275</v>
      </c>
      <c r="M483" s="11" t="s">
        <v>27</v>
      </c>
      <c r="N483" s="12">
        <v>43245</v>
      </c>
      <c r="O483" s="12">
        <v>43245</v>
      </c>
      <c r="P483" s="11">
        <v>2</v>
      </c>
      <c r="Q483" s="11" t="s">
        <v>1018</v>
      </c>
    </row>
    <row r="484" spans="1:17" ht="13" hidden="1" x14ac:dyDescent="0.15">
      <c r="A484" s="10">
        <v>43216.719194675927</v>
      </c>
      <c r="B484" s="11" t="s">
        <v>475</v>
      </c>
      <c r="C484" s="11">
        <v>780</v>
      </c>
      <c r="D484" s="11" t="s">
        <v>1277</v>
      </c>
      <c r="E484" s="11">
        <v>9633966228</v>
      </c>
      <c r="F484" s="11" t="s">
        <v>35</v>
      </c>
      <c r="G484" s="11" t="s">
        <v>1278</v>
      </c>
      <c r="H484" s="11">
        <v>11</v>
      </c>
      <c r="I484" s="12">
        <v>43216</v>
      </c>
      <c r="J484" s="2">
        <v>15</v>
      </c>
      <c r="K484" s="11">
        <v>1155694009015</v>
      </c>
      <c r="L484" s="11" t="s">
        <v>1279</v>
      </c>
      <c r="M484" s="11" t="s">
        <v>27</v>
      </c>
      <c r="N484" s="12">
        <v>43216</v>
      </c>
      <c r="O484" s="12">
        <v>43216</v>
      </c>
      <c r="P484" s="11">
        <v>15</v>
      </c>
      <c r="Q484" s="11" t="s">
        <v>475</v>
      </c>
    </row>
    <row r="485" spans="1:17" ht="13" hidden="1" x14ac:dyDescent="0.15">
      <c r="A485" s="10">
        <v>43217.505767962968</v>
      </c>
      <c r="B485" s="11" t="s">
        <v>475</v>
      </c>
      <c r="C485" s="11">
        <v>336</v>
      </c>
      <c r="D485" s="11" t="s">
        <v>1280</v>
      </c>
      <c r="E485" s="11">
        <v>9633966228</v>
      </c>
      <c r="F485" s="11" t="s">
        <v>35</v>
      </c>
      <c r="G485" s="11" t="s">
        <v>1262</v>
      </c>
      <c r="H485" s="11">
        <v>11</v>
      </c>
      <c r="I485" s="12">
        <v>43217</v>
      </c>
      <c r="J485" s="2">
        <v>3</v>
      </c>
      <c r="K485" s="11">
        <v>1157158010699</v>
      </c>
      <c r="L485" s="11" t="s">
        <v>1281</v>
      </c>
      <c r="M485" s="11" t="s">
        <v>27</v>
      </c>
      <c r="N485" s="12">
        <v>43217</v>
      </c>
      <c r="O485" s="12">
        <v>43217</v>
      </c>
      <c r="P485" s="11">
        <v>3</v>
      </c>
      <c r="Q485" s="11" t="s">
        <v>475</v>
      </c>
    </row>
    <row r="486" spans="1:17" ht="13" hidden="1" x14ac:dyDescent="0.15">
      <c r="A486" s="10">
        <v>43217.528190081022</v>
      </c>
      <c r="B486" s="11" t="s">
        <v>1283</v>
      </c>
      <c r="C486" s="11">
        <v>995</v>
      </c>
      <c r="D486" s="11" t="s">
        <v>1284</v>
      </c>
      <c r="E486" s="11">
        <v>9539554817</v>
      </c>
      <c r="F486" s="11" t="s">
        <v>40</v>
      </c>
      <c r="G486" s="11" t="s">
        <v>295</v>
      </c>
      <c r="H486" s="11">
        <v>51</v>
      </c>
      <c r="I486" s="12">
        <v>43213</v>
      </c>
      <c r="J486" s="2">
        <v>10</v>
      </c>
      <c r="K486" s="11">
        <v>1155047017679</v>
      </c>
      <c r="L486" s="11" t="s">
        <v>1285</v>
      </c>
      <c r="M486" s="11" t="s">
        <v>27</v>
      </c>
      <c r="N486" s="12">
        <v>43210</v>
      </c>
      <c r="O486" s="12">
        <v>43210</v>
      </c>
      <c r="P486" s="11">
        <v>10</v>
      </c>
      <c r="Q486" s="11" t="s">
        <v>1286</v>
      </c>
    </row>
    <row r="487" spans="1:17" ht="13" hidden="1" x14ac:dyDescent="0.15">
      <c r="A487" s="10">
        <v>43217.537996574072</v>
      </c>
      <c r="B487" s="11" t="s">
        <v>982</v>
      </c>
      <c r="C487" s="11">
        <v>870</v>
      </c>
      <c r="D487" s="11" t="s">
        <v>1287</v>
      </c>
      <c r="E487" s="11">
        <v>7907558626</v>
      </c>
      <c r="F487" s="11" t="s">
        <v>40</v>
      </c>
      <c r="G487" s="11" t="s">
        <v>692</v>
      </c>
      <c r="H487" s="11">
        <v>18</v>
      </c>
      <c r="I487" s="12">
        <v>43213</v>
      </c>
      <c r="J487" s="2">
        <v>3</v>
      </c>
      <c r="K487" s="11">
        <v>1155126007115</v>
      </c>
      <c r="L487" s="11" t="s">
        <v>1288</v>
      </c>
      <c r="M487" s="11" t="s">
        <v>27</v>
      </c>
      <c r="N487" s="12">
        <v>43210</v>
      </c>
      <c r="O487" s="12">
        <v>43210</v>
      </c>
      <c r="P487" s="11">
        <v>3</v>
      </c>
      <c r="Q487" s="11" t="s">
        <v>982</v>
      </c>
    </row>
    <row r="488" spans="1:17" ht="13" hidden="1" x14ac:dyDescent="0.15">
      <c r="A488" s="10">
        <v>43217.607967407406</v>
      </c>
      <c r="B488" s="11" t="s">
        <v>1289</v>
      </c>
      <c r="C488" s="11">
        <v>681</v>
      </c>
      <c r="D488" s="11" t="s">
        <v>1290</v>
      </c>
      <c r="E488" s="11">
        <v>9496337236</v>
      </c>
      <c r="F488" s="11" t="s">
        <v>56</v>
      </c>
      <c r="G488" s="11" t="s">
        <v>1291</v>
      </c>
      <c r="H488" s="11">
        <v>41</v>
      </c>
      <c r="I488" s="12">
        <v>43216</v>
      </c>
      <c r="J488" s="2">
        <v>10</v>
      </c>
      <c r="K488" s="11">
        <v>1146349002303</v>
      </c>
      <c r="L488" s="11" t="s">
        <v>1292</v>
      </c>
      <c r="M488" s="11" t="s">
        <v>27</v>
      </c>
      <c r="N488" s="12">
        <v>43211</v>
      </c>
      <c r="O488" s="12">
        <v>43211</v>
      </c>
      <c r="P488" s="11">
        <v>20</v>
      </c>
      <c r="Q488" s="11" t="s">
        <v>1289</v>
      </c>
    </row>
    <row r="489" spans="1:17" ht="13" hidden="1" x14ac:dyDescent="0.15">
      <c r="A489" s="10">
        <v>43217.637261782409</v>
      </c>
      <c r="B489" s="11" t="s">
        <v>206</v>
      </c>
      <c r="C489" s="11">
        <v>847</v>
      </c>
      <c r="D489" s="11" t="s">
        <v>1293</v>
      </c>
      <c r="E489" s="11">
        <v>8078213924</v>
      </c>
      <c r="F489" s="11" t="s">
        <v>61</v>
      </c>
      <c r="G489" s="11" t="s">
        <v>208</v>
      </c>
      <c r="H489" s="11">
        <v>38</v>
      </c>
      <c r="I489" s="12">
        <v>43216</v>
      </c>
      <c r="J489" s="2">
        <v>5</v>
      </c>
      <c r="K489" s="11">
        <v>1146178009753</v>
      </c>
      <c r="L489" s="11" t="s">
        <v>225</v>
      </c>
      <c r="M489" s="11" t="s">
        <v>27</v>
      </c>
      <c r="N489" s="12">
        <v>43210</v>
      </c>
      <c r="O489" s="12">
        <v>43210</v>
      </c>
      <c r="P489" s="11">
        <v>5</v>
      </c>
      <c r="Q489" s="11" t="s">
        <v>206</v>
      </c>
    </row>
    <row r="490" spans="1:17" ht="13" hidden="1" x14ac:dyDescent="0.15">
      <c r="A490" s="10">
        <v>43217.648888101852</v>
      </c>
      <c r="B490" s="11" t="s">
        <v>206</v>
      </c>
      <c r="C490" s="11">
        <v>310</v>
      </c>
      <c r="D490" s="11" t="s">
        <v>1294</v>
      </c>
      <c r="E490" s="11">
        <v>8078213924</v>
      </c>
      <c r="F490" s="11" t="s">
        <v>40</v>
      </c>
      <c r="G490" s="11" t="s">
        <v>208</v>
      </c>
      <c r="H490" s="11">
        <v>38</v>
      </c>
      <c r="I490" s="12">
        <v>43208</v>
      </c>
      <c r="J490" s="2">
        <v>5</v>
      </c>
      <c r="K490" s="11">
        <v>3134</v>
      </c>
      <c r="L490" s="11" t="s">
        <v>1295</v>
      </c>
      <c r="M490" s="11" t="s">
        <v>27</v>
      </c>
      <c r="N490" s="12">
        <v>43187</v>
      </c>
      <c r="O490" s="12">
        <v>43187</v>
      </c>
      <c r="P490" s="11">
        <v>5</v>
      </c>
      <c r="Q490" s="11" t="s">
        <v>206</v>
      </c>
    </row>
    <row r="491" spans="1:17" ht="13" x14ac:dyDescent="0.15">
      <c r="A491" s="10">
        <v>43217.696202511579</v>
      </c>
      <c r="B491" s="11" t="s">
        <v>589</v>
      </c>
      <c r="C491" s="11">
        <v>388</v>
      </c>
      <c r="D491" s="11" t="s">
        <v>1296</v>
      </c>
      <c r="E491" s="11">
        <v>9447047470</v>
      </c>
      <c r="F491" s="11" t="s">
        <v>24</v>
      </c>
      <c r="G491" s="11" t="s">
        <v>369</v>
      </c>
      <c r="H491" s="11">
        <v>38</v>
      </c>
      <c r="I491" s="12">
        <v>43214</v>
      </c>
      <c r="J491" s="2">
        <v>5</v>
      </c>
      <c r="K491" s="11">
        <v>1145148013702</v>
      </c>
      <c r="L491" s="11" t="s">
        <v>462</v>
      </c>
      <c r="M491" s="11" t="s">
        <v>27</v>
      </c>
      <c r="N491" s="12">
        <v>43194</v>
      </c>
      <c r="O491" s="12">
        <v>43194</v>
      </c>
      <c r="P491" s="11">
        <v>5</v>
      </c>
      <c r="Q491" s="11" t="s">
        <v>589</v>
      </c>
    </row>
    <row r="492" spans="1:17" ht="13" hidden="1" x14ac:dyDescent="0.15">
      <c r="A492" s="10">
        <v>43218.467713391205</v>
      </c>
      <c r="B492" s="11" t="s">
        <v>1297</v>
      </c>
      <c r="C492" s="11">
        <v>23</v>
      </c>
      <c r="D492" s="11" t="s">
        <v>1298</v>
      </c>
      <c r="E492" s="11">
        <v>9496922391</v>
      </c>
      <c r="F492" s="11" t="s">
        <v>46</v>
      </c>
      <c r="G492" s="11" t="s">
        <v>36</v>
      </c>
      <c r="H492" s="11">
        <v>20</v>
      </c>
      <c r="I492" s="12">
        <v>43187</v>
      </c>
      <c r="J492" s="2">
        <v>3</v>
      </c>
      <c r="K492" s="11">
        <v>1165189013417</v>
      </c>
      <c r="L492" s="11" t="s">
        <v>1299</v>
      </c>
      <c r="M492" s="11" t="s">
        <v>27</v>
      </c>
      <c r="N492" s="12">
        <v>43202</v>
      </c>
      <c r="O492" s="12">
        <v>43202</v>
      </c>
      <c r="P492" s="11">
        <v>3</v>
      </c>
      <c r="Q492" s="11" t="s">
        <v>1297</v>
      </c>
    </row>
    <row r="493" spans="1:17" ht="13" x14ac:dyDescent="0.15">
      <c r="A493" s="10">
        <v>43218.478068194439</v>
      </c>
      <c r="B493" s="11" t="s">
        <v>982</v>
      </c>
      <c r="C493" s="11">
        <v>673</v>
      </c>
      <c r="D493" s="11" t="s">
        <v>1300</v>
      </c>
      <c r="E493" s="11">
        <v>9946044345</v>
      </c>
      <c r="F493" s="11" t="s">
        <v>24</v>
      </c>
      <c r="G493" s="11" t="s">
        <v>692</v>
      </c>
      <c r="H493" s="11">
        <v>18</v>
      </c>
      <c r="I493" s="12">
        <v>43186</v>
      </c>
      <c r="J493" s="2">
        <v>3</v>
      </c>
      <c r="K493" s="11">
        <v>1145166015185</v>
      </c>
      <c r="L493" s="11" t="s">
        <v>375</v>
      </c>
      <c r="M493" s="11" t="s">
        <v>27</v>
      </c>
      <c r="N493" s="12">
        <v>43186</v>
      </c>
      <c r="O493" s="12">
        <v>43186</v>
      </c>
      <c r="P493" s="11">
        <v>3</v>
      </c>
      <c r="Q493" s="11" t="s">
        <v>982</v>
      </c>
    </row>
    <row r="494" spans="1:17" ht="13" hidden="1" x14ac:dyDescent="0.15">
      <c r="A494" s="10">
        <v>43218.618176863427</v>
      </c>
      <c r="B494" s="11" t="s">
        <v>1302</v>
      </c>
      <c r="C494" s="11">
        <v>628</v>
      </c>
      <c r="D494" s="11" t="s">
        <v>1303</v>
      </c>
      <c r="E494" s="11">
        <v>9207450144</v>
      </c>
      <c r="F494" s="11" t="s">
        <v>1124</v>
      </c>
      <c r="G494" s="11" t="s">
        <v>280</v>
      </c>
      <c r="H494" s="11">
        <v>66</v>
      </c>
      <c r="I494" s="12">
        <v>43217</v>
      </c>
      <c r="J494" s="2">
        <v>5</v>
      </c>
      <c r="K494" s="11">
        <v>1166951006372</v>
      </c>
      <c r="L494" s="11" t="s">
        <v>1304</v>
      </c>
      <c r="M494" s="11" t="s">
        <v>27</v>
      </c>
      <c r="N494" s="12">
        <v>43187</v>
      </c>
      <c r="O494" s="12">
        <v>43187</v>
      </c>
      <c r="P494" s="11">
        <v>5</v>
      </c>
      <c r="Q494" s="11" t="s">
        <v>303</v>
      </c>
    </row>
    <row r="495" spans="1:17" ht="13" hidden="1" x14ac:dyDescent="0.15">
      <c r="A495" s="10">
        <v>43218.621444629629</v>
      </c>
      <c r="B495" s="11" t="s">
        <v>303</v>
      </c>
      <c r="C495" s="11">
        <v>585</v>
      </c>
      <c r="D495" s="11" t="s">
        <v>1305</v>
      </c>
      <c r="E495" s="11">
        <v>8078552290</v>
      </c>
      <c r="F495" s="11" t="s">
        <v>30</v>
      </c>
      <c r="G495" s="11" t="s">
        <v>280</v>
      </c>
      <c r="H495" s="11">
        <v>66</v>
      </c>
      <c r="I495" s="12">
        <v>43213</v>
      </c>
      <c r="J495" s="2">
        <v>2</v>
      </c>
      <c r="K495" s="11">
        <v>1156906008006</v>
      </c>
      <c r="L495" s="11" t="s">
        <v>212</v>
      </c>
      <c r="M495" s="11" t="s">
        <v>27</v>
      </c>
      <c r="N495" s="12">
        <v>43183</v>
      </c>
      <c r="O495" s="12">
        <v>43183</v>
      </c>
      <c r="P495" s="11">
        <v>2</v>
      </c>
      <c r="Q495" s="11" t="s">
        <v>303</v>
      </c>
    </row>
    <row r="496" spans="1:17" ht="13" hidden="1" x14ac:dyDescent="0.15">
      <c r="A496" s="10">
        <v>43218.654921018519</v>
      </c>
      <c r="B496" s="11" t="s">
        <v>303</v>
      </c>
      <c r="C496" s="11">
        <v>952</v>
      </c>
      <c r="D496" s="11" t="s">
        <v>1306</v>
      </c>
      <c r="E496" s="11">
        <v>9447717626</v>
      </c>
      <c r="F496" s="11" t="s">
        <v>35</v>
      </c>
      <c r="G496" s="11" t="s">
        <v>280</v>
      </c>
      <c r="H496" s="11">
        <v>66</v>
      </c>
      <c r="I496" s="12">
        <v>43217</v>
      </c>
      <c r="J496" s="2">
        <v>5</v>
      </c>
      <c r="K496" s="11">
        <v>1155648016440</v>
      </c>
      <c r="L496" s="11" t="s">
        <v>1307</v>
      </c>
      <c r="M496" s="11" t="s">
        <v>27</v>
      </c>
      <c r="N496" s="12">
        <v>43200</v>
      </c>
      <c r="O496" s="12">
        <v>43200</v>
      </c>
      <c r="P496" s="11">
        <v>5</v>
      </c>
      <c r="Q496" s="11" t="s">
        <v>303</v>
      </c>
    </row>
    <row r="497" spans="1:17" ht="13" hidden="1" x14ac:dyDescent="0.15">
      <c r="A497" s="10">
        <v>43218.692563923614</v>
      </c>
      <c r="B497" s="11" t="s">
        <v>1308</v>
      </c>
      <c r="C497" s="11">
        <v>939</v>
      </c>
      <c r="D497" s="11" t="s">
        <v>1309</v>
      </c>
      <c r="E497" s="11">
        <v>9895290824</v>
      </c>
      <c r="F497" s="11" t="s">
        <v>35</v>
      </c>
      <c r="G497" s="11" t="s">
        <v>744</v>
      </c>
      <c r="H497" s="11">
        <v>26</v>
      </c>
      <c r="I497" s="12">
        <v>43214</v>
      </c>
      <c r="J497" s="2">
        <v>3</v>
      </c>
      <c r="K497" s="11">
        <v>1155502027521</v>
      </c>
      <c r="L497" s="11" t="s">
        <v>1071</v>
      </c>
      <c r="M497" s="11" t="s">
        <v>27</v>
      </c>
      <c r="N497" s="12">
        <v>43199</v>
      </c>
      <c r="O497" s="12">
        <v>43199</v>
      </c>
      <c r="P497" s="11">
        <v>3</v>
      </c>
      <c r="Q497" s="11" t="s">
        <v>436</v>
      </c>
    </row>
    <row r="498" spans="1:17" ht="13" hidden="1" x14ac:dyDescent="0.15">
      <c r="A498" s="10">
        <v>43220.49963450231</v>
      </c>
      <c r="B498" s="11" t="s">
        <v>1039</v>
      </c>
      <c r="C498" s="11">
        <v>932</v>
      </c>
      <c r="D498" s="11" t="s">
        <v>1310</v>
      </c>
      <c r="E498" s="11">
        <v>9633966228</v>
      </c>
      <c r="F498" s="11" t="s">
        <v>30</v>
      </c>
      <c r="G498" s="11" t="s">
        <v>1311</v>
      </c>
      <c r="H498" s="11">
        <v>11</v>
      </c>
      <c r="I498" s="12">
        <v>43220</v>
      </c>
      <c r="J498" s="2">
        <v>25</v>
      </c>
      <c r="K498" s="11">
        <v>1156510005283</v>
      </c>
      <c r="L498" s="11" t="s">
        <v>1312</v>
      </c>
      <c r="M498" s="11" t="s">
        <v>27</v>
      </c>
      <c r="N498" s="12">
        <v>43220</v>
      </c>
      <c r="O498" s="12">
        <v>43220</v>
      </c>
      <c r="P498" s="11">
        <v>25</v>
      </c>
      <c r="Q498" s="11" t="s">
        <v>1039</v>
      </c>
    </row>
    <row r="499" spans="1:17" ht="13" hidden="1" x14ac:dyDescent="0.15">
      <c r="A499" s="10">
        <v>43220.627265069445</v>
      </c>
      <c r="B499" s="11" t="s">
        <v>407</v>
      </c>
      <c r="C499" s="11">
        <v>989</v>
      </c>
      <c r="D499" s="11" t="s">
        <v>1313</v>
      </c>
      <c r="E499" s="11">
        <v>9633222494</v>
      </c>
      <c r="F499" s="11" t="s">
        <v>30</v>
      </c>
      <c r="G499" s="11" t="s">
        <v>409</v>
      </c>
      <c r="H499" s="11">
        <v>38</v>
      </c>
      <c r="I499" s="12">
        <v>43220</v>
      </c>
      <c r="J499" s="2">
        <v>3</v>
      </c>
      <c r="K499" s="11">
        <v>1156519010961</v>
      </c>
      <c r="L499" s="11" t="s">
        <v>1314</v>
      </c>
      <c r="M499" s="11" t="s">
        <v>27</v>
      </c>
      <c r="N499" s="12">
        <v>43196</v>
      </c>
      <c r="O499" s="12">
        <v>43196</v>
      </c>
      <c r="P499" s="11">
        <v>3</v>
      </c>
      <c r="Q499" s="11" t="s">
        <v>407</v>
      </c>
    </row>
    <row r="500" spans="1:17" ht="13" hidden="1" x14ac:dyDescent="0.15">
      <c r="A500" s="10">
        <v>43221.670762962967</v>
      </c>
      <c r="B500" s="11" t="s">
        <v>1018</v>
      </c>
      <c r="C500" s="11">
        <v>1048</v>
      </c>
      <c r="D500" s="11" t="s">
        <v>1315</v>
      </c>
      <c r="E500" s="11">
        <v>9447104241</v>
      </c>
      <c r="F500" s="11" t="s">
        <v>61</v>
      </c>
      <c r="G500" s="11" t="s">
        <v>1316</v>
      </c>
      <c r="H500" s="11">
        <v>21</v>
      </c>
      <c r="I500" s="12">
        <v>43221</v>
      </c>
      <c r="J500" s="2">
        <v>2</v>
      </c>
      <c r="K500" s="11">
        <v>1146181012167</v>
      </c>
      <c r="L500" s="11" t="s">
        <v>1317</v>
      </c>
      <c r="M500" s="11" t="s">
        <v>27</v>
      </c>
      <c r="N500" s="12">
        <v>43217</v>
      </c>
      <c r="O500" s="12">
        <v>43217</v>
      </c>
      <c r="P500" s="11">
        <v>2</v>
      </c>
      <c r="Q500" s="11" t="s">
        <v>1018</v>
      </c>
    </row>
    <row r="501" spans="1:17" ht="13" hidden="1" x14ac:dyDescent="0.15">
      <c r="A501" s="10">
        <v>43221.820177719906</v>
      </c>
      <c r="B501" s="11" t="s">
        <v>709</v>
      </c>
      <c r="C501" s="11">
        <v>2018</v>
      </c>
      <c r="D501" s="11" t="s">
        <v>1318</v>
      </c>
      <c r="E501" s="11">
        <v>9495336654</v>
      </c>
      <c r="F501" s="11" t="s">
        <v>73</v>
      </c>
      <c r="G501" s="11" t="s">
        <v>1319</v>
      </c>
      <c r="H501" s="11">
        <v>41</v>
      </c>
      <c r="I501" s="12">
        <v>43214</v>
      </c>
      <c r="J501" s="2">
        <v>2</v>
      </c>
      <c r="K501" s="11">
        <v>1145807016647</v>
      </c>
      <c r="L501" s="11" t="s">
        <v>1320</v>
      </c>
      <c r="M501" s="11" t="s">
        <v>27</v>
      </c>
      <c r="N501" s="12">
        <v>43195</v>
      </c>
      <c r="O501" s="12">
        <v>43195</v>
      </c>
      <c r="P501" s="11">
        <v>2</v>
      </c>
      <c r="Q501" s="11" t="s">
        <v>709</v>
      </c>
    </row>
    <row r="502" spans="1:17" ht="13" hidden="1" x14ac:dyDescent="0.15">
      <c r="A502" s="10">
        <v>43222.396605254631</v>
      </c>
      <c r="B502" s="11" t="s">
        <v>1321</v>
      </c>
      <c r="C502" s="11">
        <v>1035</v>
      </c>
      <c r="D502" s="11" t="s">
        <v>1322</v>
      </c>
      <c r="E502" s="11">
        <v>9994175414</v>
      </c>
      <c r="F502" s="11" t="s">
        <v>30</v>
      </c>
      <c r="G502" s="11" t="s">
        <v>1323</v>
      </c>
      <c r="H502" s="11">
        <v>68</v>
      </c>
      <c r="I502" s="12">
        <v>43206</v>
      </c>
      <c r="J502" s="2">
        <v>5</v>
      </c>
      <c r="K502" s="11">
        <v>180312102303</v>
      </c>
      <c r="L502" s="11">
        <v>5655</v>
      </c>
      <c r="M502" s="11" t="s">
        <v>27</v>
      </c>
      <c r="N502" s="12">
        <v>43182</v>
      </c>
      <c r="O502" s="12">
        <v>43182</v>
      </c>
      <c r="P502" s="11">
        <v>5</v>
      </c>
      <c r="Q502" s="11" t="s">
        <v>1321</v>
      </c>
    </row>
    <row r="503" spans="1:17" ht="13" hidden="1" x14ac:dyDescent="0.15">
      <c r="A503" s="10">
        <v>43222.427815567135</v>
      </c>
      <c r="B503" s="11" t="s">
        <v>1325</v>
      </c>
      <c r="C503" s="11">
        <v>1043</v>
      </c>
      <c r="D503" s="11" t="s">
        <v>1326</v>
      </c>
      <c r="E503" s="11">
        <v>8593995099</v>
      </c>
      <c r="F503" s="11" t="s">
        <v>270</v>
      </c>
      <c r="G503" s="11" t="s">
        <v>1327</v>
      </c>
      <c r="H503" s="11">
        <v>47</v>
      </c>
      <c r="I503" s="12">
        <v>43209</v>
      </c>
      <c r="J503" s="2">
        <v>20</v>
      </c>
      <c r="K503" s="11">
        <v>1156182033122</v>
      </c>
      <c r="L503" s="11" t="s">
        <v>1328</v>
      </c>
      <c r="M503" s="11" t="s">
        <v>27</v>
      </c>
      <c r="N503" s="12">
        <v>43203</v>
      </c>
      <c r="O503" s="12">
        <v>43203</v>
      </c>
      <c r="P503" s="11">
        <v>20</v>
      </c>
      <c r="Q503" s="11" t="s">
        <v>1325</v>
      </c>
    </row>
    <row r="504" spans="1:17" ht="13" hidden="1" x14ac:dyDescent="0.15">
      <c r="A504" s="10">
        <v>43222.440657280094</v>
      </c>
      <c r="B504" s="11" t="s">
        <v>1329</v>
      </c>
      <c r="C504" s="11">
        <v>1044</v>
      </c>
      <c r="D504" s="11" t="s">
        <v>1330</v>
      </c>
      <c r="E504" s="11">
        <v>8593995099</v>
      </c>
      <c r="F504" s="11" t="s">
        <v>56</v>
      </c>
      <c r="G504" s="11" t="s">
        <v>1327</v>
      </c>
      <c r="H504" s="11">
        <v>47</v>
      </c>
      <c r="I504" s="12">
        <v>43209</v>
      </c>
      <c r="J504" s="2">
        <v>30</v>
      </c>
      <c r="K504" s="11">
        <v>1156300000117</v>
      </c>
      <c r="L504" s="11" t="s">
        <v>1331</v>
      </c>
      <c r="M504" s="11" t="s">
        <v>27</v>
      </c>
      <c r="N504" s="12">
        <v>43210</v>
      </c>
      <c r="O504" s="12">
        <v>43210</v>
      </c>
      <c r="P504" s="11">
        <v>30</v>
      </c>
      <c r="Q504" s="11" t="s">
        <v>1329</v>
      </c>
    </row>
    <row r="505" spans="1:17" ht="13" hidden="1" x14ac:dyDescent="0.15">
      <c r="A505" s="10">
        <v>43222.490765960647</v>
      </c>
      <c r="B505" s="11" t="s">
        <v>1321</v>
      </c>
      <c r="C505" s="11">
        <v>1030</v>
      </c>
      <c r="D505" s="11" t="s">
        <v>1332</v>
      </c>
      <c r="E505" s="11">
        <v>9994175414</v>
      </c>
      <c r="F505" s="11" t="s">
        <v>46</v>
      </c>
      <c r="G505" s="11" t="s">
        <v>1323</v>
      </c>
      <c r="H505" s="11">
        <v>68</v>
      </c>
      <c r="I505" s="12">
        <v>43199</v>
      </c>
      <c r="J505" s="2">
        <v>10</v>
      </c>
      <c r="K505" s="11">
        <v>5655180302488</v>
      </c>
      <c r="L505" s="11">
        <v>6529</v>
      </c>
      <c r="M505" s="11" t="s">
        <v>27</v>
      </c>
      <c r="N505" s="12">
        <v>43175</v>
      </c>
      <c r="O505" s="12">
        <v>43175</v>
      </c>
      <c r="P505" s="11">
        <v>9.6</v>
      </c>
      <c r="Q505" s="11" t="s">
        <v>1321</v>
      </c>
    </row>
    <row r="506" spans="1:17" ht="13" hidden="1" x14ac:dyDescent="0.15">
      <c r="A506" s="10">
        <v>43222.50500892361</v>
      </c>
      <c r="B506" s="11" t="s">
        <v>1321</v>
      </c>
      <c r="C506" s="11">
        <v>1033</v>
      </c>
      <c r="D506" s="11" t="s">
        <v>1333</v>
      </c>
      <c r="E506" s="11">
        <v>9994175414</v>
      </c>
      <c r="F506" s="11" t="s">
        <v>30</v>
      </c>
      <c r="G506" s="11" t="s">
        <v>1323</v>
      </c>
      <c r="H506" s="11">
        <v>68</v>
      </c>
      <c r="I506" s="12">
        <v>43208</v>
      </c>
      <c r="J506" s="2">
        <v>5</v>
      </c>
      <c r="K506" s="11">
        <v>1156398011251</v>
      </c>
      <c r="L506" s="11">
        <v>5639</v>
      </c>
      <c r="M506" s="11" t="s">
        <v>27</v>
      </c>
      <c r="N506" s="12">
        <v>43187</v>
      </c>
      <c r="O506" s="12">
        <v>43218</v>
      </c>
      <c r="P506" s="11">
        <v>5</v>
      </c>
      <c r="Q506" s="11" t="s">
        <v>1321</v>
      </c>
    </row>
    <row r="507" spans="1:17" ht="13" hidden="1" x14ac:dyDescent="0.15">
      <c r="A507" s="10">
        <v>43222.509348599538</v>
      </c>
      <c r="B507" s="11" t="s">
        <v>1321</v>
      </c>
      <c r="C507" s="11">
        <v>1031</v>
      </c>
      <c r="D507" s="11" t="s">
        <v>1334</v>
      </c>
      <c r="E507" s="11">
        <v>9994175414</v>
      </c>
      <c r="F507" s="11" t="s">
        <v>30</v>
      </c>
      <c r="G507" s="11" t="s">
        <v>1323</v>
      </c>
      <c r="H507" s="11">
        <v>68</v>
      </c>
      <c r="I507" s="12">
        <v>43206</v>
      </c>
      <c r="J507" s="2">
        <v>5</v>
      </c>
      <c r="K507" s="11">
        <v>1156730009224</v>
      </c>
      <c r="L507" s="11">
        <v>5673</v>
      </c>
      <c r="M507" s="11" t="s">
        <v>27</v>
      </c>
      <c r="N507" s="12">
        <v>43216</v>
      </c>
      <c r="O507" s="12">
        <v>43216</v>
      </c>
      <c r="P507" s="11">
        <v>5</v>
      </c>
      <c r="Q507" s="11" t="s">
        <v>1321</v>
      </c>
    </row>
    <row r="508" spans="1:17" ht="13" hidden="1" x14ac:dyDescent="0.15">
      <c r="A508" s="10">
        <v>43222.511719479167</v>
      </c>
      <c r="B508" s="11" t="s">
        <v>1321</v>
      </c>
      <c r="C508" s="11">
        <v>1035</v>
      </c>
      <c r="D508" s="11" t="s">
        <v>1322</v>
      </c>
      <c r="E508" s="11">
        <v>9994175414</v>
      </c>
      <c r="F508" s="11" t="s">
        <v>30</v>
      </c>
      <c r="G508" s="11" t="s">
        <v>1323</v>
      </c>
      <c r="H508" s="11">
        <v>68</v>
      </c>
      <c r="I508" s="12">
        <v>43206</v>
      </c>
      <c r="J508" s="2">
        <v>5</v>
      </c>
      <c r="K508" s="11">
        <v>1156557000380</v>
      </c>
      <c r="L508" s="11">
        <v>5655</v>
      </c>
      <c r="M508" s="11" t="s">
        <v>27</v>
      </c>
      <c r="N508" s="12">
        <v>43181</v>
      </c>
      <c r="O508" s="12">
        <v>43181</v>
      </c>
      <c r="P508" s="11">
        <v>5</v>
      </c>
      <c r="Q508" s="11" t="s">
        <v>1321</v>
      </c>
    </row>
    <row r="509" spans="1:17" ht="13" hidden="1" x14ac:dyDescent="0.15">
      <c r="A509" s="10">
        <v>43222.514846296297</v>
      </c>
      <c r="B509" s="11" t="s">
        <v>1321</v>
      </c>
      <c r="C509" s="11">
        <v>1030</v>
      </c>
      <c r="D509" s="11" t="s">
        <v>1332</v>
      </c>
      <c r="E509" s="11">
        <v>99941745414</v>
      </c>
      <c r="F509" s="11" t="s">
        <v>46</v>
      </c>
      <c r="G509" s="11" t="s">
        <v>1323</v>
      </c>
      <c r="H509" s="11">
        <v>68</v>
      </c>
      <c r="I509" s="12">
        <v>43199</v>
      </c>
      <c r="J509" s="2">
        <v>10</v>
      </c>
      <c r="K509" s="11">
        <v>1165295006412</v>
      </c>
      <c r="L509" s="11">
        <v>6529</v>
      </c>
      <c r="M509" s="11" t="s">
        <v>27</v>
      </c>
      <c r="N509" s="12">
        <v>43175</v>
      </c>
      <c r="O509" s="12">
        <v>43175</v>
      </c>
      <c r="P509" s="11">
        <v>9.6</v>
      </c>
      <c r="Q509" s="11" t="s">
        <v>1321</v>
      </c>
    </row>
    <row r="510" spans="1:17" ht="13" x14ac:dyDescent="0.15">
      <c r="A510" s="10">
        <v>43222.576079282408</v>
      </c>
      <c r="B510" s="11" t="s">
        <v>589</v>
      </c>
      <c r="C510" s="11">
        <v>389</v>
      </c>
      <c r="D510" s="11" t="s">
        <v>1335</v>
      </c>
      <c r="E510" s="11">
        <v>9645322229</v>
      </c>
      <c r="F510" s="11" t="s">
        <v>24</v>
      </c>
      <c r="G510" s="11" t="s">
        <v>369</v>
      </c>
      <c r="H510" s="11">
        <v>38</v>
      </c>
      <c r="I510" s="12">
        <v>43159</v>
      </c>
      <c r="J510" s="2">
        <v>2</v>
      </c>
      <c r="K510" s="11">
        <v>1145140022213</v>
      </c>
      <c r="L510" s="11" t="s">
        <v>462</v>
      </c>
      <c r="M510" s="11" t="s">
        <v>27</v>
      </c>
      <c r="N510" s="12">
        <v>43194</v>
      </c>
      <c r="O510" s="12">
        <v>43194</v>
      </c>
      <c r="P510" s="11">
        <v>2</v>
      </c>
      <c r="Q510" s="11" t="s">
        <v>589</v>
      </c>
    </row>
    <row r="511" spans="1:17" ht="13" x14ac:dyDescent="0.15">
      <c r="A511" s="10">
        <v>43222.633424826388</v>
      </c>
      <c r="B511" s="11" t="s">
        <v>589</v>
      </c>
      <c r="C511" s="11">
        <v>615</v>
      </c>
      <c r="D511" s="11" t="s">
        <v>1336</v>
      </c>
      <c r="E511" s="11">
        <v>9645322226</v>
      </c>
      <c r="F511" s="11" t="s">
        <v>24</v>
      </c>
      <c r="G511" s="11" t="s">
        <v>369</v>
      </c>
      <c r="H511" s="11">
        <v>38</v>
      </c>
      <c r="I511" s="12">
        <v>43222</v>
      </c>
      <c r="J511" s="2">
        <v>5</v>
      </c>
      <c r="K511" s="11">
        <v>1145074017381</v>
      </c>
      <c r="L511" s="11" t="s">
        <v>460</v>
      </c>
      <c r="M511" s="11" t="s">
        <v>27</v>
      </c>
      <c r="N511" s="12">
        <v>43203</v>
      </c>
      <c r="O511" s="12">
        <v>43203</v>
      </c>
      <c r="P511" s="11">
        <v>5</v>
      </c>
      <c r="Q511" s="11" t="s">
        <v>589</v>
      </c>
    </row>
    <row r="512" spans="1:17" ht="13" hidden="1" x14ac:dyDescent="0.15">
      <c r="A512" s="10">
        <v>43222.676915694443</v>
      </c>
      <c r="B512" s="11" t="s">
        <v>982</v>
      </c>
      <c r="C512" s="11">
        <v>706</v>
      </c>
      <c r="D512" s="11" t="s">
        <v>1338</v>
      </c>
      <c r="E512" s="11">
        <v>9567105245</v>
      </c>
      <c r="F512" s="11" t="s">
        <v>35</v>
      </c>
      <c r="G512" s="11" t="s">
        <v>692</v>
      </c>
      <c r="H512" s="11">
        <v>18</v>
      </c>
      <c r="I512" s="12">
        <v>43186</v>
      </c>
      <c r="J512" s="2">
        <v>3</v>
      </c>
      <c r="K512" s="11">
        <v>1155497016746</v>
      </c>
      <c r="L512" s="11" t="s">
        <v>1339</v>
      </c>
      <c r="M512" s="11" t="s">
        <v>27</v>
      </c>
      <c r="N512" s="12">
        <v>43178</v>
      </c>
      <c r="O512" s="12">
        <v>43178</v>
      </c>
      <c r="P512" s="11">
        <v>3</v>
      </c>
      <c r="Q512" s="11" t="s">
        <v>982</v>
      </c>
    </row>
    <row r="513" spans="1:17" ht="13" hidden="1" x14ac:dyDescent="0.15">
      <c r="A513" s="10">
        <v>43223.521853611106</v>
      </c>
      <c r="B513" s="11" t="s">
        <v>151</v>
      </c>
      <c r="C513" s="11">
        <v>270</v>
      </c>
      <c r="D513" s="11" t="s">
        <v>1340</v>
      </c>
      <c r="E513" s="11">
        <v>7907009190</v>
      </c>
      <c r="F513" s="11" t="s">
        <v>35</v>
      </c>
      <c r="G513" s="11" t="s">
        <v>157</v>
      </c>
      <c r="H513" s="11">
        <v>42</v>
      </c>
      <c r="I513" s="12">
        <v>43223</v>
      </c>
      <c r="J513" s="2">
        <v>3</v>
      </c>
      <c r="K513" s="11">
        <v>1155951001862</v>
      </c>
      <c r="L513" s="11" t="s">
        <v>1341</v>
      </c>
      <c r="M513" s="11" t="s">
        <v>27</v>
      </c>
      <c r="N513" s="12">
        <v>43143</v>
      </c>
      <c r="O513" s="12">
        <v>43145</v>
      </c>
      <c r="P513" s="11">
        <v>3</v>
      </c>
      <c r="Q513" s="11" t="s">
        <v>151</v>
      </c>
    </row>
    <row r="514" spans="1:17" ht="13" hidden="1" x14ac:dyDescent="0.15">
      <c r="A514" s="10">
        <v>43223.524678344911</v>
      </c>
      <c r="B514" s="11" t="s">
        <v>151</v>
      </c>
      <c r="C514" s="11">
        <v>908</v>
      </c>
      <c r="D514" s="11" t="s">
        <v>1342</v>
      </c>
      <c r="E514" s="11">
        <v>7907009190</v>
      </c>
      <c r="F514" s="11" t="s">
        <v>35</v>
      </c>
      <c r="G514" s="11" t="s">
        <v>157</v>
      </c>
      <c r="H514" s="11">
        <v>42</v>
      </c>
      <c r="I514" s="12">
        <v>43223</v>
      </c>
      <c r="J514" s="2">
        <v>5</v>
      </c>
      <c r="K514" s="11">
        <v>1155982004625</v>
      </c>
      <c r="L514" s="11" t="s">
        <v>1343</v>
      </c>
      <c r="M514" s="11" t="s">
        <v>27</v>
      </c>
      <c r="N514" s="12">
        <v>43187</v>
      </c>
      <c r="O514" s="12">
        <v>43202</v>
      </c>
      <c r="P514" s="11">
        <v>5</v>
      </c>
      <c r="Q514" s="11" t="s">
        <v>151</v>
      </c>
    </row>
    <row r="515" spans="1:17" ht="13" hidden="1" x14ac:dyDescent="0.15">
      <c r="A515" s="10">
        <v>43223.529351574078</v>
      </c>
      <c r="B515" s="11" t="s">
        <v>151</v>
      </c>
      <c r="C515" s="11">
        <v>864</v>
      </c>
      <c r="D515" s="11" t="s">
        <v>1344</v>
      </c>
      <c r="E515" s="11">
        <v>7907009190</v>
      </c>
      <c r="F515" s="11" t="s">
        <v>35</v>
      </c>
      <c r="G515" s="11" t="s">
        <v>1345</v>
      </c>
      <c r="H515" s="11">
        <v>42</v>
      </c>
      <c r="I515" s="12">
        <v>43223</v>
      </c>
      <c r="J515" s="2">
        <v>15</v>
      </c>
      <c r="K515" s="11">
        <v>1155450006757</v>
      </c>
      <c r="L515" s="11" t="s">
        <v>1080</v>
      </c>
      <c r="M515" s="11" t="s">
        <v>27</v>
      </c>
      <c r="N515" s="12">
        <v>43182</v>
      </c>
      <c r="O515" s="12">
        <v>43182</v>
      </c>
      <c r="P515" s="11">
        <v>15</v>
      </c>
      <c r="Q515" s="11" t="s">
        <v>151</v>
      </c>
    </row>
    <row r="516" spans="1:17" ht="13" hidden="1" x14ac:dyDescent="0.15">
      <c r="A516" s="10">
        <v>43223.531693819445</v>
      </c>
      <c r="B516" s="11" t="s">
        <v>151</v>
      </c>
      <c r="C516" s="11">
        <v>866</v>
      </c>
      <c r="D516" s="11" t="s">
        <v>1346</v>
      </c>
      <c r="E516" s="11">
        <v>7907009190</v>
      </c>
      <c r="F516" s="11" t="s">
        <v>35</v>
      </c>
      <c r="G516" s="11" t="s">
        <v>157</v>
      </c>
      <c r="H516" s="11">
        <v>42</v>
      </c>
      <c r="I516" s="12">
        <v>43223</v>
      </c>
      <c r="J516" s="2">
        <v>3</v>
      </c>
      <c r="K516" s="11">
        <v>1155413012274</v>
      </c>
      <c r="L516" s="11" t="s">
        <v>1347</v>
      </c>
      <c r="M516" s="11" t="s">
        <v>27</v>
      </c>
      <c r="N516" s="12">
        <v>43179</v>
      </c>
      <c r="O516" s="12">
        <v>43179</v>
      </c>
      <c r="P516" s="11">
        <v>3</v>
      </c>
      <c r="Q516" s="11" t="s">
        <v>151</v>
      </c>
    </row>
    <row r="517" spans="1:17" ht="13" hidden="1" x14ac:dyDescent="0.15">
      <c r="A517" s="10">
        <v>43223.54789563657</v>
      </c>
      <c r="B517" s="11" t="s">
        <v>151</v>
      </c>
      <c r="C517" s="11">
        <v>867</v>
      </c>
      <c r="D517" s="11" t="s">
        <v>1348</v>
      </c>
      <c r="E517" s="11">
        <v>7907009190</v>
      </c>
      <c r="F517" s="11" t="s">
        <v>35</v>
      </c>
      <c r="G517" s="11" t="s">
        <v>157</v>
      </c>
      <c r="H517" s="11">
        <v>42</v>
      </c>
      <c r="I517" s="12">
        <v>43214</v>
      </c>
      <c r="J517" s="2">
        <v>5</v>
      </c>
      <c r="K517" s="11">
        <v>1155644016749</v>
      </c>
      <c r="L517" s="11" t="s">
        <v>148</v>
      </c>
      <c r="M517" s="11" t="s">
        <v>27</v>
      </c>
      <c r="N517" s="12">
        <v>43174</v>
      </c>
      <c r="O517" s="12">
        <v>43214</v>
      </c>
      <c r="P517" s="11">
        <v>5</v>
      </c>
      <c r="Q517" s="11" t="s">
        <v>151</v>
      </c>
    </row>
    <row r="518" spans="1:17" ht="13" hidden="1" x14ac:dyDescent="0.15">
      <c r="A518" s="10">
        <v>43223.631594710649</v>
      </c>
      <c r="B518" s="11" t="s">
        <v>303</v>
      </c>
      <c r="C518" s="11">
        <v>840</v>
      </c>
      <c r="D518" s="11" t="s">
        <v>1349</v>
      </c>
      <c r="E518" s="11">
        <v>9447290843</v>
      </c>
      <c r="F518" s="11" t="s">
        <v>287</v>
      </c>
      <c r="G518" s="11" t="s">
        <v>280</v>
      </c>
      <c r="H518" s="11">
        <v>66</v>
      </c>
      <c r="I518" s="12">
        <v>43222</v>
      </c>
      <c r="J518" s="2">
        <v>3</v>
      </c>
      <c r="K518" s="11">
        <v>1168175010142</v>
      </c>
      <c r="L518" s="11" t="s">
        <v>1350</v>
      </c>
      <c r="M518" s="11" t="s">
        <v>27</v>
      </c>
      <c r="N518" s="12">
        <v>43203</v>
      </c>
      <c r="O518" s="12">
        <v>43203</v>
      </c>
      <c r="P518" s="11">
        <v>3</v>
      </c>
      <c r="Q518" s="11" t="s">
        <v>303</v>
      </c>
    </row>
    <row r="519" spans="1:17" ht="13" hidden="1" x14ac:dyDescent="0.15">
      <c r="A519" s="10">
        <v>43223.657423275465</v>
      </c>
      <c r="B519" s="11" t="s">
        <v>303</v>
      </c>
      <c r="C519" s="11">
        <v>724</v>
      </c>
      <c r="D519" s="11" t="s">
        <v>1351</v>
      </c>
      <c r="E519" s="11">
        <v>9447637712</v>
      </c>
      <c r="F519" s="11" t="s">
        <v>287</v>
      </c>
      <c r="G519" s="11" t="s">
        <v>280</v>
      </c>
      <c r="H519" s="11">
        <v>66</v>
      </c>
      <c r="I519" s="12">
        <v>43222</v>
      </c>
      <c r="J519" s="2">
        <v>5</v>
      </c>
      <c r="K519" s="11">
        <v>1166714005303</v>
      </c>
      <c r="L519" s="11" t="s">
        <v>655</v>
      </c>
      <c r="M519" s="11" t="s">
        <v>27</v>
      </c>
      <c r="N519" s="12">
        <v>43187</v>
      </c>
      <c r="O519" s="12">
        <v>43187</v>
      </c>
      <c r="P519" s="11">
        <v>5</v>
      </c>
      <c r="Q519" s="11" t="s">
        <v>303</v>
      </c>
    </row>
    <row r="520" spans="1:17" ht="13" hidden="1" x14ac:dyDescent="0.15">
      <c r="A520" s="10">
        <v>43224.5051250463</v>
      </c>
      <c r="B520" s="11" t="s">
        <v>1353</v>
      </c>
      <c r="C520" s="11">
        <v>662</v>
      </c>
      <c r="D520" s="11" t="s">
        <v>1354</v>
      </c>
      <c r="E520" s="11">
        <v>9446393399</v>
      </c>
      <c r="F520" s="11" t="s">
        <v>73</v>
      </c>
      <c r="G520" s="11" t="s">
        <v>409</v>
      </c>
      <c r="H520" s="11">
        <v>38</v>
      </c>
      <c r="I520" s="12">
        <v>43227</v>
      </c>
      <c r="J520" s="2">
        <v>3</v>
      </c>
      <c r="K520" s="11">
        <v>1145598000692</v>
      </c>
      <c r="L520" s="11" t="s">
        <v>1355</v>
      </c>
      <c r="M520" s="11" t="s">
        <v>27</v>
      </c>
      <c r="N520" s="12">
        <v>43200</v>
      </c>
      <c r="O520" s="12">
        <v>43200</v>
      </c>
      <c r="P520" s="11">
        <v>3</v>
      </c>
      <c r="Q520" s="11" t="s">
        <v>1353</v>
      </c>
    </row>
    <row r="521" spans="1:17" ht="13" hidden="1" x14ac:dyDescent="0.15">
      <c r="A521" s="10">
        <v>43224.511174918982</v>
      </c>
      <c r="B521" s="11" t="s">
        <v>1356</v>
      </c>
      <c r="C521" s="11">
        <v>880</v>
      </c>
      <c r="D521" s="11" t="s">
        <v>1357</v>
      </c>
      <c r="E521" s="11">
        <v>8281354464</v>
      </c>
      <c r="F521" s="11" t="s">
        <v>73</v>
      </c>
      <c r="G521" s="11" t="s">
        <v>1358</v>
      </c>
      <c r="H521" s="11">
        <v>20</v>
      </c>
      <c r="I521" s="12">
        <v>43215</v>
      </c>
      <c r="J521" s="2">
        <v>15</v>
      </c>
      <c r="K521" s="11">
        <v>33229</v>
      </c>
      <c r="L521" s="11" t="s">
        <v>1359</v>
      </c>
      <c r="M521" s="11" t="s">
        <v>27</v>
      </c>
      <c r="N521" s="12">
        <v>43197</v>
      </c>
      <c r="O521" s="12">
        <v>43197</v>
      </c>
      <c r="P521" s="11">
        <v>15</v>
      </c>
      <c r="Q521" s="11" t="s">
        <v>1356</v>
      </c>
    </row>
    <row r="522" spans="1:17" ht="13" x14ac:dyDescent="0.15">
      <c r="A522" s="10">
        <v>43224.513011006944</v>
      </c>
      <c r="B522" s="11" t="s">
        <v>1353</v>
      </c>
      <c r="C522" s="11">
        <v>620</v>
      </c>
      <c r="D522" s="11" t="s">
        <v>1360</v>
      </c>
      <c r="E522" s="11">
        <v>9446393399</v>
      </c>
      <c r="F522" s="11" t="s">
        <v>24</v>
      </c>
      <c r="G522" s="11" t="s">
        <v>52</v>
      </c>
      <c r="H522" s="11">
        <v>38</v>
      </c>
      <c r="I522" s="12">
        <v>43229</v>
      </c>
      <c r="J522" s="2">
        <v>3</v>
      </c>
      <c r="K522" s="11">
        <v>1145182011220</v>
      </c>
      <c r="L522" s="11" t="s">
        <v>326</v>
      </c>
      <c r="M522" s="11" t="s">
        <v>27</v>
      </c>
      <c r="N522" s="12">
        <v>43204</v>
      </c>
      <c r="O522" s="12">
        <v>43204</v>
      </c>
      <c r="P522" s="11">
        <v>3</v>
      </c>
      <c r="Q522" s="11" t="s">
        <v>1353</v>
      </c>
    </row>
    <row r="523" spans="1:17" ht="13" hidden="1" x14ac:dyDescent="0.15">
      <c r="A523" s="10">
        <v>43224.517292453704</v>
      </c>
      <c r="B523" s="11" t="s">
        <v>185</v>
      </c>
      <c r="C523" s="11">
        <v>956</v>
      </c>
      <c r="D523" s="11" t="s">
        <v>1361</v>
      </c>
      <c r="E523" s="11">
        <v>9447000134</v>
      </c>
      <c r="F523" s="11" t="s">
        <v>30</v>
      </c>
      <c r="G523" s="11" t="s">
        <v>952</v>
      </c>
      <c r="H523" s="11">
        <v>20</v>
      </c>
      <c r="I523" s="12">
        <v>43224</v>
      </c>
      <c r="J523" s="2">
        <v>3</v>
      </c>
      <c r="K523" s="11">
        <v>9879</v>
      </c>
      <c r="L523" s="11" t="s">
        <v>1362</v>
      </c>
      <c r="M523" s="11" t="s">
        <v>27</v>
      </c>
      <c r="N523" s="12">
        <v>43221</v>
      </c>
      <c r="O523" s="12">
        <v>43221</v>
      </c>
      <c r="P523" s="11">
        <v>3</v>
      </c>
      <c r="Q523" s="11" t="s">
        <v>185</v>
      </c>
    </row>
    <row r="524" spans="1:17" ht="13" x14ac:dyDescent="0.15">
      <c r="A524" s="10">
        <v>43224.528463287032</v>
      </c>
      <c r="B524" s="11" t="s">
        <v>1353</v>
      </c>
      <c r="C524" s="11">
        <v>663</v>
      </c>
      <c r="D524" s="11" t="s">
        <v>1363</v>
      </c>
      <c r="E524" s="11">
        <v>9446393399</v>
      </c>
      <c r="F524" s="11" t="s">
        <v>24</v>
      </c>
      <c r="G524" s="11" t="s">
        <v>52</v>
      </c>
      <c r="H524" s="11">
        <v>38</v>
      </c>
      <c r="I524" s="12">
        <v>43229</v>
      </c>
      <c r="J524" s="2">
        <v>5</v>
      </c>
      <c r="K524" s="11">
        <v>1145172005571</v>
      </c>
      <c r="L524" s="11" t="s">
        <v>381</v>
      </c>
      <c r="M524" s="11" t="s">
        <v>27</v>
      </c>
      <c r="N524" s="12">
        <v>43197</v>
      </c>
      <c r="O524" s="12">
        <v>43197</v>
      </c>
      <c r="P524" s="11">
        <v>5</v>
      </c>
      <c r="Q524" s="11" t="s">
        <v>1353</v>
      </c>
    </row>
    <row r="525" spans="1:17" ht="13" hidden="1" x14ac:dyDescent="0.15">
      <c r="A525" s="10">
        <v>43224.54059344907</v>
      </c>
      <c r="B525" s="11" t="s">
        <v>1364</v>
      </c>
      <c r="C525" s="11">
        <v>5</v>
      </c>
      <c r="D525" s="11" t="s">
        <v>1365</v>
      </c>
      <c r="E525" s="11">
        <v>9539846493</v>
      </c>
      <c r="F525" s="11" t="s">
        <v>73</v>
      </c>
      <c r="G525" s="11" t="s">
        <v>1366</v>
      </c>
      <c r="H525" s="11">
        <v>20</v>
      </c>
      <c r="I525" s="12">
        <v>43197</v>
      </c>
      <c r="J525" s="2">
        <v>5</v>
      </c>
      <c r="K525" s="11">
        <v>1145812004870</v>
      </c>
      <c r="L525" s="11" t="s">
        <v>1367</v>
      </c>
      <c r="M525" s="11" t="s">
        <v>27</v>
      </c>
      <c r="N525" s="12">
        <v>43207</v>
      </c>
      <c r="O525" s="12">
        <v>43207</v>
      </c>
      <c r="P525" s="11">
        <v>5</v>
      </c>
      <c r="Q525" s="11" t="s">
        <v>1364</v>
      </c>
    </row>
    <row r="526" spans="1:17" ht="13" hidden="1" x14ac:dyDescent="0.15">
      <c r="A526" s="10">
        <v>43224.555154606482</v>
      </c>
      <c r="B526" s="11" t="s">
        <v>340</v>
      </c>
      <c r="C526" s="11">
        <v>1026</v>
      </c>
      <c r="D526" s="11" t="s">
        <v>1368</v>
      </c>
      <c r="E526" s="11">
        <v>9400020127</v>
      </c>
      <c r="F526" s="11" t="s">
        <v>35</v>
      </c>
      <c r="G526" s="11" t="s">
        <v>41</v>
      </c>
      <c r="H526" s="11">
        <v>56</v>
      </c>
      <c r="I526" s="12">
        <v>43210</v>
      </c>
      <c r="J526" s="2">
        <v>5</v>
      </c>
      <c r="K526" s="11">
        <v>1155669020278</v>
      </c>
      <c r="L526" s="11" t="s">
        <v>1369</v>
      </c>
      <c r="M526" s="11" t="s">
        <v>27</v>
      </c>
      <c r="N526" s="12">
        <v>43203</v>
      </c>
      <c r="O526" s="12">
        <v>43203</v>
      </c>
      <c r="P526" s="11">
        <v>5</v>
      </c>
      <c r="Q526" s="11" t="s">
        <v>340</v>
      </c>
    </row>
    <row r="527" spans="1:17" ht="13" hidden="1" x14ac:dyDescent="0.15">
      <c r="A527" s="10">
        <v>43224.56303208333</v>
      </c>
      <c r="B527" s="11" t="s">
        <v>340</v>
      </c>
      <c r="C527" s="11">
        <v>1025</v>
      </c>
      <c r="D527" s="11" t="s">
        <v>1370</v>
      </c>
      <c r="E527" s="11">
        <v>9400020124</v>
      </c>
      <c r="F527" s="11" t="s">
        <v>35</v>
      </c>
      <c r="G527" s="11" t="s">
        <v>41</v>
      </c>
      <c r="H527" s="11">
        <v>56</v>
      </c>
      <c r="I527" s="12">
        <v>43210</v>
      </c>
      <c r="J527" s="2">
        <v>3</v>
      </c>
      <c r="K527" s="11">
        <v>1156057021837</v>
      </c>
      <c r="L527" s="11" t="s">
        <v>1371</v>
      </c>
      <c r="M527" s="11" t="s">
        <v>27</v>
      </c>
      <c r="N527" s="12">
        <v>43193</v>
      </c>
      <c r="O527" s="12">
        <v>43193</v>
      </c>
      <c r="P527" s="11">
        <v>3</v>
      </c>
      <c r="Q527" s="11" t="s">
        <v>340</v>
      </c>
    </row>
    <row r="528" spans="1:17" ht="13" hidden="1" x14ac:dyDescent="0.15">
      <c r="A528" s="10">
        <v>43224.565991481482</v>
      </c>
      <c r="B528" s="11" t="s">
        <v>340</v>
      </c>
      <c r="C528" s="11">
        <v>895</v>
      </c>
      <c r="D528" s="11" t="s">
        <v>1372</v>
      </c>
      <c r="E528" s="11">
        <v>9400020127</v>
      </c>
      <c r="F528" s="11" t="s">
        <v>35</v>
      </c>
      <c r="G528" s="11" t="s">
        <v>41</v>
      </c>
      <c r="H528" s="11">
        <v>56</v>
      </c>
      <c r="I528" s="12">
        <v>43210</v>
      </c>
      <c r="J528" s="2">
        <v>2</v>
      </c>
      <c r="K528" s="11">
        <v>1155668000166</v>
      </c>
      <c r="L528" s="11" t="s">
        <v>1369</v>
      </c>
      <c r="M528" s="11" t="s">
        <v>27</v>
      </c>
      <c r="N528" s="12">
        <v>43220</v>
      </c>
      <c r="O528" s="12">
        <v>43220</v>
      </c>
      <c r="P528" s="11">
        <v>2</v>
      </c>
      <c r="Q528" s="11" t="s">
        <v>340</v>
      </c>
    </row>
    <row r="529" spans="1:17" ht="13" hidden="1" x14ac:dyDescent="0.15">
      <c r="A529" s="10">
        <v>43224.570028449074</v>
      </c>
      <c r="B529" s="11" t="s">
        <v>340</v>
      </c>
      <c r="C529" s="11">
        <v>708</v>
      </c>
      <c r="D529" s="11" t="s">
        <v>1374</v>
      </c>
      <c r="E529" s="11">
        <v>9400020127</v>
      </c>
      <c r="F529" s="11" t="s">
        <v>35</v>
      </c>
      <c r="G529" s="11" t="s">
        <v>41</v>
      </c>
      <c r="H529" s="11">
        <v>56</v>
      </c>
      <c r="I529" s="12">
        <v>43190</v>
      </c>
      <c r="J529" s="2">
        <v>5</v>
      </c>
      <c r="K529" s="11">
        <v>1155685007337</v>
      </c>
      <c r="L529" s="11" t="s">
        <v>1375</v>
      </c>
      <c r="M529" s="11" t="s">
        <v>27</v>
      </c>
      <c r="N529" s="12">
        <v>43173</v>
      </c>
      <c r="O529" s="12">
        <v>43173</v>
      </c>
      <c r="P529" s="11">
        <v>10</v>
      </c>
      <c r="Q529" s="11" t="s">
        <v>340</v>
      </c>
    </row>
    <row r="530" spans="1:17" ht="13" hidden="1" x14ac:dyDescent="0.15">
      <c r="A530" s="10">
        <v>43224.581929629625</v>
      </c>
      <c r="B530" s="11" t="s">
        <v>1376</v>
      </c>
      <c r="C530" s="11">
        <v>543</v>
      </c>
      <c r="D530" s="11" t="s">
        <v>1377</v>
      </c>
      <c r="E530" s="11">
        <v>8075537220</v>
      </c>
      <c r="F530" s="11" t="s">
        <v>73</v>
      </c>
      <c r="G530" s="11" t="s">
        <v>1378</v>
      </c>
      <c r="H530" s="11">
        <v>20</v>
      </c>
      <c r="I530" s="12">
        <v>43179</v>
      </c>
      <c r="J530" s="2">
        <v>5</v>
      </c>
      <c r="K530" s="11">
        <v>25263</v>
      </c>
      <c r="L530" s="11" t="s">
        <v>1367</v>
      </c>
      <c r="M530" s="11" t="s">
        <v>27</v>
      </c>
      <c r="N530" s="12">
        <v>43182</v>
      </c>
      <c r="O530" s="12">
        <v>43182</v>
      </c>
      <c r="P530" s="11">
        <v>5</v>
      </c>
      <c r="Q530" s="11" t="s">
        <v>1376</v>
      </c>
    </row>
    <row r="531" spans="1:17" ht="13" hidden="1" x14ac:dyDescent="0.15">
      <c r="A531" s="10">
        <v>43224.65025082176</v>
      </c>
      <c r="B531" s="11" t="s">
        <v>1379</v>
      </c>
      <c r="C531" s="11">
        <v>689</v>
      </c>
      <c r="D531" s="11" t="s">
        <v>1380</v>
      </c>
      <c r="E531" s="11">
        <v>9562233099</v>
      </c>
      <c r="F531" s="11" t="s">
        <v>35</v>
      </c>
      <c r="G531" s="11" t="s">
        <v>272</v>
      </c>
      <c r="H531" s="11">
        <v>47</v>
      </c>
      <c r="I531" s="12">
        <v>43208</v>
      </c>
      <c r="J531" s="2">
        <v>5</v>
      </c>
      <c r="K531" s="11">
        <v>1155957006561</v>
      </c>
      <c r="L531" s="11" t="s">
        <v>1381</v>
      </c>
      <c r="M531" s="11" t="s">
        <v>27</v>
      </c>
      <c r="N531" s="12">
        <v>43223</v>
      </c>
      <c r="O531" s="12">
        <v>43223</v>
      </c>
      <c r="P531" s="11">
        <v>5</v>
      </c>
      <c r="Q531" s="11" t="s">
        <v>1379</v>
      </c>
    </row>
    <row r="532" spans="1:17" ht="13" hidden="1" x14ac:dyDescent="0.15">
      <c r="A532" s="10">
        <v>43225.648463206016</v>
      </c>
      <c r="B532" s="11" t="s">
        <v>913</v>
      </c>
      <c r="C532" s="11">
        <v>1013</v>
      </c>
      <c r="D532" s="11" t="s">
        <v>1382</v>
      </c>
      <c r="E532" s="11">
        <v>7909236666</v>
      </c>
      <c r="F532" s="11" t="s">
        <v>35</v>
      </c>
      <c r="G532" s="11" t="s">
        <v>916</v>
      </c>
      <c r="H532" s="11">
        <v>14</v>
      </c>
      <c r="I532" s="12">
        <v>43255</v>
      </c>
      <c r="J532" s="2">
        <v>2</v>
      </c>
      <c r="K532" s="11">
        <v>1155463006946</v>
      </c>
      <c r="L532" s="11" t="s">
        <v>1383</v>
      </c>
      <c r="M532" s="11" t="s">
        <v>27</v>
      </c>
      <c r="N532" s="12">
        <v>43225</v>
      </c>
      <c r="O532" s="12">
        <v>43225</v>
      </c>
      <c r="P532" s="11">
        <v>2</v>
      </c>
      <c r="Q532" s="11" t="s">
        <v>176</v>
      </c>
    </row>
    <row r="533" spans="1:17" ht="13" hidden="1" x14ac:dyDescent="0.15">
      <c r="A533" s="10">
        <v>43227.387485567131</v>
      </c>
      <c r="B533" s="11" t="s">
        <v>1384</v>
      </c>
      <c r="C533" s="11">
        <v>984</v>
      </c>
      <c r="D533" s="11" t="s">
        <v>1385</v>
      </c>
      <c r="E533" s="11">
        <v>9656721404</v>
      </c>
      <c r="F533" s="11" t="s">
        <v>61</v>
      </c>
      <c r="G533" s="11" t="s">
        <v>1386</v>
      </c>
      <c r="H533" s="11">
        <v>53</v>
      </c>
      <c r="I533" s="12">
        <v>43227</v>
      </c>
      <c r="J533" s="2">
        <v>5</v>
      </c>
      <c r="K533" s="11">
        <v>1146192012709</v>
      </c>
      <c r="L533" s="11">
        <v>4619</v>
      </c>
      <c r="M533" s="11" t="s">
        <v>27</v>
      </c>
      <c r="N533" s="12">
        <v>43224</v>
      </c>
      <c r="O533" s="12">
        <v>43224</v>
      </c>
      <c r="P533" s="11">
        <v>5</v>
      </c>
      <c r="Q533" s="11" t="s">
        <v>419</v>
      </c>
    </row>
    <row r="534" spans="1:17" ht="13" hidden="1" x14ac:dyDescent="0.15">
      <c r="A534" s="10">
        <v>43227.910666192125</v>
      </c>
      <c r="B534" s="11" t="s">
        <v>340</v>
      </c>
      <c r="C534" s="11">
        <v>1024</v>
      </c>
      <c r="D534" s="11" t="s">
        <v>1387</v>
      </c>
      <c r="E534" s="11">
        <v>9400020127</v>
      </c>
      <c r="F534" s="11" t="s">
        <v>35</v>
      </c>
      <c r="G534" s="11" t="s">
        <v>183</v>
      </c>
      <c r="H534" s="11">
        <v>56</v>
      </c>
      <c r="I534" s="12">
        <v>43210</v>
      </c>
      <c r="J534" s="2">
        <v>3</v>
      </c>
      <c r="K534" s="11">
        <v>1155667016381</v>
      </c>
      <c r="L534" s="11">
        <v>5566</v>
      </c>
      <c r="M534" s="11" t="s">
        <v>27</v>
      </c>
      <c r="N534" s="12">
        <v>43200</v>
      </c>
      <c r="O534" s="12">
        <v>43200</v>
      </c>
      <c r="P534" s="11">
        <v>3</v>
      </c>
      <c r="Q534" s="11" t="s">
        <v>340</v>
      </c>
    </row>
    <row r="535" spans="1:17" ht="13" hidden="1" x14ac:dyDescent="0.15">
      <c r="A535" s="10">
        <v>43228.462334814816</v>
      </c>
      <c r="B535" s="11" t="s">
        <v>1018</v>
      </c>
      <c r="C535" s="11">
        <v>854</v>
      </c>
      <c r="D535" s="11" t="s">
        <v>1388</v>
      </c>
      <c r="E535" s="11">
        <v>9447734344</v>
      </c>
      <c r="F535" s="11" t="s">
        <v>61</v>
      </c>
      <c r="G535" s="11" t="s">
        <v>1076</v>
      </c>
      <c r="H535" s="11">
        <v>21</v>
      </c>
      <c r="I535" s="12">
        <v>43227</v>
      </c>
      <c r="J535" s="2">
        <v>3</v>
      </c>
      <c r="K535" s="11">
        <v>1146199008616</v>
      </c>
      <c r="L535" s="11" t="s">
        <v>1389</v>
      </c>
      <c r="M535" s="11" t="s">
        <v>27</v>
      </c>
      <c r="N535" s="12">
        <v>43227</v>
      </c>
      <c r="O535" s="12">
        <v>43227</v>
      </c>
      <c r="P535" s="11">
        <v>3</v>
      </c>
      <c r="Q535" s="11" t="s">
        <v>1018</v>
      </c>
    </row>
    <row r="536" spans="1:17" ht="13" hidden="1" x14ac:dyDescent="0.15">
      <c r="A536" s="10">
        <v>43228.465034166671</v>
      </c>
      <c r="B536" s="11" t="s">
        <v>1390</v>
      </c>
      <c r="C536" s="11">
        <v>470</v>
      </c>
      <c r="D536" s="11" t="s">
        <v>1391</v>
      </c>
      <c r="E536" s="11">
        <v>9633249729</v>
      </c>
      <c r="F536" s="11" t="s">
        <v>61</v>
      </c>
      <c r="G536" s="11" t="s">
        <v>1076</v>
      </c>
      <c r="H536" s="11">
        <v>21</v>
      </c>
      <c r="I536" s="12">
        <v>43228</v>
      </c>
      <c r="J536" s="2">
        <v>2</v>
      </c>
      <c r="K536" s="11">
        <v>1146220008281</v>
      </c>
      <c r="L536" s="11" t="s">
        <v>1021</v>
      </c>
      <c r="M536" s="11" t="s">
        <v>27</v>
      </c>
      <c r="N536" s="12">
        <v>43189</v>
      </c>
      <c r="O536" s="12">
        <v>43189</v>
      </c>
      <c r="P536" s="11">
        <v>2</v>
      </c>
      <c r="Q536" s="11" t="s">
        <v>1390</v>
      </c>
    </row>
    <row r="537" spans="1:17" ht="13" hidden="1" x14ac:dyDescent="0.15">
      <c r="A537" s="10">
        <v>43228.472266180557</v>
      </c>
      <c r="B537" s="11" t="s">
        <v>1018</v>
      </c>
      <c r="C537" s="11">
        <v>1093</v>
      </c>
      <c r="D537" s="11" t="s">
        <v>877</v>
      </c>
      <c r="E537" s="11">
        <v>8281233117</v>
      </c>
      <c r="F537" s="11" t="s">
        <v>61</v>
      </c>
      <c r="G537" s="11" t="s">
        <v>1076</v>
      </c>
      <c r="H537" s="11">
        <v>21</v>
      </c>
      <c r="I537" s="12">
        <v>43227</v>
      </c>
      <c r="J537" s="2">
        <v>2</v>
      </c>
      <c r="K537" s="11">
        <v>1146195005294</v>
      </c>
      <c r="L537" s="11" t="s">
        <v>1389</v>
      </c>
      <c r="M537" s="11" t="s">
        <v>27</v>
      </c>
      <c r="N537" s="12">
        <v>43227</v>
      </c>
      <c r="O537" s="12">
        <v>43227</v>
      </c>
      <c r="P537" s="11">
        <v>2</v>
      </c>
      <c r="Q537" s="11" t="s">
        <v>1018</v>
      </c>
    </row>
    <row r="538" spans="1:17" ht="13" hidden="1" x14ac:dyDescent="0.15">
      <c r="A538" s="10">
        <v>43228.503463796296</v>
      </c>
      <c r="B538" s="11" t="s">
        <v>340</v>
      </c>
      <c r="C538" s="11">
        <v>1053</v>
      </c>
      <c r="D538" s="11" t="s">
        <v>1393</v>
      </c>
      <c r="E538" s="11">
        <v>9400020127</v>
      </c>
      <c r="F538" s="11" t="s">
        <v>35</v>
      </c>
      <c r="G538" s="11" t="s">
        <v>41</v>
      </c>
      <c r="H538" s="11">
        <v>56</v>
      </c>
      <c r="I538" s="12">
        <v>43224</v>
      </c>
      <c r="J538" s="2">
        <v>3</v>
      </c>
      <c r="K538" s="11">
        <v>1156046023667</v>
      </c>
      <c r="L538" s="11" t="s">
        <v>1394</v>
      </c>
      <c r="M538" s="11" t="s">
        <v>27</v>
      </c>
      <c r="N538" s="12">
        <v>43214</v>
      </c>
      <c r="O538" s="12">
        <v>43214</v>
      </c>
      <c r="P538" s="11">
        <v>3</v>
      </c>
      <c r="Q538" s="11" t="s">
        <v>340</v>
      </c>
    </row>
    <row r="539" spans="1:17" ht="13" hidden="1" x14ac:dyDescent="0.15">
      <c r="A539" s="10">
        <v>43228.506710995367</v>
      </c>
      <c r="B539" s="11" t="s">
        <v>340</v>
      </c>
      <c r="C539" s="11">
        <v>1054</v>
      </c>
      <c r="D539" s="11" t="s">
        <v>1395</v>
      </c>
      <c r="E539" s="11">
        <v>9400020127</v>
      </c>
      <c r="F539" s="11" t="s">
        <v>35</v>
      </c>
      <c r="G539" s="11" t="s">
        <v>41</v>
      </c>
      <c r="H539" s="11">
        <v>56</v>
      </c>
      <c r="I539" s="12">
        <v>43224</v>
      </c>
      <c r="J539" s="2">
        <v>5</v>
      </c>
      <c r="K539" s="11">
        <v>1155662021918</v>
      </c>
      <c r="L539" s="11" t="s">
        <v>1369</v>
      </c>
      <c r="M539" s="11" t="s">
        <v>27</v>
      </c>
      <c r="N539" s="12">
        <v>43208</v>
      </c>
      <c r="O539" s="12">
        <v>43208</v>
      </c>
      <c r="P539" s="11">
        <v>5</v>
      </c>
      <c r="Q539" s="11" t="s">
        <v>340</v>
      </c>
    </row>
    <row r="540" spans="1:17" ht="13" hidden="1" x14ac:dyDescent="0.15">
      <c r="A540" s="10">
        <v>43228.509201458335</v>
      </c>
      <c r="B540" s="11" t="s">
        <v>340</v>
      </c>
      <c r="C540" s="11">
        <v>1052</v>
      </c>
      <c r="D540" s="11" t="s">
        <v>1396</v>
      </c>
      <c r="E540" s="11">
        <v>9400020127</v>
      </c>
      <c r="F540" s="11" t="s">
        <v>35</v>
      </c>
      <c r="G540" s="11" t="s">
        <v>41</v>
      </c>
      <c r="H540" s="11">
        <v>56</v>
      </c>
      <c r="I540" s="12">
        <v>43224</v>
      </c>
      <c r="J540" s="2">
        <v>3</v>
      </c>
      <c r="K540" s="11">
        <v>1155665017499</v>
      </c>
      <c r="L540" s="11" t="s">
        <v>1369</v>
      </c>
      <c r="M540" s="11" t="s">
        <v>27</v>
      </c>
      <c r="N540" s="12">
        <v>43208</v>
      </c>
      <c r="O540" s="12">
        <v>43208</v>
      </c>
      <c r="P540" s="11">
        <v>5</v>
      </c>
      <c r="Q540" s="11" t="s">
        <v>340</v>
      </c>
    </row>
    <row r="541" spans="1:17" ht="13" hidden="1" x14ac:dyDescent="0.15">
      <c r="A541" s="10">
        <v>43228.510770856483</v>
      </c>
      <c r="B541" s="11" t="s">
        <v>340</v>
      </c>
      <c r="C541" s="11">
        <v>1051</v>
      </c>
      <c r="D541" s="11" t="s">
        <v>1397</v>
      </c>
      <c r="E541" s="11">
        <v>9400020127</v>
      </c>
      <c r="F541" s="11" t="s">
        <v>35</v>
      </c>
      <c r="G541" s="11" t="s">
        <v>41</v>
      </c>
      <c r="H541" s="11">
        <v>56</v>
      </c>
      <c r="I541" s="12">
        <v>43224</v>
      </c>
      <c r="J541" s="2">
        <v>3</v>
      </c>
      <c r="K541" s="11">
        <v>1155662023498</v>
      </c>
      <c r="L541" s="11" t="s">
        <v>1369</v>
      </c>
      <c r="M541" s="11" t="s">
        <v>27</v>
      </c>
      <c r="N541" s="12">
        <v>43208</v>
      </c>
      <c r="O541" s="12">
        <v>43208</v>
      </c>
      <c r="P541" s="11">
        <v>3</v>
      </c>
      <c r="Q541" s="11" t="s">
        <v>340</v>
      </c>
    </row>
    <row r="542" spans="1:17" ht="13" hidden="1" x14ac:dyDescent="0.15">
      <c r="A542" s="10">
        <v>43228.64423849537</v>
      </c>
      <c r="B542" s="11" t="s">
        <v>1018</v>
      </c>
      <c r="C542" s="11">
        <v>747</v>
      </c>
      <c r="D542" s="11" t="s">
        <v>1399</v>
      </c>
      <c r="E542" s="11">
        <v>9847192975</v>
      </c>
      <c r="F542" s="11" t="s">
        <v>61</v>
      </c>
      <c r="G542" s="11" t="s">
        <v>1316</v>
      </c>
      <c r="H542" s="11">
        <v>21</v>
      </c>
      <c r="I542" s="12">
        <v>43200</v>
      </c>
      <c r="J542" s="2">
        <v>5</v>
      </c>
      <c r="K542" s="11">
        <v>1146089000233</v>
      </c>
      <c r="L542" s="11" t="s">
        <v>1400</v>
      </c>
      <c r="M542" s="11" t="s">
        <v>27</v>
      </c>
      <c r="N542" s="12">
        <v>42119</v>
      </c>
      <c r="O542" s="12">
        <v>43215</v>
      </c>
      <c r="P542" s="11">
        <v>5</v>
      </c>
      <c r="Q542" s="11" t="s">
        <v>1018</v>
      </c>
    </row>
    <row r="543" spans="1:17" ht="13" hidden="1" x14ac:dyDescent="0.15">
      <c r="A543" s="10">
        <v>43228.64976025463</v>
      </c>
      <c r="B543" s="11" t="s">
        <v>340</v>
      </c>
      <c r="C543" s="11">
        <v>855</v>
      </c>
      <c r="D543" s="11" t="s">
        <v>1401</v>
      </c>
      <c r="E543" s="11">
        <v>9400020127</v>
      </c>
      <c r="F543" s="11" t="s">
        <v>35</v>
      </c>
      <c r="G543" s="11" t="s">
        <v>41</v>
      </c>
      <c r="H543" s="11">
        <v>56</v>
      </c>
      <c r="I543" s="12">
        <v>43228</v>
      </c>
      <c r="J543" s="2">
        <v>5</v>
      </c>
      <c r="K543" s="11">
        <v>1155669018418</v>
      </c>
      <c r="L543" s="11" t="s">
        <v>1369</v>
      </c>
      <c r="M543" s="11" t="s">
        <v>27</v>
      </c>
      <c r="N543" s="12">
        <v>43220</v>
      </c>
      <c r="O543" s="12">
        <v>43220</v>
      </c>
      <c r="P543" s="11">
        <v>5</v>
      </c>
      <c r="Q543" s="11" t="s">
        <v>340</v>
      </c>
    </row>
    <row r="544" spans="1:17" ht="13" hidden="1" x14ac:dyDescent="0.15">
      <c r="A544" s="10">
        <v>43228.651532719909</v>
      </c>
      <c r="B544" s="11" t="s">
        <v>340</v>
      </c>
      <c r="C544" s="11">
        <v>857</v>
      </c>
      <c r="D544" s="11" t="s">
        <v>1402</v>
      </c>
      <c r="E544" s="11">
        <v>9400020127</v>
      </c>
      <c r="F544" s="11" t="s">
        <v>35</v>
      </c>
      <c r="G544" s="11" t="s">
        <v>41</v>
      </c>
      <c r="H544" s="11">
        <v>56</v>
      </c>
      <c r="I544" s="12">
        <v>43228</v>
      </c>
      <c r="J544" s="2">
        <v>2</v>
      </c>
      <c r="K544" s="11">
        <v>1155669022623</v>
      </c>
      <c r="L544" s="11" t="s">
        <v>1369</v>
      </c>
      <c r="M544" s="11" t="s">
        <v>27</v>
      </c>
      <c r="N544" s="12">
        <v>43220</v>
      </c>
      <c r="O544" s="12">
        <v>43220</v>
      </c>
      <c r="P544" s="11">
        <v>2</v>
      </c>
      <c r="Q544" s="11" t="s">
        <v>340</v>
      </c>
    </row>
    <row r="545" spans="1:17" ht="13" hidden="1" x14ac:dyDescent="0.15">
      <c r="A545" s="10">
        <v>43228.656628680561</v>
      </c>
      <c r="B545" s="11" t="s">
        <v>371</v>
      </c>
      <c r="C545" s="11">
        <v>668</v>
      </c>
      <c r="D545" s="11" t="s">
        <v>1403</v>
      </c>
      <c r="E545" s="11">
        <v>8547564126</v>
      </c>
      <c r="F545" s="11" t="s">
        <v>40</v>
      </c>
      <c r="G545" s="11" t="s">
        <v>215</v>
      </c>
      <c r="H545" s="11">
        <v>27</v>
      </c>
      <c r="I545" s="12">
        <v>43225</v>
      </c>
      <c r="J545" s="2">
        <v>3</v>
      </c>
      <c r="K545" s="11">
        <v>1155030021271</v>
      </c>
      <c r="L545" s="11" t="s">
        <v>155</v>
      </c>
      <c r="M545" s="11" t="s">
        <v>27</v>
      </c>
      <c r="N545" s="12">
        <v>43225</v>
      </c>
      <c r="O545" s="12">
        <v>43225</v>
      </c>
      <c r="P545" s="11">
        <v>3</v>
      </c>
      <c r="Q545" s="11" t="s">
        <v>371</v>
      </c>
    </row>
    <row r="546" spans="1:17" ht="13" hidden="1" x14ac:dyDescent="0.15">
      <c r="A546" s="10">
        <v>43228.717932418978</v>
      </c>
      <c r="B546" s="11" t="s">
        <v>206</v>
      </c>
      <c r="C546" s="11">
        <v>890</v>
      </c>
      <c r="D546" s="11" t="s">
        <v>1184</v>
      </c>
      <c r="E546" s="11">
        <v>8078213924</v>
      </c>
      <c r="F546" s="11" t="s">
        <v>56</v>
      </c>
      <c r="G546" s="11" t="s">
        <v>208</v>
      </c>
      <c r="H546" s="11">
        <v>38</v>
      </c>
      <c r="I546" s="12">
        <v>43200</v>
      </c>
      <c r="J546" s="2">
        <v>3</v>
      </c>
      <c r="K546" s="11">
        <v>1146894003513</v>
      </c>
      <c r="L546" s="11" t="s">
        <v>1404</v>
      </c>
      <c r="M546" s="11" t="s">
        <v>27</v>
      </c>
      <c r="N546" s="12">
        <v>43201</v>
      </c>
      <c r="O546" s="12">
        <v>43201</v>
      </c>
      <c r="P546" s="11">
        <v>3</v>
      </c>
      <c r="Q546" s="11" t="s">
        <v>206</v>
      </c>
    </row>
    <row r="547" spans="1:17" ht="13" hidden="1" x14ac:dyDescent="0.15">
      <c r="A547" s="10">
        <v>43228.721790567128</v>
      </c>
      <c r="B547" s="11" t="s">
        <v>206</v>
      </c>
      <c r="C547" s="11">
        <v>891</v>
      </c>
      <c r="D547" s="11" t="s">
        <v>1406</v>
      </c>
      <c r="E547" s="11">
        <v>8078213924</v>
      </c>
      <c r="F547" s="11" t="s">
        <v>56</v>
      </c>
      <c r="G547" s="11" t="s">
        <v>208</v>
      </c>
      <c r="H547" s="11">
        <v>38</v>
      </c>
      <c r="I547" s="12">
        <v>43199</v>
      </c>
      <c r="J547" s="2">
        <v>3</v>
      </c>
      <c r="K547" s="11">
        <v>1146892003870</v>
      </c>
      <c r="L547" s="11" t="s">
        <v>1404</v>
      </c>
      <c r="M547" s="11" t="s">
        <v>27</v>
      </c>
      <c r="N547" s="12">
        <v>43201</v>
      </c>
      <c r="O547" s="12">
        <v>43201</v>
      </c>
      <c r="P547" s="11">
        <v>3</v>
      </c>
      <c r="Q547" s="11" t="s">
        <v>206</v>
      </c>
    </row>
    <row r="548" spans="1:17" ht="13" x14ac:dyDescent="0.15">
      <c r="A548" s="10">
        <v>43228.729093726855</v>
      </c>
      <c r="B548" s="11" t="s">
        <v>371</v>
      </c>
      <c r="C548" s="11">
        <v>781</v>
      </c>
      <c r="D548" s="11" t="s">
        <v>1407</v>
      </c>
      <c r="E548" s="11">
        <v>8547564126</v>
      </c>
      <c r="F548" s="11" t="s">
        <v>24</v>
      </c>
      <c r="G548" s="11" t="s">
        <v>215</v>
      </c>
      <c r="H548" s="11">
        <v>27</v>
      </c>
      <c r="I548" s="12">
        <v>43196</v>
      </c>
      <c r="J548" s="2">
        <v>3</v>
      </c>
      <c r="K548" s="11">
        <v>1145060011523</v>
      </c>
      <c r="L548" s="11" t="s">
        <v>1408</v>
      </c>
      <c r="M548" s="11" t="s">
        <v>27</v>
      </c>
      <c r="N548" s="12">
        <v>43196</v>
      </c>
      <c r="O548" s="12">
        <v>43196</v>
      </c>
      <c r="P548" s="11">
        <v>3</v>
      </c>
      <c r="Q548" s="11" t="s">
        <v>371</v>
      </c>
    </row>
    <row r="549" spans="1:17" ht="13" x14ac:dyDescent="0.15">
      <c r="A549" s="10">
        <v>43229.605426585651</v>
      </c>
      <c r="B549" s="11" t="s">
        <v>589</v>
      </c>
      <c r="C549" s="11">
        <v>856</v>
      </c>
      <c r="D549" s="11" t="s">
        <v>1409</v>
      </c>
      <c r="E549" s="11">
        <v>7034322221</v>
      </c>
      <c r="F549" s="11" t="s">
        <v>24</v>
      </c>
      <c r="G549" s="11" t="s">
        <v>369</v>
      </c>
      <c r="H549" s="11">
        <v>38</v>
      </c>
      <c r="I549" s="12">
        <v>43215</v>
      </c>
      <c r="J549" s="2">
        <v>15</v>
      </c>
      <c r="K549" s="11">
        <v>1145129001286</v>
      </c>
      <c r="L549" s="11" t="s">
        <v>336</v>
      </c>
      <c r="M549" s="11" t="s">
        <v>27</v>
      </c>
      <c r="N549" s="12">
        <v>43228</v>
      </c>
      <c r="O549" s="12">
        <v>43228</v>
      </c>
      <c r="P549" s="11">
        <v>15</v>
      </c>
      <c r="Q549" s="11" t="s">
        <v>589</v>
      </c>
    </row>
    <row r="550" spans="1:17" ht="13" hidden="1" x14ac:dyDescent="0.15">
      <c r="A550" s="10">
        <v>43229.740988865742</v>
      </c>
      <c r="B550" s="11" t="s">
        <v>1410</v>
      </c>
      <c r="C550" s="11">
        <v>773</v>
      </c>
      <c r="D550" s="11" t="s">
        <v>1411</v>
      </c>
      <c r="E550" s="11">
        <v>9847915540</v>
      </c>
      <c r="F550" s="11" t="s">
        <v>35</v>
      </c>
      <c r="G550" s="11" t="s">
        <v>126</v>
      </c>
      <c r="H550" s="11">
        <v>64</v>
      </c>
      <c r="I550" s="12">
        <v>43203</v>
      </c>
      <c r="J550" s="2">
        <v>5</v>
      </c>
      <c r="K550" s="11">
        <v>1155497019089</v>
      </c>
      <c r="L550" s="11">
        <v>5549</v>
      </c>
      <c r="M550" s="11" t="s">
        <v>27</v>
      </c>
      <c r="N550" s="12">
        <v>43200</v>
      </c>
      <c r="O550" s="12">
        <v>43200</v>
      </c>
      <c r="P550" s="11">
        <v>5</v>
      </c>
      <c r="Q550" s="11" t="s">
        <v>1410</v>
      </c>
    </row>
    <row r="551" spans="1:17" ht="13" hidden="1" x14ac:dyDescent="0.15">
      <c r="A551" s="10">
        <v>43229.74985670139</v>
      </c>
      <c r="B551" s="11" t="s">
        <v>1412</v>
      </c>
      <c r="C551" s="11">
        <v>874</v>
      </c>
      <c r="D551" s="11" t="s">
        <v>1413</v>
      </c>
      <c r="E551" s="11">
        <v>8547374709</v>
      </c>
      <c r="F551" s="11" t="s">
        <v>46</v>
      </c>
      <c r="G551" s="11" t="s">
        <v>1414</v>
      </c>
      <c r="H551" s="11">
        <v>20</v>
      </c>
      <c r="I551" s="12">
        <v>43228</v>
      </c>
      <c r="J551" s="2">
        <v>5</v>
      </c>
      <c r="K551" s="11">
        <v>1165178017030</v>
      </c>
      <c r="L551" s="11" t="s">
        <v>1415</v>
      </c>
      <c r="M551" s="11" t="s">
        <v>27</v>
      </c>
      <c r="N551" s="12">
        <v>43217</v>
      </c>
      <c r="O551" s="12">
        <v>43217</v>
      </c>
      <c r="P551" s="11">
        <v>5</v>
      </c>
      <c r="Q551" s="11" t="s">
        <v>1412</v>
      </c>
    </row>
    <row r="552" spans="1:17" ht="13" hidden="1" x14ac:dyDescent="0.15">
      <c r="A552" s="10">
        <v>43229.897056215283</v>
      </c>
      <c r="B552" s="11" t="s">
        <v>285</v>
      </c>
      <c r="C552" s="11">
        <v>246</v>
      </c>
      <c r="D552" s="11" t="s">
        <v>1417</v>
      </c>
      <c r="E552" s="11">
        <v>9846542746</v>
      </c>
      <c r="F552" s="11" t="s">
        <v>287</v>
      </c>
      <c r="G552" s="11" t="s">
        <v>157</v>
      </c>
      <c r="H552" s="11">
        <v>42</v>
      </c>
      <c r="I552" s="12">
        <v>43220</v>
      </c>
      <c r="J552" s="2">
        <v>5</v>
      </c>
      <c r="K552" s="11">
        <v>1166668023809</v>
      </c>
      <c r="L552" s="11" t="s">
        <v>1418</v>
      </c>
      <c r="M552" s="11" t="s">
        <v>27</v>
      </c>
      <c r="N552" s="12">
        <v>43220</v>
      </c>
      <c r="O552" s="12">
        <v>43220</v>
      </c>
      <c r="P552" s="11">
        <v>5</v>
      </c>
      <c r="Q552" s="11" t="s">
        <v>285</v>
      </c>
    </row>
    <row r="553" spans="1:17" ht="13" hidden="1" x14ac:dyDescent="0.15">
      <c r="A553" s="10">
        <v>43230.433986874996</v>
      </c>
      <c r="B553" s="11" t="s">
        <v>303</v>
      </c>
      <c r="C553" s="11">
        <v>945</v>
      </c>
      <c r="D553" s="11" t="s">
        <v>1419</v>
      </c>
      <c r="E553" s="11">
        <v>7012330133</v>
      </c>
      <c r="F553" s="11" t="s">
        <v>35</v>
      </c>
      <c r="G553" s="11" t="s">
        <v>280</v>
      </c>
      <c r="H553" s="11">
        <v>66</v>
      </c>
      <c r="I553" s="12">
        <v>43225</v>
      </c>
      <c r="J553" s="2">
        <v>3</v>
      </c>
      <c r="K553" s="11">
        <v>1155423017503</v>
      </c>
      <c r="L553" s="11" t="s">
        <v>510</v>
      </c>
      <c r="M553" s="11" t="s">
        <v>27</v>
      </c>
      <c r="N553" s="12">
        <v>43202</v>
      </c>
      <c r="O553" s="12">
        <v>43202</v>
      </c>
      <c r="P553" s="11">
        <v>3</v>
      </c>
      <c r="Q553" s="11" t="s">
        <v>303</v>
      </c>
    </row>
    <row r="554" spans="1:17" ht="13" hidden="1" x14ac:dyDescent="0.15">
      <c r="A554" s="10">
        <v>43230.437892916671</v>
      </c>
      <c r="B554" s="11" t="s">
        <v>303</v>
      </c>
      <c r="C554" s="11">
        <v>576</v>
      </c>
      <c r="D554" s="11" t="s">
        <v>1420</v>
      </c>
      <c r="E554" s="11">
        <v>9995671297</v>
      </c>
      <c r="F554" s="11" t="s">
        <v>35</v>
      </c>
      <c r="G554" s="11" t="s">
        <v>280</v>
      </c>
      <c r="H554" s="11">
        <v>66</v>
      </c>
      <c r="I554" s="12">
        <v>43225</v>
      </c>
      <c r="J554" s="2">
        <v>3</v>
      </c>
      <c r="K554" s="11">
        <v>1157346003208</v>
      </c>
      <c r="L554" s="11" t="s">
        <v>657</v>
      </c>
      <c r="M554" s="11" t="s">
        <v>27</v>
      </c>
      <c r="N554" s="12">
        <v>43179</v>
      </c>
      <c r="O554" s="12">
        <v>43179</v>
      </c>
      <c r="P554" s="11">
        <v>3</v>
      </c>
      <c r="Q554" s="11" t="s">
        <v>303</v>
      </c>
    </row>
    <row r="555" spans="1:17" ht="13" hidden="1" x14ac:dyDescent="0.15">
      <c r="A555" s="10">
        <v>43230.462033252319</v>
      </c>
      <c r="B555" s="11" t="s">
        <v>589</v>
      </c>
      <c r="C555" s="11">
        <v>962</v>
      </c>
      <c r="D555" s="11" t="s">
        <v>1421</v>
      </c>
      <c r="E555" s="11">
        <v>9645322229</v>
      </c>
      <c r="F555" s="11" t="s">
        <v>73</v>
      </c>
      <c r="G555" s="11" t="s">
        <v>369</v>
      </c>
      <c r="H555" s="11">
        <v>38</v>
      </c>
      <c r="I555" s="12">
        <v>43229</v>
      </c>
      <c r="J555" s="2">
        <v>5</v>
      </c>
      <c r="K555" s="11">
        <v>1145588000295</v>
      </c>
      <c r="L555" s="11" t="s">
        <v>1422</v>
      </c>
      <c r="M555" s="11" t="s">
        <v>27</v>
      </c>
      <c r="N555" s="12">
        <v>43217</v>
      </c>
      <c r="O555" s="12">
        <v>43217</v>
      </c>
      <c r="P555" s="11">
        <v>5</v>
      </c>
      <c r="Q555" s="11" t="s">
        <v>589</v>
      </c>
    </row>
    <row r="556" spans="1:17" ht="13" hidden="1" x14ac:dyDescent="0.15">
      <c r="A556" s="10">
        <v>43230.542060694446</v>
      </c>
      <c r="B556" s="11" t="s">
        <v>1423</v>
      </c>
      <c r="C556" s="11">
        <v>698</v>
      </c>
      <c r="D556" s="11" t="s">
        <v>1424</v>
      </c>
      <c r="E556" s="11">
        <v>9847220402</v>
      </c>
      <c r="F556" s="11" t="s">
        <v>35</v>
      </c>
      <c r="G556" s="11" t="s">
        <v>280</v>
      </c>
      <c r="H556" s="11">
        <v>66</v>
      </c>
      <c r="I556" s="12">
        <v>43230</v>
      </c>
      <c r="J556" s="2">
        <v>5</v>
      </c>
      <c r="K556" s="11">
        <v>1155452006262</v>
      </c>
      <c r="L556" s="11" t="s">
        <v>1080</v>
      </c>
      <c r="M556" s="11" t="s">
        <v>27</v>
      </c>
      <c r="N556" s="12">
        <v>43222</v>
      </c>
      <c r="O556" s="12">
        <v>43222</v>
      </c>
      <c r="P556" s="11">
        <v>5</v>
      </c>
      <c r="Q556" s="11" t="s">
        <v>1423</v>
      </c>
    </row>
    <row r="557" spans="1:17" ht="13" hidden="1" x14ac:dyDescent="0.15">
      <c r="A557" s="10">
        <v>43230.546777268522</v>
      </c>
      <c r="B557" s="11" t="s">
        <v>1425</v>
      </c>
      <c r="C557" s="11">
        <v>811</v>
      </c>
      <c r="D557" s="11" t="s">
        <v>1426</v>
      </c>
      <c r="E557" s="11">
        <v>9633144104</v>
      </c>
      <c r="F557" s="11" t="s">
        <v>35</v>
      </c>
      <c r="G557" s="11" t="s">
        <v>280</v>
      </c>
      <c r="H557" s="11">
        <v>66</v>
      </c>
      <c r="I557" s="12">
        <v>43230</v>
      </c>
      <c r="J557" s="2">
        <v>3</v>
      </c>
      <c r="K557" s="11">
        <v>1155473017862</v>
      </c>
      <c r="L557" s="11" t="s">
        <v>887</v>
      </c>
      <c r="M557" s="11" t="s">
        <v>27</v>
      </c>
      <c r="N557" s="12">
        <v>43207</v>
      </c>
      <c r="O557" s="12">
        <v>43207</v>
      </c>
      <c r="P557" s="11">
        <v>3</v>
      </c>
      <c r="Q557" s="11" t="s">
        <v>1425</v>
      </c>
    </row>
    <row r="558" spans="1:17" ht="13" hidden="1" x14ac:dyDescent="0.15">
      <c r="A558" s="10">
        <v>43230.54882369213</v>
      </c>
      <c r="B558" s="11" t="s">
        <v>1428</v>
      </c>
      <c r="C558" s="11">
        <v>882</v>
      </c>
      <c r="D558" s="11" t="s">
        <v>1429</v>
      </c>
      <c r="E558" s="11">
        <v>9061751541</v>
      </c>
      <c r="F558" s="11" t="s">
        <v>35</v>
      </c>
      <c r="G558" s="11" t="s">
        <v>280</v>
      </c>
      <c r="H558" s="11">
        <v>66</v>
      </c>
      <c r="I558" s="12">
        <v>43230</v>
      </c>
      <c r="J558" s="2">
        <v>10</v>
      </c>
      <c r="K558" s="11">
        <v>1155464001141</v>
      </c>
      <c r="L558" s="11" t="s">
        <v>1430</v>
      </c>
      <c r="M558" s="11" t="s">
        <v>27</v>
      </c>
      <c r="N558" s="12">
        <v>43206</v>
      </c>
      <c r="O558" s="12">
        <v>43206</v>
      </c>
      <c r="P558" s="11">
        <v>10</v>
      </c>
      <c r="Q558" s="11" t="s">
        <v>1428</v>
      </c>
    </row>
    <row r="559" spans="1:17" ht="13" hidden="1" x14ac:dyDescent="0.15">
      <c r="A559" s="10">
        <v>43230.550884675926</v>
      </c>
      <c r="B559" s="11" t="s">
        <v>1431</v>
      </c>
      <c r="C559" s="11">
        <v>784</v>
      </c>
      <c r="D559" s="11" t="s">
        <v>1432</v>
      </c>
      <c r="E559" s="11">
        <v>9847446556</v>
      </c>
      <c r="F559" s="11" t="s">
        <v>35</v>
      </c>
      <c r="G559" s="11" t="s">
        <v>280</v>
      </c>
      <c r="H559" s="11">
        <v>66</v>
      </c>
      <c r="I559" s="12">
        <v>43230</v>
      </c>
      <c r="J559" s="2">
        <v>5</v>
      </c>
      <c r="K559" s="11">
        <v>1155445012520</v>
      </c>
      <c r="L559" s="11" t="s">
        <v>1433</v>
      </c>
      <c r="M559" s="11" t="s">
        <v>27</v>
      </c>
      <c r="N559" s="12">
        <v>43224</v>
      </c>
      <c r="O559" s="12">
        <v>43224</v>
      </c>
      <c r="P559" s="11">
        <v>5</v>
      </c>
      <c r="Q559" s="11" t="s">
        <v>1431</v>
      </c>
    </row>
    <row r="560" spans="1:17" ht="13" hidden="1" x14ac:dyDescent="0.15">
      <c r="A560" s="10">
        <v>43230.554321365737</v>
      </c>
      <c r="B560" s="11" t="s">
        <v>1434</v>
      </c>
      <c r="C560" s="11">
        <v>1005</v>
      </c>
      <c r="D560" s="11" t="s">
        <v>1435</v>
      </c>
      <c r="E560" s="11">
        <v>8547373907</v>
      </c>
      <c r="F560" s="11" t="s">
        <v>56</v>
      </c>
      <c r="G560" s="11" t="s">
        <v>208</v>
      </c>
      <c r="H560" s="11">
        <v>38</v>
      </c>
      <c r="I560" s="12">
        <v>43217</v>
      </c>
      <c r="J560" s="2">
        <v>5</v>
      </c>
      <c r="K560" s="11">
        <v>1146310006942</v>
      </c>
      <c r="L560" s="11" t="s">
        <v>1436</v>
      </c>
      <c r="M560" s="11" t="s">
        <v>27</v>
      </c>
      <c r="N560" s="12">
        <v>43216</v>
      </c>
      <c r="O560" s="12">
        <v>43215</v>
      </c>
      <c r="P560" s="11">
        <v>5</v>
      </c>
      <c r="Q560" s="11" t="s">
        <v>1434</v>
      </c>
    </row>
    <row r="561" spans="1:17" ht="13" hidden="1" x14ac:dyDescent="0.15">
      <c r="A561" s="10">
        <v>43230.572982824073</v>
      </c>
      <c r="B561" s="11" t="s">
        <v>1437</v>
      </c>
      <c r="C561" s="11">
        <v>530</v>
      </c>
      <c r="D561" s="11" t="s">
        <v>1438</v>
      </c>
      <c r="E561" s="11">
        <v>9447060062</v>
      </c>
      <c r="F561" s="11" t="s">
        <v>35</v>
      </c>
      <c r="G561" s="11" t="s">
        <v>280</v>
      </c>
      <c r="H561" s="11">
        <v>66</v>
      </c>
      <c r="I561" s="12">
        <v>43230</v>
      </c>
      <c r="J561" s="2">
        <v>3</v>
      </c>
      <c r="K561" s="11">
        <v>1157315013246</v>
      </c>
      <c r="L561" s="11" t="s">
        <v>1439</v>
      </c>
      <c r="M561" s="11" t="s">
        <v>27</v>
      </c>
      <c r="N561" s="12">
        <v>43181</v>
      </c>
      <c r="O561" s="12">
        <v>43242</v>
      </c>
      <c r="P561" s="11">
        <v>3</v>
      </c>
      <c r="Q561" s="11" t="s">
        <v>1437</v>
      </c>
    </row>
    <row r="562" spans="1:17" ht="13" hidden="1" x14ac:dyDescent="0.15">
      <c r="A562" s="10">
        <v>43230.6111643287</v>
      </c>
      <c r="B562" s="11" t="s">
        <v>303</v>
      </c>
      <c r="C562" s="11">
        <v>771</v>
      </c>
      <c r="D562" s="11" t="s">
        <v>1440</v>
      </c>
      <c r="E562" s="11">
        <v>9847344473</v>
      </c>
      <c r="F562" s="11" t="s">
        <v>30</v>
      </c>
      <c r="G562" s="11" t="s">
        <v>280</v>
      </c>
      <c r="H562" s="11">
        <v>66</v>
      </c>
      <c r="I562" s="12">
        <v>43202</v>
      </c>
      <c r="J562" s="2">
        <v>3</v>
      </c>
      <c r="K562" s="11">
        <v>1156695002947</v>
      </c>
      <c r="L562" s="11" t="s">
        <v>821</v>
      </c>
      <c r="M562" s="11" t="s">
        <v>27</v>
      </c>
      <c r="N562" s="12">
        <v>43208</v>
      </c>
      <c r="O562" s="12">
        <v>43208</v>
      </c>
      <c r="P562" s="11">
        <v>3</v>
      </c>
      <c r="Q562" s="11" t="s">
        <v>303</v>
      </c>
    </row>
    <row r="563" spans="1:17" ht="13" hidden="1" x14ac:dyDescent="0.15">
      <c r="A563" s="10">
        <v>43230.61827806713</v>
      </c>
      <c r="B563" s="11" t="s">
        <v>206</v>
      </c>
      <c r="C563" s="11">
        <v>999</v>
      </c>
      <c r="D563" s="11" t="s">
        <v>1441</v>
      </c>
      <c r="E563" s="11">
        <v>8078213924</v>
      </c>
      <c r="F563" s="11" t="s">
        <v>61</v>
      </c>
      <c r="G563" s="11" t="s">
        <v>208</v>
      </c>
      <c r="H563" s="11">
        <v>38</v>
      </c>
      <c r="I563" s="12">
        <v>43223</v>
      </c>
      <c r="J563" s="2">
        <v>5</v>
      </c>
      <c r="K563" s="11">
        <v>1146172001128</v>
      </c>
      <c r="L563" s="11" t="s">
        <v>225</v>
      </c>
      <c r="M563" s="11" t="s">
        <v>27</v>
      </c>
      <c r="N563" s="12">
        <v>43227</v>
      </c>
      <c r="O563" s="12">
        <v>43227</v>
      </c>
      <c r="P563" s="11">
        <v>5</v>
      </c>
      <c r="Q563" s="11" t="s">
        <v>206</v>
      </c>
    </row>
    <row r="564" spans="1:17" ht="13" hidden="1" x14ac:dyDescent="0.15">
      <c r="A564" s="10">
        <v>43230.620000405092</v>
      </c>
      <c r="B564" s="11" t="s">
        <v>563</v>
      </c>
      <c r="C564" s="11">
        <v>912</v>
      </c>
      <c r="D564" s="11" t="s">
        <v>1442</v>
      </c>
      <c r="E564" s="11">
        <v>9061327111</v>
      </c>
      <c r="F564" s="11" t="s">
        <v>287</v>
      </c>
      <c r="G564" s="11" t="s">
        <v>692</v>
      </c>
      <c r="H564" s="11">
        <v>18</v>
      </c>
      <c r="I564" s="12">
        <v>43230</v>
      </c>
      <c r="J564" s="2">
        <v>3</v>
      </c>
      <c r="K564" s="11">
        <v>1166437015529</v>
      </c>
      <c r="L564" s="11">
        <v>6643</v>
      </c>
      <c r="M564" s="11" t="s">
        <v>27</v>
      </c>
      <c r="N564" s="12">
        <v>43196</v>
      </c>
      <c r="O564" s="12">
        <v>43196</v>
      </c>
      <c r="P564" s="11">
        <v>3</v>
      </c>
      <c r="Q564" s="11" t="s">
        <v>563</v>
      </c>
    </row>
    <row r="565" spans="1:17" ht="13" hidden="1" x14ac:dyDescent="0.15">
      <c r="A565" s="10">
        <v>43230.62320736111</v>
      </c>
      <c r="B565" s="11" t="s">
        <v>1444</v>
      </c>
      <c r="C565" s="11">
        <v>916</v>
      </c>
      <c r="D565" s="11" t="s">
        <v>1445</v>
      </c>
      <c r="E565" s="11">
        <v>9946049455</v>
      </c>
      <c r="F565" s="11" t="s">
        <v>35</v>
      </c>
      <c r="G565" s="11" t="s">
        <v>1446</v>
      </c>
      <c r="H565" s="11">
        <v>64</v>
      </c>
      <c r="I565" s="12">
        <v>43209</v>
      </c>
      <c r="J565" s="2">
        <v>5</v>
      </c>
      <c r="K565" s="11">
        <v>1155421001762</v>
      </c>
      <c r="L565" s="11">
        <v>5542</v>
      </c>
      <c r="M565" s="11" t="s">
        <v>27</v>
      </c>
      <c r="N565" s="12">
        <v>43202</v>
      </c>
      <c r="O565" s="12">
        <v>43202</v>
      </c>
      <c r="P565" s="11">
        <v>5</v>
      </c>
      <c r="Q565" s="11" t="s">
        <v>1444</v>
      </c>
    </row>
    <row r="566" spans="1:17" ht="13" hidden="1" x14ac:dyDescent="0.15">
      <c r="A566" s="10">
        <v>43230.726048483797</v>
      </c>
      <c r="B566" s="11" t="s">
        <v>382</v>
      </c>
      <c r="C566" s="11">
        <v>271</v>
      </c>
      <c r="D566" s="11" t="s">
        <v>1447</v>
      </c>
      <c r="E566" s="11">
        <v>9387707733</v>
      </c>
      <c r="F566" s="11" t="s">
        <v>30</v>
      </c>
      <c r="G566" s="11" t="s">
        <v>384</v>
      </c>
      <c r="H566" s="11">
        <v>4</v>
      </c>
      <c r="I566" s="12">
        <v>43211</v>
      </c>
      <c r="J566" s="2">
        <v>3</v>
      </c>
      <c r="K566" s="11">
        <v>1156638012022</v>
      </c>
      <c r="L566" s="11" t="s">
        <v>1448</v>
      </c>
      <c r="M566" s="11" t="s">
        <v>27</v>
      </c>
      <c r="N566" s="12">
        <v>43166</v>
      </c>
      <c r="O566" s="12">
        <v>43166</v>
      </c>
      <c r="P566" s="11">
        <v>3</v>
      </c>
      <c r="Q566" s="11" t="s">
        <v>1449</v>
      </c>
    </row>
    <row r="567" spans="1:17" ht="13" hidden="1" x14ac:dyDescent="0.15">
      <c r="A567" s="10">
        <v>43231.383971388888</v>
      </c>
      <c r="B567" s="11" t="s">
        <v>303</v>
      </c>
      <c r="C567" s="11">
        <v>851</v>
      </c>
      <c r="D567" s="11" t="s">
        <v>1450</v>
      </c>
      <c r="E567" s="11">
        <v>8075487765</v>
      </c>
      <c r="F567" s="11" t="s">
        <v>287</v>
      </c>
      <c r="G567" s="11" t="s">
        <v>280</v>
      </c>
      <c r="H567" s="11">
        <v>66</v>
      </c>
      <c r="I567" s="12">
        <v>43230</v>
      </c>
      <c r="J567" s="2">
        <v>2</v>
      </c>
      <c r="K567" s="11">
        <v>1166705011516</v>
      </c>
      <c r="L567" s="11" t="s">
        <v>414</v>
      </c>
      <c r="M567" s="11" t="s">
        <v>27</v>
      </c>
      <c r="N567" s="12">
        <v>43202</v>
      </c>
      <c r="O567" s="12">
        <v>43202</v>
      </c>
      <c r="P567" s="11">
        <v>2</v>
      </c>
      <c r="Q567" s="11" t="s">
        <v>303</v>
      </c>
    </row>
    <row r="568" spans="1:17" ht="13" hidden="1" x14ac:dyDescent="0.15">
      <c r="A568" s="10">
        <v>43231.386947430554</v>
      </c>
      <c r="B568" s="11" t="s">
        <v>303</v>
      </c>
      <c r="C568" s="11">
        <v>844</v>
      </c>
      <c r="D568" s="11" t="s">
        <v>1451</v>
      </c>
      <c r="E568" s="11">
        <v>9048013907</v>
      </c>
      <c r="F568" s="11" t="s">
        <v>287</v>
      </c>
      <c r="G568" s="11" t="s">
        <v>280</v>
      </c>
      <c r="H568" s="11">
        <v>66</v>
      </c>
      <c r="I568" s="12">
        <v>43230</v>
      </c>
      <c r="J568" s="2">
        <v>5</v>
      </c>
      <c r="K568" s="11">
        <v>1166716033053</v>
      </c>
      <c r="L568" s="11" t="s">
        <v>655</v>
      </c>
      <c r="M568" s="11" t="s">
        <v>27</v>
      </c>
      <c r="N568" s="12">
        <v>43201</v>
      </c>
      <c r="O568" s="12">
        <v>43201</v>
      </c>
      <c r="P568" s="11">
        <v>5</v>
      </c>
      <c r="Q568" s="11" t="s">
        <v>303</v>
      </c>
    </row>
    <row r="569" spans="1:17" ht="13" hidden="1" x14ac:dyDescent="0.15">
      <c r="A569" s="10">
        <v>43231.391518715274</v>
      </c>
      <c r="B569" s="11" t="s">
        <v>303</v>
      </c>
      <c r="C569" s="11">
        <v>846</v>
      </c>
      <c r="D569" s="11" t="s">
        <v>1452</v>
      </c>
      <c r="E569" s="11">
        <v>9846388510</v>
      </c>
      <c r="F569" s="11" t="s">
        <v>287</v>
      </c>
      <c r="G569" s="11" t="s">
        <v>280</v>
      </c>
      <c r="H569" s="11">
        <v>66</v>
      </c>
      <c r="I569" s="12">
        <v>43230</v>
      </c>
      <c r="J569" s="2">
        <v>3</v>
      </c>
      <c r="K569" s="11">
        <v>1166702009297</v>
      </c>
      <c r="L569" s="11" t="s">
        <v>414</v>
      </c>
      <c r="M569" s="11" t="s">
        <v>27</v>
      </c>
      <c r="N569" s="12">
        <v>43202</v>
      </c>
      <c r="O569" s="12">
        <v>43202</v>
      </c>
      <c r="P569" s="11">
        <v>3</v>
      </c>
      <c r="Q569" s="11" t="s">
        <v>303</v>
      </c>
    </row>
    <row r="570" spans="1:17" ht="13" hidden="1" x14ac:dyDescent="0.15">
      <c r="A570" s="10">
        <v>43231.440773368056</v>
      </c>
      <c r="B570" s="11" t="s">
        <v>475</v>
      </c>
      <c r="C570" s="11">
        <v>1111</v>
      </c>
      <c r="D570" s="11" t="s">
        <v>1453</v>
      </c>
      <c r="E570" s="11">
        <v>9847427427</v>
      </c>
      <c r="F570" s="11" t="s">
        <v>30</v>
      </c>
      <c r="G570" s="11" t="s">
        <v>1278</v>
      </c>
      <c r="H570" s="11">
        <v>11</v>
      </c>
      <c r="I570" s="12">
        <v>43231</v>
      </c>
      <c r="J570" s="2">
        <v>5</v>
      </c>
      <c r="K570" s="11">
        <v>1156643024755</v>
      </c>
      <c r="L570" s="11" t="s">
        <v>1455</v>
      </c>
      <c r="M570" s="11" t="s">
        <v>27</v>
      </c>
      <c r="N570" s="12">
        <v>43231</v>
      </c>
      <c r="O570" s="12">
        <v>43231</v>
      </c>
      <c r="P570" s="11">
        <v>5</v>
      </c>
      <c r="Q570" s="11" t="s">
        <v>475</v>
      </c>
    </row>
    <row r="571" spans="1:17" ht="13" hidden="1" x14ac:dyDescent="0.15">
      <c r="A571" s="10">
        <v>43231.481132222223</v>
      </c>
      <c r="B571" s="11" t="s">
        <v>475</v>
      </c>
      <c r="C571" s="11">
        <v>1003</v>
      </c>
      <c r="D571" s="11" t="s">
        <v>1456</v>
      </c>
      <c r="E571" s="11">
        <v>9072626009</v>
      </c>
      <c r="F571" s="11" t="s">
        <v>30</v>
      </c>
      <c r="G571" s="11" t="s">
        <v>1457</v>
      </c>
      <c r="H571" s="11">
        <v>11</v>
      </c>
      <c r="I571" s="12">
        <v>43231</v>
      </c>
      <c r="J571" s="2">
        <v>5</v>
      </c>
      <c r="K571" s="11">
        <v>1156495025327</v>
      </c>
      <c r="L571" s="11" t="s">
        <v>1458</v>
      </c>
      <c r="M571" s="11" t="s">
        <v>27</v>
      </c>
      <c r="N571" s="12">
        <v>43231</v>
      </c>
      <c r="O571" s="12">
        <v>43231</v>
      </c>
      <c r="P571" s="11">
        <v>5</v>
      </c>
      <c r="Q571" s="11" t="s">
        <v>475</v>
      </c>
    </row>
    <row r="572" spans="1:17" ht="13" x14ac:dyDescent="0.15">
      <c r="A572" s="10">
        <v>43231.630077453709</v>
      </c>
      <c r="B572" s="11" t="s">
        <v>227</v>
      </c>
      <c r="C572" s="11">
        <v>868</v>
      </c>
      <c r="D572" s="11" t="s">
        <v>1459</v>
      </c>
      <c r="E572" s="11">
        <v>8137874406</v>
      </c>
      <c r="F572" s="11" t="s">
        <v>24</v>
      </c>
      <c r="G572" s="11" t="s">
        <v>1460</v>
      </c>
      <c r="H572" s="11">
        <v>42</v>
      </c>
      <c r="I572" s="12">
        <v>43189</v>
      </c>
      <c r="J572" s="2">
        <v>3</v>
      </c>
      <c r="K572" s="11">
        <v>1145092002145</v>
      </c>
      <c r="L572" s="11" t="s">
        <v>958</v>
      </c>
      <c r="M572" s="11" t="s">
        <v>27</v>
      </c>
      <c r="N572" s="12">
        <v>43196</v>
      </c>
      <c r="O572" s="12">
        <v>43196</v>
      </c>
      <c r="P572" s="11">
        <v>3</v>
      </c>
      <c r="Q572" s="11" t="s">
        <v>227</v>
      </c>
    </row>
    <row r="573" spans="1:17" ht="13" hidden="1" x14ac:dyDescent="0.15">
      <c r="A573" s="10">
        <v>43231.655949687498</v>
      </c>
      <c r="B573" s="11" t="s">
        <v>227</v>
      </c>
      <c r="C573" s="11">
        <v>1100</v>
      </c>
      <c r="D573" s="11" t="s">
        <v>1461</v>
      </c>
      <c r="E573" s="11">
        <v>8137874406</v>
      </c>
      <c r="F573" s="11" t="s">
        <v>30</v>
      </c>
      <c r="G573" s="11" t="s">
        <v>157</v>
      </c>
      <c r="H573" s="11">
        <v>42</v>
      </c>
      <c r="I573" s="12">
        <v>43221</v>
      </c>
      <c r="J573" s="2">
        <v>3</v>
      </c>
      <c r="K573" s="11">
        <v>1156793015658</v>
      </c>
      <c r="L573" s="11" t="s">
        <v>1462</v>
      </c>
      <c r="M573" s="11" t="s">
        <v>27</v>
      </c>
      <c r="N573" s="12">
        <v>43220</v>
      </c>
      <c r="O573" s="12">
        <v>43220</v>
      </c>
      <c r="P573" s="11">
        <v>3</v>
      </c>
      <c r="Q573" s="11" t="s">
        <v>227</v>
      </c>
    </row>
    <row r="574" spans="1:17" ht="13" hidden="1" x14ac:dyDescent="0.15">
      <c r="A574" s="10">
        <v>43231.672132268519</v>
      </c>
      <c r="B574" s="11" t="s">
        <v>382</v>
      </c>
      <c r="C574" s="11">
        <v>107</v>
      </c>
      <c r="D574" s="11" t="s">
        <v>1463</v>
      </c>
      <c r="E574" s="11">
        <v>9387707733</v>
      </c>
      <c r="F574" s="11" t="s">
        <v>30</v>
      </c>
      <c r="G574" s="11" t="s">
        <v>384</v>
      </c>
      <c r="H574" s="11">
        <v>4</v>
      </c>
      <c r="I574" s="12">
        <v>43139</v>
      </c>
      <c r="J574" s="2">
        <v>3</v>
      </c>
      <c r="K574" s="11">
        <v>3140</v>
      </c>
      <c r="L574" s="11" t="s">
        <v>1464</v>
      </c>
      <c r="M574" s="11" t="s">
        <v>27</v>
      </c>
      <c r="N574" s="12">
        <v>43143</v>
      </c>
      <c r="O574" s="12">
        <v>43143</v>
      </c>
      <c r="P574" s="11">
        <v>3</v>
      </c>
      <c r="Q574" s="11" t="s">
        <v>382</v>
      </c>
    </row>
    <row r="575" spans="1:17" ht="13" hidden="1" x14ac:dyDescent="0.15">
      <c r="A575" s="10">
        <v>43231.672132870372</v>
      </c>
      <c r="B575" s="11" t="s">
        <v>1465</v>
      </c>
      <c r="C575" s="11">
        <v>127</v>
      </c>
      <c r="D575" s="11" t="s">
        <v>1466</v>
      </c>
      <c r="E575" s="11">
        <v>9447565969</v>
      </c>
      <c r="F575" s="11" t="s">
        <v>56</v>
      </c>
      <c r="G575" s="11" t="s">
        <v>36</v>
      </c>
      <c r="H575" s="11">
        <v>20</v>
      </c>
      <c r="I575" s="12">
        <v>43146</v>
      </c>
      <c r="J575" s="2">
        <v>3</v>
      </c>
      <c r="K575" s="11">
        <v>1146453015484</v>
      </c>
      <c r="L575" s="11" t="s">
        <v>1467</v>
      </c>
      <c r="M575" s="11" t="s">
        <v>27</v>
      </c>
      <c r="N575" s="12">
        <v>43231</v>
      </c>
      <c r="O575" s="12">
        <v>43231</v>
      </c>
      <c r="P575" s="11">
        <v>3</v>
      </c>
      <c r="Q575" s="11" t="s">
        <v>1465</v>
      </c>
    </row>
    <row r="576" spans="1:17" ht="13" hidden="1" x14ac:dyDescent="0.15">
      <c r="A576" s="10">
        <v>43231.692040439812</v>
      </c>
      <c r="B576" s="11" t="s">
        <v>206</v>
      </c>
      <c r="C576" s="11">
        <v>147</v>
      </c>
      <c r="D576" s="11" t="s">
        <v>1468</v>
      </c>
      <c r="E576" s="11">
        <v>8078213924</v>
      </c>
      <c r="F576" s="11" t="s">
        <v>61</v>
      </c>
      <c r="G576" s="11" t="s">
        <v>208</v>
      </c>
      <c r="H576" s="11">
        <v>38</v>
      </c>
      <c r="I576" s="12">
        <v>43222</v>
      </c>
      <c r="J576" s="2">
        <v>5</v>
      </c>
      <c r="K576" s="11">
        <v>1155342018036</v>
      </c>
      <c r="L576" s="11" t="s">
        <v>1469</v>
      </c>
      <c r="M576" s="11" t="s">
        <v>27</v>
      </c>
      <c r="N576" s="12">
        <v>43111</v>
      </c>
      <c r="O576" s="12">
        <v>43111</v>
      </c>
      <c r="P576" s="11">
        <v>5</v>
      </c>
      <c r="Q576" s="11" t="s">
        <v>206</v>
      </c>
    </row>
    <row r="577" spans="1:17" ht="13" hidden="1" x14ac:dyDescent="0.15">
      <c r="A577" s="10">
        <v>43231.735609629628</v>
      </c>
      <c r="B577" s="11" t="s">
        <v>371</v>
      </c>
      <c r="C577" s="11">
        <v>887</v>
      </c>
      <c r="D577" s="11" t="s">
        <v>1471</v>
      </c>
      <c r="E577" s="11">
        <v>8547564126</v>
      </c>
      <c r="F577" s="11" t="s">
        <v>73</v>
      </c>
      <c r="G577" s="11" t="s">
        <v>215</v>
      </c>
      <c r="H577" s="11">
        <v>27</v>
      </c>
      <c r="I577" s="12">
        <v>43228</v>
      </c>
      <c r="J577" s="2">
        <v>5</v>
      </c>
      <c r="K577" s="11">
        <v>1145621002163</v>
      </c>
      <c r="L577" s="11" t="s">
        <v>1472</v>
      </c>
      <c r="M577" s="11" t="s">
        <v>27</v>
      </c>
      <c r="N577" s="12">
        <v>43212</v>
      </c>
      <c r="O577" s="12">
        <v>43212</v>
      </c>
      <c r="P577" s="11">
        <v>5</v>
      </c>
      <c r="Q577" s="11" t="s">
        <v>371</v>
      </c>
    </row>
    <row r="578" spans="1:17" ht="13" hidden="1" x14ac:dyDescent="0.15">
      <c r="A578" s="10">
        <v>43231.739256342596</v>
      </c>
      <c r="B578" s="11" t="s">
        <v>371</v>
      </c>
      <c r="C578" s="11">
        <v>1071</v>
      </c>
      <c r="D578" s="11" t="s">
        <v>1473</v>
      </c>
      <c r="E578" s="11">
        <v>8547564126</v>
      </c>
      <c r="F578" s="11" t="s">
        <v>266</v>
      </c>
      <c r="G578" s="11" t="s">
        <v>215</v>
      </c>
      <c r="H578" s="11">
        <v>27</v>
      </c>
      <c r="I578" s="12">
        <v>43217</v>
      </c>
      <c r="J578" s="2">
        <v>3</v>
      </c>
      <c r="K578" s="11">
        <v>1165988017794</v>
      </c>
      <c r="L578" s="11" t="s">
        <v>1474</v>
      </c>
      <c r="M578" s="11" t="s">
        <v>27</v>
      </c>
      <c r="N578" s="12">
        <v>43217</v>
      </c>
      <c r="O578" s="12">
        <v>43217</v>
      </c>
      <c r="P578" s="11">
        <v>3</v>
      </c>
      <c r="Q578" s="11" t="s">
        <v>371</v>
      </c>
    </row>
    <row r="579" spans="1:17" ht="13" hidden="1" x14ac:dyDescent="0.15">
      <c r="A579" s="10">
        <v>43232.476598009263</v>
      </c>
      <c r="B579" s="11" t="s">
        <v>303</v>
      </c>
      <c r="C579" s="11">
        <v>888</v>
      </c>
      <c r="D579" s="11" t="s">
        <v>1475</v>
      </c>
      <c r="E579" s="11">
        <v>8943969696</v>
      </c>
      <c r="F579" s="11" t="s">
        <v>266</v>
      </c>
      <c r="G579" s="11" t="s">
        <v>280</v>
      </c>
      <c r="H579" s="11">
        <v>66</v>
      </c>
      <c r="I579" s="12">
        <v>43229</v>
      </c>
      <c r="J579" s="2">
        <v>10</v>
      </c>
      <c r="K579" s="11">
        <v>1166205034368</v>
      </c>
      <c r="L579" s="11" t="s">
        <v>1476</v>
      </c>
      <c r="M579" s="11" t="s">
        <v>27</v>
      </c>
      <c r="N579" s="12">
        <v>43209</v>
      </c>
      <c r="O579" s="12">
        <v>43209</v>
      </c>
      <c r="P579" s="11">
        <v>10</v>
      </c>
      <c r="Q579" s="11" t="s">
        <v>303</v>
      </c>
    </row>
    <row r="580" spans="1:17" ht="13" hidden="1" x14ac:dyDescent="0.15">
      <c r="A580" s="10">
        <v>43232.518981597226</v>
      </c>
      <c r="B580" s="11" t="s">
        <v>1477</v>
      </c>
      <c r="C580" s="11">
        <v>382</v>
      </c>
      <c r="D580" s="11" t="s">
        <v>1478</v>
      </c>
      <c r="E580" s="11">
        <v>9349299199</v>
      </c>
      <c r="F580" s="11" t="s">
        <v>35</v>
      </c>
      <c r="G580" s="11" t="s">
        <v>509</v>
      </c>
      <c r="H580" s="11">
        <v>12</v>
      </c>
      <c r="I580" s="12">
        <v>43225</v>
      </c>
      <c r="J580" s="2">
        <v>5</v>
      </c>
      <c r="K580" s="11">
        <v>1155864019852</v>
      </c>
      <c r="L580" s="11" t="s">
        <v>1479</v>
      </c>
      <c r="M580" s="11" t="s">
        <v>27</v>
      </c>
      <c r="N580" s="12">
        <v>43232</v>
      </c>
      <c r="O580" s="12">
        <v>43232</v>
      </c>
      <c r="P580" s="11">
        <v>5</v>
      </c>
      <c r="Q580" s="11" t="s">
        <v>1480</v>
      </c>
    </row>
    <row r="581" spans="1:17" ht="13" hidden="1" x14ac:dyDescent="0.15">
      <c r="A581" s="10">
        <v>43232.523530162041</v>
      </c>
      <c r="B581" s="11" t="s">
        <v>303</v>
      </c>
      <c r="C581" s="11">
        <v>808</v>
      </c>
      <c r="D581" s="11" t="s">
        <v>1481</v>
      </c>
      <c r="E581" s="11">
        <v>9847184847</v>
      </c>
      <c r="F581" s="11" t="s">
        <v>287</v>
      </c>
      <c r="G581" s="11" t="s">
        <v>280</v>
      </c>
      <c r="H581" s="11">
        <v>66</v>
      </c>
      <c r="I581" s="12">
        <v>43201</v>
      </c>
      <c r="J581" s="2">
        <v>2</v>
      </c>
      <c r="K581" s="11">
        <v>1166695009753</v>
      </c>
      <c r="L581" s="11" t="s">
        <v>852</v>
      </c>
      <c r="M581" s="11" t="s">
        <v>27</v>
      </c>
      <c r="N581" s="12">
        <v>43201</v>
      </c>
      <c r="O581" s="12">
        <v>43201</v>
      </c>
      <c r="P581" s="11">
        <v>2</v>
      </c>
      <c r="Q581" s="11" t="s">
        <v>303</v>
      </c>
    </row>
    <row r="582" spans="1:17" ht="13" hidden="1" x14ac:dyDescent="0.15">
      <c r="A582" s="10">
        <v>43232.525660983796</v>
      </c>
      <c r="B582" s="11" t="s">
        <v>1482</v>
      </c>
      <c r="C582" s="11">
        <v>938</v>
      </c>
      <c r="D582" s="11" t="s">
        <v>1483</v>
      </c>
      <c r="E582" s="11">
        <v>9446445493</v>
      </c>
      <c r="F582" s="11" t="s">
        <v>35</v>
      </c>
      <c r="G582" s="11" t="s">
        <v>509</v>
      </c>
      <c r="H582" s="11">
        <v>12</v>
      </c>
      <c r="I582" s="12">
        <v>43225</v>
      </c>
      <c r="J582" s="2">
        <v>2</v>
      </c>
      <c r="K582" s="11">
        <v>1155866005912</v>
      </c>
      <c r="L582" s="11" t="s">
        <v>1479</v>
      </c>
      <c r="M582" s="11" t="s">
        <v>27</v>
      </c>
      <c r="N582" s="12">
        <v>43231</v>
      </c>
      <c r="O582" s="12">
        <v>43231</v>
      </c>
      <c r="P582" s="11">
        <v>2</v>
      </c>
      <c r="Q582" s="11" t="s">
        <v>1477</v>
      </c>
    </row>
    <row r="583" spans="1:17" ht="13" hidden="1" x14ac:dyDescent="0.15">
      <c r="A583" s="10">
        <v>43232.53408996528</v>
      </c>
      <c r="B583" s="11" t="s">
        <v>1485</v>
      </c>
      <c r="C583" s="11">
        <v>618</v>
      </c>
      <c r="D583" s="11" t="s">
        <v>1486</v>
      </c>
      <c r="E583" s="11">
        <v>9447290465</v>
      </c>
      <c r="F583" s="11" t="s">
        <v>35</v>
      </c>
      <c r="G583" s="11" t="s">
        <v>509</v>
      </c>
      <c r="H583" s="11">
        <v>12</v>
      </c>
      <c r="I583" s="12">
        <v>43184</v>
      </c>
      <c r="J583" s="2">
        <v>2</v>
      </c>
      <c r="K583" s="11">
        <v>1155514018741</v>
      </c>
      <c r="L583" s="11" t="s">
        <v>828</v>
      </c>
      <c r="M583" s="11" t="s">
        <v>27</v>
      </c>
      <c r="N583" s="12">
        <v>43201</v>
      </c>
      <c r="O583" s="12">
        <v>43201</v>
      </c>
      <c r="P583" s="11">
        <v>2</v>
      </c>
      <c r="Q583" s="11" t="s">
        <v>1477</v>
      </c>
    </row>
    <row r="584" spans="1:17" ht="13" hidden="1" x14ac:dyDescent="0.15">
      <c r="A584" s="10">
        <v>43232.543346678242</v>
      </c>
      <c r="B584" s="11" t="s">
        <v>1487</v>
      </c>
      <c r="C584" s="11">
        <v>1040</v>
      </c>
      <c r="D584" s="11" t="s">
        <v>1488</v>
      </c>
      <c r="E584" s="11">
        <v>9895722216</v>
      </c>
      <c r="F584" s="11" t="s">
        <v>35</v>
      </c>
      <c r="G584" s="11" t="s">
        <v>509</v>
      </c>
      <c r="H584" s="11">
        <v>12</v>
      </c>
      <c r="I584" s="12">
        <v>43225</v>
      </c>
      <c r="J584" s="2">
        <v>3</v>
      </c>
      <c r="K584" s="11">
        <v>1157326008279</v>
      </c>
      <c r="L584" s="11" t="s">
        <v>310</v>
      </c>
      <c r="M584" s="11" t="s">
        <v>27</v>
      </c>
      <c r="N584" s="12">
        <v>43217</v>
      </c>
      <c r="O584" s="12">
        <v>43217</v>
      </c>
      <c r="P584" s="11">
        <v>3</v>
      </c>
      <c r="Q584" s="11" t="s">
        <v>1477</v>
      </c>
    </row>
    <row r="585" spans="1:17" ht="13" hidden="1" x14ac:dyDescent="0.15">
      <c r="A585" s="10">
        <v>43232.545680347219</v>
      </c>
      <c r="B585" s="11" t="s">
        <v>303</v>
      </c>
      <c r="C585" s="11">
        <v>898</v>
      </c>
      <c r="D585" s="11" t="s">
        <v>1489</v>
      </c>
      <c r="E585" s="11">
        <v>971506716716869</v>
      </c>
      <c r="F585" s="11" t="s">
        <v>287</v>
      </c>
      <c r="G585" s="11" t="s">
        <v>280</v>
      </c>
      <c r="H585" s="11">
        <v>66</v>
      </c>
      <c r="I585" s="12">
        <v>43230</v>
      </c>
      <c r="J585" s="2">
        <v>15</v>
      </c>
      <c r="K585" s="11">
        <v>1166437014728</v>
      </c>
      <c r="L585" s="11" t="s">
        <v>1490</v>
      </c>
      <c r="M585" s="11" t="s">
        <v>27</v>
      </c>
      <c r="N585" s="12">
        <v>43214</v>
      </c>
      <c r="O585" s="12">
        <v>43214</v>
      </c>
      <c r="P585" s="11">
        <v>15</v>
      </c>
      <c r="Q585" s="11" t="s">
        <v>303</v>
      </c>
    </row>
    <row r="586" spans="1:17" ht="13" hidden="1" x14ac:dyDescent="0.15">
      <c r="A586" s="10">
        <v>43232.546252418979</v>
      </c>
      <c r="B586" s="11" t="s">
        <v>1487</v>
      </c>
      <c r="C586" s="11">
        <v>1041</v>
      </c>
      <c r="D586" s="11" t="s">
        <v>1488</v>
      </c>
      <c r="E586" s="11">
        <v>9895722216</v>
      </c>
      <c r="F586" s="11" t="s">
        <v>35</v>
      </c>
      <c r="G586" s="11" t="s">
        <v>509</v>
      </c>
      <c r="H586" s="11">
        <v>12</v>
      </c>
      <c r="I586" s="12">
        <v>43225</v>
      </c>
      <c r="J586" s="2">
        <v>3</v>
      </c>
      <c r="K586" s="11">
        <v>1157326008280</v>
      </c>
      <c r="L586" s="11" t="s">
        <v>310</v>
      </c>
      <c r="M586" s="11" t="s">
        <v>27</v>
      </c>
      <c r="N586" s="12">
        <v>43215</v>
      </c>
      <c r="O586" s="12">
        <v>43215</v>
      </c>
      <c r="P586" s="11">
        <v>3</v>
      </c>
      <c r="Q586" s="11" t="s">
        <v>1477</v>
      </c>
    </row>
    <row r="587" spans="1:17" ht="13" hidden="1" x14ac:dyDescent="0.15">
      <c r="A587" s="10">
        <v>43232.552214629628</v>
      </c>
      <c r="B587" s="14" t="s">
        <v>671</v>
      </c>
      <c r="C587" s="11">
        <v>992</v>
      </c>
      <c r="D587" s="11" t="s">
        <v>1491</v>
      </c>
      <c r="E587" s="11">
        <v>9895906096</v>
      </c>
      <c r="F587" s="11" t="s">
        <v>287</v>
      </c>
      <c r="G587" s="11" t="s">
        <v>280</v>
      </c>
      <c r="H587" s="11">
        <v>66</v>
      </c>
      <c r="I587" s="12">
        <v>43230</v>
      </c>
      <c r="J587" s="2">
        <v>2</v>
      </c>
      <c r="K587" s="11">
        <v>1166543019602</v>
      </c>
      <c r="L587" s="11" t="s">
        <v>867</v>
      </c>
      <c r="M587" s="11" t="s">
        <v>27</v>
      </c>
      <c r="N587" s="12">
        <v>43214</v>
      </c>
      <c r="O587" s="12">
        <v>43214</v>
      </c>
      <c r="P587" s="11">
        <v>2</v>
      </c>
      <c r="Q587" s="11" t="s">
        <v>303</v>
      </c>
    </row>
    <row r="588" spans="1:17" ht="13" hidden="1" x14ac:dyDescent="0.15">
      <c r="A588" s="10">
        <v>43232.611743472225</v>
      </c>
      <c r="B588" s="11" t="s">
        <v>303</v>
      </c>
      <c r="C588" s="11">
        <v>951</v>
      </c>
      <c r="D588" s="11" t="s">
        <v>1493</v>
      </c>
      <c r="E588" s="11">
        <v>9562765822</v>
      </c>
      <c r="F588" s="11" t="s">
        <v>287</v>
      </c>
      <c r="G588" s="11" t="s">
        <v>280</v>
      </c>
      <c r="H588" s="11">
        <v>66</v>
      </c>
      <c r="I588" s="12">
        <v>43232</v>
      </c>
      <c r="J588" s="2">
        <v>3</v>
      </c>
      <c r="K588" s="11">
        <v>1166771002998</v>
      </c>
      <c r="L588" s="11" t="s">
        <v>1494</v>
      </c>
      <c r="M588" s="11" t="s">
        <v>27</v>
      </c>
      <c r="N588" s="12">
        <v>43213</v>
      </c>
      <c r="O588" s="12">
        <v>43213</v>
      </c>
      <c r="P588" s="11">
        <v>3</v>
      </c>
      <c r="Q588" s="11" t="s">
        <v>303</v>
      </c>
    </row>
    <row r="589" spans="1:17" ht="13" hidden="1" x14ac:dyDescent="0.15">
      <c r="A589" s="10">
        <v>43234.523744930557</v>
      </c>
      <c r="B589" s="11" t="s">
        <v>1495</v>
      </c>
      <c r="C589" s="11">
        <v>971</v>
      </c>
      <c r="D589" s="11" t="s">
        <v>1496</v>
      </c>
      <c r="E589" s="11">
        <v>9562233099</v>
      </c>
      <c r="F589" s="11" t="s">
        <v>266</v>
      </c>
      <c r="G589" s="11" t="s">
        <v>1497</v>
      </c>
      <c r="H589" s="11">
        <v>47</v>
      </c>
      <c r="I589" s="12">
        <v>43234</v>
      </c>
      <c r="J589" s="2">
        <v>3</v>
      </c>
      <c r="K589" s="11">
        <v>1166049019496</v>
      </c>
      <c r="L589" s="11" t="s">
        <v>1046</v>
      </c>
      <c r="M589" s="11" t="s">
        <v>27</v>
      </c>
      <c r="N589" s="12">
        <v>43229</v>
      </c>
      <c r="O589" s="12">
        <v>43229</v>
      </c>
      <c r="P589" s="11">
        <v>3</v>
      </c>
      <c r="Q589" s="11" t="s">
        <v>1495</v>
      </c>
    </row>
    <row r="590" spans="1:17" ht="13" hidden="1" x14ac:dyDescent="0.15">
      <c r="A590" s="10">
        <v>43234.533032129628</v>
      </c>
      <c r="B590" s="11" t="s">
        <v>1498</v>
      </c>
      <c r="C590" s="11">
        <v>716</v>
      </c>
      <c r="D590" s="11" t="s">
        <v>1499</v>
      </c>
      <c r="E590" s="11">
        <v>7012610990</v>
      </c>
      <c r="F590" s="11" t="s">
        <v>1124</v>
      </c>
      <c r="G590" s="11" t="s">
        <v>1500</v>
      </c>
      <c r="H590" s="11">
        <v>66</v>
      </c>
      <c r="I590" s="12">
        <v>43234</v>
      </c>
      <c r="J590" s="2">
        <v>3</v>
      </c>
      <c r="K590" s="11">
        <v>1167004019089</v>
      </c>
      <c r="L590" s="11" t="s">
        <v>1501</v>
      </c>
      <c r="M590" s="11" t="s">
        <v>27</v>
      </c>
      <c r="N590" s="12">
        <v>43220</v>
      </c>
      <c r="O590" s="12">
        <v>43220</v>
      </c>
      <c r="P590" s="11">
        <v>3</v>
      </c>
      <c r="Q590" s="11" t="s">
        <v>303</v>
      </c>
    </row>
    <row r="591" spans="1:17" ht="13" hidden="1" x14ac:dyDescent="0.15">
      <c r="A591" s="10">
        <v>43234.611153124999</v>
      </c>
      <c r="B591" s="11" t="s">
        <v>340</v>
      </c>
      <c r="C591" s="11">
        <v>1107</v>
      </c>
      <c r="D591" s="11" t="s">
        <v>1502</v>
      </c>
      <c r="E591" s="11">
        <v>8547818161</v>
      </c>
      <c r="F591" s="11" t="s">
        <v>61</v>
      </c>
      <c r="G591" s="11" t="s">
        <v>41</v>
      </c>
      <c r="H591" s="11">
        <v>56</v>
      </c>
      <c r="I591" s="12">
        <v>43230</v>
      </c>
      <c r="J591" s="2">
        <v>5</v>
      </c>
      <c r="K591" s="11">
        <v>1146064014156</v>
      </c>
      <c r="L591" s="11" t="s">
        <v>1503</v>
      </c>
      <c r="M591" s="11" t="s">
        <v>27</v>
      </c>
      <c r="N591" s="12">
        <v>43210</v>
      </c>
      <c r="O591" s="12">
        <v>43210</v>
      </c>
      <c r="P591" s="11">
        <v>5</v>
      </c>
      <c r="Q591" s="11" t="s">
        <v>340</v>
      </c>
    </row>
    <row r="592" spans="1:17" ht="13" hidden="1" x14ac:dyDescent="0.15">
      <c r="A592" s="10">
        <v>43234.646613067132</v>
      </c>
      <c r="B592" s="11" t="s">
        <v>176</v>
      </c>
      <c r="C592" s="11">
        <v>273</v>
      </c>
      <c r="D592" s="11" t="s">
        <v>1504</v>
      </c>
      <c r="E592" s="11">
        <v>9142099977</v>
      </c>
      <c r="F592" s="11" t="s">
        <v>30</v>
      </c>
      <c r="G592" s="11" t="s">
        <v>916</v>
      </c>
      <c r="H592" s="11">
        <v>14</v>
      </c>
      <c r="I592" s="12">
        <v>43234</v>
      </c>
      <c r="J592" s="2">
        <v>10</v>
      </c>
      <c r="K592" s="11">
        <v>1156988013790</v>
      </c>
      <c r="L592" s="11" t="s">
        <v>1505</v>
      </c>
      <c r="M592" s="11" t="s">
        <v>27</v>
      </c>
      <c r="N592" s="12">
        <v>43231</v>
      </c>
      <c r="O592" s="12">
        <v>43231</v>
      </c>
      <c r="P592" s="11">
        <v>10</v>
      </c>
      <c r="Q592" s="11" t="s">
        <v>176</v>
      </c>
    </row>
    <row r="593" spans="1:19" ht="13" hidden="1" x14ac:dyDescent="0.15">
      <c r="A593" s="10">
        <v>43234.65657741898</v>
      </c>
      <c r="B593" s="11" t="s">
        <v>563</v>
      </c>
      <c r="C593" s="11">
        <v>869</v>
      </c>
      <c r="D593" s="11" t="s">
        <v>1506</v>
      </c>
      <c r="E593" s="11">
        <v>9061327111</v>
      </c>
      <c r="F593" s="11" t="s">
        <v>287</v>
      </c>
      <c r="G593" s="11" t="s">
        <v>692</v>
      </c>
      <c r="H593" s="11">
        <v>18</v>
      </c>
      <c r="I593" s="12">
        <v>43234</v>
      </c>
      <c r="J593" s="2">
        <v>3</v>
      </c>
      <c r="K593" s="11">
        <v>1166808035287</v>
      </c>
      <c r="L593" s="11">
        <v>6680</v>
      </c>
      <c r="M593" s="11" t="s">
        <v>27</v>
      </c>
      <c r="N593" s="12">
        <v>43192</v>
      </c>
      <c r="O593" s="12">
        <v>43192</v>
      </c>
      <c r="P593" s="11">
        <v>3</v>
      </c>
      <c r="Q593" s="11" t="s">
        <v>563</v>
      </c>
    </row>
    <row r="594" spans="1:19" ht="13" hidden="1" x14ac:dyDescent="0.15">
      <c r="A594" s="10">
        <v>43234.690394155092</v>
      </c>
      <c r="B594" s="11" t="s">
        <v>371</v>
      </c>
      <c r="C594" s="11">
        <v>1136</v>
      </c>
      <c r="D594" s="11" t="s">
        <v>1508</v>
      </c>
      <c r="E594" s="11">
        <v>8547564126</v>
      </c>
      <c r="F594" s="11" t="s">
        <v>182</v>
      </c>
      <c r="G594" s="11" t="s">
        <v>215</v>
      </c>
      <c r="H594" s="11">
        <v>27</v>
      </c>
      <c r="I594" s="12">
        <v>43234</v>
      </c>
      <c r="J594" s="2">
        <v>3</v>
      </c>
      <c r="K594" s="11">
        <v>1165777008791</v>
      </c>
      <c r="L594" s="11" t="s">
        <v>1509</v>
      </c>
      <c r="M594" s="11" t="s">
        <v>27</v>
      </c>
      <c r="N594" s="12">
        <v>43234</v>
      </c>
      <c r="O594" s="12">
        <v>43234</v>
      </c>
      <c r="P594" s="11">
        <v>3</v>
      </c>
      <c r="Q594" s="11" t="s">
        <v>371</v>
      </c>
    </row>
    <row r="595" spans="1:19" ht="13" hidden="1" x14ac:dyDescent="0.15">
      <c r="A595" s="10">
        <v>43235.606824490736</v>
      </c>
      <c r="B595" s="11" t="s">
        <v>303</v>
      </c>
      <c r="C595" s="11">
        <v>893</v>
      </c>
      <c r="D595" s="11" t="s">
        <v>1510</v>
      </c>
      <c r="E595" s="11">
        <v>9446646769</v>
      </c>
      <c r="F595" s="11" t="s">
        <v>266</v>
      </c>
      <c r="G595" s="11" t="s">
        <v>280</v>
      </c>
      <c r="H595" s="11">
        <v>66</v>
      </c>
      <c r="I595" s="12">
        <v>43231</v>
      </c>
      <c r="J595" s="2">
        <v>2</v>
      </c>
      <c r="K595" s="11">
        <v>1167460008232</v>
      </c>
      <c r="L595" s="11" t="s">
        <v>1511</v>
      </c>
      <c r="M595" s="11" t="s">
        <v>27</v>
      </c>
      <c r="N595" s="12">
        <v>43215</v>
      </c>
      <c r="O595" s="12">
        <v>43215</v>
      </c>
      <c r="P595" s="11">
        <v>2</v>
      </c>
      <c r="Q595" s="11" t="s">
        <v>303</v>
      </c>
    </row>
    <row r="596" spans="1:19" ht="13" hidden="1" x14ac:dyDescent="0.15">
      <c r="A596" s="10">
        <v>43235.645615833331</v>
      </c>
      <c r="B596" s="11" t="s">
        <v>303</v>
      </c>
      <c r="C596" s="11">
        <v>247</v>
      </c>
      <c r="D596" s="11" t="s">
        <v>1512</v>
      </c>
      <c r="E596" s="11">
        <v>9745500145</v>
      </c>
      <c r="F596" s="11" t="s">
        <v>1124</v>
      </c>
      <c r="G596" s="11" t="s">
        <v>280</v>
      </c>
      <c r="H596" s="11">
        <v>66</v>
      </c>
      <c r="I596" s="12">
        <v>43235</v>
      </c>
      <c r="J596" s="2">
        <v>3</v>
      </c>
      <c r="K596" s="11">
        <v>116695007544</v>
      </c>
      <c r="L596" s="11" t="s">
        <v>1304</v>
      </c>
      <c r="M596" s="11" t="s">
        <v>27</v>
      </c>
      <c r="N596" s="12">
        <v>43167</v>
      </c>
      <c r="O596" s="12">
        <v>43167</v>
      </c>
      <c r="P596" s="11">
        <v>3</v>
      </c>
      <c r="Q596" s="11" t="s">
        <v>303</v>
      </c>
    </row>
    <row r="597" spans="1:19" ht="13" hidden="1" x14ac:dyDescent="0.15">
      <c r="A597" s="10">
        <v>43235.6864799537</v>
      </c>
      <c r="B597" s="11" t="s">
        <v>1513</v>
      </c>
      <c r="C597" s="11">
        <v>1042</v>
      </c>
      <c r="D597" s="11" t="s">
        <v>1514</v>
      </c>
      <c r="E597" s="11">
        <v>9447896007</v>
      </c>
      <c r="F597" s="11" t="s">
        <v>56</v>
      </c>
      <c r="G597" s="11" t="s">
        <v>1515</v>
      </c>
      <c r="H597" s="11">
        <v>30</v>
      </c>
      <c r="I597" s="12">
        <v>43229</v>
      </c>
      <c r="J597" s="2">
        <v>2</v>
      </c>
      <c r="K597" s="11">
        <v>1146463001458</v>
      </c>
      <c r="L597" s="11">
        <v>4646</v>
      </c>
      <c r="M597" s="11" t="s">
        <v>27</v>
      </c>
      <c r="N597" s="12">
        <v>43195</v>
      </c>
      <c r="O597" s="12">
        <v>43195</v>
      </c>
      <c r="P597" s="11">
        <v>2</v>
      </c>
      <c r="Q597" s="11" t="s">
        <v>1513</v>
      </c>
    </row>
    <row r="598" spans="1:19" ht="13" x14ac:dyDescent="0.15">
      <c r="A598" s="10">
        <v>43235.708417789356</v>
      </c>
      <c r="B598" s="11" t="s">
        <v>227</v>
      </c>
      <c r="C598" s="11">
        <v>368</v>
      </c>
      <c r="D598" s="11" t="s">
        <v>1516</v>
      </c>
      <c r="E598" s="11">
        <v>8137874406</v>
      </c>
      <c r="F598" s="11" t="s">
        <v>24</v>
      </c>
      <c r="G598" s="11" t="s">
        <v>157</v>
      </c>
      <c r="H598" s="11">
        <v>42</v>
      </c>
      <c r="I598" s="12">
        <v>43189</v>
      </c>
      <c r="J598" s="2">
        <v>2</v>
      </c>
      <c r="K598" s="11">
        <v>1145500005380</v>
      </c>
      <c r="L598" s="11" t="s">
        <v>1517</v>
      </c>
      <c r="M598" s="11" t="s">
        <v>27</v>
      </c>
      <c r="N598" s="12">
        <v>43190</v>
      </c>
      <c r="O598" s="12">
        <v>43190</v>
      </c>
      <c r="P598" s="11">
        <v>2</v>
      </c>
      <c r="Q598" s="11" t="s">
        <v>227</v>
      </c>
    </row>
    <row r="599" spans="1:19" ht="13" hidden="1" x14ac:dyDescent="0.15">
      <c r="A599" s="10">
        <v>43236.426050011578</v>
      </c>
      <c r="B599" s="11" t="s">
        <v>1518</v>
      </c>
      <c r="C599" s="11">
        <v>1047</v>
      </c>
      <c r="D599" s="11" t="s">
        <v>1519</v>
      </c>
      <c r="E599" s="11">
        <v>9562233099</v>
      </c>
      <c r="F599" s="11" t="s">
        <v>266</v>
      </c>
      <c r="G599" s="11" t="s">
        <v>272</v>
      </c>
      <c r="H599" s="11">
        <v>47</v>
      </c>
      <c r="I599" s="12">
        <v>43235</v>
      </c>
      <c r="J599" s="2">
        <v>3</v>
      </c>
      <c r="K599" s="11">
        <v>1165951035189</v>
      </c>
      <c r="L599" s="11" t="s">
        <v>378</v>
      </c>
      <c r="M599" s="11" t="s">
        <v>27</v>
      </c>
      <c r="N599" s="12">
        <v>43227</v>
      </c>
      <c r="O599" s="12">
        <v>43227</v>
      </c>
      <c r="P599" s="11">
        <v>3</v>
      </c>
      <c r="Q599" s="11" t="s">
        <v>1518</v>
      </c>
    </row>
    <row r="600" spans="1:19" ht="13" hidden="1" x14ac:dyDescent="0.15">
      <c r="A600" s="10">
        <v>43236.56940876157</v>
      </c>
      <c r="B600" s="11" t="s">
        <v>98</v>
      </c>
      <c r="C600" s="11">
        <v>902</v>
      </c>
      <c r="D600" s="11" t="s">
        <v>1521</v>
      </c>
      <c r="E600" s="11">
        <v>9446336196</v>
      </c>
      <c r="F600" s="11" t="s">
        <v>182</v>
      </c>
      <c r="G600" s="11" t="s">
        <v>1522</v>
      </c>
      <c r="H600" s="11">
        <v>69</v>
      </c>
      <c r="I600" s="12">
        <v>43220</v>
      </c>
      <c r="J600" s="2">
        <v>3</v>
      </c>
      <c r="K600" s="11">
        <v>1165628038591</v>
      </c>
      <c r="L600" s="11" t="s">
        <v>1523</v>
      </c>
      <c r="M600" s="11" t="s">
        <v>27</v>
      </c>
      <c r="N600" s="12">
        <v>43218</v>
      </c>
      <c r="O600" s="12">
        <v>43218</v>
      </c>
      <c r="P600" s="11">
        <v>3</v>
      </c>
      <c r="Q600" s="11" t="s">
        <v>98</v>
      </c>
    </row>
    <row r="601" spans="1:19" ht="13" hidden="1" x14ac:dyDescent="0.15">
      <c r="A601" s="10">
        <v>43236.593687002314</v>
      </c>
      <c r="B601" s="11" t="s">
        <v>303</v>
      </c>
      <c r="C601" s="11">
        <v>723</v>
      </c>
      <c r="D601" s="11" t="s">
        <v>1524</v>
      </c>
      <c r="E601" s="11">
        <v>9895227420</v>
      </c>
      <c r="F601" s="11" t="s">
        <v>287</v>
      </c>
      <c r="G601" s="11" t="s">
        <v>280</v>
      </c>
      <c r="H601" s="11">
        <v>66</v>
      </c>
      <c r="I601" s="12">
        <v>43234</v>
      </c>
      <c r="J601" s="2">
        <v>3</v>
      </c>
      <c r="K601" s="11">
        <v>1166687020869</v>
      </c>
      <c r="L601" s="11" t="s">
        <v>1525</v>
      </c>
      <c r="M601" s="11" t="s">
        <v>27</v>
      </c>
      <c r="N601" s="12">
        <v>43194</v>
      </c>
      <c r="O601" s="12">
        <v>43194</v>
      </c>
      <c r="P601" s="11">
        <v>3</v>
      </c>
      <c r="Q601" s="11" t="s">
        <v>303</v>
      </c>
    </row>
    <row r="602" spans="1:19" ht="13" hidden="1" x14ac:dyDescent="0.15">
      <c r="A602" s="10">
        <v>43236.606623055559</v>
      </c>
      <c r="B602" s="11" t="s">
        <v>303</v>
      </c>
      <c r="C602" s="11">
        <v>577</v>
      </c>
      <c r="D602" s="11" t="s">
        <v>1526</v>
      </c>
      <c r="E602" s="11">
        <v>9447151788</v>
      </c>
      <c r="F602" s="11" t="s">
        <v>287</v>
      </c>
      <c r="G602" s="11" t="s">
        <v>280</v>
      </c>
      <c r="H602" s="11">
        <v>66</v>
      </c>
      <c r="I602" s="12">
        <v>43210</v>
      </c>
      <c r="J602" s="2">
        <v>5</v>
      </c>
      <c r="K602" s="11">
        <v>1166585020061</v>
      </c>
      <c r="L602" s="11" t="s">
        <v>1154</v>
      </c>
      <c r="M602" s="11" t="s">
        <v>27</v>
      </c>
      <c r="N602" s="12">
        <v>43175</v>
      </c>
      <c r="O602" s="12">
        <v>43175</v>
      </c>
      <c r="P602" s="11">
        <v>5</v>
      </c>
      <c r="Q602" s="11" t="s">
        <v>303</v>
      </c>
    </row>
    <row r="603" spans="1:19" ht="13" hidden="1" x14ac:dyDescent="0.15">
      <c r="A603" s="10">
        <v>43236.624730439813</v>
      </c>
      <c r="B603" s="11" t="s">
        <v>303</v>
      </c>
      <c r="C603" s="11">
        <v>629</v>
      </c>
      <c r="D603" s="11" t="s">
        <v>1527</v>
      </c>
      <c r="E603" s="11">
        <v>9447883221</v>
      </c>
      <c r="F603" s="11" t="s">
        <v>287</v>
      </c>
      <c r="G603" s="11" t="s">
        <v>280</v>
      </c>
      <c r="H603" s="11">
        <v>66</v>
      </c>
      <c r="I603" s="12">
        <v>43234</v>
      </c>
      <c r="J603" s="2">
        <v>3</v>
      </c>
      <c r="K603" s="11">
        <v>1166801003655</v>
      </c>
      <c r="L603" s="11" t="s">
        <v>1528</v>
      </c>
      <c r="M603" s="11" t="s">
        <v>27</v>
      </c>
      <c r="N603" s="12">
        <v>43183</v>
      </c>
      <c r="O603" s="12">
        <v>43183</v>
      </c>
      <c r="P603" s="11">
        <v>3</v>
      </c>
      <c r="Q603" s="11" t="s">
        <v>303</v>
      </c>
    </row>
    <row r="604" spans="1:19" ht="13" hidden="1" x14ac:dyDescent="0.15">
      <c r="A604" s="10">
        <v>43236.629726840278</v>
      </c>
      <c r="B604" s="11" t="s">
        <v>185</v>
      </c>
      <c r="C604" s="11">
        <v>1061</v>
      </c>
      <c r="D604" s="11" t="s">
        <v>1529</v>
      </c>
      <c r="E604" s="11">
        <v>8943555146</v>
      </c>
      <c r="F604" s="11" t="s">
        <v>30</v>
      </c>
      <c r="G604" s="11" t="s">
        <v>952</v>
      </c>
      <c r="H604" s="11">
        <v>20</v>
      </c>
      <c r="I604" s="12">
        <v>43195</v>
      </c>
      <c r="J604" s="2">
        <v>3</v>
      </c>
      <c r="K604" s="11">
        <v>1156771021009</v>
      </c>
      <c r="L604" s="11" t="s">
        <v>284</v>
      </c>
      <c r="M604" s="11" t="s">
        <v>27</v>
      </c>
      <c r="N604" s="12">
        <v>43225</v>
      </c>
      <c r="O604" s="12">
        <v>43225</v>
      </c>
      <c r="P604" s="11">
        <v>3</v>
      </c>
      <c r="Q604" s="11" t="s">
        <v>185</v>
      </c>
    </row>
    <row r="605" spans="1:19" ht="13" hidden="1" x14ac:dyDescent="0.15">
      <c r="A605" s="10">
        <v>43236.636953645837</v>
      </c>
      <c r="B605" s="11" t="s">
        <v>303</v>
      </c>
      <c r="C605" s="11">
        <v>988</v>
      </c>
      <c r="D605" s="11" t="s">
        <v>1530</v>
      </c>
      <c r="E605" s="11">
        <v>9947778014</v>
      </c>
      <c r="F605" s="11" t="s">
        <v>287</v>
      </c>
      <c r="G605" s="11" t="s">
        <v>280</v>
      </c>
      <c r="H605" s="11">
        <v>66</v>
      </c>
      <c r="I605" s="12">
        <v>43234</v>
      </c>
      <c r="J605" s="2">
        <v>5</v>
      </c>
      <c r="K605" s="11">
        <v>1166543023522</v>
      </c>
      <c r="L605" s="11" t="s">
        <v>867</v>
      </c>
      <c r="M605" s="11" t="s">
        <v>27</v>
      </c>
      <c r="N605" s="12">
        <v>43197</v>
      </c>
      <c r="O605" s="12">
        <v>219609</v>
      </c>
      <c r="P605" s="11">
        <v>5</v>
      </c>
      <c r="Q605" s="11" t="s">
        <v>303</v>
      </c>
    </row>
    <row r="606" spans="1:19" ht="13" x14ac:dyDescent="0.15">
      <c r="A606" s="10">
        <v>43236.693835150465</v>
      </c>
      <c r="B606" s="11" t="s">
        <v>303</v>
      </c>
      <c r="C606" s="11">
        <v>676</v>
      </c>
      <c r="D606" s="11" t="s">
        <v>1531</v>
      </c>
      <c r="E606" s="11">
        <v>9497849643</v>
      </c>
      <c r="F606" s="11" t="s">
        <v>24</v>
      </c>
      <c r="G606" s="11" t="s">
        <v>280</v>
      </c>
      <c r="H606" s="11">
        <v>66</v>
      </c>
      <c r="I606" s="12">
        <v>43218</v>
      </c>
      <c r="J606" s="2">
        <v>3</v>
      </c>
      <c r="K606" s="11">
        <v>1145118010573</v>
      </c>
      <c r="L606" s="11" t="s">
        <v>823</v>
      </c>
      <c r="M606" s="11" t="s">
        <v>27</v>
      </c>
      <c r="N606" s="12">
        <v>43195</v>
      </c>
      <c r="O606" s="12">
        <v>43195</v>
      </c>
      <c r="P606" s="11">
        <v>3</v>
      </c>
      <c r="Q606" s="11" t="s">
        <v>303</v>
      </c>
    </row>
    <row r="607" spans="1:19" ht="13" hidden="1" x14ac:dyDescent="0.15">
      <c r="A607" s="10">
        <v>43236.790026863426</v>
      </c>
      <c r="B607" s="11" t="s">
        <v>1533</v>
      </c>
      <c r="C607" s="11">
        <v>617</v>
      </c>
      <c r="D607" s="11" t="s">
        <v>1534</v>
      </c>
      <c r="E607" s="11">
        <v>9447721952</v>
      </c>
      <c r="F607" s="11" t="s">
        <v>35</v>
      </c>
      <c r="G607" s="11" t="s">
        <v>509</v>
      </c>
      <c r="H607" s="11">
        <v>12</v>
      </c>
      <c r="I607" s="12">
        <v>43184</v>
      </c>
      <c r="J607" s="2">
        <v>2</v>
      </c>
      <c r="K607" s="11">
        <v>1155517011334</v>
      </c>
      <c r="L607" s="11" t="s">
        <v>1535</v>
      </c>
      <c r="M607" s="11" t="s">
        <v>27</v>
      </c>
      <c r="N607" s="12">
        <v>43202</v>
      </c>
      <c r="O607" s="12">
        <v>43202</v>
      </c>
      <c r="P607" s="11">
        <v>2</v>
      </c>
      <c r="Q607" s="11" t="s">
        <v>1477</v>
      </c>
    </row>
    <row r="608" spans="1:19" ht="13" x14ac:dyDescent="0.15">
      <c r="A608" s="10">
        <v>43237.217107800927</v>
      </c>
      <c r="B608" s="11" t="s">
        <v>1536</v>
      </c>
      <c r="C608" s="11">
        <v>1020</v>
      </c>
      <c r="D608" s="15" t="s">
        <v>1537</v>
      </c>
      <c r="E608" s="11">
        <v>9048319134</v>
      </c>
      <c r="F608" s="11" t="s">
        <v>24</v>
      </c>
      <c r="G608" s="11" t="s">
        <v>1538</v>
      </c>
      <c r="H608" s="11">
        <v>54</v>
      </c>
      <c r="I608" s="12">
        <v>43229</v>
      </c>
      <c r="J608" s="2">
        <v>3</v>
      </c>
      <c r="K608" s="11">
        <v>1145143005747</v>
      </c>
      <c r="L608" s="11" t="s">
        <v>1539</v>
      </c>
      <c r="M608" s="11" t="s">
        <v>27</v>
      </c>
      <c r="N608" s="12">
        <v>43220</v>
      </c>
      <c r="O608" s="12">
        <v>43220</v>
      </c>
      <c r="P608" s="11">
        <v>3</v>
      </c>
      <c r="Q608" s="11" t="s">
        <v>1540</v>
      </c>
      <c r="S608" s="11" t="s">
        <v>1541</v>
      </c>
    </row>
    <row r="609" spans="1:19" ht="13" hidden="1" x14ac:dyDescent="0.15">
      <c r="A609" s="10">
        <v>43237.51156831019</v>
      </c>
      <c r="B609" s="11" t="s">
        <v>1543</v>
      </c>
      <c r="C609" s="11">
        <v>1092</v>
      </c>
      <c r="D609" s="16" t="s">
        <v>1544</v>
      </c>
      <c r="E609" s="11">
        <v>9562233099</v>
      </c>
      <c r="F609" s="11" t="s">
        <v>35</v>
      </c>
      <c r="G609" s="11" t="s">
        <v>1545</v>
      </c>
      <c r="H609" s="11">
        <v>47</v>
      </c>
      <c r="I609" s="12">
        <v>43236</v>
      </c>
      <c r="J609" s="2">
        <v>3</v>
      </c>
      <c r="K609" s="11">
        <v>1157522005041</v>
      </c>
      <c r="L609" s="11" t="s">
        <v>1546</v>
      </c>
      <c r="M609" s="11" t="s">
        <v>27</v>
      </c>
      <c r="N609" s="12">
        <v>43234</v>
      </c>
      <c r="O609" s="12">
        <v>43234</v>
      </c>
      <c r="P609" s="11">
        <v>5</v>
      </c>
      <c r="Q609" s="11" t="s">
        <v>1543</v>
      </c>
      <c r="S609" s="16" t="s">
        <v>1547</v>
      </c>
    </row>
    <row r="610" spans="1:19" ht="13" hidden="1" x14ac:dyDescent="0.15">
      <c r="A610" s="10">
        <v>43237.588813252311</v>
      </c>
      <c r="B610" s="11" t="s">
        <v>589</v>
      </c>
      <c r="C610" s="11">
        <v>1017</v>
      </c>
      <c r="D610" s="11" t="s">
        <v>1548</v>
      </c>
      <c r="E610" s="11">
        <v>9645322229</v>
      </c>
      <c r="F610" s="11" t="s">
        <v>73</v>
      </c>
      <c r="G610" s="11" t="s">
        <v>369</v>
      </c>
      <c r="H610" s="11">
        <v>38</v>
      </c>
      <c r="I610" s="12">
        <v>43237</v>
      </c>
      <c r="J610" s="2">
        <v>2</v>
      </c>
      <c r="K610" s="11">
        <v>1145608005413</v>
      </c>
      <c r="L610" s="11" t="s">
        <v>1549</v>
      </c>
      <c r="M610" s="11" t="s">
        <v>27</v>
      </c>
      <c r="N610" s="12">
        <v>43237</v>
      </c>
      <c r="O610" s="12">
        <v>43237</v>
      </c>
      <c r="P610" s="11">
        <v>2</v>
      </c>
      <c r="Q610" s="11" t="s">
        <v>589</v>
      </c>
    </row>
    <row r="611" spans="1:19" ht="13" hidden="1" x14ac:dyDescent="0.15">
      <c r="A611" s="10">
        <v>43237.654626076386</v>
      </c>
      <c r="B611" s="11" t="s">
        <v>176</v>
      </c>
      <c r="C611" s="11">
        <v>996</v>
      </c>
      <c r="D611" s="11" t="s">
        <v>1550</v>
      </c>
      <c r="E611" s="11">
        <v>9142099977</v>
      </c>
      <c r="F611" s="11" t="s">
        <v>182</v>
      </c>
      <c r="G611" s="11" t="s">
        <v>916</v>
      </c>
      <c r="H611" s="11">
        <v>14</v>
      </c>
      <c r="I611" s="12">
        <v>43237</v>
      </c>
      <c r="J611" s="2">
        <v>3</v>
      </c>
      <c r="K611" s="11">
        <v>1167390021307</v>
      </c>
      <c r="L611" s="11" t="s">
        <v>1551</v>
      </c>
      <c r="M611" s="11" t="s">
        <v>27</v>
      </c>
      <c r="N611" s="12">
        <v>43236</v>
      </c>
      <c r="O611" s="12">
        <v>43236</v>
      </c>
      <c r="P611" s="11">
        <v>3</v>
      </c>
      <c r="Q611" s="11" t="s">
        <v>176</v>
      </c>
    </row>
    <row r="612" spans="1:19" ht="13" x14ac:dyDescent="0.15">
      <c r="A612" s="10">
        <v>43237.68874109954</v>
      </c>
      <c r="B612" s="11" t="s">
        <v>22</v>
      </c>
      <c r="C612" s="11">
        <v>672</v>
      </c>
      <c r="D612" s="11" t="s">
        <v>1552</v>
      </c>
      <c r="E612" s="11">
        <v>9072666513</v>
      </c>
      <c r="F612" s="11" t="s">
        <v>24</v>
      </c>
      <c r="G612" s="11" t="s">
        <v>101</v>
      </c>
      <c r="H612" s="11">
        <v>54</v>
      </c>
      <c r="I612" s="12">
        <v>43237</v>
      </c>
      <c r="J612" s="2">
        <v>3</v>
      </c>
      <c r="K612" s="11">
        <v>1145195019659</v>
      </c>
      <c r="L612" s="11" t="s">
        <v>26</v>
      </c>
      <c r="M612" s="11" t="s">
        <v>27</v>
      </c>
      <c r="N612" s="12">
        <v>43211</v>
      </c>
      <c r="O612" s="12">
        <v>43211</v>
      </c>
      <c r="P612" s="11">
        <v>3</v>
      </c>
      <c r="Q612" s="11" t="s">
        <v>22</v>
      </c>
    </row>
    <row r="613" spans="1:19" ht="13" hidden="1" x14ac:dyDescent="0.15">
      <c r="A613" s="10">
        <v>43237.732175844911</v>
      </c>
      <c r="B613" s="11" t="s">
        <v>1553</v>
      </c>
      <c r="C613" s="11">
        <v>565</v>
      </c>
      <c r="D613" s="11" t="s">
        <v>1554</v>
      </c>
      <c r="E613" s="11">
        <v>9496962302</v>
      </c>
      <c r="F613" s="11" t="s">
        <v>46</v>
      </c>
      <c r="G613" s="11" t="s">
        <v>952</v>
      </c>
      <c r="H613" s="11">
        <v>20</v>
      </c>
      <c r="I613" s="12">
        <v>43215</v>
      </c>
      <c r="J613" s="2">
        <v>3</v>
      </c>
      <c r="K613" s="11">
        <v>1165330024222</v>
      </c>
      <c r="L613" s="11" t="s">
        <v>1555</v>
      </c>
      <c r="M613" s="11" t="s">
        <v>27</v>
      </c>
      <c r="N613" s="12">
        <v>43235</v>
      </c>
      <c r="O613" s="12">
        <v>43235</v>
      </c>
      <c r="P613" s="11">
        <v>3</v>
      </c>
      <c r="Q613" s="11" t="s">
        <v>1553</v>
      </c>
    </row>
    <row r="614" spans="1:19" ht="13" hidden="1" x14ac:dyDescent="0.15">
      <c r="A614" s="10">
        <v>43238.392402152778</v>
      </c>
      <c r="B614" s="11" t="s">
        <v>303</v>
      </c>
      <c r="C614" s="11">
        <v>423</v>
      </c>
      <c r="D614" s="11" t="s">
        <v>1557</v>
      </c>
      <c r="E614" s="11">
        <v>9447437852</v>
      </c>
      <c r="F614" s="11" t="s">
        <v>1558</v>
      </c>
      <c r="G614" s="11" t="s">
        <v>280</v>
      </c>
      <c r="H614" s="11">
        <v>66</v>
      </c>
      <c r="I614" s="12">
        <v>43235</v>
      </c>
      <c r="J614" s="2">
        <v>2</v>
      </c>
      <c r="K614" s="11">
        <v>1165891026301</v>
      </c>
      <c r="L614" s="11" t="s">
        <v>1559</v>
      </c>
      <c r="M614" s="11" t="s">
        <v>27</v>
      </c>
      <c r="N614" s="12">
        <v>43173</v>
      </c>
      <c r="O614" s="12">
        <v>43173</v>
      </c>
      <c r="P614" s="11">
        <v>2</v>
      </c>
      <c r="Q614" s="11" t="s">
        <v>303</v>
      </c>
    </row>
    <row r="615" spans="1:19" ht="13" x14ac:dyDescent="0.15">
      <c r="A615" s="10">
        <v>43238.429805312495</v>
      </c>
      <c r="B615" s="11" t="s">
        <v>22</v>
      </c>
      <c r="C615" s="11">
        <v>903</v>
      </c>
      <c r="D615" s="11" t="s">
        <v>1560</v>
      </c>
      <c r="E615" s="11">
        <v>9072666513</v>
      </c>
      <c r="F615" s="11" t="s">
        <v>24</v>
      </c>
      <c r="G615" s="11" t="s">
        <v>101</v>
      </c>
      <c r="H615" s="11">
        <v>54</v>
      </c>
      <c r="I615" s="12">
        <v>43238</v>
      </c>
      <c r="J615" s="2">
        <v>5</v>
      </c>
      <c r="K615" s="11">
        <v>1145183024685</v>
      </c>
      <c r="L615" s="11" t="s">
        <v>326</v>
      </c>
      <c r="M615" s="11" t="s">
        <v>27</v>
      </c>
      <c r="N615" s="12">
        <v>43208</v>
      </c>
      <c r="O615" s="12">
        <v>43208</v>
      </c>
      <c r="P615" s="11">
        <v>5</v>
      </c>
      <c r="Q615" s="11" t="s">
        <v>22</v>
      </c>
    </row>
    <row r="616" spans="1:19" ht="13" x14ac:dyDescent="0.15">
      <c r="A616" s="10">
        <v>43238.447379976853</v>
      </c>
      <c r="B616" s="11" t="s">
        <v>22</v>
      </c>
      <c r="C616" s="11">
        <v>1020</v>
      </c>
      <c r="D616" s="15" t="s">
        <v>1561</v>
      </c>
      <c r="E616" s="11">
        <v>9072666513</v>
      </c>
      <c r="F616" s="11" t="s">
        <v>24</v>
      </c>
      <c r="G616" s="11" t="s">
        <v>101</v>
      </c>
      <c r="H616" s="11">
        <v>54</v>
      </c>
      <c r="I616" s="12">
        <v>43238</v>
      </c>
      <c r="J616" s="2">
        <v>3</v>
      </c>
      <c r="K616" s="11">
        <v>1145143005747</v>
      </c>
      <c r="L616" s="11" t="s">
        <v>1562</v>
      </c>
      <c r="M616" s="11" t="s">
        <v>27</v>
      </c>
      <c r="N616" s="12">
        <v>43218</v>
      </c>
      <c r="O616" s="12">
        <v>43218</v>
      </c>
      <c r="P616" s="11">
        <v>3</v>
      </c>
      <c r="Q616" s="11" t="s">
        <v>22</v>
      </c>
    </row>
    <row r="617" spans="1:19" ht="13" x14ac:dyDescent="0.15">
      <c r="A617" s="10">
        <v>43238.456855509256</v>
      </c>
      <c r="B617" s="11" t="s">
        <v>22</v>
      </c>
      <c r="C617" s="11">
        <v>586</v>
      </c>
      <c r="D617" s="11" t="s">
        <v>1563</v>
      </c>
      <c r="E617" s="11">
        <v>9072666513</v>
      </c>
      <c r="F617" s="11" t="s">
        <v>24</v>
      </c>
      <c r="G617" s="11" t="s">
        <v>101</v>
      </c>
      <c r="H617" s="11">
        <v>54</v>
      </c>
      <c r="I617" s="12">
        <v>43238</v>
      </c>
      <c r="J617" s="2">
        <v>2</v>
      </c>
      <c r="K617" s="11">
        <v>1145015005445</v>
      </c>
      <c r="L617" s="11" t="s">
        <v>474</v>
      </c>
      <c r="M617" s="11" t="s">
        <v>27</v>
      </c>
      <c r="N617" s="12">
        <v>43207</v>
      </c>
      <c r="O617" s="12">
        <v>43207</v>
      </c>
      <c r="P617" s="11">
        <v>2</v>
      </c>
      <c r="Q617" s="11" t="s">
        <v>22</v>
      </c>
    </row>
    <row r="618" spans="1:19" ht="13" hidden="1" x14ac:dyDescent="0.15">
      <c r="A618" s="10">
        <v>43238.481591064818</v>
      </c>
      <c r="B618" s="11" t="s">
        <v>176</v>
      </c>
      <c r="C618" s="11">
        <v>18</v>
      </c>
      <c r="D618" s="11" t="s">
        <v>1564</v>
      </c>
      <c r="E618" s="11">
        <v>9142099977</v>
      </c>
      <c r="F618" s="11" t="s">
        <v>266</v>
      </c>
      <c r="G618" s="11" t="s">
        <v>916</v>
      </c>
      <c r="H618" s="11">
        <v>14</v>
      </c>
      <c r="I618" s="12">
        <v>43238</v>
      </c>
      <c r="J618" s="2">
        <v>10</v>
      </c>
      <c r="K618" s="11">
        <v>1165980014695</v>
      </c>
      <c r="L618" s="11" t="s">
        <v>1565</v>
      </c>
      <c r="M618" s="11" t="s">
        <v>27</v>
      </c>
      <c r="N618" s="12">
        <v>43236</v>
      </c>
      <c r="O618" s="12">
        <v>43236</v>
      </c>
      <c r="P618" s="11">
        <v>10</v>
      </c>
      <c r="Q618" s="11" t="s">
        <v>176</v>
      </c>
    </row>
    <row r="619" spans="1:19" ht="13" x14ac:dyDescent="0.15">
      <c r="A619" s="10">
        <v>43238.496976284718</v>
      </c>
      <c r="B619" s="11" t="s">
        <v>371</v>
      </c>
      <c r="C619" s="11">
        <v>1160</v>
      </c>
      <c r="D619" s="11" t="s">
        <v>1566</v>
      </c>
      <c r="E619" s="11">
        <v>8547564126</v>
      </c>
      <c r="F619" s="11" t="s">
        <v>24</v>
      </c>
      <c r="G619" s="11" t="s">
        <v>215</v>
      </c>
      <c r="H619" s="11">
        <v>27</v>
      </c>
      <c r="I619" s="12">
        <v>43231</v>
      </c>
      <c r="J619" s="2">
        <v>5</v>
      </c>
      <c r="K619" s="11">
        <v>1146764010959</v>
      </c>
      <c r="L619" s="11" t="s">
        <v>718</v>
      </c>
      <c r="M619" s="11" t="s">
        <v>27</v>
      </c>
      <c r="N619" s="12">
        <v>43230</v>
      </c>
      <c r="O619" s="12">
        <v>43230</v>
      </c>
      <c r="P619" s="11">
        <v>5</v>
      </c>
      <c r="Q619" s="11" t="s">
        <v>371</v>
      </c>
    </row>
    <row r="620" spans="1:19" ht="13" hidden="1" x14ac:dyDescent="0.15">
      <c r="A620" s="10">
        <v>43238.500870717588</v>
      </c>
      <c r="B620" s="11" t="s">
        <v>371</v>
      </c>
      <c r="C620" s="11">
        <v>987</v>
      </c>
      <c r="D620" s="11" t="s">
        <v>1567</v>
      </c>
      <c r="E620" s="11">
        <v>8547564126</v>
      </c>
      <c r="F620" s="11" t="s">
        <v>30</v>
      </c>
      <c r="G620" s="11" t="s">
        <v>215</v>
      </c>
      <c r="H620" s="11">
        <v>27</v>
      </c>
      <c r="I620" s="12">
        <v>43211</v>
      </c>
      <c r="J620" s="2">
        <v>3</v>
      </c>
      <c r="K620" s="11">
        <v>1156792006199</v>
      </c>
      <c r="L620" s="11" t="s">
        <v>1462</v>
      </c>
      <c r="M620" s="11" t="s">
        <v>27</v>
      </c>
      <c r="N620" s="12">
        <v>43211</v>
      </c>
      <c r="O620" s="12">
        <v>43211</v>
      </c>
      <c r="P620" s="11">
        <v>3</v>
      </c>
      <c r="Q620" s="11" t="s">
        <v>371</v>
      </c>
    </row>
    <row r="621" spans="1:19" ht="13" hidden="1" x14ac:dyDescent="0.15">
      <c r="A621" s="10">
        <v>43238.528814178237</v>
      </c>
      <c r="B621" s="11" t="s">
        <v>192</v>
      </c>
      <c r="C621" s="11">
        <v>970</v>
      </c>
      <c r="D621" s="11" t="s">
        <v>1568</v>
      </c>
      <c r="E621" s="11">
        <v>8943674152</v>
      </c>
      <c r="F621" s="11" t="s">
        <v>30</v>
      </c>
      <c r="G621" s="11" t="s">
        <v>157</v>
      </c>
      <c r="H621" s="11">
        <v>42</v>
      </c>
      <c r="I621" s="12">
        <v>43230</v>
      </c>
      <c r="J621" s="2">
        <v>2</v>
      </c>
      <c r="K621" s="11">
        <v>1156811000277</v>
      </c>
      <c r="L621" s="11" t="s">
        <v>1570</v>
      </c>
      <c r="M621" s="11" t="s">
        <v>27</v>
      </c>
      <c r="N621" s="12">
        <v>43206</v>
      </c>
      <c r="O621" s="12">
        <v>43206</v>
      </c>
      <c r="P621" s="11">
        <v>2</v>
      </c>
      <c r="Q621" s="11" t="s">
        <v>192</v>
      </c>
    </row>
    <row r="622" spans="1:19" ht="13" hidden="1" x14ac:dyDescent="0.15">
      <c r="A622" s="10">
        <v>43238.62997681713</v>
      </c>
      <c r="B622" s="11" t="s">
        <v>469</v>
      </c>
      <c r="C622" s="11">
        <v>1127</v>
      </c>
      <c r="D622" s="11" t="s">
        <v>1571</v>
      </c>
      <c r="E622" s="11">
        <v>9388155155</v>
      </c>
      <c r="F622" s="11" t="s">
        <v>30</v>
      </c>
      <c r="G622" s="11" t="s">
        <v>772</v>
      </c>
      <c r="H622" s="11">
        <v>48</v>
      </c>
      <c r="I622" s="12">
        <v>43234</v>
      </c>
      <c r="J622" s="2">
        <v>10</v>
      </c>
      <c r="K622" s="11">
        <v>1157161009904</v>
      </c>
      <c r="L622" s="11" t="s">
        <v>1572</v>
      </c>
      <c r="M622" s="11" t="s">
        <v>27</v>
      </c>
      <c r="N622" s="12">
        <v>43237</v>
      </c>
      <c r="O622" s="12">
        <v>43237</v>
      </c>
      <c r="P622" s="11">
        <v>10</v>
      </c>
      <c r="Q622" s="11" t="s">
        <v>469</v>
      </c>
    </row>
    <row r="623" spans="1:19" ht="13" x14ac:dyDescent="0.15">
      <c r="A623" s="10">
        <v>43239.448070752318</v>
      </c>
      <c r="B623" s="11" t="s">
        <v>1353</v>
      </c>
      <c r="C623" s="11">
        <v>768</v>
      </c>
      <c r="D623" s="11" t="s">
        <v>1573</v>
      </c>
      <c r="E623" s="11">
        <v>9446393399</v>
      </c>
      <c r="F623" s="11" t="s">
        <v>24</v>
      </c>
      <c r="G623" s="11" t="s">
        <v>52</v>
      </c>
      <c r="H623" s="11">
        <v>38</v>
      </c>
      <c r="I623" s="12">
        <v>43242</v>
      </c>
      <c r="J623" s="2">
        <v>5</v>
      </c>
      <c r="K623" s="11">
        <v>1145079005095</v>
      </c>
      <c r="L623" s="11" t="s">
        <v>460</v>
      </c>
      <c r="M623" s="11" t="s">
        <v>27</v>
      </c>
      <c r="N623" s="12">
        <v>43210</v>
      </c>
      <c r="O623" s="12">
        <v>43210</v>
      </c>
      <c r="P623" s="11">
        <v>5</v>
      </c>
      <c r="Q623" s="11" t="s">
        <v>1353</v>
      </c>
    </row>
    <row r="624" spans="1:19" ht="13" x14ac:dyDescent="0.15">
      <c r="A624" s="10">
        <v>43239.481757881949</v>
      </c>
      <c r="B624" s="11" t="s">
        <v>1574</v>
      </c>
      <c r="C624" s="11">
        <v>370</v>
      </c>
      <c r="D624" s="11" t="s">
        <v>1575</v>
      </c>
      <c r="E624" s="11">
        <v>7907068863</v>
      </c>
      <c r="F624" s="11" t="s">
        <v>24</v>
      </c>
      <c r="G624" s="11" t="s">
        <v>157</v>
      </c>
      <c r="H624" s="11">
        <v>42</v>
      </c>
      <c r="I624" s="12">
        <v>43209</v>
      </c>
      <c r="J624" s="2">
        <v>5</v>
      </c>
      <c r="K624" s="11">
        <v>1145117006779</v>
      </c>
      <c r="L624" s="11" t="s">
        <v>627</v>
      </c>
      <c r="M624" s="11" t="s">
        <v>27</v>
      </c>
      <c r="N624" s="12">
        <v>43179</v>
      </c>
      <c r="O624" s="12">
        <v>43179</v>
      </c>
      <c r="P624" s="11">
        <v>5</v>
      </c>
      <c r="Q624" s="11" t="s">
        <v>1574</v>
      </c>
    </row>
    <row r="625" spans="1:19" ht="13" x14ac:dyDescent="0.15">
      <c r="A625" s="17">
        <v>43239.481898298611</v>
      </c>
      <c r="B625" s="18" t="s">
        <v>1574</v>
      </c>
      <c r="C625" s="18">
        <v>370</v>
      </c>
      <c r="D625" s="18" t="s">
        <v>1575</v>
      </c>
      <c r="E625" s="18">
        <v>7907068863</v>
      </c>
      <c r="F625" s="18" t="s">
        <v>24</v>
      </c>
      <c r="G625" s="18" t="s">
        <v>157</v>
      </c>
      <c r="H625" s="18">
        <v>42</v>
      </c>
      <c r="I625" s="19">
        <v>43209</v>
      </c>
      <c r="J625" s="20">
        <v>5</v>
      </c>
      <c r="K625" s="18">
        <v>1145117006779</v>
      </c>
      <c r="L625" s="18" t="s">
        <v>627</v>
      </c>
      <c r="M625" s="18" t="s">
        <v>27</v>
      </c>
      <c r="N625" s="19">
        <v>43179</v>
      </c>
      <c r="O625" s="19">
        <v>43179</v>
      </c>
      <c r="P625" s="18">
        <v>5</v>
      </c>
      <c r="Q625" s="18" t="s">
        <v>1574</v>
      </c>
      <c r="S625" s="11" t="s">
        <v>1576</v>
      </c>
    </row>
    <row r="626" spans="1:19" ht="13" x14ac:dyDescent="0.15">
      <c r="A626" s="17">
        <v>43239.481927395835</v>
      </c>
      <c r="B626" s="18" t="s">
        <v>1574</v>
      </c>
      <c r="C626" s="18">
        <v>370</v>
      </c>
      <c r="D626" s="18" t="s">
        <v>1575</v>
      </c>
      <c r="E626" s="18">
        <v>7907068863</v>
      </c>
      <c r="F626" s="18" t="s">
        <v>24</v>
      </c>
      <c r="G626" s="18" t="s">
        <v>157</v>
      </c>
      <c r="H626" s="18">
        <v>42</v>
      </c>
      <c r="I626" s="19">
        <v>43209</v>
      </c>
      <c r="J626" s="20">
        <v>5</v>
      </c>
      <c r="K626" s="18">
        <v>1145117006779</v>
      </c>
      <c r="L626" s="18" t="s">
        <v>627</v>
      </c>
      <c r="M626" s="18" t="s">
        <v>27</v>
      </c>
      <c r="N626" s="19">
        <v>43179</v>
      </c>
      <c r="O626" s="19">
        <v>43179</v>
      </c>
      <c r="P626" s="18">
        <v>5</v>
      </c>
      <c r="Q626" s="18" t="s">
        <v>1574</v>
      </c>
      <c r="S626" s="11" t="s">
        <v>1576</v>
      </c>
    </row>
    <row r="627" spans="1:19" ht="13" hidden="1" x14ac:dyDescent="0.15">
      <c r="A627" s="10">
        <v>43239.509499351851</v>
      </c>
      <c r="B627" s="11" t="s">
        <v>1578</v>
      </c>
      <c r="C627" s="11">
        <v>13</v>
      </c>
      <c r="D627" s="11" t="s">
        <v>1579</v>
      </c>
      <c r="E627" s="11">
        <v>9446692481</v>
      </c>
      <c r="F627" s="11" t="s">
        <v>182</v>
      </c>
      <c r="G627" s="11" t="s">
        <v>36</v>
      </c>
      <c r="H627" s="11">
        <v>20</v>
      </c>
      <c r="I627" s="12">
        <v>43185</v>
      </c>
      <c r="J627" s="2">
        <v>3</v>
      </c>
      <c r="K627" s="11">
        <v>1165433021399</v>
      </c>
      <c r="L627" s="11" t="s">
        <v>1580</v>
      </c>
      <c r="M627" s="11" t="s">
        <v>27</v>
      </c>
      <c r="N627" s="12">
        <v>43183</v>
      </c>
      <c r="O627" s="12">
        <v>43183</v>
      </c>
      <c r="P627" s="11">
        <v>3</v>
      </c>
      <c r="Q627" s="11" t="s">
        <v>1578</v>
      </c>
    </row>
    <row r="628" spans="1:19" ht="13" hidden="1" x14ac:dyDescent="0.15">
      <c r="A628" s="10">
        <v>43239.525286157412</v>
      </c>
      <c r="B628" s="11" t="s">
        <v>1578</v>
      </c>
      <c r="C628" s="11">
        <v>207</v>
      </c>
      <c r="D628" s="11" t="s">
        <v>1581</v>
      </c>
      <c r="E628" s="11">
        <v>8281932030</v>
      </c>
      <c r="F628" s="11" t="s">
        <v>182</v>
      </c>
      <c r="G628" s="11" t="s">
        <v>952</v>
      </c>
      <c r="H628" s="11">
        <v>20</v>
      </c>
      <c r="I628" s="12">
        <v>43220</v>
      </c>
      <c r="J628" s="2">
        <v>10</v>
      </c>
      <c r="K628" s="11">
        <v>1165432023043</v>
      </c>
      <c r="L628" s="11" t="s">
        <v>1582</v>
      </c>
      <c r="M628" s="11" t="s">
        <v>27</v>
      </c>
      <c r="N628" s="12">
        <v>43183</v>
      </c>
      <c r="O628" s="12">
        <v>43183</v>
      </c>
      <c r="P628" s="11">
        <v>10</v>
      </c>
      <c r="Q628" s="11" t="s">
        <v>1578</v>
      </c>
    </row>
    <row r="629" spans="1:19" ht="13" hidden="1" x14ac:dyDescent="0.15">
      <c r="A629" s="10">
        <v>43239.530407673607</v>
      </c>
      <c r="B629" s="11" t="s">
        <v>1578</v>
      </c>
      <c r="C629" s="11">
        <v>206</v>
      </c>
      <c r="D629" s="11" t="s">
        <v>1583</v>
      </c>
      <c r="E629" s="11">
        <v>9447750999</v>
      </c>
      <c r="F629" s="11" t="s">
        <v>182</v>
      </c>
      <c r="G629" s="11" t="s">
        <v>952</v>
      </c>
      <c r="H629" s="11">
        <v>20</v>
      </c>
      <c r="I629" s="12">
        <v>43217</v>
      </c>
      <c r="J629" s="2">
        <v>10</v>
      </c>
      <c r="K629" s="11">
        <v>1165565028206</v>
      </c>
      <c r="L629" s="11" t="s">
        <v>1584</v>
      </c>
      <c r="M629" s="11" t="s">
        <v>27</v>
      </c>
      <c r="N629" s="12">
        <v>43209</v>
      </c>
      <c r="O629" s="12">
        <v>43209</v>
      </c>
      <c r="P629" s="11">
        <v>10</v>
      </c>
      <c r="Q629" s="11" t="s">
        <v>1578</v>
      </c>
    </row>
    <row r="630" spans="1:19" ht="13" hidden="1" x14ac:dyDescent="0.15">
      <c r="A630" s="10">
        <v>43239.535046701392</v>
      </c>
      <c r="B630" s="11" t="s">
        <v>1578</v>
      </c>
      <c r="C630" s="11">
        <v>1154</v>
      </c>
      <c r="D630" s="11" t="s">
        <v>1585</v>
      </c>
      <c r="E630" s="11">
        <v>9645403405</v>
      </c>
      <c r="F630" s="11" t="s">
        <v>182</v>
      </c>
      <c r="G630" s="11" t="s">
        <v>952</v>
      </c>
      <c r="H630" s="11">
        <v>20</v>
      </c>
      <c r="I630" s="12">
        <v>43208</v>
      </c>
      <c r="J630" s="2">
        <v>3</v>
      </c>
      <c r="K630" s="11">
        <v>1165542026389</v>
      </c>
      <c r="L630" s="11" t="s">
        <v>1586</v>
      </c>
      <c r="M630" s="11" t="s">
        <v>27</v>
      </c>
      <c r="N630" s="12">
        <v>43188</v>
      </c>
      <c r="O630" s="12">
        <v>43188</v>
      </c>
      <c r="P630" s="11">
        <v>3</v>
      </c>
      <c r="Q630" s="11" t="s">
        <v>1578</v>
      </c>
    </row>
    <row r="631" spans="1:19" ht="13" hidden="1" x14ac:dyDescent="0.15">
      <c r="A631" s="10">
        <v>43239.652672164353</v>
      </c>
      <c r="B631" s="11" t="s">
        <v>371</v>
      </c>
      <c r="C631" s="11">
        <v>879</v>
      </c>
      <c r="D631" s="11" t="s">
        <v>1587</v>
      </c>
      <c r="E631" s="11">
        <v>8547564126</v>
      </c>
      <c r="F631" s="11" t="s">
        <v>46</v>
      </c>
      <c r="G631" s="11" t="s">
        <v>215</v>
      </c>
      <c r="H631" s="11">
        <v>27</v>
      </c>
      <c r="I631" s="12">
        <v>43239</v>
      </c>
      <c r="J631" s="2">
        <v>30</v>
      </c>
      <c r="K631" s="11">
        <v>1356830000974</v>
      </c>
      <c r="L631" s="11" t="s">
        <v>1588</v>
      </c>
      <c r="M631" s="11" t="s">
        <v>27</v>
      </c>
      <c r="N631" s="12">
        <v>43203</v>
      </c>
      <c r="O631" s="12">
        <v>43203</v>
      </c>
      <c r="P631" s="11">
        <v>30</v>
      </c>
      <c r="Q631" s="11" t="s">
        <v>371</v>
      </c>
    </row>
    <row r="632" spans="1:19" ht="13" hidden="1" x14ac:dyDescent="0.15">
      <c r="A632" s="10">
        <v>43239.675052407409</v>
      </c>
      <c r="B632" s="11" t="s">
        <v>176</v>
      </c>
      <c r="C632" s="11">
        <v>958</v>
      </c>
      <c r="D632" s="11" t="s">
        <v>1589</v>
      </c>
      <c r="E632" s="11">
        <v>9142099977</v>
      </c>
      <c r="F632" s="11" t="s">
        <v>182</v>
      </c>
      <c r="G632" s="11" t="s">
        <v>916</v>
      </c>
      <c r="H632" s="11">
        <v>14</v>
      </c>
      <c r="I632" s="12">
        <v>43239</v>
      </c>
      <c r="J632" s="2">
        <v>3</v>
      </c>
      <c r="K632" s="11">
        <v>1167796004295</v>
      </c>
      <c r="L632" s="11" t="s">
        <v>1591</v>
      </c>
      <c r="M632" s="11" t="s">
        <v>27</v>
      </c>
      <c r="N632" s="12">
        <v>43231</v>
      </c>
      <c r="O632" s="12">
        <v>43231</v>
      </c>
      <c r="P632" s="11">
        <v>3</v>
      </c>
      <c r="Q632" s="11" t="s">
        <v>176</v>
      </c>
    </row>
    <row r="633" spans="1:19" ht="13" hidden="1" x14ac:dyDescent="0.15">
      <c r="A633" s="10">
        <v>43239.991739120371</v>
      </c>
      <c r="B633" s="11" t="s">
        <v>1592</v>
      </c>
      <c r="C633" s="11">
        <v>940</v>
      </c>
      <c r="D633" s="11" t="s">
        <v>1593</v>
      </c>
      <c r="E633" s="11">
        <v>9496823927</v>
      </c>
      <c r="F633" s="11" t="s">
        <v>35</v>
      </c>
      <c r="G633" s="11" t="s">
        <v>280</v>
      </c>
      <c r="H633" s="11">
        <v>66</v>
      </c>
      <c r="I633" s="12">
        <v>43239</v>
      </c>
      <c r="J633" s="2">
        <v>3</v>
      </c>
      <c r="K633" s="11">
        <v>1155413006624</v>
      </c>
      <c r="L633" s="11" t="s">
        <v>1594</v>
      </c>
      <c r="M633" s="11" t="s">
        <v>27</v>
      </c>
      <c r="N633" s="12">
        <v>43216</v>
      </c>
      <c r="O633" s="12">
        <v>43216</v>
      </c>
      <c r="P633" s="11">
        <v>3</v>
      </c>
      <c r="Q633" s="11" t="s">
        <v>1592</v>
      </c>
    </row>
    <row r="634" spans="1:19" ht="13" hidden="1" x14ac:dyDescent="0.15">
      <c r="A634" s="10">
        <v>43239.996786446762</v>
      </c>
      <c r="B634" s="11" t="s">
        <v>1595</v>
      </c>
      <c r="C634" s="11">
        <v>534</v>
      </c>
      <c r="D634" s="11" t="s">
        <v>1596</v>
      </c>
      <c r="E634" s="11">
        <v>9745100141</v>
      </c>
      <c r="F634" s="11" t="s">
        <v>35</v>
      </c>
      <c r="G634" s="11" t="s">
        <v>280</v>
      </c>
      <c r="H634" s="11">
        <v>66</v>
      </c>
      <c r="I634" s="12">
        <v>43239</v>
      </c>
      <c r="J634" s="2">
        <v>3</v>
      </c>
      <c r="K634" s="11">
        <v>1157128012876</v>
      </c>
      <c r="L634" s="11" t="s">
        <v>1597</v>
      </c>
      <c r="M634" s="11" t="s">
        <v>27</v>
      </c>
      <c r="N634" s="12">
        <v>43200</v>
      </c>
      <c r="O634" s="12">
        <v>43200</v>
      </c>
      <c r="P634" s="11">
        <v>3</v>
      </c>
      <c r="Q634" s="11" t="s">
        <v>1595</v>
      </c>
    </row>
    <row r="635" spans="1:19" ht="13" hidden="1" x14ac:dyDescent="0.15">
      <c r="A635" s="10">
        <v>43241.441661435187</v>
      </c>
      <c r="B635" s="11" t="s">
        <v>22</v>
      </c>
      <c r="C635" s="11">
        <v>1004</v>
      </c>
      <c r="D635" s="11" t="s">
        <v>1598</v>
      </c>
      <c r="E635" s="11">
        <v>9072666513</v>
      </c>
      <c r="F635" s="11" t="s">
        <v>35</v>
      </c>
      <c r="G635" s="11" t="s">
        <v>101</v>
      </c>
      <c r="H635" s="11">
        <v>54</v>
      </c>
      <c r="I635" s="12">
        <v>43241</v>
      </c>
      <c r="J635" s="2">
        <v>5</v>
      </c>
      <c r="K635" s="11">
        <v>1156593000039</v>
      </c>
      <c r="L635" s="11" t="s">
        <v>1235</v>
      </c>
      <c r="M635" s="11" t="s">
        <v>27</v>
      </c>
      <c r="N635" s="12">
        <v>43236</v>
      </c>
      <c r="O635" s="12">
        <v>43236</v>
      </c>
      <c r="P635" s="11">
        <v>5</v>
      </c>
      <c r="Q635" s="11" t="s">
        <v>22</v>
      </c>
    </row>
    <row r="636" spans="1:19" ht="13" hidden="1" x14ac:dyDescent="0.15">
      <c r="A636" s="10">
        <v>43241.496779247682</v>
      </c>
      <c r="B636" s="11" t="s">
        <v>65</v>
      </c>
      <c r="C636" s="11">
        <v>1137</v>
      </c>
      <c r="D636" s="11" t="s">
        <v>1599</v>
      </c>
      <c r="E636" s="11">
        <v>9946901109</v>
      </c>
      <c r="F636" s="11" t="s">
        <v>61</v>
      </c>
      <c r="G636" s="11" t="s">
        <v>62</v>
      </c>
      <c r="H636" s="11">
        <v>42</v>
      </c>
      <c r="I636" s="12">
        <v>43241</v>
      </c>
      <c r="J636" s="2">
        <v>3</v>
      </c>
      <c r="K636" s="11">
        <v>1146190003833</v>
      </c>
      <c r="L636" s="11" t="s">
        <v>1600</v>
      </c>
      <c r="M636" s="11" t="s">
        <v>27</v>
      </c>
      <c r="N636" s="12">
        <v>43227</v>
      </c>
      <c r="O636" s="12">
        <v>43227</v>
      </c>
      <c r="P636" s="11">
        <v>3</v>
      </c>
      <c r="Q636" s="11" t="s">
        <v>65</v>
      </c>
    </row>
    <row r="637" spans="1:19" ht="13" x14ac:dyDescent="0.15">
      <c r="A637" s="10">
        <v>43241.498236342595</v>
      </c>
      <c r="B637" s="11" t="s">
        <v>303</v>
      </c>
      <c r="C637" s="11">
        <v>997</v>
      </c>
      <c r="D637" s="11" t="s">
        <v>1601</v>
      </c>
      <c r="E637" s="11">
        <v>9495630630</v>
      </c>
      <c r="F637" s="11" t="s">
        <v>24</v>
      </c>
      <c r="G637" s="11" t="s">
        <v>280</v>
      </c>
      <c r="H637" s="11">
        <v>66</v>
      </c>
      <c r="I637" s="12">
        <v>43241</v>
      </c>
      <c r="J637" s="2">
        <v>5</v>
      </c>
      <c r="K637" s="11">
        <v>1145074016411</v>
      </c>
      <c r="L637" s="11" t="s">
        <v>102</v>
      </c>
      <c r="M637" s="11" t="s">
        <v>27</v>
      </c>
      <c r="N637" s="12">
        <v>43218</v>
      </c>
      <c r="O637" s="12">
        <v>43218</v>
      </c>
      <c r="P637" s="11">
        <v>5</v>
      </c>
      <c r="Q637" s="11" t="s">
        <v>303</v>
      </c>
    </row>
    <row r="638" spans="1:19" ht="13" hidden="1" x14ac:dyDescent="0.15">
      <c r="A638" s="10">
        <v>43241.555590439813</v>
      </c>
      <c r="B638" s="11" t="s">
        <v>1477</v>
      </c>
      <c r="C638" s="11">
        <v>1060</v>
      </c>
      <c r="D638" s="11" t="s">
        <v>1603</v>
      </c>
      <c r="E638" s="11">
        <v>8075106500</v>
      </c>
      <c r="F638" s="11" t="s">
        <v>30</v>
      </c>
      <c r="G638" s="11" t="s">
        <v>509</v>
      </c>
      <c r="H638" s="11">
        <v>12</v>
      </c>
      <c r="I638" s="12">
        <v>43240</v>
      </c>
      <c r="J638" s="2">
        <v>5</v>
      </c>
      <c r="K638" s="11">
        <v>1156851003355</v>
      </c>
      <c r="L638" s="11" t="s">
        <v>220</v>
      </c>
      <c r="M638" s="11" t="s">
        <v>27</v>
      </c>
      <c r="N638" s="12">
        <v>43239</v>
      </c>
      <c r="O638" s="12">
        <v>43239</v>
      </c>
      <c r="P638" s="11">
        <v>5</v>
      </c>
      <c r="Q638" s="11" t="s">
        <v>1477</v>
      </c>
    </row>
    <row r="639" spans="1:19" ht="13" x14ac:dyDescent="0.15">
      <c r="A639" s="10">
        <v>43241.57343207176</v>
      </c>
      <c r="B639" s="11" t="s">
        <v>1604</v>
      </c>
      <c r="C639" s="11">
        <v>1081</v>
      </c>
      <c r="D639" s="11" t="s">
        <v>1605</v>
      </c>
      <c r="E639" s="11">
        <v>9495851950</v>
      </c>
      <c r="F639" s="11" t="s">
        <v>24</v>
      </c>
      <c r="G639" s="11" t="s">
        <v>1606</v>
      </c>
      <c r="H639" s="11">
        <v>41</v>
      </c>
      <c r="I639" s="12">
        <v>43235</v>
      </c>
      <c r="J639" s="2">
        <v>5</v>
      </c>
      <c r="K639" s="11">
        <v>1145126031821</v>
      </c>
      <c r="L639" s="11" t="s">
        <v>790</v>
      </c>
      <c r="M639" s="11" t="s">
        <v>27</v>
      </c>
      <c r="N639" s="12">
        <v>43241</v>
      </c>
      <c r="O639" s="12">
        <v>43271</v>
      </c>
      <c r="P639" s="11">
        <v>5</v>
      </c>
      <c r="Q639" s="11" t="s">
        <v>1604</v>
      </c>
    </row>
    <row r="640" spans="1:19" ht="13" hidden="1" x14ac:dyDescent="0.15">
      <c r="A640" s="10">
        <v>43241.603387037037</v>
      </c>
      <c r="B640" s="11" t="s">
        <v>1607</v>
      </c>
      <c r="C640" s="11">
        <v>1128</v>
      </c>
      <c r="D640" s="11" t="s">
        <v>1608</v>
      </c>
      <c r="E640" s="11">
        <v>9745078782</v>
      </c>
      <c r="F640" s="11" t="s">
        <v>35</v>
      </c>
      <c r="G640" s="11" t="s">
        <v>280</v>
      </c>
      <c r="H640" s="11">
        <v>66</v>
      </c>
      <c r="I640" s="12">
        <v>43241</v>
      </c>
      <c r="J640" s="2">
        <v>5</v>
      </c>
      <c r="K640" s="11">
        <v>1155889019916</v>
      </c>
      <c r="L640" s="11" t="s">
        <v>1609</v>
      </c>
      <c r="M640" s="11" t="s">
        <v>27</v>
      </c>
      <c r="N640" s="12">
        <v>43241</v>
      </c>
      <c r="O640" s="12">
        <v>43241</v>
      </c>
      <c r="P640" s="11">
        <v>5</v>
      </c>
      <c r="Q640" s="11" t="s">
        <v>1607</v>
      </c>
    </row>
    <row r="641" spans="1:17" ht="13" hidden="1" x14ac:dyDescent="0.15">
      <c r="A641" s="10">
        <v>43241.618444398147</v>
      </c>
      <c r="B641" s="11" t="s">
        <v>1610</v>
      </c>
      <c r="C641" s="11">
        <v>886</v>
      </c>
      <c r="D641" s="11" t="s">
        <v>1611</v>
      </c>
      <c r="E641" s="11">
        <v>9446221977</v>
      </c>
      <c r="F641" s="11" t="s">
        <v>35</v>
      </c>
      <c r="G641" s="11" t="s">
        <v>1612</v>
      </c>
      <c r="H641" s="11">
        <v>66</v>
      </c>
      <c r="I641" s="12">
        <v>43241</v>
      </c>
      <c r="J641" s="2">
        <v>3</v>
      </c>
      <c r="K641" s="11">
        <v>1155955000426</v>
      </c>
      <c r="L641" s="11" t="s">
        <v>1613</v>
      </c>
      <c r="M641" s="11" t="s">
        <v>27</v>
      </c>
      <c r="N641" s="12">
        <v>43245</v>
      </c>
      <c r="O641" s="12">
        <v>43245</v>
      </c>
      <c r="P641" s="11">
        <v>3</v>
      </c>
      <c r="Q641" s="11" t="s">
        <v>1610</v>
      </c>
    </row>
    <row r="642" spans="1:17" ht="13" hidden="1" x14ac:dyDescent="0.15">
      <c r="A642" s="10">
        <v>43241.620784166662</v>
      </c>
      <c r="B642" s="11" t="s">
        <v>1614</v>
      </c>
      <c r="C642" s="11">
        <v>918</v>
      </c>
      <c r="D642" s="11" t="s">
        <v>1615</v>
      </c>
      <c r="E642" s="11">
        <v>9562233099</v>
      </c>
      <c r="F642" s="11" t="s">
        <v>270</v>
      </c>
      <c r="G642" s="11" t="s">
        <v>1327</v>
      </c>
      <c r="H642" s="11">
        <v>47</v>
      </c>
      <c r="I642" s="12">
        <v>43241</v>
      </c>
      <c r="J642" s="2">
        <v>10</v>
      </c>
      <c r="K642" s="11">
        <v>1156178006862</v>
      </c>
      <c r="L642" s="11" t="s">
        <v>1617</v>
      </c>
      <c r="M642" s="11" t="s">
        <v>27</v>
      </c>
      <c r="N642" s="12">
        <v>43241</v>
      </c>
      <c r="O642" s="12">
        <v>43241</v>
      </c>
      <c r="P642" s="11">
        <v>10</v>
      </c>
      <c r="Q642" s="11" t="s">
        <v>1614</v>
      </c>
    </row>
    <row r="643" spans="1:17" ht="13" x14ac:dyDescent="0.15">
      <c r="A643" s="10">
        <v>43241.625749421291</v>
      </c>
      <c r="B643" s="11" t="s">
        <v>1618</v>
      </c>
      <c r="C643" s="11">
        <v>578</v>
      </c>
      <c r="D643" s="11" t="s">
        <v>1619</v>
      </c>
      <c r="E643" s="11">
        <v>9447123482</v>
      </c>
      <c r="F643" s="11" t="s">
        <v>24</v>
      </c>
      <c r="G643" s="11" t="s">
        <v>1620</v>
      </c>
      <c r="H643" s="11">
        <v>41</v>
      </c>
      <c r="I643" s="12">
        <v>43188</v>
      </c>
      <c r="J643" s="2">
        <v>15</v>
      </c>
      <c r="K643" s="11">
        <v>1145075014655</v>
      </c>
      <c r="L643" s="11" t="s">
        <v>460</v>
      </c>
      <c r="M643" s="11" t="s">
        <v>27</v>
      </c>
      <c r="N643" s="12">
        <v>43178</v>
      </c>
      <c r="O643" s="12">
        <v>43208</v>
      </c>
      <c r="P643" s="11">
        <v>15</v>
      </c>
      <c r="Q643" s="11" t="s">
        <v>1618</v>
      </c>
    </row>
    <row r="644" spans="1:17" ht="13" hidden="1" x14ac:dyDescent="0.15">
      <c r="A644" s="10">
        <v>43241.72586150463</v>
      </c>
      <c r="B644" s="11" t="s">
        <v>22</v>
      </c>
      <c r="C644" s="11">
        <v>1212</v>
      </c>
      <c r="D644" s="11" t="s">
        <v>1621</v>
      </c>
      <c r="E644" s="11">
        <v>9072666513</v>
      </c>
      <c r="F644" s="11" t="s">
        <v>35</v>
      </c>
      <c r="G644" s="11" t="s">
        <v>101</v>
      </c>
      <c r="H644" s="11">
        <v>54</v>
      </c>
      <c r="I644" s="12">
        <v>43241</v>
      </c>
      <c r="J644" s="2">
        <v>3</v>
      </c>
      <c r="K644" s="11">
        <v>1155484007495</v>
      </c>
      <c r="L644" s="11" t="s">
        <v>71</v>
      </c>
      <c r="M644" s="11" t="s">
        <v>27</v>
      </c>
      <c r="N644" s="12">
        <v>43229</v>
      </c>
      <c r="O644" s="12">
        <v>43229</v>
      </c>
      <c r="P644" s="11">
        <v>3</v>
      </c>
      <c r="Q644" s="11" t="s">
        <v>22</v>
      </c>
    </row>
    <row r="645" spans="1:17" ht="13" hidden="1" x14ac:dyDescent="0.15">
      <c r="A645" s="10">
        <v>43242.413364444445</v>
      </c>
      <c r="B645" s="11" t="s">
        <v>1622</v>
      </c>
      <c r="C645" s="11">
        <v>1032</v>
      </c>
      <c r="D645" s="11" t="s">
        <v>1623</v>
      </c>
      <c r="E645" s="11">
        <v>9995429398</v>
      </c>
      <c r="F645" s="11" t="s">
        <v>35</v>
      </c>
      <c r="G645" s="11" t="s">
        <v>1624</v>
      </c>
      <c r="H645" s="11">
        <v>24</v>
      </c>
      <c r="I645" s="12">
        <v>43237</v>
      </c>
      <c r="J645" s="2">
        <v>2</v>
      </c>
      <c r="K645" s="11">
        <v>1155734008104</v>
      </c>
      <c r="L645" s="11" t="s">
        <v>1625</v>
      </c>
      <c r="M645" s="11" t="s">
        <v>27</v>
      </c>
      <c r="N645" s="12">
        <v>43230</v>
      </c>
      <c r="O645" s="12">
        <v>43230</v>
      </c>
      <c r="P645" s="11">
        <v>2</v>
      </c>
      <c r="Q645" s="11" t="s">
        <v>1622</v>
      </c>
    </row>
    <row r="646" spans="1:17" ht="13" hidden="1" x14ac:dyDescent="0.15">
      <c r="A646" s="10">
        <v>43242.485976041666</v>
      </c>
      <c r="B646" s="11" t="s">
        <v>1626</v>
      </c>
      <c r="C646" s="11">
        <v>435</v>
      </c>
      <c r="D646" s="11" t="s">
        <v>1627</v>
      </c>
      <c r="E646" s="11">
        <v>9446116219</v>
      </c>
      <c r="F646" s="11" t="s">
        <v>61</v>
      </c>
      <c r="G646" s="11" t="s">
        <v>1628</v>
      </c>
      <c r="H646" s="11">
        <v>38</v>
      </c>
      <c r="I646" s="12">
        <v>43229</v>
      </c>
      <c r="J646" s="2">
        <v>2</v>
      </c>
      <c r="K646" s="11">
        <v>1146213002838</v>
      </c>
      <c r="L646" s="11">
        <v>1146213002838</v>
      </c>
      <c r="M646" s="11" t="s">
        <v>27</v>
      </c>
      <c r="N646" s="12">
        <v>43187</v>
      </c>
      <c r="O646" s="12">
        <v>43187</v>
      </c>
      <c r="P646" s="11">
        <v>2</v>
      </c>
      <c r="Q646" s="11" t="s">
        <v>1626</v>
      </c>
    </row>
    <row r="647" spans="1:17" ht="13" hidden="1" x14ac:dyDescent="0.15">
      <c r="A647" s="10">
        <v>43242.486705092597</v>
      </c>
      <c r="B647" s="11" t="s">
        <v>303</v>
      </c>
      <c r="C647" s="11">
        <v>1076</v>
      </c>
      <c r="D647" s="11" t="s">
        <v>1629</v>
      </c>
      <c r="E647" s="11">
        <v>7356833424</v>
      </c>
      <c r="F647" s="11" t="s">
        <v>35</v>
      </c>
      <c r="G647" s="11" t="s">
        <v>280</v>
      </c>
      <c r="H647" s="11">
        <v>66</v>
      </c>
      <c r="I647" s="12">
        <v>43241</v>
      </c>
      <c r="J647" s="2">
        <v>3</v>
      </c>
      <c r="K647" s="11">
        <v>1155474026495</v>
      </c>
      <c r="L647" s="11" t="s">
        <v>887</v>
      </c>
      <c r="M647" s="11" t="s">
        <v>27</v>
      </c>
      <c r="N647" s="12">
        <v>43228</v>
      </c>
      <c r="O647" s="12">
        <v>43228</v>
      </c>
      <c r="P647" s="11">
        <v>3</v>
      </c>
      <c r="Q647" s="11" t="s">
        <v>303</v>
      </c>
    </row>
    <row r="648" spans="1:17" ht="13" hidden="1" x14ac:dyDescent="0.15">
      <c r="A648" s="10">
        <v>43242.583953333335</v>
      </c>
      <c r="B648" s="11" t="s">
        <v>1630</v>
      </c>
      <c r="C648" s="11">
        <v>934</v>
      </c>
      <c r="D648" s="11" t="s">
        <v>1631</v>
      </c>
      <c r="E648" s="11">
        <v>9895353903</v>
      </c>
      <c r="F648" s="11" t="s">
        <v>35</v>
      </c>
      <c r="G648" s="11" t="s">
        <v>1632</v>
      </c>
      <c r="H648" s="11">
        <v>7</v>
      </c>
      <c r="I648" s="12">
        <v>43235</v>
      </c>
      <c r="J648" s="2">
        <v>3</v>
      </c>
      <c r="K648" s="11">
        <v>1155655021803</v>
      </c>
      <c r="L648" s="11" t="s">
        <v>1633</v>
      </c>
      <c r="M648" s="11" t="s">
        <v>27</v>
      </c>
      <c r="N648" s="12">
        <v>43211</v>
      </c>
      <c r="O648" s="12">
        <v>43211</v>
      </c>
      <c r="P648" s="11">
        <v>3</v>
      </c>
      <c r="Q648" s="11" t="s">
        <v>1630</v>
      </c>
    </row>
    <row r="649" spans="1:17" ht="13" hidden="1" x14ac:dyDescent="0.15">
      <c r="A649" s="10">
        <v>43242.592168993055</v>
      </c>
      <c r="B649" s="11" t="s">
        <v>1634</v>
      </c>
      <c r="C649" s="11">
        <v>1213</v>
      </c>
      <c r="D649" s="11" t="s">
        <v>1635</v>
      </c>
      <c r="E649" s="11">
        <v>9446033416</v>
      </c>
      <c r="F649" s="11" t="s">
        <v>56</v>
      </c>
      <c r="G649" s="11" t="s">
        <v>272</v>
      </c>
      <c r="H649" s="11">
        <v>47</v>
      </c>
      <c r="I649" s="12">
        <v>43241</v>
      </c>
      <c r="J649" s="2">
        <v>3</v>
      </c>
      <c r="K649" s="11">
        <v>1146348019366</v>
      </c>
      <c r="L649" s="11" t="s">
        <v>1636</v>
      </c>
      <c r="M649" s="11" t="s">
        <v>27</v>
      </c>
      <c r="N649" s="12">
        <v>43242</v>
      </c>
      <c r="O649" s="12">
        <v>43242</v>
      </c>
      <c r="P649" s="11">
        <v>3</v>
      </c>
      <c r="Q649" s="11" t="s">
        <v>1634</v>
      </c>
    </row>
    <row r="650" spans="1:17" ht="13" hidden="1" x14ac:dyDescent="0.15">
      <c r="A650" s="10">
        <v>43242.684761562501</v>
      </c>
      <c r="B650" s="11" t="s">
        <v>303</v>
      </c>
      <c r="C650" s="11">
        <v>1096</v>
      </c>
      <c r="D650" s="11" t="s">
        <v>1637</v>
      </c>
      <c r="E650" s="11">
        <v>9744335524</v>
      </c>
      <c r="F650" s="11" t="s">
        <v>182</v>
      </c>
      <c r="G650" s="11" t="s">
        <v>280</v>
      </c>
      <c r="H650" s="11">
        <v>66</v>
      </c>
      <c r="I650" s="12">
        <v>43224</v>
      </c>
      <c r="J650" s="2">
        <v>3</v>
      </c>
      <c r="K650" s="11">
        <v>1168035008411</v>
      </c>
      <c r="L650" s="11" t="s">
        <v>1638</v>
      </c>
      <c r="M650" s="11" t="s">
        <v>27</v>
      </c>
      <c r="N650" s="12">
        <v>43209</v>
      </c>
      <c r="O650" s="12">
        <v>43209</v>
      </c>
      <c r="P650" s="11">
        <v>3</v>
      </c>
      <c r="Q650" s="11" t="s">
        <v>303</v>
      </c>
    </row>
    <row r="651" spans="1:17" ht="13" hidden="1" x14ac:dyDescent="0.15">
      <c r="A651" s="10">
        <v>43242.881351145828</v>
      </c>
      <c r="B651" s="11" t="s">
        <v>1639</v>
      </c>
      <c r="C651" s="11">
        <v>614</v>
      </c>
      <c r="D651" s="11" t="s">
        <v>1640</v>
      </c>
      <c r="E651" s="11">
        <v>8129419470</v>
      </c>
      <c r="F651" s="11" t="s">
        <v>35</v>
      </c>
      <c r="G651" s="11" t="s">
        <v>1641</v>
      </c>
      <c r="H651" s="11">
        <v>66</v>
      </c>
      <c r="I651" s="12">
        <v>43242</v>
      </c>
      <c r="J651" s="2">
        <v>10</v>
      </c>
      <c r="K651" s="11">
        <v>1155422012563</v>
      </c>
      <c r="L651" s="11" t="s">
        <v>510</v>
      </c>
      <c r="M651" s="11" t="s">
        <v>27</v>
      </c>
      <c r="N651" s="12">
        <v>43185</v>
      </c>
      <c r="O651" s="12">
        <v>43185</v>
      </c>
      <c r="P651" s="11">
        <v>10</v>
      </c>
      <c r="Q651" s="11" t="s">
        <v>1639</v>
      </c>
    </row>
    <row r="652" spans="1:17" ht="13" hidden="1" x14ac:dyDescent="0.15">
      <c r="A652" s="10">
        <v>43243.398891805555</v>
      </c>
      <c r="B652" s="11" t="s">
        <v>303</v>
      </c>
      <c r="C652" s="11">
        <v>1077</v>
      </c>
      <c r="D652" s="11" t="s">
        <v>1643</v>
      </c>
      <c r="E652" s="11">
        <v>9946291932</v>
      </c>
      <c r="F652" s="11" t="s">
        <v>182</v>
      </c>
      <c r="G652" s="11" t="s">
        <v>280</v>
      </c>
      <c r="H652" s="11">
        <v>66</v>
      </c>
      <c r="I652" s="12">
        <v>43242</v>
      </c>
      <c r="J652" s="2">
        <v>3</v>
      </c>
      <c r="K652" s="11">
        <v>1165852003574</v>
      </c>
      <c r="L652" s="11" t="s">
        <v>184</v>
      </c>
      <c r="M652" s="11" t="s">
        <v>27</v>
      </c>
      <c r="N652" s="12">
        <v>43237</v>
      </c>
      <c r="O652" s="12">
        <v>43237</v>
      </c>
      <c r="P652" s="11">
        <v>3</v>
      </c>
      <c r="Q652" s="11" t="s">
        <v>303</v>
      </c>
    </row>
    <row r="653" spans="1:17" ht="13" x14ac:dyDescent="0.15">
      <c r="A653" s="10">
        <v>43243.408107465279</v>
      </c>
      <c r="B653" s="11" t="s">
        <v>303</v>
      </c>
      <c r="C653" s="11">
        <v>917</v>
      </c>
      <c r="D653" s="11" t="s">
        <v>1644</v>
      </c>
      <c r="E653" s="11">
        <v>9400926539</v>
      </c>
      <c r="F653" s="11" t="s">
        <v>24</v>
      </c>
      <c r="G653" s="11" t="s">
        <v>280</v>
      </c>
      <c r="H653" s="11">
        <v>66</v>
      </c>
      <c r="I653" s="12">
        <v>43218</v>
      </c>
      <c r="J653" s="2">
        <v>3</v>
      </c>
      <c r="K653" s="11">
        <v>1145158016475</v>
      </c>
      <c r="L653" s="11" t="s">
        <v>1645</v>
      </c>
      <c r="M653" s="11" t="s">
        <v>27</v>
      </c>
      <c r="N653" s="12">
        <v>43190</v>
      </c>
      <c r="O653" s="12">
        <v>43190</v>
      </c>
      <c r="P653" s="11">
        <v>3</v>
      </c>
      <c r="Q653" s="11" t="s">
        <v>303</v>
      </c>
    </row>
    <row r="654" spans="1:17" ht="13" hidden="1" x14ac:dyDescent="0.15">
      <c r="A654" s="10">
        <v>43243.411573425925</v>
      </c>
      <c r="B654" s="11" t="s">
        <v>340</v>
      </c>
      <c r="C654" s="11">
        <v>1162</v>
      </c>
      <c r="D654" s="11" t="s">
        <v>1646</v>
      </c>
      <c r="E654" s="11">
        <v>9448953095</v>
      </c>
      <c r="F654" s="11" t="s">
        <v>35</v>
      </c>
      <c r="G654" s="11" t="s">
        <v>41</v>
      </c>
      <c r="H654" s="11">
        <v>56</v>
      </c>
      <c r="I654" s="12">
        <v>43242</v>
      </c>
      <c r="J654" s="2">
        <v>5</v>
      </c>
      <c r="K654" s="11">
        <v>1156057021653</v>
      </c>
      <c r="L654" s="11" t="s">
        <v>1371</v>
      </c>
      <c r="M654" s="11" t="s">
        <v>27</v>
      </c>
      <c r="N654" s="12">
        <v>43223</v>
      </c>
      <c r="O654" s="12">
        <v>43223</v>
      </c>
      <c r="P654" s="11">
        <v>5</v>
      </c>
      <c r="Q654" s="11" t="s">
        <v>340</v>
      </c>
    </row>
    <row r="655" spans="1:17" ht="13" hidden="1" x14ac:dyDescent="0.15">
      <c r="A655" s="10">
        <v>43243.417479687501</v>
      </c>
      <c r="B655" s="11" t="s">
        <v>340</v>
      </c>
      <c r="C655" s="11">
        <v>1167</v>
      </c>
      <c r="D655" s="11" t="s">
        <v>1647</v>
      </c>
      <c r="E655" s="11">
        <v>9447379663</v>
      </c>
      <c r="F655" s="11" t="s">
        <v>35</v>
      </c>
      <c r="G655" s="11" t="s">
        <v>41</v>
      </c>
      <c r="H655" s="11">
        <v>56</v>
      </c>
      <c r="I655" s="12">
        <v>43242</v>
      </c>
      <c r="J655" s="2">
        <v>3</v>
      </c>
      <c r="K655" s="11">
        <v>1155664010449</v>
      </c>
      <c r="L655" s="11" t="s">
        <v>1369</v>
      </c>
      <c r="M655" s="11" t="s">
        <v>27</v>
      </c>
      <c r="N655" s="12">
        <v>43238</v>
      </c>
      <c r="O655" s="12">
        <v>43238</v>
      </c>
      <c r="P655" s="11">
        <v>3</v>
      </c>
      <c r="Q655" s="11" t="s">
        <v>340</v>
      </c>
    </row>
    <row r="656" spans="1:17" ht="13" hidden="1" x14ac:dyDescent="0.15">
      <c r="A656" s="10">
        <v>43243.417656469908</v>
      </c>
      <c r="B656" s="11" t="s">
        <v>303</v>
      </c>
      <c r="C656" s="11">
        <v>1174</v>
      </c>
      <c r="D656" s="11" t="s">
        <v>1648</v>
      </c>
      <c r="E656" s="11">
        <v>7994110707</v>
      </c>
      <c r="F656" s="11" t="s">
        <v>182</v>
      </c>
      <c r="G656" s="11" t="s">
        <v>280</v>
      </c>
      <c r="H656" s="11">
        <v>66</v>
      </c>
      <c r="I656" s="12">
        <v>43242</v>
      </c>
      <c r="J656" s="2">
        <v>3</v>
      </c>
      <c r="K656" s="11">
        <v>1165854001056</v>
      </c>
      <c r="L656" s="11" t="s">
        <v>184</v>
      </c>
      <c r="M656" s="11" t="s">
        <v>27</v>
      </c>
      <c r="N656" s="12">
        <v>43237</v>
      </c>
      <c r="O656" s="12">
        <v>43237</v>
      </c>
      <c r="P656" s="11">
        <v>3</v>
      </c>
      <c r="Q656" s="11" t="s">
        <v>303</v>
      </c>
    </row>
    <row r="657" spans="1:17" ht="13" hidden="1" x14ac:dyDescent="0.15">
      <c r="A657" s="10">
        <v>43243.421788472224</v>
      </c>
      <c r="B657" s="11" t="s">
        <v>340</v>
      </c>
      <c r="C657" s="11">
        <v>1164</v>
      </c>
      <c r="D657" s="11" t="s">
        <v>1649</v>
      </c>
      <c r="E657" s="11">
        <v>9446217437</v>
      </c>
      <c r="F657" s="11" t="s">
        <v>35</v>
      </c>
      <c r="G657" s="11" t="s">
        <v>41</v>
      </c>
      <c r="H657" s="11">
        <v>56</v>
      </c>
      <c r="I657" s="12">
        <v>43243</v>
      </c>
      <c r="J657" s="2">
        <v>3</v>
      </c>
      <c r="K657" s="11">
        <v>1156596000239</v>
      </c>
      <c r="L657" s="11" t="s">
        <v>1650</v>
      </c>
      <c r="M657" s="11" t="s">
        <v>27</v>
      </c>
      <c r="N657" s="12">
        <v>43236</v>
      </c>
      <c r="O657" s="12">
        <v>43236</v>
      </c>
      <c r="P657" s="11">
        <v>3</v>
      </c>
      <c r="Q657" s="11" t="s">
        <v>340</v>
      </c>
    </row>
    <row r="658" spans="1:17" ht="13" hidden="1" x14ac:dyDescent="0.15">
      <c r="A658" s="10">
        <v>43243.430783310185</v>
      </c>
      <c r="B658" s="11" t="s">
        <v>340</v>
      </c>
      <c r="C658" s="11">
        <v>1171</v>
      </c>
      <c r="D658" s="11" t="s">
        <v>1651</v>
      </c>
      <c r="E658" s="11">
        <v>8078340000</v>
      </c>
      <c r="F658" s="11" t="s">
        <v>73</v>
      </c>
      <c r="G658" s="11" t="s">
        <v>41</v>
      </c>
      <c r="H658" s="11">
        <v>56</v>
      </c>
      <c r="I658" s="12">
        <v>43243</v>
      </c>
      <c r="J658" s="2">
        <v>10</v>
      </c>
      <c r="K658" s="11">
        <v>1145594007198</v>
      </c>
      <c r="L658" s="11" t="s">
        <v>1652</v>
      </c>
      <c r="M658" s="11" t="s">
        <v>27</v>
      </c>
      <c r="N658" s="12">
        <v>43234</v>
      </c>
      <c r="O658" s="12">
        <v>43234</v>
      </c>
      <c r="P658" s="11">
        <v>10</v>
      </c>
      <c r="Q658" s="11" t="s">
        <v>340</v>
      </c>
    </row>
    <row r="659" spans="1:17" ht="13" hidden="1" x14ac:dyDescent="0.15">
      <c r="A659" s="10">
        <v>43243.453010335652</v>
      </c>
      <c r="B659" s="11" t="s">
        <v>303</v>
      </c>
      <c r="C659" s="11">
        <v>993</v>
      </c>
      <c r="D659" s="11" t="s">
        <v>1653</v>
      </c>
      <c r="E659" s="11">
        <v>9847124117</v>
      </c>
      <c r="F659" s="11" t="s">
        <v>35</v>
      </c>
      <c r="G659" s="11" t="s">
        <v>280</v>
      </c>
      <c r="H659" s="11">
        <v>66</v>
      </c>
      <c r="I659" s="12">
        <v>43242</v>
      </c>
      <c r="J659" s="2">
        <v>5</v>
      </c>
      <c r="K659" s="11">
        <v>1157330002349</v>
      </c>
      <c r="L659" s="11" t="s">
        <v>1031</v>
      </c>
      <c r="M659" s="11" t="s">
        <v>27</v>
      </c>
      <c r="N659" s="12">
        <v>43216</v>
      </c>
      <c r="O659" s="12">
        <v>43216</v>
      </c>
      <c r="P659" s="11">
        <v>5</v>
      </c>
      <c r="Q659" s="11" t="s">
        <v>303</v>
      </c>
    </row>
    <row r="660" spans="1:17" ht="13" hidden="1" x14ac:dyDescent="0.15">
      <c r="A660" s="10">
        <v>43243.464018738421</v>
      </c>
      <c r="B660" s="11" t="s">
        <v>303</v>
      </c>
      <c r="C660" s="11">
        <v>1028</v>
      </c>
      <c r="D660" s="11" t="s">
        <v>1654</v>
      </c>
      <c r="E660" s="11">
        <v>9447026162</v>
      </c>
      <c r="F660" s="11" t="s">
        <v>35</v>
      </c>
      <c r="G660" s="11" t="s">
        <v>280</v>
      </c>
      <c r="H660" s="11">
        <v>66</v>
      </c>
      <c r="I660" s="12">
        <v>43242</v>
      </c>
      <c r="J660" s="2">
        <v>5</v>
      </c>
      <c r="K660" s="11">
        <v>1155854011175</v>
      </c>
      <c r="L660" s="11" t="s">
        <v>1655</v>
      </c>
      <c r="M660" s="11" t="s">
        <v>27</v>
      </c>
      <c r="N660" s="12">
        <v>43230</v>
      </c>
      <c r="O660" s="12">
        <v>43230</v>
      </c>
      <c r="P660" s="11">
        <v>5</v>
      </c>
      <c r="Q660" s="11" t="s">
        <v>303</v>
      </c>
    </row>
    <row r="661" spans="1:17" ht="13" x14ac:dyDescent="0.15">
      <c r="A661" s="10">
        <v>43243.539231261573</v>
      </c>
      <c r="B661" s="11" t="s">
        <v>589</v>
      </c>
      <c r="C661" s="11">
        <v>524</v>
      </c>
      <c r="D661" s="11" t="s">
        <v>1656</v>
      </c>
      <c r="E661" s="11">
        <v>9605322221</v>
      </c>
      <c r="F661" s="11" t="s">
        <v>24</v>
      </c>
      <c r="G661" s="11" t="s">
        <v>369</v>
      </c>
      <c r="H661" s="11">
        <v>38</v>
      </c>
      <c r="I661" s="12">
        <v>43197</v>
      </c>
      <c r="J661" s="2">
        <v>3</v>
      </c>
      <c r="K661" s="11">
        <v>1145196019610</v>
      </c>
      <c r="L661" s="11" t="s">
        <v>26</v>
      </c>
      <c r="M661" s="11" t="s">
        <v>27</v>
      </c>
      <c r="N661" s="12">
        <v>43197</v>
      </c>
      <c r="O661" s="12">
        <v>43197</v>
      </c>
      <c r="P661" s="11">
        <v>3</v>
      </c>
      <c r="Q661" s="11" t="s">
        <v>589</v>
      </c>
    </row>
    <row r="662" spans="1:17" ht="13" x14ac:dyDescent="0.15">
      <c r="A662" s="10">
        <v>43243.548249131942</v>
      </c>
      <c r="B662" s="11" t="s">
        <v>303</v>
      </c>
      <c r="C662" s="11">
        <v>943</v>
      </c>
      <c r="D662" s="11" t="s">
        <v>1657</v>
      </c>
      <c r="E662" s="11">
        <v>9446702689</v>
      </c>
      <c r="F662" s="11" t="s">
        <v>24</v>
      </c>
      <c r="G662" s="11" t="s">
        <v>280</v>
      </c>
      <c r="H662" s="11">
        <v>66</v>
      </c>
      <c r="I662" s="12">
        <v>43217</v>
      </c>
      <c r="J662" s="2">
        <v>2</v>
      </c>
      <c r="K662" s="11">
        <v>1145228003552</v>
      </c>
      <c r="L662" s="11" t="s">
        <v>1659</v>
      </c>
      <c r="M662" s="11" t="s">
        <v>27</v>
      </c>
      <c r="N662" s="12">
        <v>43242</v>
      </c>
      <c r="O662" s="12">
        <v>43242</v>
      </c>
      <c r="P662" s="11">
        <v>2</v>
      </c>
      <c r="Q662" s="11" t="s">
        <v>303</v>
      </c>
    </row>
    <row r="663" spans="1:17" ht="13" hidden="1" x14ac:dyDescent="0.15">
      <c r="A663" s="10">
        <v>43243.554234872689</v>
      </c>
      <c r="B663" s="11" t="s">
        <v>303</v>
      </c>
      <c r="C663" s="11">
        <v>1118</v>
      </c>
      <c r="D663" s="11" t="s">
        <v>1660</v>
      </c>
      <c r="E663" s="11">
        <v>9447090773</v>
      </c>
      <c r="F663" s="11" t="s">
        <v>40</v>
      </c>
      <c r="G663" s="11" t="s">
        <v>280</v>
      </c>
      <c r="H663" s="11">
        <v>66</v>
      </c>
      <c r="I663" s="12">
        <v>43241</v>
      </c>
      <c r="J663" s="2">
        <v>2</v>
      </c>
      <c r="K663" s="11">
        <v>11456754008227</v>
      </c>
      <c r="L663" s="11" t="s">
        <v>963</v>
      </c>
      <c r="M663" s="11" t="s">
        <v>27</v>
      </c>
      <c r="N663" s="12">
        <v>43231</v>
      </c>
      <c r="O663" s="12">
        <v>43231</v>
      </c>
      <c r="P663" s="11">
        <v>5</v>
      </c>
      <c r="Q663" s="11" t="s">
        <v>303</v>
      </c>
    </row>
    <row r="664" spans="1:17" ht="13" hidden="1" x14ac:dyDescent="0.15">
      <c r="A664" s="10">
        <v>43243.579656365742</v>
      </c>
      <c r="B664" s="11" t="s">
        <v>1661</v>
      </c>
      <c r="C664" s="11">
        <v>667</v>
      </c>
      <c r="D664" s="11" t="s">
        <v>1662</v>
      </c>
      <c r="E664" s="11">
        <v>8075709830</v>
      </c>
      <c r="F664" s="11" t="s">
        <v>287</v>
      </c>
      <c r="G664" s="11" t="s">
        <v>280</v>
      </c>
      <c r="H664" s="11">
        <v>66</v>
      </c>
      <c r="I664" s="12">
        <v>43242</v>
      </c>
      <c r="J664" s="2">
        <v>5</v>
      </c>
      <c r="K664" s="11">
        <v>1166722031783</v>
      </c>
      <c r="L664" s="11" t="s">
        <v>1663</v>
      </c>
      <c r="M664" s="11" t="s">
        <v>27</v>
      </c>
      <c r="N664" s="12">
        <v>43194</v>
      </c>
      <c r="O664" s="12">
        <v>43194</v>
      </c>
      <c r="P664" s="11">
        <v>5</v>
      </c>
      <c r="Q664" s="11" t="s">
        <v>303</v>
      </c>
    </row>
    <row r="665" spans="1:17" ht="13" hidden="1" x14ac:dyDescent="0.15">
      <c r="A665" s="10">
        <v>43243.625496006949</v>
      </c>
      <c r="B665" s="11" t="s">
        <v>65</v>
      </c>
      <c r="C665" s="11">
        <v>554</v>
      </c>
      <c r="D665" s="11" t="s">
        <v>1664</v>
      </c>
      <c r="E665" s="11">
        <v>9946901109</v>
      </c>
      <c r="F665" s="11" t="s">
        <v>73</v>
      </c>
      <c r="G665" s="11" t="s">
        <v>1665</v>
      </c>
      <c r="H665" s="11">
        <v>42</v>
      </c>
      <c r="I665" s="12">
        <v>43243</v>
      </c>
      <c r="J665" s="2">
        <v>3</v>
      </c>
      <c r="K665" s="11">
        <v>1146779005971</v>
      </c>
      <c r="L665" s="11" t="s">
        <v>1666</v>
      </c>
      <c r="M665" s="11" t="s">
        <v>27</v>
      </c>
      <c r="N665" s="12">
        <v>43241</v>
      </c>
      <c r="O665" s="12">
        <v>43241</v>
      </c>
      <c r="P665" s="11">
        <v>3</v>
      </c>
      <c r="Q665" s="11" t="s">
        <v>65</v>
      </c>
    </row>
    <row r="666" spans="1:17" ht="13" hidden="1" x14ac:dyDescent="0.15">
      <c r="A666" s="10">
        <v>43243.633096608799</v>
      </c>
      <c r="B666" s="11" t="s">
        <v>475</v>
      </c>
      <c r="C666" s="11">
        <v>1170</v>
      </c>
      <c r="D666" s="11" t="s">
        <v>1667</v>
      </c>
      <c r="E666" s="11">
        <v>9072626009</v>
      </c>
      <c r="F666" s="11" t="s">
        <v>30</v>
      </c>
      <c r="G666" s="11" t="s">
        <v>1668</v>
      </c>
      <c r="H666" s="11">
        <v>11</v>
      </c>
      <c r="I666" s="12">
        <v>43243</v>
      </c>
      <c r="J666" s="2">
        <v>5</v>
      </c>
      <c r="K666" s="11">
        <v>1156627019261</v>
      </c>
      <c r="L666" s="11" t="s">
        <v>1669</v>
      </c>
      <c r="M666" s="11" t="s">
        <v>27</v>
      </c>
      <c r="N666" s="12">
        <v>43231</v>
      </c>
      <c r="O666" s="12">
        <v>43231</v>
      </c>
      <c r="P666" s="11">
        <v>5</v>
      </c>
      <c r="Q666" s="11" t="s">
        <v>1670</v>
      </c>
    </row>
    <row r="667" spans="1:17" ht="13" x14ac:dyDescent="0.15">
      <c r="A667" s="10">
        <v>43243.639155856479</v>
      </c>
      <c r="B667" s="11" t="s">
        <v>303</v>
      </c>
      <c r="C667" s="11">
        <v>942</v>
      </c>
      <c r="D667" s="11" t="s">
        <v>1671</v>
      </c>
      <c r="E667" s="11">
        <v>9884441927</v>
      </c>
      <c r="F667" s="11" t="s">
        <v>24</v>
      </c>
      <c r="G667" s="11" t="s">
        <v>280</v>
      </c>
      <c r="H667" s="11">
        <v>66</v>
      </c>
      <c r="I667" s="12">
        <v>43242</v>
      </c>
      <c r="J667" s="2">
        <v>3</v>
      </c>
      <c r="K667" s="11">
        <v>1145216005503</v>
      </c>
      <c r="L667" s="11" t="s">
        <v>1672</v>
      </c>
      <c r="M667" s="11" t="s">
        <v>27</v>
      </c>
      <c r="N667" s="12">
        <v>43243</v>
      </c>
      <c r="O667" s="12">
        <v>43243</v>
      </c>
      <c r="P667" s="11">
        <v>3</v>
      </c>
      <c r="Q667" s="11" t="s">
        <v>303</v>
      </c>
    </row>
    <row r="668" spans="1:17" ht="13" x14ac:dyDescent="0.15">
      <c r="A668" s="10">
        <v>43243.64344240741</v>
      </c>
      <c r="B668" s="11" t="s">
        <v>303</v>
      </c>
      <c r="C668" s="11">
        <v>1078</v>
      </c>
      <c r="D668" s="11" t="s">
        <v>1673</v>
      </c>
      <c r="E668" s="11">
        <v>9846027650</v>
      </c>
      <c r="F668" s="11" t="s">
        <v>24</v>
      </c>
      <c r="G668" s="11" t="s">
        <v>280</v>
      </c>
      <c r="H668" s="11">
        <v>66</v>
      </c>
      <c r="I668" s="12">
        <v>43241</v>
      </c>
      <c r="J668" s="2">
        <v>5</v>
      </c>
      <c r="K668" s="11">
        <v>1145056005114</v>
      </c>
      <c r="L668" s="11" t="s">
        <v>1674</v>
      </c>
      <c r="M668" s="11" t="s">
        <v>27</v>
      </c>
      <c r="N668" s="12">
        <v>43243</v>
      </c>
      <c r="O668" s="12">
        <v>43243</v>
      </c>
      <c r="P668" s="11">
        <v>5</v>
      </c>
      <c r="Q668" s="11" t="s">
        <v>303</v>
      </c>
    </row>
    <row r="669" spans="1:17" ht="13" x14ac:dyDescent="0.15">
      <c r="A669" s="10">
        <v>43243.65638049769</v>
      </c>
      <c r="B669" s="11" t="s">
        <v>303</v>
      </c>
      <c r="C669" s="11">
        <v>357</v>
      </c>
      <c r="D669" s="11" t="s">
        <v>1675</v>
      </c>
      <c r="E669" s="11">
        <v>9447220278</v>
      </c>
      <c r="F669" s="11" t="s">
        <v>24</v>
      </c>
      <c r="G669" s="11" t="s">
        <v>280</v>
      </c>
      <c r="H669" s="11">
        <v>66</v>
      </c>
      <c r="I669" s="12">
        <v>43243</v>
      </c>
      <c r="J669" s="2">
        <v>5</v>
      </c>
      <c r="K669" s="11">
        <v>1145185027039</v>
      </c>
      <c r="L669" s="11" t="s">
        <v>264</v>
      </c>
      <c r="M669" s="11" t="s">
        <v>27</v>
      </c>
      <c r="N669" s="12">
        <v>43242</v>
      </c>
      <c r="O669" s="12">
        <v>43242</v>
      </c>
      <c r="P669" s="11">
        <v>5</v>
      </c>
      <c r="Q669" s="11" t="s">
        <v>303</v>
      </c>
    </row>
    <row r="670" spans="1:17" ht="13" hidden="1" x14ac:dyDescent="0.15">
      <c r="A670" s="10">
        <v>43243.656521180557</v>
      </c>
      <c r="B670" s="11" t="s">
        <v>176</v>
      </c>
      <c r="C670" s="11">
        <v>1016</v>
      </c>
      <c r="D670" s="11" t="s">
        <v>1676</v>
      </c>
      <c r="E670" s="11">
        <v>9142099977</v>
      </c>
      <c r="F670" s="11" t="s">
        <v>182</v>
      </c>
      <c r="G670" s="11" t="s">
        <v>916</v>
      </c>
      <c r="H670" s="11">
        <v>14</v>
      </c>
      <c r="I670" s="12">
        <v>43243</v>
      </c>
      <c r="J670" s="2">
        <v>3</v>
      </c>
      <c r="K670" s="11">
        <v>1165570015047</v>
      </c>
      <c r="L670" s="11" t="s">
        <v>1678</v>
      </c>
      <c r="M670" s="11" t="s">
        <v>27</v>
      </c>
      <c r="N670" s="12">
        <v>43241</v>
      </c>
      <c r="O670" s="12">
        <v>43241</v>
      </c>
      <c r="P670" s="11">
        <v>3</v>
      </c>
      <c r="Q670" s="11" t="s">
        <v>176</v>
      </c>
    </row>
    <row r="671" spans="1:17" ht="13" hidden="1" x14ac:dyDescent="0.15">
      <c r="A671" s="10">
        <v>43243.667889178236</v>
      </c>
      <c r="B671" s="11" t="s">
        <v>303</v>
      </c>
      <c r="C671" s="11">
        <v>843</v>
      </c>
      <c r="D671" s="11" t="s">
        <v>1679</v>
      </c>
      <c r="E671" s="11">
        <v>9249917549</v>
      </c>
      <c r="F671" s="11" t="s">
        <v>35</v>
      </c>
      <c r="G671" s="11" t="s">
        <v>280</v>
      </c>
      <c r="H671" s="11">
        <v>66</v>
      </c>
      <c r="I671" s="12">
        <v>43243</v>
      </c>
      <c r="J671" s="2">
        <v>3</v>
      </c>
      <c r="K671" s="11">
        <v>1155659002332</v>
      </c>
      <c r="L671" s="11" t="s">
        <v>1680</v>
      </c>
      <c r="M671" s="11" t="s">
        <v>27</v>
      </c>
      <c r="N671" s="12">
        <v>43228</v>
      </c>
      <c r="O671" s="12">
        <v>43228</v>
      </c>
      <c r="P671" s="11">
        <v>3</v>
      </c>
      <c r="Q671" s="11" t="s">
        <v>303</v>
      </c>
    </row>
    <row r="672" spans="1:17" ht="13" hidden="1" x14ac:dyDescent="0.15">
      <c r="A672" s="10">
        <v>43243.688045057876</v>
      </c>
      <c r="B672" s="11" t="s">
        <v>303</v>
      </c>
      <c r="C672" s="11">
        <v>1029</v>
      </c>
      <c r="D672" s="11" t="s">
        <v>1681</v>
      </c>
      <c r="E672" s="11">
        <v>9446548623</v>
      </c>
      <c r="F672" s="11" t="s">
        <v>35</v>
      </c>
      <c r="G672" s="11" t="s">
        <v>280</v>
      </c>
      <c r="H672" s="11">
        <v>66</v>
      </c>
      <c r="I672" s="12">
        <v>43243</v>
      </c>
      <c r="J672" s="2">
        <v>3</v>
      </c>
      <c r="K672" s="11">
        <v>1157316003963</v>
      </c>
      <c r="L672" s="11" t="s">
        <v>649</v>
      </c>
      <c r="M672" s="11" t="s">
        <v>27</v>
      </c>
      <c r="N672" s="12">
        <v>43242</v>
      </c>
      <c r="O672" s="12">
        <v>43242</v>
      </c>
      <c r="P672" s="11">
        <v>3</v>
      </c>
      <c r="Q672" s="11" t="s">
        <v>303</v>
      </c>
    </row>
    <row r="673" spans="1:17" ht="13" hidden="1" x14ac:dyDescent="0.15">
      <c r="A673" s="10">
        <v>43243.716071296294</v>
      </c>
      <c r="B673" s="11" t="s">
        <v>1682</v>
      </c>
      <c r="C673" s="11">
        <v>805</v>
      </c>
      <c r="D673" s="11" t="s">
        <v>1683</v>
      </c>
      <c r="E673" s="11">
        <v>9895172273</v>
      </c>
      <c r="F673" s="11" t="s">
        <v>35</v>
      </c>
      <c r="G673" s="11" t="s">
        <v>488</v>
      </c>
      <c r="H673" s="11">
        <v>22</v>
      </c>
      <c r="I673" s="12">
        <v>43242</v>
      </c>
      <c r="J673" s="2">
        <v>2</v>
      </c>
      <c r="K673" s="11">
        <v>1155444014230</v>
      </c>
      <c r="L673" s="11">
        <v>5544</v>
      </c>
      <c r="M673" s="11" t="s">
        <v>27</v>
      </c>
      <c r="N673" s="12">
        <v>43213</v>
      </c>
      <c r="O673" s="12">
        <v>43213</v>
      </c>
      <c r="P673" s="11">
        <v>2</v>
      </c>
      <c r="Q673" s="11" t="s">
        <v>1682</v>
      </c>
    </row>
    <row r="674" spans="1:17" ht="13" hidden="1" x14ac:dyDescent="0.15">
      <c r="A674" s="10">
        <v>43245.55036927083</v>
      </c>
      <c r="B674" s="11" t="s">
        <v>176</v>
      </c>
      <c r="C674" s="11">
        <v>136</v>
      </c>
      <c r="D674" s="11" t="s">
        <v>1684</v>
      </c>
      <c r="E674" s="11">
        <v>9142099977</v>
      </c>
      <c r="F674" s="11" t="s">
        <v>182</v>
      </c>
      <c r="G674" s="11" t="s">
        <v>916</v>
      </c>
      <c r="H674" s="11">
        <v>14</v>
      </c>
      <c r="I674" s="12">
        <v>43244</v>
      </c>
      <c r="J674" s="2">
        <v>10</v>
      </c>
      <c r="K674" s="11">
        <v>1165528030883</v>
      </c>
      <c r="L674" s="11" t="s">
        <v>1685</v>
      </c>
      <c r="M674" s="11" t="s">
        <v>27</v>
      </c>
      <c r="N674" s="12">
        <v>43244</v>
      </c>
      <c r="O674" s="12">
        <v>43244</v>
      </c>
      <c r="P674" s="11">
        <v>10</v>
      </c>
      <c r="Q674" s="11" t="s">
        <v>176</v>
      </c>
    </row>
    <row r="675" spans="1:17" ht="13" x14ac:dyDescent="0.15">
      <c r="A675" s="10">
        <v>43245.582682592591</v>
      </c>
      <c r="B675" s="11" t="s">
        <v>22</v>
      </c>
      <c r="C675" s="11">
        <v>950</v>
      </c>
      <c r="D675" s="11" t="s">
        <v>1686</v>
      </c>
      <c r="E675" s="11">
        <v>9072666513</v>
      </c>
      <c r="F675" s="11" t="s">
        <v>24</v>
      </c>
      <c r="G675" s="11" t="s">
        <v>1687</v>
      </c>
      <c r="H675" s="11">
        <v>54</v>
      </c>
      <c r="I675" s="12">
        <v>43210</v>
      </c>
      <c r="J675" s="2">
        <v>5</v>
      </c>
      <c r="K675" s="11">
        <v>1145078007857</v>
      </c>
      <c r="L675" s="11" t="s">
        <v>586</v>
      </c>
      <c r="M675" s="11" t="s">
        <v>27</v>
      </c>
      <c r="N675" s="12">
        <v>43242</v>
      </c>
      <c r="O675" s="12">
        <v>43242</v>
      </c>
      <c r="P675" s="11">
        <v>5</v>
      </c>
      <c r="Q675" s="11" t="s">
        <v>22</v>
      </c>
    </row>
    <row r="676" spans="1:17" ht="13" x14ac:dyDescent="0.15">
      <c r="A676" s="10">
        <v>43245.58960762732</v>
      </c>
      <c r="B676" s="11" t="s">
        <v>22</v>
      </c>
      <c r="C676" s="11">
        <v>1178</v>
      </c>
      <c r="D676" s="11" t="s">
        <v>1688</v>
      </c>
      <c r="E676" s="11">
        <v>9072666513</v>
      </c>
      <c r="F676" s="11" t="s">
        <v>24</v>
      </c>
      <c r="G676" s="11" t="s">
        <v>1687</v>
      </c>
      <c r="H676" s="11">
        <v>54</v>
      </c>
      <c r="I676" s="12">
        <v>43235</v>
      </c>
      <c r="J676" s="2">
        <v>10</v>
      </c>
      <c r="K676" s="11">
        <v>1145451021212</v>
      </c>
      <c r="L676" s="11" t="s">
        <v>1689</v>
      </c>
      <c r="M676" s="11" t="s">
        <v>27</v>
      </c>
      <c r="N676" s="12">
        <v>43243</v>
      </c>
      <c r="O676" s="12">
        <v>43243</v>
      </c>
      <c r="P676" s="11">
        <v>10</v>
      </c>
      <c r="Q676" s="11" t="s">
        <v>22</v>
      </c>
    </row>
    <row r="677" spans="1:17" ht="13" x14ac:dyDescent="0.15">
      <c r="A677" s="10">
        <v>43245.601116550926</v>
      </c>
      <c r="B677" s="11" t="s">
        <v>22</v>
      </c>
      <c r="C677" s="11">
        <v>824</v>
      </c>
      <c r="D677" s="11" t="s">
        <v>1690</v>
      </c>
      <c r="E677" s="11">
        <v>9072666513</v>
      </c>
      <c r="F677" s="11" t="s">
        <v>24</v>
      </c>
      <c r="G677" s="11" t="s">
        <v>1687</v>
      </c>
      <c r="H677" s="11">
        <v>54</v>
      </c>
      <c r="I677" s="12">
        <v>43240</v>
      </c>
      <c r="J677" s="2">
        <v>3</v>
      </c>
      <c r="K677" s="11">
        <v>1145069006281</v>
      </c>
      <c r="L677" s="11" t="s">
        <v>1691</v>
      </c>
      <c r="M677" s="11" t="s">
        <v>27</v>
      </c>
      <c r="N677" s="12">
        <v>43244</v>
      </c>
      <c r="O677" s="12">
        <v>43244</v>
      </c>
      <c r="P677" s="11">
        <v>3</v>
      </c>
      <c r="Q677" s="11" t="s">
        <v>22</v>
      </c>
    </row>
    <row r="678" spans="1:17" ht="13" hidden="1" x14ac:dyDescent="0.15">
      <c r="A678" s="10">
        <v>43245.607838703705</v>
      </c>
      <c r="B678" s="11" t="s">
        <v>1692</v>
      </c>
      <c r="C678" s="11">
        <v>1116</v>
      </c>
      <c r="D678" s="11" t="s">
        <v>1693</v>
      </c>
      <c r="E678" s="11">
        <v>8547270304</v>
      </c>
      <c r="F678" s="11" t="s">
        <v>40</v>
      </c>
      <c r="G678" s="11" t="s">
        <v>1694</v>
      </c>
      <c r="H678" s="11">
        <v>70</v>
      </c>
      <c r="I678" s="12">
        <v>43244</v>
      </c>
      <c r="J678" s="2">
        <v>5</v>
      </c>
      <c r="K678" s="11">
        <v>1155374010841</v>
      </c>
      <c r="L678" s="11" t="s">
        <v>1695</v>
      </c>
      <c r="M678" s="11" t="s">
        <v>27</v>
      </c>
      <c r="N678" s="12">
        <v>43242</v>
      </c>
      <c r="O678" s="12">
        <v>43242</v>
      </c>
      <c r="P678" s="11">
        <v>15</v>
      </c>
      <c r="Q678" s="11" t="s">
        <v>1692</v>
      </c>
    </row>
    <row r="679" spans="1:17" ht="13" hidden="1" x14ac:dyDescent="0.15">
      <c r="A679" s="10">
        <v>43245.617903275459</v>
      </c>
      <c r="B679" s="11" t="s">
        <v>589</v>
      </c>
      <c r="C679" s="11">
        <v>1094</v>
      </c>
      <c r="D679" s="11" t="s">
        <v>1696</v>
      </c>
      <c r="E679" s="11">
        <v>7034322221</v>
      </c>
      <c r="F679" s="11" t="s">
        <v>30</v>
      </c>
      <c r="G679" s="11" t="s">
        <v>369</v>
      </c>
      <c r="H679" s="11">
        <v>38</v>
      </c>
      <c r="I679" s="12">
        <v>43213</v>
      </c>
      <c r="J679" s="2">
        <v>3</v>
      </c>
      <c r="K679" s="11">
        <v>1156616011237</v>
      </c>
      <c r="L679" s="11" t="s">
        <v>1697</v>
      </c>
      <c r="M679" s="11" t="s">
        <v>27</v>
      </c>
      <c r="N679" s="12">
        <v>43213</v>
      </c>
      <c r="O679" s="12">
        <v>43213</v>
      </c>
      <c r="P679" s="11">
        <v>3</v>
      </c>
      <c r="Q679" s="11" t="s">
        <v>589</v>
      </c>
    </row>
    <row r="680" spans="1:17" ht="13" hidden="1" x14ac:dyDescent="0.15">
      <c r="A680" s="10">
        <v>43245.624883807875</v>
      </c>
      <c r="B680" s="11" t="s">
        <v>589</v>
      </c>
      <c r="C680" s="11">
        <v>1057</v>
      </c>
      <c r="D680" s="11" t="s">
        <v>1699</v>
      </c>
      <c r="E680" s="11">
        <v>9037655903</v>
      </c>
      <c r="F680" s="11" t="s">
        <v>30</v>
      </c>
      <c r="G680" s="11" t="s">
        <v>369</v>
      </c>
      <c r="H680" s="11">
        <v>38</v>
      </c>
      <c r="I680" s="12">
        <v>43215</v>
      </c>
      <c r="J680" s="2">
        <v>3</v>
      </c>
      <c r="K680" s="11">
        <v>1156466012133</v>
      </c>
      <c r="L680" s="11" t="s">
        <v>580</v>
      </c>
      <c r="M680" s="11" t="s">
        <v>27</v>
      </c>
      <c r="N680" s="12">
        <v>43215</v>
      </c>
      <c r="O680" s="12">
        <v>43215</v>
      </c>
      <c r="P680" s="11">
        <v>3</v>
      </c>
      <c r="Q680" s="11" t="s">
        <v>589</v>
      </c>
    </row>
    <row r="681" spans="1:17" ht="13" hidden="1" x14ac:dyDescent="0.15">
      <c r="A681" s="10">
        <v>43245.652453564813</v>
      </c>
      <c r="B681" s="11" t="s">
        <v>124</v>
      </c>
      <c r="C681" s="11">
        <v>827</v>
      </c>
      <c r="D681" s="11" t="s">
        <v>1700</v>
      </c>
      <c r="E681" s="11">
        <v>9497320615</v>
      </c>
      <c r="F681" s="11" t="s">
        <v>35</v>
      </c>
      <c r="G681" s="11" t="s">
        <v>126</v>
      </c>
      <c r="H681" s="11">
        <v>64</v>
      </c>
      <c r="I681" s="12">
        <v>43201</v>
      </c>
      <c r="J681" s="2">
        <v>3</v>
      </c>
      <c r="K681" s="11">
        <v>1155570017416</v>
      </c>
      <c r="L681" s="11" t="s">
        <v>1701</v>
      </c>
      <c r="M681" s="11" t="s">
        <v>27</v>
      </c>
      <c r="N681" s="12">
        <v>43234</v>
      </c>
      <c r="O681" s="12">
        <v>43234</v>
      </c>
      <c r="P681" s="11">
        <v>3</v>
      </c>
      <c r="Q681" s="11" t="s">
        <v>1702</v>
      </c>
    </row>
    <row r="682" spans="1:17" ht="13" hidden="1" x14ac:dyDescent="0.15">
      <c r="A682" s="10">
        <v>43245.671417175923</v>
      </c>
      <c r="B682" s="11" t="s">
        <v>1703</v>
      </c>
      <c r="C682" s="11">
        <v>432</v>
      </c>
      <c r="D682" s="11" t="s">
        <v>1704</v>
      </c>
      <c r="E682" s="11">
        <v>9846395555</v>
      </c>
      <c r="F682" s="11" t="s">
        <v>35</v>
      </c>
      <c r="G682" s="11" t="s">
        <v>126</v>
      </c>
      <c r="H682" s="11">
        <v>64</v>
      </c>
      <c r="I682" s="12">
        <v>43169</v>
      </c>
      <c r="J682" s="2">
        <v>5</v>
      </c>
      <c r="K682" s="11">
        <v>1155552028208</v>
      </c>
      <c r="L682" s="11" t="s">
        <v>1187</v>
      </c>
      <c r="M682" s="11" t="s">
        <v>27</v>
      </c>
      <c r="N682" s="12">
        <v>43175</v>
      </c>
      <c r="O682" s="12">
        <v>43175</v>
      </c>
      <c r="P682" s="11">
        <v>5</v>
      </c>
      <c r="Q682" s="11" t="s">
        <v>1703</v>
      </c>
    </row>
    <row r="683" spans="1:17" ht="13" hidden="1" x14ac:dyDescent="0.15">
      <c r="A683" s="10">
        <v>43245.700644976852</v>
      </c>
      <c r="B683" s="11" t="s">
        <v>1705</v>
      </c>
      <c r="C683" s="11">
        <v>820</v>
      </c>
      <c r="D683" s="11" t="s">
        <v>1706</v>
      </c>
      <c r="E683" s="11">
        <v>9846395555</v>
      </c>
      <c r="F683" s="11" t="s">
        <v>35</v>
      </c>
      <c r="G683" s="11" t="s">
        <v>126</v>
      </c>
      <c r="H683" s="11">
        <v>64</v>
      </c>
      <c r="I683" s="12">
        <v>43201</v>
      </c>
      <c r="J683" s="2">
        <v>3</v>
      </c>
      <c r="K683" s="11">
        <v>1155516009210</v>
      </c>
      <c r="L683" s="11" t="s">
        <v>828</v>
      </c>
      <c r="M683" s="11" t="s">
        <v>27</v>
      </c>
      <c r="N683" s="12">
        <v>43202</v>
      </c>
      <c r="O683" s="12">
        <v>43202</v>
      </c>
      <c r="P683" s="11">
        <v>3</v>
      </c>
      <c r="Q683" s="11" t="s">
        <v>1705</v>
      </c>
    </row>
    <row r="684" spans="1:17" ht="13" hidden="1" x14ac:dyDescent="0.15">
      <c r="A684" s="10">
        <v>43245.703893414349</v>
      </c>
      <c r="B684" s="11" t="s">
        <v>1707</v>
      </c>
      <c r="C684" s="11">
        <v>852</v>
      </c>
      <c r="D684" s="11" t="s">
        <v>1708</v>
      </c>
      <c r="E684" s="11">
        <v>9846395555</v>
      </c>
      <c r="F684" s="11" t="s">
        <v>35</v>
      </c>
      <c r="G684" s="11" t="s">
        <v>126</v>
      </c>
      <c r="H684" s="11">
        <v>64</v>
      </c>
      <c r="I684" s="12">
        <v>43201</v>
      </c>
      <c r="J684" s="2">
        <v>3</v>
      </c>
      <c r="K684" s="11">
        <v>1155512013415</v>
      </c>
      <c r="L684" s="11" t="s">
        <v>828</v>
      </c>
      <c r="M684" s="11" t="s">
        <v>27</v>
      </c>
      <c r="N684" s="12">
        <v>43230</v>
      </c>
      <c r="O684" s="12">
        <v>43230</v>
      </c>
      <c r="P684" s="11">
        <v>3</v>
      </c>
      <c r="Q684" s="11" t="s">
        <v>1707</v>
      </c>
    </row>
    <row r="685" spans="1:17" ht="13" hidden="1" x14ac:dyDescent="0.15">
      <c r="A685" s="10">
        <v>43245.742714398148</v>
      </c>
      <c r="B685" s="11" t="s">
        <v>1709</v>
      </c>
      <c r="C685" s="11">
        <v>633</v>
      </c>
      <c r="D685" s="11" t="s">
        <v>1710</v>
      </c>
      <c r="E685" s="11">
        <v>9072666513</v>
      </c>
      <c r="F685" s="11" t="s">
        <v>61</v>
      </c>
      <c r="G685" s="11" t="s">
        <v>1687</v>
      </c>
      <c r="H685" s="11">
        <v>54</v>
      </c>
      <c r="I685" s="12">
        <v>43245</v>
      </c>
      <c r="J685" s="2">
        <v>5</v>
      </c>
      <c r="K685" s="11">
        <v>1146232023160</v>
      </c>
      <c r="L685" s="11" t="s">
        <v>1711</v>
      </c>
      <c r="M685" s="11" t="s">
        <v>27</v>
      </c>
      <c r="N685" s="12">
        <v>43153</v>
      </c>
      <c r="O685" s="12">
        <v>43153</v>
      </c>
      <c r="P685" s="11">
        <v>5</v>
      </c>
      <c r="Q685" s="11" t="s">
        <v>22</v>
      </c>
    </row>
    <row r="686" spans="1:17" ht="13" hidden="1" x14ac:dyDescent="0.15">
      <c r="A686" s="10">
        <v>43245.830957210652</v>
      </c>
      <c r="B686" s="11" t="s">
        <v>371</v>
      </c>
      <c r="C686" s="11">
        <v>670</v>
      </c>
      <c r="D686" s="11" t="s">
        <v>1712</v>
      </c>
      <c r="E686" s="11">
        <v>8547564126</v>
      </c>
      <c r="F686" s="11" t="s">
        <v>30</v>
      </c>
      <c r="G686" s="11" t="s">
        <v>215</v>
      </c>
      <c r="H686" s="11">
        <v>27</v>
      </c>
      <c r="I686" s="12">
        <v>43230</v>
      </c>
      <c r="J686" s="2">
        <v>3</v>
      </c>
      <c r="K686" s="11">
        <v>1156628016871</v>
      </c>
      <c r="L686" s="11" t="s">
        <v>191</v>
      </c>
      <c r="M686" s="11" t="s">
        <v>27</v>
      </c>
      <c r="N686" s="12">
        <v>43237</v>
      </c>
      <c r="O686" s="12">
        <v>43237</v>
      </c>
      <c r="P686" s="11">
        <v>3</v>
      </c>
      <c r="Q686" s="11" t="s">
        <v>371</v>
      </c>
    </row>
    <row r="687" spans="1:17" ht="13" hidden="1" x14ac:dyDescent="0.15">
      <c r="A687" s="10">
        <v>43246.436055902777</v>
      </c>
      <c r="B687" s="11" t="s">
        <v>475</v>
      </c>
      <c r="C687" s="11">
        <v>1170</v>
      </c>
      <c r="D687" s="11" t="s">
        <v>1713</v>
      </c>
      <c r="E687" s="11">
        <v>9072626009</v>
      </c>
      <c r="F687" s="11" t="s">
        <v>30</v>
      </c>
      <c r="G687" s="11" t="s">
        <v>1278</v>
      </c>
      <c r="H687" s="11">
        <v>11</v>
      </c>
      <c r="I687" s="12">
        <v>43246</v>
      </c>
      <c r="J687" s="2">
        <v>5</v>
      </c>
      <c r="K687" s="11">
        <v>1156627019261</v>
      </c>
      <c r="L687" s="11" t="s">
        <v>1714</v>
      </c>
      <c r="M687" s="11" t="s">
        <v>27</v>
      </c>
      <c r="N687" s="12">
        <v>43231</v>
      </c>
      <c r="O687" s="12">
        <v>43231</v>
      </c>
      <c r="P687" s="11">
        <v>5</v>
      </c>
      <c r="Q687" s="11" t="s">
        <v>475</v>
      </c>
    </row>
    <row r="688" spans="1:17" ht="13" hidden="1" x14ac:dyDescent="0.15">
      <c r="A688" s="10">
        <v>43246.480934097221</v>
      </c>
      <c r="B688" s="11" t="s">
        <v>1715</v>
      </c>
      <c r="C688" s="11">
        <v>1172</v>
      </c>
      <c r="D688" s="11" t="s">
        <v>1716</v>
      </c>
      <c r="E688" s="11">
        <v>9447773478</v>
      </c>
      <c r="F688" s="11" t="s">
        <v>56</v>
      </c>
      <c r="G688" s="11" t="s">
        <v>1717</v>
      </c>
      <c r="H688" s="11">
        <v>70</v>
      </c>
      <c r="I688" s="12">
        <v>43246</v>
      </c>
      <c r="J688" s="2">
        <v>10</v>
      </c>
      <c r="K688" s="11">
        <v>1146447000200</v>
      </c>
      <c r="L688" s="11" t="s">
        <v>1718</v>
      </c>
      <c r="M688" s="11" t="s">
        <v>27</v>
      </c>
      <c r="N688" s="12">
        <v>43239</v>
      </c>
      <c r="O688" s="12">
        <v>43239</v>
      </c>
      <c r="P688" s="11">
        <v>20</v>
      </c>
      <c r="Q688" s="11" t="s">
        <v>1715</v>
      </c>
    </row>
    <row r="689" spans="1:17" ht="13" hidden="1" x14ac:dyDescent="0.15">
      <c r="A689" s="10">
        <v>43246.491954571757</v>
      </c>
      <c r="B689" s="11" t="s">
        <v>475</v>
      </c>
      <c r="C689" s="11">
        <v>1204</v>
      </c>
      <c r="D689" s="11" t="s">
        <v>1719</v>
      </c>
      <c r="E689" s="11">
        <v>9072626009</v>
      </c>
      <c r="F689" s="11" t="s">
        <v>30</v>
      </c>
      <c r="G689" s="11" t="s">
        <v>1720</v>
      </c>
      <c r="H689" s="11">
        <v>11</v>
      </c>
      <c r="I689" s="12">
        <v>43246</v>
      </c>
      <c r="J689" s="2">
        <v>3</v>
      </c>
      <c r="K689" s="11">
        <v>1156754017658</v>
      </c>
      <c r="L689" s="11" t="s">
        <v>1721</v>
      </c>
      <c r="M689" s="11" t="s">
        <v>27</v>
      </c>
      <c r="N689" s="12">
        <v>43246</v>
      </c>
      <c r="O689" s="12">
        <v>43246</v>
      </c>
      <c r="P689" s="11">
        <v>3</v>
      </c>
      <c r="Q689" s="11" t="s">
        <v>475</v>
      </c>
    </row>
    <row r="690" spans="1:17" ht="13" hidden="1" x14ac:dyDescent="0.15">
      <c r="A690" s="10">
        <v>43246.672560381943</v>
      </c>
      <c r="B690" s="11" t="s">
        <v>303</v>
      </c>
      <c r="C690" s="11">
        <v>889</v>
      </c>
      <c r="D690" s="11" t="s">
        <v>1723</v>
      </c>
      <c r="E690" s="11">
        <v>8921114904</v>
      </c>
      <c r="F690" s="11" t="s">
        <v>73</v>
      </c>
      <c r="G690" s="11" t="s">
        <v>280</v>
      </c>
      <c r="H690" s="11">
        <v>66</v>
      </c>
      <c r="I690" s="12">
        <v>43241</v>
      </c>
      <c r="J690" s="2">
        <v>10</v>
      </c>
      <c r="K690" s="11">
        <v>1145679011540</v>
      </c>
      <c r="L690" s="11" t="s">
        <v>963</v>
      </c>
      <c r="M690" s="11" t="s">
        <v>27</v>
      </c>
      <c r="N690" s="12">
        <v>43210</v>
      </c>
      <c r="O690" s="12">
        <v>43210</v>
      </c>
      <c r="P690" s="11">
        <v>10</v>
      </c>
      <c r="Q690" s="11" t="s">
        <v>303</v>
      </c>
    </row>
    <row r="691" spans="1:17" ht="13" hidden="1" x14ac:dyDescent="0.15">
      <c r="A691" s="10">
        <v>43246.675873078704</v>
      </c>
      <c r="B691" s="11" t="s">
        <v>303</v>
      </c>
      <c r="C691" s="11">
        <v>1120</v>
      </c>
      <c r="D691" s="11" t="s">
        <v>1724</v>
      </c>
      <c r="E691" s="11">
        <v>9745416314</v>
      </c>
      <c r="F691" s="11" t="s">
        <v>73</v>
      </c>
      <c r="G691" s="11" t="s">
        <v>280</v>
      </c>
      <c r="H691" s="11">
        <v>66</v>
      </c>
      <c r="I691" s="12">
        <v>43241</v>
      </c>
      <c r="J691" s="2">
        <v>5</v>
      </c>
      <c r="K691" s="11">
        <v>1145674008184</v>
      </c>
      <c r="L691" s="11" t="s">
        <v>963</v>
      </c>
      <c r="M691" s="11" t="s">
        <v>27</v>
      </c>
      <c r="N691" s="12">
        <v>43239</v>
      </c>
      <c r="O691" s="12">
        <v>43239</v>
      </c>
      <c r="P691" s="11">
        <v>5</v>
      </c>
      <c r="Q691" s="11" t="s">
        <v>303</v>
      </c>
    </row>
    <row r="692" spans="1:17" ht="13" hidden="1" x14ac:dyDescent="0.15">
      <c r="A692" s="10">
        <v>43246.680489722217</v>
      </c>
      <c r="B692" s="11" t="s">
        <v>303</v>
      </c>
      <c r="C692" s="11">
        <v>1055</v>
      </c>
      <c r="D692" s="11" t="s">
        <v>1725</v>
      </c>
      <c r="E692" s="11">
        <v>9388627640</v>
      </c>
      <c r="F692" s="11" t="s">
        <v>73</v>
      </c>
      <c r="G692" s="11" t="s">
        <v>280</v>
      </c>
      <c r="H692" s="11">
        <v>66</v>
      </c>
      <c r="I692" s="12">
        <v>43241</v>
      </c>
      <c r="J692" s="2">
        <v>3</v>
      </c>
      <c r="K692" s="11">
        <v>1145671001149</v>
      </c>
      <c r="L692" s="11" t="s">
        <v>963</v>
      </c>
      <c r="M692" s="11" t="s">
        <v>27</v>
      </c>
      <c r="N692" s="12">
        <v>43231</v>
      </c>
      <c r="O692" s="12">
        <v>43231</v>
      </c>
      <c r="P692" s="11">
        <v>3</v>
      </c>
      <c r="Q692" s="11" t="s">
        <v>303</v>
      </c>
    </row>
    <row r="693" spans="1:17" ht="13" hidden="1" x14ac:dyDescent="0.15">
      <c r="A693" s="10">
        <v>43246.725716284724</v>
      </c>
      <c r="B693" s="11" t="s">
        <v>176</v>
      </c>
      <c r="C693" s="11">
        <v>173</v>
      </c>
      <c r="D693" s="11" t="s">
        <v>1726</v>
      </c>
      <c r="E693" s="11">
        <v>9142099977</v>
      </c>
      <c r="F693" s="11" t="s">
        <v>182</v>
      </c>
      <c r="G693" s="11" t="s">
        <v>916</v>
      </c>
      <c r="H693" s="11">
        <v>14</v>
      </c>
      <c r="I693" s="12">
        <v>43246</v>
      </c>
      <c r="J693" s="2">
        <v>5</v>
      </c>
      <c r="K693" s="11">
        <v>1165401024941</v>
      </c>
      <c r="L693" s="11" t="s">
        <v>1727</v>
      </c>
      <c r="M693" s="11" t="s">
        <v>27</v>
      </c>
      <c r="N693" s="12">
        <v>43246</v>
      </c>
      <c r="O693" s="12">
        <v>43246</v>
      </c>
      <c r="P693" s="11">
        <v>5</v>
      </c>
      <c r="Q693" s="11" t="s">
        <v>176</v>
      </c>
    </row>
    <row r="694" spans="1:17" ht="13" hidden="1" x14ac:dyDescent="0.15">
      <c r="A694" s="10">
        <v>43248.447828611112</v>
      </c>
      <c r="B694" s="11" t="s">
        <v>303</v>
      </c>
      <c r="C694" s="11">
        <v>674</v>
      </c>
      <c r="D694" s="11" t="s">
        <v>1728</v>
      </c>
      <c r="E694" s="11">
        <v>9447247489</v>
      </c>
      <c r="F694" s="11" t="s">
        <v>35</v>
      </c>
      <c r="G694" s="11" t="s">
        <v>280</v>
      </c>
      <c r="H694" s="11">
        <v>66</v>
      </c>
      <c r="I694" s="12">
        <v>43243</v>
      </c>
      <c r="J694" s="2">
        <v>3</v>
      </c>
      <c r="K694" s="11">
        <v>1155889008179</v>
      </c>
      <c r="L694" s="11" t="s">
        <v>1729</v>
      </c>
      <c r="M694" s="11" t="s">
        <v>27</v>
      </c>
      <c r="N694" s="12">
        <v>43196</v>
      </c>
      <c r="O694" s="12">
        <v>43196</v>
      </c>
      <c r="P694" s="11">
        <v>3</v>
      </c>
      <c r="Q694" s="11" t="s">
        <v>303</v>
      </c>
    </row>
    <row r="695" spans="1:17" ht="13" hidden="1" x14ac:dyDescent="0.15">
      <c r="A695" s="10">
        <v>43248.468730833338</v>
      </c>
      <c r="B695" s="11" t="s">
        <v>151</v>
      </c>
      <c r="C695" s="11">
        <v>865</v>
      </c>
      <c r="D695" s="11" t="s">
        <v>1730</v>
      </c>
      <c r="E695" s="11">
        <v>7907009190</v>
      </c>
      <c r="F695" s="11" t="s">
        <v>40</v>
      </c>
      <c r="G695" s="11" t="s">
        <v>157</v>
      </c>
      <c r="H695" s="11">
        <v>42</v>
      </c>
      <c r="I695" s="12">
        <v>43242</v>
      </c>
      <c r="J695" s="2">
        <v>3</v>
      </c>
      <c r="K695" s="11">
        <v>1155322001163</v>
      </c>
      <c r="L695" s="11" t="s">
        <v>1731</v>
      </c>
      <c r="M695" s="11" t="s">
        <v>27</v>
      </c>
      <c r="N695" s="12">
        <v>43557</v>
      </c>
      <c r="O695" s="12">
        <v>43212</v>
      </c>
      <c r="P695" s="11">
        <v>3</v>
      </c>
      <c r="Q695" s="11" t="s">
        <v>151</v>
      </c>
    </row>
    <row r="696" spans="1:17" ht="13" hidden="1" x14ac:dyDescent="0.15">
      <c r="A696" s="10">
        <v>43248.481578877312</v>
      </c>
      <c r="B696" s="11" t="s">
        <v>303</v>
      </c>
      <c r="C696" s="11">
        <v>1075</v>
      </c>
      <c r="D696" s="11" t="s">
        <v>1732</v>
      </c>
      <c r="E696" s="11">
        <v>9388627640</v>
      </c>
      <c r="F696" s="11" t="s">
        <v>40</v>
      </c>
      <c r="G696" s="11" t="s">
        <v>280</v>
      </c>
      <c r="H696" s="11">
        <v>66</v>
      </c>
      <c r="I696" s="12">
        <v>43241</v>
      </c>
      <c r="J696" s="2">
        <v>5</v>
      </c>
      <c r="K696" s="11">
        <v>1145677006164</v>
      </c>
      <c r="L696" s="11" t="s">
        <v>963</v>
      </c>
      <c r="M696" s="11" t="s">
        <v>27</v>
      </c>
      <c r="N696" s="12">
        <v>43231</v>
      </c>
      <c r="O696" s="12">
        <v>43231</v>
      </c>
      <c r="P696" s="11">
        <v>5</v>
      </c>
      <c r="Q696" s="11" t="s">
        <v>303</v>
      </c>
    </row>
    <row r="697" spans="1:17" ht="13" hidden="1" x14ac:dyDescent="0.15">
      <c r="A697" s="10">
        <v>43248.517419004631</v>
      </c>
      <c r="B697" s="11" t="s">
        <v>1733</v>
      </c>
      <c r="C697" s="11">
        <v>649</v>
      </c>
      <c r="D697" s="11" t="s">
        <v>1734</v>
      </c>
      <c r="E697" s="11">
        <v>8589019035</v>
      </c>
      <c r="F697" s="11" t="s">
        <v>35</v>
      </c>
      <c r="G697" s="11" t="s">
        <v>1735</v>
      </c>
      <c r="H697" s="11">
        <v>24</v>
      </c>
      <c r="I697" s="12">
        <v>43208</v>
      </c>
      <c r="J697" s="2">
        <v>5</v>
      </c>
      <c r="K697" s="11">
        <v>1155567011924</v>
      </c>
      <c r="L697" s="11" t="s">
        <v>1736</v>
      </c>
      <c r="M697" s="11" t="s">
        <v>27</v>
      </c>
      <c r="N697" s="12">
        <v>43214</v>
      </c>
      <c r="O697" s="12">
        <v>43214</v>
      </c>
      <c r="P697" s="11">
        <v>5</v>
      </c>
      <c r="Q697" s="11" t="s">
        <v>1733</v>
      </c>
    </row>
    <row r="698" spans="1:17" ht="13" hidden="1" x14ac:dyDescent="0.15">
      <c r="A698" s="10">
        <v>43248.525040335648</v>
      </c>
      <c r="B698" s="11" t="s">
        <v>1737</v>
      </c>
      <c r="C698" s="11">
        <v>1059</v>
      </c>
      <c r="D698" s="11" t="s">
        <v>1738</v>
      </c>
      <c r="E698" s="11">
        <v>9048175511</v>
      </c>
      <c r="F698" s="11" t="s">
        <v>46</v>
      </c>
      <c r="G698" s="11" t="s">
        <v>36</v>
      </c>
      <c r="H698" s="11">
        <v>20</v>
      </c>
      <c r="I698" s="12">
        <v>43234</v>
      </c>
      <c r="J698" s="2">
        <v>5</v>
      </c>
      <c r="K698" s="11">
        <v>1165310015859</v>
      </c>
      <c r="L698" s="11" t="s">
        <v>1740</v>
      </c>
      <c r="M698" s="11" t="s">
        <v>27</v>
      </c>
      <c r="N698" s="12">
        <v>43247</v>
      </c>
      <c r="O698" s="12">
        <v>43247</v>
      </c>
      <c r="P698" s="11">
        <v>5</v>
      </c>
      <c r="Q698" s="11" t="s">
        <v>1737</v>
      </c>
    </row>
    <row r="699" spans="1:17" ht="13" hidden="1" x14ac:dyDescent="0.15">
      <c r="A699" s="10">
        <v>43248.527044999995</v>
      </c>
      <c r="B699" s="11" t="s">
        <v>1741</v>
      </c>
      <c r="C699" s="11">
        <v>1069</v>
      </c>
      <c r="D699" s="11" t="s">
        <v>1742</v>
      </c>
      <c r="E699" s="11">
        <v>7736826201</v>
      </c>
      <c r="F699" s="11" t="s">
        <v>46</v>
      </c>
      <c r="G699" s="11" t="s">
        <v>36</v>
      </c>
      <c r="H699" s="11">
        <v>20</v>
      </c>
      <c r="I699" s="12">
        <v>43243</v>
      </c>
      <c r="J699" s="2">
        <v>3</v>
      </c>
      <c r="K699" s="11">
        <v>1165318014663</v>
      </c>
      <c r="L699" s="11" t="s">
        <v>1740</v>
      </c>
      <c r="M699" s="11" t="s">
        <v>27</v>
      </c>
      <c r="N699" s="12">
        <v>43247</v>
      </c>
      <c r="O699" s="12">
        <v>43247</v>
      </c>
      <c r="P699" s="11">
        <v>3</v>
      </c>
      <c r="Q699" s="11" t="s">
        <v>1741</v>
      </c>
    </row>
    <row r="700" spans="1:17" ht="13" hidden="1" x14ac:dyDescent="0.15">
      <c r="A700" s="10">
        <v>43248.528371944441</v>
      </c>
      <c r="B700" s="11" t="s">
        <v>1743</v>
      </c>
      <c r="C700" s="11">
        <v>1067</v>
      </c>
      <c r="D700" s="11" t="s">
        <v>1744</v>
      </c>
      <c r="E700" s="11">
        <v>8330053953</v>
      </c>
      <c r="F700" s="11" t="s">
        <v>46</v>
      </c>
      <c r="G700" s="11" t="s">
        <v>1745</v>
      </c>
      <c r="H700" s="11">
        <v>20</v>
      </c>
      <c r="I700" s="12">
        <v>43230</v>
      </c>
      <c r="J700" s="2">
        <v>3</v>
      </c>
      <c r="K700" s="11">
        <v>1165311011278</v>
      </c>
      <c r="L700" s="11" t="s">
        <v>1740</v>
      </c>
      <c r="M700" s="11" t="s">
        <v>27</v>
      </c>
      <c r="N700" s="12">
        <v>43247</v>
      </c>
      <c r="O700" s="12">
        <v>43240</v>
      </c>
      <c r="P700" s="11">
        <v>3</v>
      </c>
      <c r="Q700" s="11" t="s">
        <v>1743</v>
      </c>
    </row>
    <row r="701" spans="1:17" ht="13" hidden="1" x14ac:dyDescent="0.15">
      <c r="A701" s="10">
        <v>43248.740778993058</v>
      </c>
      <c r="B701" s="11" t="s">
        <v>1746</v>
      </c>
      <c r="C701" s="11">
        <v>351</v>
      </c>
      <c r="D701" s="11" t="s">
        <v>1747</v>
      </c>
      <c r="E701" s="11">
        <v>7558030765</v>
      </c>
      <c r="F701" s="11" t="s">
        <v>40</v>
      </c>
      <c r="G701" s="11" t="s">
        <v>1748</v>
      </c>
      <c r="H701" s="11">
        <v>7</v>
      </c>
      <c r="I701" s="12">
        <v>43176</v>
      </c>
      <c r="J701" s="2">
        <v>10</v>
      </c>
      <c r="K701" s="11">
        <v>1155224022011</v>
      </c>
      <c r="L701" s="11" t="s">
        <v>1749</v>
      </c>
      <c r="M701" s="11" t="s">
        <v>27</v>
      </c>
      <c r="N701" s="12">
        <v>43176</v>
      </c>
      <c r="O701" s="12">
        <v>43176</v>
      </c>
      <c r="P701" s="11">
        <v>10</v>
      </c>
      <c r="Q701" s="11" t="s">
        <v>1750</v>
      </c>
    </row>
    <row r="702" spans="1:17" ht="13" hidden="1" x14ac:dyDescent="0.15">
      <c r="A702" s="10">
        <v>43248.755458715277</v>
      </c>
      <c r="B702" s="11" t="s">
        <v>1751</v>
      </c>
      <c r="C702" s="11">
        <v>146</v>
      </c>
      <c r="D702" s="11" t="s">
        <v>1752</v>
      </c>
      <c r="E702" s="11">
        <v>9447163757</v>
      </c>
      <c r="F702" s="11" t="s">
        <v>61</v>
      </c>
      <c r="G702" s="11" t="s">
        <v>1753</v>
      </c>
      <c r="H702" s="11">
        <v>7</v>
      </c>
      <c r="I702" s="12">
        <v>43185</v>
      </c>
      <c r="J702" s="2">
        <v>3</v>
      </c>
      <c r="K702" s="11">
        <v>10851</v>
      </c>
      <c r="L702" s="11" t="s">
        <v>1754</v>
      </c>
      <c r="M702" s="11" t="s">
        <v>27</v>
      </c>
      <c r="N702" s="12">
        <v>43162</v>
      </c>
      <c r="O702" s="12">
        <v>43162</v>
      </c>
      <c r="P702" s="11">
        <v>3</v>
      </c>
      <c r="Q702" s="11" t="s">
        <v>1750</v>
      </c>
    </row>
    <row r="703" spans="1:17" ht="13" x14ac:dyDescent="0.15">
      <c r="A703" s="10">
        <v>43248.759725763884</v>
      </c>
      <c r="B703" s="11" t="s">
        <v>1755</v>
      </c>
      <c r="C703" s="11">
        <v>262</v>
      </c>
      <c r="D703" s="11" t="s">
        <v>1756</v>
      </c>
      <c r="E703" s="11">
        <v>701236288</v>
      </c>
      <c r="F703" s="11" t="s">
        <v>24</v>
      </c>
      <c r="G703" s="11" t="s">
        <v>1753</v>
      </c>
      <c r="H703" s="11">
        <v>7</v>
      </c>
      <c r="I703" s="12">
        <v>43168</v>
      </c>
      <c r="J703" s="2">
        <v>2</v>
      </c>
      <c r="K703" s="11">
        <v>1145085007069</v>
      </c>
      <c r="L703" s="11" t="s">
        <v>1757</v>
      </c>
      <c r="M703" s="11" t="s">
        <v>27</v>
      </c>
      <c r="N703" s="12">
        <v>43167</v>
      </c>
      <c r="O703" s="12">
        <v>43167</v>
      </c>
      <c r="P703" s="11">
        <v>2</v>
      </c>
      <c r="Q703" s="11" t="s">
        <v>1750</v>
      </c>
    </row>
    <row r="704" spans="1:17" ht="13" x14ac:dyDescent="0.15">
      <c r="A704" s="10">
        <v>43248.774751909717</v>
      </c>
      <c r="B704" s="11" t="s">
        <v>1758</v>
      </c>
      <c r="C704" s="11">
        <v>1007</v>
      </c>
      <c r="D704" s="11" t="s">
        <v>1759</v>
      </c>
      <c r="E704" s="11">
        <v>9846111171</v>
      </c>
      <c r="F704" s="11" t="s">
        <v>24</v>
      </c>
      <c r="G704" s="11" t="s">
        <v>1753</v>
      </c>
      <c r="H704" s="11">
        <v>7</v>
      </c>
      <c r="I704" s="12">
        <v>43234</v>
      </c>
      <c r="J704" s="2">
        <v>5</v>
      </c>
      <c r="K704" s="11">
        <v>1145529020701</v>
      </c>
      <c r="L704" s="11" t="s">
        <v>1760</v>
      </c>
      <c r="M704" s="11" t="s">
        <v>27</v>
      </c>
      <c r="N704" s="12">
        <v>43231</v>
      </c>
      <c r="O704" s="12">
        <v>43231</v>
      </c>
      <c r="P704" s="11">
        <v>5</v>
      </c>
      <c r="Q704" s="11" t="s">
        <v>1750</v>
      </c>
    </row>
    <row r="705" spans="1:17" ht="13" hidden="1" x14ac:dyDescent="0.15">
      <c r="A705" s="10">
        <v>43249.460822777779</v>
      </c>
      <c r="B705" s="11" t="s">
        <v>1762</v>
      </c>
      <c r="C705" s="11">
        <v>1198</v>
      </c>
      <c r="D705" s="11" t="s">
        <v>1763</v>
      </c>
      <c r="E705" s="11">
        <v>8304937814</v>
      </c>
      <c r="F705" s="11" t="s">
        <v>287</v>
      </c>
      <c r="G705" s="11" t="s">
        <v>1764</v>
      </c>
      <c r="H705" s="11">
        <v>22</v>
      </c>
      <c r="I705" s="12">
        <v>43239</v>
      </c>
      <c r="J705" s="2">
        <v>15</v>
      </c>
      <c r="K705" s="11">
        <v>1166444028478</v>
      </c>
      <c r="L705" s="11" t="s">
        <v>1765</v>
      </c>
      <c r="M705" s="11" t="s">
        <v>27</v>
      </c>
      <c r="N705" s="12">
        <v>43239</v>
      </c>
      <c r="O705" s="12">
        <v>43239</v>
      </c>
      <c r="P705" s="11">
        <v>15</v>
      </c>
      <c r="Q705" s="11" t="s">
        <v>1762</v>
      </c>
    </row>
    <row r="706" spans="1:17" ht="13" hidden="1" x14ac:dyDescent="0.15">
      <c r="A706" s="10">
        <v>43249.483294560181</v>
      </c>
      <c r="B706" s="11" t="s">
        <v>142</v>
      </c>
      <c r="C706" s="11">
        <v>276</v>
      </c>
      <c r="D706" s="11" t="s">
        <v>1766</v>
      </c>
      <c r="E706" s="11">
        <v>9526991110</v>
      </c>
      <c r="F706" s="11" t="s">
        <v>35</v>
      </c>
      <c r="G706" s="11" t="s">
        <v>36</v>
      </c>
      <c r="H706" s="11">
        <v>20</v>
      </c>
      <c r="I706" s="12">
        <v>43223</v>
      </c>
      <c r="J706" s="2">
        <v>5</v>
      </c>
      <c r="K706" s="11">
        <v>1156029034185</v>
      </c>
      <c r="L706" s="11" t="s">
        <v>1767</v>
      </c>
      <c r="M706" s="11" t="s">
        <v>27</v>
      </c>
      <c r="N706" s="12">
        <v>43180</v>
      </c>
      <c r="O706" s="12">
        <v>43180</v>
      </c>
      <c r="P706" s="11">
        <v>5</v>
      </c>
      <c r="Q706" s="11" t="s">
        <v>142</v>
      </c>
    </row>
    <row r="707" spans="1:17" ht="13" hidden="1" x14ac:dyDescent="0.15">
      <c r="A707" s="10">
        <v>43249.492787002317</v>
      </c>
      <c r="B707" s="11" t="s">
        <v>142</v>
      </c>
      <c r="C707" s="11">
        <v>94</v>
      </c>
      <c r="D707" s="11" t="s">
        <v>1768</v>
      </c>
      <c r="E707" s="11">
        <v>9526991110</v>
      </c>
      <c r="F707" s="11" t="s">
        <v>35</v>
      </c>
      <c r="G707" s="11" t="s">
        <v>36</v>
      </c>
      <c r="H707" s="11">
        <v>20</v>
      </c>
      <c r="I707" s="12">
        <v>43237</v>
      </c>
      <c r="J707" s="2">
        <v>3</v>
      </c>
      <c r="K707" s="11">
        <v>1157508002919</v>
      </c>
      <c r="L707" s="11" t="s">
        <v>1173</v>
      </c>
      <c r="M707" s="11" t="s">
        <v>27</v>
      </c>
      <c r="N707" s="12">
        <v>43206</v>
      </c>
      <c r="O707" s="12">
        <v>43206</v>
      </c>
      <c r="P707" s="11">
        <v>3</v>
      </c>
      <c r="Q707" s="11" t="s">
        <v>142</v>
      </c>
    </row>
    <row r="708" spans="1:17" ht="13" hidden="1" x14ac:dyDescent="0.15">
      <c r="A708" s="10">
        <v>43249.508236099537</v>
      </c>
      <c r="B708" s="11" t="s">
        <v>1769</v>
      </c>
      <c r="C708" s="11">
        <v>1106</v>
      </c>
      <c r="D708" s="11" t="s">
        <v>1770</v>
      </c>
      <c r="E708" s="11">
        <v>9048147127</v>
      </c>
      <c r="F708" s="11" t="s">
        <v>30</v>
      </c>
      <c r="G708" s="11" t="s">
        <v>488</v>
      </c>
      <c r="H708" s="11">
        <v>22</v>
      </c>
      <c r="I708" s="12">
        <v>43237</v>
      </c>
      <c r="J708" s="2">
        <v>3</v>
      </c>
      <c r="K708" s="11">
        <v>1156714004556</v>
      </c>
      <c r="L708" s="11" t="s">
        <v>1771</v>
      </c>
      <c r="M708" s="11" t="s">
        <v>27</v>
      </c>
      <c r="N708" s="12">
        <v>43236</v>
      </c>
      <c r="O708" s="12">
        <v>43236</v>
      </c>
      <c r="P708" s="11">
        <v>3</v>
      </c>
      <c r="Q708" s="11" t="s">
        <v>1769</v>
      </c>
    </row>
    <row r="709" spans="1:17" ht="13" hidden="1" x14ac:dyDescent="0.15">
      <c r="A709" s="10">
        <v>43249.513775335647</v>
      </c>
      <c r="B709" s="11" t="s">
        <v>1772</v>
      </c>
      <c r="C709" s="11">
        <v>1105</v>
      </c>
      <c r="D709" s="11" t="s">
        <v>1773</v>
      </c>
      <c r="E709" s="11">
        <v>9249994220</v>
      </c>
      <c r="F709" s="11" t="s">
        <v>30</v>
      </c>
      <c r="G709" s="11" t="s">
        <v>488</v>
      </c>
      <c r="H709" s="11">
        <v>22</v>
      </c>
      <c r="I709" s="12">
        <v>43237</v>
      </c>
      <c r="J709" s="2">
        <v>3</v>
      </c>
      <c r="K709" s="11">
        <v>1156711005786</v>
      </c>
      <c r="L709" s="11" t="s">
        <v>194</v>
      </c>
      <c r="M709" s="11" t="s">
        <v>27</v>
      </c>
      <c r="N709" s="12">
        <v>43236</v>
      </c>
      <c r="O709" s="12">
        <v>43236</v>
      </c>
      <c r="P709" s="11">
        <v>3</v>
      </c>
      <c r="Q709" s="11" t="s">
        <v>1772</v>
      </c>
    </row>
    <row r="710" spans="1:17" ht="13" hidden="1" x14ac:dyDescent="0.15">
      <c r="A710" s="10">
        <v>43249.621144432866</v>
      </c>
      <c r="B710" s="11" t="s">
        <v>176</v>
      </c>
      <c r="C710" s="11">
        <v>135</v>
      </c>
      <c r="D710" s="11" t="s">
        <v>1774</v>
      </c>
      <c r="E710" s="11">
        <v>9142099977</v>
      </c>
      <c r="F710" s="11" t="s">
        <v>182</v>
      </c>
      <c r="G710" s="11" t="s">
        <v>916</v>
      </c>
      <c r="H710" s="11">
        <v>14</v>
      </c>
      <c r="I710" s="12">
        <v>43249</v>
      </c>
      <c r="J710" s="2">
        <v>5</v>
      </c>
      <c r="K710" s="11">
        <v>1165701001481</v>
      </c>
      <c r="L710" s="11" t="s">
        <v>1775</v>
      </c>
      <c r="M710" s="11" t="s">
        <v>27</v>
      </c>
      <c r="N710" s="12">
        <v>43245</v>
      </c>
      <c r="O710" s="12">
        <v>43245</v>
      </c>
      <c r="P710" s="11">
        <v>5</v>
      </c>
      <c r="Q710" s="11" t="s">
        <v>176</v>
      </c>
    </row>
    <row r="711" spans="1:17" ht="13" hidden="1" x14ac:dyDescent="0.15">
      <c r="A711" s="10">
        <v>43249.631408506946</v>
      </c>
      <c r="B711" s="11" t="s">
        <v>1776</v>
      </c>
      <c r="C711" s="11">
        <v>1068</v>
      </c>
      <c r="D711" s="11" t="s">
        <v>1777</v>
      </c>
      <c r="E711" s="11">
        <v>9846087917</v>
      </c>
      <c r="F711" s="11" t="s">
        <v>46</v>
      </c>
      <c r="G711" s="11" t="s">
        <v>1779</v>
      </c>
      <c r="H711" s="11">
        <v>20</v>
      </c>
      <c r="I711" s="12">
        <v>43223</v>
      </c>
      <c r="J711" s="2">
        <v>5</v>
      </c>
      <c r="K711" s="11">
        <v>1165176013290</v>
      </c>
      <c r="L711" s="11" t="s">
        <v>1780</v>
      </c>
      <c r="M711" s="11" t="s">
        <v>27</v>
      </c>
      <c r="N711" s="12">
        <v>43237</v>
      </c>
      <c r="O711" s="12">
        <v>43237</v>
      </c>
      <c r="P711" s="11">
        <v>5</v>
      </c>
      <c r="Q711" s="11" t="s">
        <v>1776</v>
      </c>
    </row>
    <row r="712" spans="1:17" ht="13" hidden="1" x14ac:dyDescent="0.15">
      <c r="A712" s="10">
        <v>43249.684306678246</v>
      </c>
      <c r="B712" s="11" t="s">
        <v>303</v>
      </c>
      <c r="C712" s="11">
        <v>675</v>
      </c>
      <c r="D712" s="11" t="s">
        <v>1781</v>
      </c>
      <c r="E712" s="11">
        <v>9961255974</v>
      </c>
      <c r="F712" s="11" t="s">
        <v>35</v>
      </c>
      <c r="G712" s="11" t="s">
        <v>280</v>
      </c>
      <c r="H712" s="11">
        <v>66</v>
      </c>
      <c r="I712" s="12">
        <v>43243</v>
      </c>
      <c r="J712" s="2">
        <v>5</v>
      </c>
      <c r="K712" s="11">
        <v>1157362009830</v>
      </c>
      <c r="L712" s="11" t="s">
        <v>1782</v>
      </c>
      <c r="M712" s="11" t="s">
        <v>27</v>
      </c>
      <c r="N712" s="12">
        <v>43180</v>
      </c>
      <c r="O712" s="12">
        <v>43180</v>
      </c>
      <c r="P712" s="11">
        <v>5</v>
      </c>
      <c r="Q712" s="11" t="s">
        <v>303</v>
      </c>
    </row>
    <row r="713" spans="1:17" ht="13" hidden="1" x14ac:dyDescent="0.15">
      <c r="A713" s="10">
        <v>43250.472353703706</v>
      </c>
      <c r="B713" s="11" t="s">
        <v>1783</v>
      </c>
      <c r="C713" s="11">
        <v>748</v>
      </c>
      <c r="D713" s="11" t="s">
        <v>1784</v>
      </c>
      <c r="E713" s="11">
        <v>9446911437</v>
      </c>
      <c r="F713" s="11" t="s">
        <v>61</v>
      </c>
      <c r="G713" s="11" t="s">
        <v>1076</v>
      </c>
      <c r="H713" s="11">
        <v>21</v>
      </c>
      <c r="I713" s="12">
        <v>43250</v>
      </c>
      <c r="J713" s="2">
        <v>2</v>
      </c>
      <c r="K713" s="11">
        <v>1146081012946</v>
      </c>
      <c r="L713" s="11" t="s">
        <v>1785</v>
      </c>
      <c r="M713" s="11" t="s">
        <v>27</v>
      </c>
      <c r="N713" s="12">
        <v>43228</v>
      </c>
      <c r="O713" s="12">
        <v>43228</v>
      </c>
      <c r="P713" s="11">
        <v>2</v>
      </c>
      <c r="Q713" s="11" t="s">
        <v>1783</v>
      </c>
    </row>
    <row r="714" spans="1:17" ht="13" hidden="1" x14ac:dyDescent="0.15">
      <c r="A714" s="10">
        <v>43250.488749467593</v>
      </c>
      <c r="B714" s="11" t="s">
        <v>1786</v>
      </c>
      <c r="C714" s="11">
        <v>837</v>
      </c>
      <c r="D714" s="11" t="s">
        <v>1787</v>
      </c>
      <c r="E714" s="11">
        <v>8921338388</v>
      </c>
      <c r="F714" s="11" t="s">
        <v>1124</v>
      </c>
      <c r="G714" s="11" t="s">
        <v>36</v>
      </c>
      <c r="H714" s="11">
        <v>20</v>
      </c>
      <c r="I714" s="12">
        <v>43239</v>
      </c>
      <c r="J714" s="2">
        <v>10</v>
      </c>
      <c r="K714" s="11">
        <v>1166968008400</v>
      </c>
      <c r="L714" s="11" t="s">
        <v>1788</v>
      </c>
      <c r="M714" s="11" t="s">
        <v>27</v>
      </c>
      <c r="N714" s="12">
        <v>43187</v>
      </c>
      <c r="O714" s="12">
        <v>43187</v>
      </c>
      <c r="P714" s="11">
        <v>15</v>
      </c>
      <c r="Q714" s="11" t="s">
        <v>1786</v>
      </c>
    </row>
    <row r="715" spans="1:17" ht="13" hidden="1" x14ac:dyDescent="0.15">
      <c r="A715" s="10">
        <v>43250.5076046412</v>
      </c>
      <c r="B715" s="11" t="s">
        <v>1789</v>
      </c>
      <c r="C715" s="11">
        <v>650</v>
      </c>
      <c r="D715" s="11" t="s">
        <v>1790</v>
      </c>
      <c r="E715" s="11">
        <v>9447692005</v>
      </c>
      <c r="F715" s="11" t="s">
        <v>1124</v>
      </c>
      <c r="G715" s="11" t="s">
        <v>952</v>
      </c>
      <c r="H715" s="11">
        <v>20</v>
      </c>
      <c r="I715" s="12">
        <v>43238</v>
      </c>
      <c r="J715" s="2">
        <v>2</v>
      </c>
      <c r="K715" s="11">
        <v>1166961013390</v>
      </c>
      <c r="L715" s="11" t="s">
        <v>1791</v>
      </c>
      <c r="M715" s="11" t="s">
        <v>27</v>
      </c>
      <c r="N715" s="12">
        <v>43187</v>
      </c>
      <c r="O715" s="12">
        <v>43187</v>
      </c>
      <c r="P715" s="11">
        <v>33.75</v>
      </c>
      <c r="Q715" s="11" t="s">
        <v>1789</v>
      </c>
    </row>
    <row r="716" spans="1:17" ht="13" hidden="1" x14ac:dyDescent="0.15">
      <c r="A716" s="10">
        <v>43250.518023587967</v>
      </c>
      <c r="B716" s="11" t="s">
        <v>1792</v>
      </c>
      <c r="C716" s="11">
        <v>184</v>
      </c>
      <c r="D716" s="11" t="s">
        <v>1793</v>
      </c>
      <c r="E716" s="11">
        <v>8281147331</v>
      </c>
      <c r="F716" s="11" t="s">
        <v>35</v>
      </c>
      <c r="G716" s="11" t="s">
        <v>126</v>
      </c>
      <c r="H716" s="11">
        <v>64</v>
      </c>
      <c r="I716" s="12">
        <v>43220</v>
      </c>
      <c r="J716" s="2">
        <v>3</v>
      </c>
      <c r="K716" s="11">
        <v>1155519020598</v>
      </c>
      <c r="L716" s="11" t="s">
        <v>828</v>
      </c>
      <c r="M716" s="11" t="s">
        <v>27</v>
      </c>
      <c r="N716" s="12">
        <v>43185</v>
      </c>
      <c r="O716" s="12">
        <v>43185</v>
      </c>
      <c r="P716" s="11">
        <v>3</v>
      </c>
      <c r="Q716" s="11" t="s">
        <v>1792</v>
      </c>
    </row>
    <row r="717" spans="1:17" ht="13" hidden="1" x14ac:dyDescent="0.15">
      <c r="A717" s="10">
        <v>43250.526257442129</v>
      </c>
      <c r="B717" s="11" t="s">
        <v>1794</v>
      </c>
      <c r="C717" s="11">
        <v>651</v>
      </c>
      <c r="D717" s="11" t="s">
        <v>1795</v>
      </c>
      <c r="E717" s="11">
        <v>9605925555</v>
      </c>
      <c r="F717" s="11" t="s">
        <v>1124</v>
      </c>
      <c r="G717" s="11" t="s">
        <v>952</v>
      </c>
      <c r="H717" s="11">
        <v>20</v>
      </c>
      <c r="I717" s="12">
        <v>43245</v>
      </c>
      <c r="J717" s="2">
        <v>10</v>
      </c>
      <c r="K717" s="11">
        <v>1166943021459</v>
      </c>
      <c r="L717" s="11" t="s">
        <v>1796</v>
      </c>
      <c r="M717" s="11" t="s">
        <v>27</v>
      </c>
      <c r="N717" s="12">
        <v>43185</v>
      </c>
      <c r="O717" s="12">
        <v>43185</v>
      </c>
      <c r="P717" s="11">
        <v>40</v>
      </c>
      <c r="Q717" s="11" t="s">
        <v>1794</v>
      </c>
    </row>
    <row r="718" spans="1:17" ht="13" hidden="1" x14ac:dyDescent="0.15">
      <c r="A718" s="10">
        <v>43250.551857025464</v>
      </c>
      <c r="B718" s="11" t="s">
        <v>829</v>
      </c>
      <c r="C718" s="11">
        <v>1070</v>
      </c>
      <c r="D718" s="11" t="s">
        <v>1798</v>
      </c>
      <c r="E718" s="11">
        <v>9496439148</v>
      </c>
      <c r="F718" s="11" t="s">
        <v>266</v>
      </c>
      <c r="G718" s="11" t="s">
        <v>431</v>
      </c>
      <c r="H718" s="11">
        <v>33</v>
      </c>
      <c r="I718" s="12">
        <v>43235</v>
      </c>
      <c r="J718" s="2">
        <v>3</v>
      </c>
      <c r="K718" s="11">
        <v>1166119022228</v>
      </c>
      <c r="L718" s="11" t="s">
        <v>1799</v>
      </c>
      <c r="M718" s="11" t="s">
        <v>27</v>
      </c>
      <c r="N718" s="12">
        <v>43206</v>
      </c>
      <c r="O718" s="12">
        <v>43206</v>
      </c>
      <c r="P718" s="11">
        <v>3</v>
      </c>
      <c r="Q718" s="11" t="s">
        <v>829</v>
      </c>
    </row>
    <row r="719" spans="1:17" ht="13" hidden="1" x14ac:dyDescent="0.15">
      <c r="A719" s="10">
        <v>43250.646527881945</v>
      </c>
      <c r="B719" s="11" t="s">
        <v>151</v>
      </c>
      <c r="C719" s="11">
        <v>1143</v>
      </c>
      <c r="D719" s="11" t="s">
        <v>1800</v>
      </c>
      <c r="E719" s="11">
        <v>7907009190</v>
      </c>
      <c r="F719" s="11" t="s">
        <v>40</v>
      </c>
      <c r="G719" s="11" t="s">
        <v>157</v>
      </c>
      <c r="H719" s="11">
        <v>42</v>
      </c>
      <c r="I719" s="12">
        <v>43242</v>
      </c>
      <c r="J719" s="2">
        <v>3</v>
      </c>
      <c r="K719" s="11">
        <v>1155010026051</v>
      </c>
      <c r="L719" s="11" t="s">
        <v>312</v>
      </c>
      <c r="M719" s="11" t="s">
        <v>27</v>
      </c>
      <c r="N719" s="12">
        <v>43115</v>
      </c>
      <c r="O719" s="12">
        <v>43116</v>
      </c>
      <c r="P719" s="11">
        <v>3</v>
      </c>
      <c r="Q719" s="11" t="s">
        <v>151</v>
      </c>
    </row>
    <row r="720" spans="1:17" ht="13" hidden="1" x14ac:dyDescent="0.15">
      <c r="A720" s="10">
        <v>43250.649696307868</v>
      </c>
      <c r="B720" s="11" t="s">
        <v>151</v>
      </c>
      <c r="C720" s="11">
        <v>1145</v>
      </c>
      <c r="D720" s="11" t="s">
        <v>1801</v>
      </c>
      <c r="E720" s="11">
        <v>7907009190</v>
      </c>
      <c r="F720" s="11" t="s">
        <v>40</v>
      </c>
      <c r="G720" s="11" t="s">
        <v>157</v>
      </c>
      <c r="H720" s="11">
        <v>42</v>
      </c>
      <c r="I720" s="12">
        <v>43242</v>
      </c>
      <c r="J720" s="2">
        <v>5</v>
      </c>
      <c r="K720" s="11">
        <v>1155058001820</v>
      </c>
      <c r="L720" s="11" t="s">
        <v>477</v>
      </c>
      <c r="M720" s="11" t="s">
        <v>27</v>
      </c>
      <c r="N720" s="12">
        <v>43193</v>
      </c>
      <c r="O720" s="12">
        <v>43202</v>
      </c>
      <c r="P720" s="11">
        <v>5</v>
      </c>
      <c r="Q720" s="11" t="s">
        <v>151</v>
      </c>
    </row>
    <row r="721" spans="1:17" ht="13" hidden="1" x14ac:dyDescent="0.15">
      <c r="A721" s="10">
        <v>43250.651651875</v>
      </c>
      <c r="B721" s="11" t="s">
        <v>151</v>
      </c>
      <c r="C721" s="11">
        <v>1146</v>
      </c>
      <c r="D721" s="11" t="s">
        <v>1802</v>
      </c>
      <c r="E721" s="11">
        <v>7907009190</v>
      </c>
      <c r="F721" s="11" t="s">
        <v>35</v>
      </c>
      <c r="G721" s="11" t="s">
        <v>157</v>
      </c>
      <c r="H721" s="11">
        <v>42</v>
      </c>
      <c r="I721" s="12">
        <v>43242</v>
      </c>
      <c r="J721" s="2">
        <v>3</v>
      </c>
      <c r="K721" s="11">
        <v>1155466023867</v>
      </c>
      <c r="L721" s="11" t="s">
        <v>1803</v>
      </c>
      <c r="M721" s="11" t="s">
        <v>27</v>
      </c>
      <c r="N721" s="12">
        <v>43222</v>
      </c>
      <c r="O721" s="12">
        <v>43228</v>
      </c>
      <c r="P721" s="11">
        <v>3</v>
      </c>
      <c r="Q721" s="11" t="s">
        <v>151</v>
      </c>
    </row>
    <row r="722" spans="1:17" ht="13" hidden="1" x14ac:dyDescent="0.15">
      <c r="A722" s="10">
        <v>43250.654763182873</v>
      </c>
      <c r="B722" s="11" t="s">
        <v>151</v>
      </c>
      <c r="C722" s="11">
        <v>1144</v>
      </c>
      <c r="D722" s="11" t="s">
        <v>1804</v>
      </c>
      <c r="E722" s="11">
        <v>7907009190</v>
      </c>
      <c r="F722" s="11" t="s">
        <v>40</v>
      </c>
      <c r="G722" s="11" t="s">
        <v>157</v>
      </c>
      <c r="H722" s="11">
        <v>42</v>
      </c>
      <c r="I722" s="12">
        <v>43242</v>
      </c>
      <c r="J722" s="2">
        <v>3</v>
      </c>
      <c r="K722" s="11">
        <v>1157260005561</v>
      </c>
      <c r="L722" s="11" t="s">
        <v>1805</v>
      </c>
      <c r="M722" s="11" t="s">
        <v>27</v>
      </c>
      <c r="N722" s="12">
        <v>43245</v>
      </c>
      <c r="O722" s="12">
        <v>43246</v>
      </c>
      <c r="P722" s="11">
        <v>3</v>
      </c>
      <c r="Q722" s="11" t="s">
        <v>151</v>
      </c>
    </row>
    <row r="723" spans="1:17" ht="13" hidden="1" x14ac:dyDescent="0.15">
      <c r="A723" s="10">
        <v>43250.662512546296</v>
      </c>
      <c r="B723" s="11" t="s">
        <v>151</v>
      </c>
      <c r="C723" s="11">
        <v>642</v>
      </c>
      <c r="D723" s="11" t="s">
        <v>1806</v>
      </c>
      <c r="E723" s="11">
        <v>7907009190</v>
      </c>
      <c r="F723" s="11" t="s">
        <v>35</v>
      </c>
      <c r="G723" s="11" t="s">
        <v>157</v>
      </c>
      <c r="H723" s="11">
        <v>42</v>
      </c>
      <c r="I723" s="12">
        <v>43242</v>
      </c>
      <c r="J723" s="2">
        <v>5</v>
      </c>
      <c r="K723" s="11">
        <v>1155644017004</v>
      </c>
      <c r="L723" s="11" t="s">
        <v>1808</v>
      </c>
      <c r="M723" s="11" t="s">
        <v>27</v>
      </c>
      <c r="N723" s="12">
        <v>43210</v>
      </c>
      <c r="O723" s="12">
        <v>43210</v>
      </c>
      <c r="P723" s="11">
        <v>5</v>
      </c>
      <c r="Q723" s="11" t="s">
        <v>151</v>
      </c>
    </row>
    <row r="724" spans="1:17" ht="13" hidden="1" x14ac:dyDescent="0.15">
      <c r="A724" s="10">
        <v>43250.95706450232</v>
      </c>
      <c r="B724" s="11" t="s">
        <v>1809</v>
      </c>
      <c r="C724" s="11">
        <v>1117</v>
      </c>
      <c r="D724" s="11" t="s">
        <v>1810</v>
      </c>
      <c r="E724" s="11">
        <v>9048536921</v>
      </c>
      <c r="F724" s="11" t="s">
        <v>73</v>
      </c>
      <c r="G724" s="11" t="s">
        <v>908</v>
      </c>
      <c r="H724" s="11">
        <v>20</v>
      </c>
      <c r="I724" s="12">
        <v>43236</v>
      </c>
      <c r="J724" s="2">
        <v>3</v>
      </c>
      <c r="K724" s="11">
        <v>22649</v>
      </c>
      <c r="L724" s="11" t="s">
        <v>1811</v>
      </c>
      <c r="M724" s="11" t="s">
        <v>27</v>
      </c>
      <c r="N724" s="12">
        <v>43214</v>
      </c>
      <c r="O724" s="12">
        <v>43214</v>
      </c>
      <c r="P724" s="11">
        <v>3</v>
      </c>
      <c r="Q724" s="11" t="s">
        <v>1812</v>
      </c>
    </row>
    <row r="725" spans="1:17" ht="13" hidden="1" x14ac:dyDescent="0.15">
      <c r="A725" s="10">
        <v>43250.965161585649</v>
      </c>
      <c r="B725" s="11" t="s">
        <v>1147</v>
      </c>
      <c r="C725" s="11">
        <v>1248</v>
      </c>
      <c r="D725" s="11" t="s">
        <v>1813</v>
      </c>
      <c r="E725" s="11">
        <v>8289938304</v>
      </c>
      <c r="F725" s="11" t="s">
        <v>35</v>
      </c>
      <c r="G725" s="11" t="s">
        <v>1233</v>
      </c>
      <c r="H725" s="11">
        <v>21</v>
      </c>
      <c r="I725" s="12">
        <v>43252</v>
      </c>
      <c r="J725" s="2">
        <v>3</v>
      </c>
      <c r="K725" s="11">
        <v>1155821002343</v>
      </c>
      <c r="L725" s="11" t="s">
        <v>1814</v>
      </c>
      <c r="M725" s="11" t="s">
        <v>27</v>
      </c>
      <c r="N725" s="12">
        <v>43235</v>
      </c>
      <c r="O725" s="12">
        <v>43235</v>
      </c>
      <c r="P725" s="11">
        <v>3</v>
      </c>
      <c r="Q725" s="11" t="s">
        <v>1147</v>
      </c>
    </row>
    <row r="726" spans="1:17" ht="13" hidden="1" x14ac:dyDescent="0.15">
      <c r="A726" s="10">
        <v>43251.418087997685</v>
      </c>
      <c r="B726" s="11" t="s">
        <v>371</v>
      </c>
      <c r="C726" s="11">
        <v>1072</v>
      </c>
      <c r="D726" s="11" t="s">
        <v>1815</v>
      </c>
      <c r="E726" s="11">
        <v>8547564126</v>
      </c>
      <c r="F726" s="11" t="s">
        <v>182</v>
      </c>
      <c r="G726" s="11" t="s">
        <v>215</v>
      </c>
      <c r="H726" s="11">
        <v>27</v>
      </c>
      <c r="I726" s="12">
        <v>43242</v>
      </c>
      <c r="J726" s="2">
        <v>3</v>
      </c>
      <c r="K726" s="11">
        <v>1167126003799</v>
      </c>
      <c r="L726" s="11" t="s">
        <v>1816</v>
      </c>
      <c r="M726" s="11" t="s">
        <v>27</v>
      </c>
      <c r="N726" s="12">
        <v>43242</v>
      </c>
      <c r="O726" s="12">
        <v>43242</v>
      </c>
      <c r="P726" s="11">
        <v>3</v>
      </c>
      <c r="Q726" s="11" t="s">
        <v>371</v>
      </c>
    </row>
    <row r="727" spans="1:17" ht="13" hidden="1" x14ac:dyDescent="0.15">
      <c r="A727" s="10">
        <v>43251.428030520838</v>
      </c>
      <c r="B727" s="11" t="s">
        <v>371</v>
      </c>
      <c r="C727" s="11">
        <v>1159</v>
      </c>
      <c r="D727" s="11" t="s">
        <v>1817</v>
      </c>
      <c r="E727" s="11">
        <v>8547564126</v>
      </c>
      <c r="F727" s="11" t="s">
        <v>73</v>
      </c>
      <c r="G727" s="11" t="s">
        <v>215</v>
      </c>
      <c r="H727" s="11">
        <v>27</v>
      </c>
      <c r="I727" s="12">
        <v>43250</v>
      </c>
      <c r="J727" s="2">
        <v>3</v>
      </c>
      <c r="K727" s="11">
        <v>1145606007380</v>
      </c>
      <c r="L727" s="11" t="s">
        <v>1818</v>
      </c>
      <c r="M727" s="11" t="s">
        <v>27</v>
      </c>
      <c r="N727" s="12">
        <v>43250</v>
      </c>
      <c r="O727" s="12">
        <v>43250</v>
      </c>
      <c r="P727" s="11">
        <v>3</v>
      </c>
      <c r="Q727" s="11" t="s">
        <v>371</v>
      </c>
    </row>
    <row r="728" spans="1:17" ht="13" hidden="1" x14ac:dyDescent="0.15">
      <c r="A728" s="10">
        <v>43251.690985787034</v>
      </c>
      <c r="B728" s="11" t="s">
        <v>371</v>
      </c>
      <c r="C728" s="11">
        <v>1187</v>
      </c>
      <c r="D728" s="11" t="s">
        <v>1819</v>
      </c>
      <c r="E728" s="11">
        <v>8547564126</v>
      </c>
      <c r="F728" s="11" t="s">
        <v>266</v>
      </c>
      <c r="G728" s="11" t="s">
        <v>215</v>
      </c>
      <c r="H728" s="11">
        <v>27</v>
      </c>
      <c r="I728" s="12">
        <v>43246</v>
      </c>
      <c r="J728" s="2">
        <v>3</v>
      </c>
      <c r="K728" s="11">
        <v>11660559020595</v>
      </c>
      <c r="L728" s="11" t="s">
        <v>1821</v>
      </c>
      <c r="M728" s="11" t="s">
        <v>27</v>
      </c>
      <c r="N728" s="12">
        <v>43246</v>
      </c>
      <c r="O728" s="12">
        <v>43246</v>
      </c>
      <c r="P728" s="11">
        <v>3</v>
      </c>
      <c r="Q728" s="11" t="s">
        <v>371</v>
      </c>
    </row>
    <row r="729" spans="1:17" ht="13" hidden="1" x14ac:dyDescent="0.15">
      <c r="A729" s="10">
        <v>43251.693121018514</v>
      </c>
      <c r="B729" s="11" t="s">
        <v>371</v>
      </c>
      <c r="C729" s="11">
        <v>1168</v>
      </c>
      <c r="D729" s="11" t="s">
        <v>1822</v>
      </c>
      <c r="E729" s="11">
        <v>8547564126</v>
      </c>
      <c r="F729" s="11" t="s">
        <v>266</v>
      </c>
      <c r="G729" s="11" t="s">
        <v>215</v>
      </c>
      <c r="H729" s="11">
        <v>27</v>
      </c>
      <c r="I729" s="12">
        <v>43250</v>
      </c>
      <c r="J729" s="2">
        <v>5</v>
      </c>
      <c r="K729" s="11">
        <v>1165978004180</v>
      </c>
      <c r="L729" s="11" t="s">
        <v>872</v>
      </c>
      <c r="M729" s="11" t="s">
        <v>27</v>
      </c>
      <c r="N729" s="12">
        <v>43250</v>
      </c>
      <c r="O729" s="12">
        <v>43250</v>
      </c>
      <c r="P729" s="11">
        <v>5</v>
      </c>
      <c r="Q729" s="11" t="s">
        <v>371</v>
      </c>
    </row>
    <row r="730" spans="1:17" ht="13" x14ac:dyDescent="0.15">
      <c r="A730" s="10">
        <v>43251.750867789349</v>
      </c>
      <c r="B730" s="11" t="s">
        <v>22</v>
      </c>
      <c r="C730" s="11">
        <v>762</v>
      </c>
      <c r="D730" s="11" t="s">
        <v>1823</v>
      </c>
      <c r="E730" s="11">
        <v>9072666513</v>
      </c>
      <c r="F730" s="11" t="s">
        <v>24</v>
      </c>
      <c r="G730" s="11" t="s">
        <v>1687</v>
      </c>
      <c r="H730" s="11">
        <v>54</v>
      </c>
      <c r="I730" s="12">
        <v>43246</v>
      </c>
      <c r="J730" s="2">
        <v>3</v>
      </c>
      <c r="K730" s="11">
        <v>1145173000740</v>
      </c>
      <c r="L730" s="11" t="s">
        <v>741</v>
      </c>
      <c r="M730" s="11" t="s">
        <v>27</v>
      </c>
      <c r="N730" s="12">
        <v>43244</v>
      </c>
      <c r="O730" s="12">
        <v>43244</v>
      </c>
      <c r="P730" s="11">
        <v>3</v>
      </c>
      <c r="Q730" s="11" t="s">
        <v>22</v>
      </c>
    </row>
    <row r="731" spans="1:17" ht="13" hidden="1" x14ac:dyDescent="0.15">
      <c r="A731" s="10">
        <v>43251.907747881945</v>
      </c>
      <c r="B731" s="11" t="s">
        <v>666</v>
      </c>
      <c r="C731" s="11">
        <v>923</v>
      </c>
      <c r="D731" s="11" t="s">
        <v>1824</v>
      </c>
      <c r="E731" s="11">
        <v>9846542746</v>
      </c>
      <c r="F731" s="11" t="s">
        <v>1124</v>
      </c>
      <c r="G731" s="11" t="s">
        <v>157</v>
      </c>
      <c r="H731" s="11">
        <v>42</v>
      </c>
      <c r="I731" s="12">
        <v>43251</v>
      </c>
      <c r="J731" s="2">
        <v>5</v>
      </c>
      <c r="K731" s="11">
        <v>1166888025169</v>
      </c>
      <c r="L731" s="11" t="s">
        <v>1825</v>
      </c>
      <c r="M731" s="11" t="s">
        <v>27</v>
      </c>
      <c r="N731" s="12">
        <v>43251</v>
      </c>
      <c r="O731" s="12">
        <v>43251</v>
      </c>
      <c r="P731" s="11">
        <v>5</v>
      </c>
      <c r="Q731" s="11" t="s">
        <v>666</v>
      </c>
    </row>
    <row r="732" spans="1:17" ht="13" hidden="1" x14ac:dyDescent="0.15">
      <c r="A732" s="10">
        <v>43252.437431712962</v>
      </c>
      <c r="B732" s="11" t="s">
        <v>1826</v>
      </c>
      <c r="C732" s="11">
        <v>1058</v>
      </c>
      <c r="D732" s="11" t="s">
        <v>1827</v>
      </c>
      <c r="E732" s="11">
        <v>9447483823</v>
      </c>
      <c r="F732" s="11" t="s">
        <v>46</v>
      </c>
      <c r="G732" s="11" t="s">
        <v>1118</v>
      </c>
      <c r="H732" s="11">
        <v>20</v>
      </c>
      <c r="I732" s="12">
        <v>43229</v>
      </c>
      <c r="J732" s="2">
        <v>5</v>
      </c>
      <c r="K732" s="11">
        <v>1165206000808</v>
      </c>
      <c r="L732" s="11" t="s">
        <v>1828</v>
      </c>
      <c r="M732" s="11" t="s">
        <v>27</v>
      </c>
      <c r="N732" s="12">
        <v>43251</v>
      </c>
      <c r="O732" s="12">
        <v>43251</v>
      </c>
      <c r="P732" s="11">
        <v>5</v>
      </c>
      <c r="Q732" s="11" t="s">
        <v>1826</v>
      </c>
    </row>
    <row r="733" spans="1:17" ht="13" hidden="1" x14ac:dyDescent="0.15">
      <c r="A733" s="10">
        <v>43252.439416238427</v>
      </c>
      <c r="B733" s="14" t="s">
        <v>1830</v>
      </c>
      <c r="C733" s="11">
        <v>1157</v>
      </c>
      <c r="D733" s="11" t="s">
        <v>1831</v>
      </c>
      <c r="E733" s="11">
        <v>9447624291</v>
      </c>
      <c r="F733" s="11" t="s">
        <v>46</v>
      </c>
      <c r="G733" s="11" t="s">
        <v>569</v>
      </c>
      <c r="H733" s="11">
        <v>45</v>
      </c>
      <c r="I733" s="12">
        <v>43251</v>
      </c>
      <c r="J733" s="2">
        <v>3</v>
      </c>
      <c r="K733" s="11">
        <v>1165277011095</v>
      </c>
      <c r="L733" s="11" t="s">
        <v>1832</v>
      </c>
      <c r="M733" s="11" t="s">
        <v>27</v>
      </c>
      <c r="N733" s="12">
        <v>43227</v>
      </c>
      <c r="O733" s="12">
        <v>43227</v>
      </c>
      <c r="P733" s="11">
        <v>3</v>
      </c>
      <c r="Q733" s="11" t="s">
        <v>1833</v>
      </c>
    </row>
    <row r="734" spans="1:17" ht="13" hidden="1" x14ac:dyDescent="0.15">
      <c r="A734" s="10">
        <v>43252.570021273146</v>
      </c>
      <c r="B734" s="11" t="s">
        <v>1769</v>
      </c>
      <c r="C734" s="11">
        <v>875</v>
      </c>
      <c r="D734" s="11" t="s">
        <v>1834</v>
      </c>
      <c r="E734" s="11">
        <v>9946656961</v>
      </c>
      <c r="F734" s="11" t="s">
        <v>73</v>
      </c>
      <c r="G734" s="11" t="s">
        <v>1835</v>
      </c>
      <c r="H734" s="11">
        <v>22</v>
      </c>
      <c r="I734" s="12">
        <v>43243</v>
      </c>
      <c r="J734" s="2">
        <v>15</v>
      </c>
      <c r="K734" s="11">
        <v>1146853002589</v>
      </c>
      <c r="L734" s="11" t="s">
        <v>1836</v>
      </c>
      <c r="M734" s="11" t="s">
        <v>27</v>
      </c>
      <c r="N734" s="12">
        <v>43243</v>
      </c>
      <c r="O734" s="12">
        <v>43243</v>
      </c>
      <c r="P734" s="11">
        <v>15</v>
      </c>
      <c r="Q734" s="11" t="s">
        <v>1769</v>
      </c>
    </row>
    <row r="735" spans="1:17" ht="13" x14ac:dyDescent="0.15">
      <c r="A735" s="10">
        <v>43252.665482303244</v>
      </c>
      <c r="B735" s="11" t="s">
        <v>1837</v>
      </c>
      <c r="C735" s="11">
        <v>936</v>
      </c>
      <c r="D735" s="11" t="s">
        <v>1838</v>
      </c>
      <c r="E735" s="11">
        <v>9447795763</v>
      </c>
      <c r="F735" s="11" t="s">
        <v>24</v>
      </c>
      <c r="G735" s="11" t="s">
        <v>121</v>
      </c>
      <c r="H735" s="11">
        <v>3</v>
      </c>
      <c r="I735" s="12">
        <v>43230</v>
      </c>
      <c r="J735" s="2">
        <v>20</v>
      </c>
      <c r="K735" s="11">
        <v>1145054004715</v>
      </c>
      <c r="L735" s="11" t="s">
        <v>1674</v>
      </c>
      <c r="M735" s="11" t="s">
        <v>27</v>
      </c>
      <c r="N735" s="12">
        <v>43244</v>
      </c>
      <c r="O735" s="12">
        <v>43244</v>
      </c>
      <c r="P735" s="11">
        <v>20</v>
      </c>
      <c r="Q735" s="11" t="s">
        <v>123</v>
      </c>
    </row>
    <row r="736" spans="1:17" ht="13" x14ac:dyDescent="0.15">
      <c r="A736" s="10">
        <v>43253.413961238424</v>
      </c>
      <c r="B736" s="11" t="s">
        <v>589</v>
      </c>
      <c r="C736" s="11">
        <v>1114</v>
      </c>
      <c r="D736" s="11" t="s">
        <v>1839</v>
      </c>
      <c r="E736" s="11">
        <v>9645322221</v>
      </c>
      <c r="F736" s="11" t="s">
        <v>24</v>
      </c>
      <c r="G736" s="11" t="s">
        <v>369</v>
      </c>
      <c r="H736" s="11">
        <v>38</v>
      </c>
      <c r="I736" s="12">
        <v>43252</v>
      </c>
      <c r="J736" s="2">
        <v>3</v>
      </c>
      <c r="K736" s="11">
        <v>1145329017312</v>
      </c>
      <c r="L736" s="11" t="s">
        <v>763</v>
      </c>
      <c r="M736" s="11" t="s">
        <v>27</v>
      </c>
      <c r="N736" s="12">
        <v>43253</v>
      </c>
      <c r="O736" s="12">
        <v>43253</v>
      </c>
      <c r="P736" s="11">
        <v>3</v>
      </c>
      <c r="Q736" s="11" t="s">
        <v>589</v>
      </c>
    </row>
    <row r="737" spans="1:17" ht="13" hidden="1" x14ac:dyDescent="0.15">
      <c r="A737" s="10">
        <v>43253.417509884261</v>
      </c>
      <c r="B737" s="11" t="s">
        <v>1840</v>
      </c>
      <c r="C737" s="11">
        <v>1244</v>
      </c>
      <c r="D737" s="11" t="s">
        <v>1841</v>
      </c>
      <c r="E737" s="11">
        <v>9895701787</v>
      </c>
      <c r="F737" s="11" t="s">
        <v>35</v>
      </c>
      <c r="G737" s="11" t="s">
        <v>569</v>
      </c>
      <c r="H737" s="11">
        <v>45</v>
      </c>
      <c r="I737" s="12">
        <v>43252</v>
      </c>
      <c r="J737" s="2">
        <v>3</v>
      </c>
      <c r="K737" s="11">
        <v>1155674016084</v>
      </c>
      <c r="L737" s="11" t="s">
        <v>302</v>
      </c>
      <c r="M737" s="11" t="s">
        <v>27</v>
      </c>
      <c r="N737" s="12">
        <v>43230</v>
      </c>
      <c r="O737" s="12">
        <v>43230</v>
      </c>
      <c r="P737" s="11">
        <v>3</v>
      </c>
      <c r="Q737" s="11" t="s">
        <v>1840</v>
      </c>
    </row>
    <row r="738" spans="1:17" ht="13" hidden="1" x14ac:dyDescent="0.15">
      <c r="A738" s="10">
        <v>43253.460761412032</v>
      </c>
      <c r="B738" s="11" t="s">
        <v>206</v>
      </c>
      <c r="C738" s="11">
        <v>1080</v>
      </c>
      <c r="D738" s="11" t="s">
        <v>1843</v>
      </c>
      <c r="E738" s="11">
        <v>8078213924</v>
      </c>
      <c r="F738" s="11" t="s">
        <v>56</v>
      </c>
      <c r="G738" s="11" t="s">
        <v>1844</v>
      </c>
      <c r="H738" s="11">
        <v>38</v>
      </c>
      <c r="I738" s="12">
        <v>43244</v>
      </c>
      <c r="J738" s="2">
        <v>3</v>
      </c>
      <c r="K738" s="11">
        <v>1146644003388</v>
      </c>
      <c r="L738" s="11" t="s">
        <v>1845</v>
      </c>
      <c r="M738" s="11" t="s">
        <v>27</v>
      </c>
      <c r="N738" s="12">
        <v>43253</v>
      </c>
      <c r="O738" s="12">
        <v>43253</v>
      </c>
      <c r="P738" s="11">
        <v>3</v>
      </c>
      <c r="Q738" s="11" t="s">
        <v>206</v>
      </c>
    </row>
    <row r="739" spans="1:17" ht="13" hidden="1" x14ac:dyDescent="0.15">
      <c r="A739" s="10">
        <v>43253.475281168983</v>
      </c>
      <c r="B739" s="11" t="s">
        <v>1846</v>
      </c>
      <c r="C739" s="11">
        <v>1161</v>
      </c>
      <c r="D739" s="11" t="s">
        <v>1847</v>
      </c>
      <c r="E739" s="11">
        <v>9526023144</v>
      </c>
      <c r="F739" s="11" t="s">
        <v>56</v>
      </c>
      <c r="G739" s="11" t="s">
        <v>1848</v>
      </c>
      <c r="H739" s="11">
        <v>33</v>
      </c>
      <c r="I739" s="12">
        <v>43245</v>
      </c>
      <c r="J739" s="2">
        <v>3</v>
      </c>
      <c r="K739" s="11">
        <v>1156246003909</v>
      </c>
      <c r="L739" s="11" t="s">
        <v>585</v>
      </c>
      <c r="M739" s="11" t="s">
        <v>27</v>
      </c>
      <c r="N739" s="12">
        <v>43253</v>
      </c>
      <c r="O739" s="12">
        <v>43253</v>
      </c>
      <c r="P739" s="11">
        <v>3</v>
      </c>
      <c r="Q739" s="11" t="s">
        <v>1846</v>
      </c>
    </row>
    <row r="740" spans="1:17" ht="13" hidden="1" x14ac:dyDescent="0.15">
      <c r="A740" s="10">
        <v>43253.477644895829</v>
      </c>
      <c r="B740" s="11" t="s">
        <v>475</v>
      </c>
      <c r="C740" s="11">
        <v>842</v>
      </c>
      <c r="D740" s="14" t="s">
        <v>1849</v>
      </c>
      <c r="E740" s="11">
        <v>7594933375</v>
      </c>
      <c r="F740" s="11" t="s">
        <v>35</v>
      </c>
      <c r="G740" s="11" t="s">
        <v>1850</v>
      </c>
      <c r="H740" s="11">
        <v>11</v>
      </c>
      <c r="I740" s="12">
        <v>43253</v>
      </c>
      <c r="J740" s="2">
        <v>3</v>
      </c>
      <c r="K740" s="11">
        <v>1155543006746</v>
      </c>
      <c r="L740" s="11" t="s">
        <v>1851</v>
      </c>
      <c r="M740" s="11" t="s">
        <v>27</v>
      </c>
      <c r="N740" s="12">
        <v>43225</v>
      </c>
      <c r="O740" s="12">
        <v>43225</v>
      </c>
      <c r="P740" s="11">
        <v>3</v>
      </c>
      <c r="Q740" s="11" t="s">
        <v>475</v>
      </c>
    </row>
    <row r="741" spans="1:17" ht="13" hidden="1" x14ac:dyDescent="0.15">
      <c r="A741" s="10">
        <v>43253.699749513893</v>
      </c>
      <c r="B741" s="11" t="s">
        <v>1852</v>
      </c>
      <c r="C741" s="11">
        <v>1210</v>
      </c>
      <c r="D741" s="11" t="s">
        <v>1853</v>
      </c>
      <c r="E741" s="11">
        <v>9446070170</v>
      </c>
      <c r="F741" s="11" t="s">
        <v>30</v>
      </c>
      <c r="G741" s="11" t="s">
        <v>1854</v>
      </c>
      <c r="H741" s="11">
        <v>58</v>
      </c>
      <c r="I741" s="12">
        <v>43253</v>
      </c>
      <c r="J741" s="2">
        <v>10</v>
      </c>
      <c r="K741" s="11">
        <v>1156808017750</v>
      </c>
      <c r="L741" s="11" t="s">
        <v>1855</v>
      </c>
      <c r="M741" s="11" t="s">
        <v>27</v>
      </c>
      <c r="N741" s="12">
        <v>43253</v>
      </c>
      <c r="O741" s="12">
        <v>43253</v>
      </c>
      <c r="P741" s="11">
        <v>10</v>
      </c>
      <c r="Q741" s="11" t="s">
        <v>1852</v>
      </c>
    </row>
    <row r="742" spans="1:17" ht="13" hidden="1" x14ac:dyDescent="0.15">
      <c r="A742" s="10">
        <v>43254.567325393524</v>
      </c>
      <c r="B742" s="11" t="s">
        <v>709</v>
      </c>
      <c r="C742" s="11">
        <v>1063</v>
      </c>
      <c r="D742" s="11" t="s">
        <v>1857</v>
      </c>
      <c r="E742" s="11">
        <v>9495336654</v>
      </c>
      <c r="F742" s="11" t="s">
        <v>73</v>
      </c>
      <c r="G742" s="11" t="s">
        <v>1084</v>
      </c>
      <c r="H742" s="11">
        <v>41</v>
      </c>
      <c r="I742" s="12">
        <v>43251</v>
      </c>
      <c r="J742" s="2">
        <v>2</v>
      </c>
      <c r="K742" s="11">
        <v>1145804017021</v>
      </c>
      <c r="L742" s="11" t="s">
        <v>1320</v>
      </c>
      <c r="M742" s="11" t="s">
        <v>27</v>
      </c>
      <c r="N742" s="12">
        <v>43235</v>
      </c>
      <c r="O742" s="12">
        <v>43235</v>
      </c>
      <c r="P742" s="11">
        <v>2</v>
      </c>
      <c r="Q742" s="11" t="s">
        <v>709</v>
      </c>
    </row>
    <row r="743" spans="1:17" ht="13" hidden="1" x14ac:dyDescent="0.15">
      <c r="A743" s="10">
        <v>43254.573183946763</v>
      </c>
      <c r="B743" s="11" t="s">
        <v>709</v>
      </c>
      <c r="C743" s="11">
        <v>1064</v>
      </c>
      <c r="D743" s="11" t="s">
        <v>1858</v>
      </c>
      <c r="E743" s="11">
        <v>9495336654</v>
      </c>
      <c r="F743" s="11" t="s">
        <v>73</v>
      </c>
      <c r="G743" s="11" t="s">
        <v>1084</v>
      </c>
      <c r="H743" s="11">
        <v>41</v>
      </c>
      <c r="I743" s="12">
        <v>43251</v>
      </c>
      <c r="J743" s="2">
        <v>2</v>
      </c>
      <c r="K743" s="11">
        <v>1145867008121</v>
      </c>
      <c r="L743" s="11" t="s">
        <v>1859</v>
      </c>
      <c r="M743" s="11" t="s">
        <v>27</v>
      </c>
      <c r="N743" s="12">
        <v>43239</v>
      </c>
      <c r="O743" s="12">
        <v>43239</v>
      </c>
      <c r="P743" s="11">
        <v>2</v>
      </c>
      <c r="Q743" s="11" t="s">
        <v>709</v>
      </c>
    </row>
    <row r="744" spans="1:17" ht="13" hidden="1" x14ac:dyDescent="0.15">
      <c r="A744" s="10">
        <v>43254.576486620368</v>
      </c>
      <c r="B744" s="11" t="s">
        <v>709</v>
      </c>
      <c r="C744" s="11">
        <v>1010</v>
      </c>
      <c r="D744" s="11" t="s">
        <v>1860</v>
      </c>
      <c r="E744" s="11">
        <v>9495336654</v>
      </c>
      <c r="F744" s="11" t="s">
        <v>73</v>
      </c>
      <c r="G744" s="11" t="s">
        <v>1084</v>
      </c>
      <c r="H744" s="11">
        <v>41</v>
      </c>
      <c r="I744" s="12">
        <v>43251</v>
      </c>
      <c r="J744" s="2">
        <v>2</v>
      </c>
      <c r="K744" s="11">
        <v>1145695030704</v>
      </c>
      <c r="L744" s="11" t="s">
        <v>1861</v>
      </c>
      <c r="M744" s="11" t="s">
        <v>27</v>
      </c>
      <c r="N744" s="12">
        <v>43238</v>
      </c>
      <c r="O744" s="12">
        <v>43238</v>
      </c>
      <c r="P744" s="11">
        <v>2</v>
      </c>
      <c r="Q744" s="11" t="s">
        <v>709</v>
      </c>
    </row>
    <row r="745" spans="1:17" ht="13" hidden="1" x14ac:dyDescent="0.15">
      <c r="A745" s="10">
        <v>43254.583491134261</v>
      </c>
      <c r="B745" s="11" t="s">
        <v>709</v>
      </c>
      <c r="C745" s="11">
        <v>1239</v>
      </c>
      <c r="D745" s="11" t="s">
        <v>1862</v>
      </c>
      <c r="E745" s="11">
        <v>9495336654</v>
      </c>
      <c r="F745" s="11" t="s">
        <v>73</v>
      </c>
      <c r="G745" s="11" t="s">
        <v>1084</v>
      </c>
      <c r="H745" s="11">
        <v>41</v>
      </c>
      <c r="I745" s="12">
        <v>43253</v>
      </c>
      <c r="J745" s="2">
        <v>3</v>
      </c>
      <c r="K745" s="11">
        <v>1145710033037</v>
      </c>
      <c r="L745" s="11" t="s">
        <v>1863</v>
      </c>
      <c r="M745" s="11" t="s">
        <v>27</v>
      </c>
      <c r="N745" s="12">
        <v>43241</v>
      </c>
      <c r="O745" s="12">
        <v>43241</v>
      </c>
      <c r="P745" s="11">
        <v>3</v>
      </c>
      <c r="Q745" s="11" t="s">
        <v>709</v>
      </c>
    </row>
    <row r="746" spans="1:17" ht="13" hidden="1" x14ac:dyDescent="0.15">
      <c r="A746" s="10">
        <v>43255.419842442134</v>
      </c>
      <c r="B746" s="11" t="s">
        <v>982</v>
      </c>
      <c r="C746" s="11">
        <v>282</v>
      </c>
      <c r="D746" s="11" t="s">
        <v>1864</v>
      </c>
      <c r="E746" s="11">
        <v>9961718777</v>
      </c>
      <c r="F746" s="11" t="s">
        <v>35</v>
      </c>
      <c r="G746" s="11" t="s">
        <v>692</v>
      </c>
      <c r="H746" s="11">
        <v>18</v>
      </c>
      <c r="I746" s="12">
        <v>43171</v>
      </c>
      <c r="J746" s="2">
        <v>3</v>
      </c>
      <c r="K746" s="11">
        <v>1155512014138</v>
      </c>
      <c r="L746" s="11" t="s">
        <v>1535</v>
      </c>
      <c r="M746" s="11" t="s">
        <v>27</v>
      </c>
      <c r="N746" s="12">
        <v>43178</v>
      </c>
      <c r="O746" s="12">
        <v>43178</v>
      </c>
      <c r="P746" s="11">
        <v>3</v>
      </c>
      <c r="Q746" s="11" t="s">
        <v>982</v>
      </c>
    </row>
    <row r="747" spans="1:17" ht="13" x14ac:dyDescent="0.15">
      <c r="A747" s="10">
        <v>43255.439880381949</v>
      </c>
      <c r="B747" s="11" t="s">
        <v>982</v>
      </c>
      <c r="C747" s="11">
        <v>704</v>
      </c>
      <c r="D747" s="11" t="s">
        <v>814</v>
      </c>
      <c r="E747" s="11">
        <v>9961718777</v>
      </c>
      <c r="F747" s="11" t="s">
        <v>24</v>
      </c>
      <c r="G747" s="11" t="s">
        <v>692</v>
      </c>
      <c r="H747" s="11">
        <v>18</v>
      </c>
      <c r="I747" s="12">
        <v>43194</v>
      </c>
      <c r="J747" s="2">
        <v>3</v>
      </c>
      <c r="K747" s="11">
        <v>1145077013687</v>
      </c>
      <c r="L747" s="11" t="s">
        <v>460</v>
      </c>
      <c r="M747" s="11" t="s">
        <v>27</v>
      </c>
      <c r="N747" s="12">
        <v>43236</v>
      </c>
      <c r="O747" s="12">
        <v>43236</v>
      </c>
      <c r="P747" s="11">
        <v>3</v>
      </c>
      <c r="Q747" s="11" t="s">
        <v>982</v>
      </c>
    </row>
    <row r="748" spans="1:17" ht="13" x14ac:dyDescent="0.15">
      <c r="A748" s="10">
        <v>43255.447733923611</v>
      </c>
      <c r="B748" s="11" t="s">
        <v>982</v>
      </c>
      <c r="C748" s="11">
        <v>1202</v>
      </c>
      <c r="D748" s="11" t="s">
        <v>814</v>
      </c>
      <c r="E748" s="11">
        <v>9961718777</v>
      </c>
      <c r="F748" s="11" t="s">
        <v>24</v>
      </c>
      <c r="G748" s="11" t="s">
        <v>692</v>
      </c>
      <c r="H748" s="11">
        <v>18</v>
      </c>
      <c r="I748" s="12">
        <v>43237</v>
      </c>
      <c r="J748" s="2">
        <v>3</v>
      </c>
      <c r="K748" s="11">
        <v>1145073013688</v>
      </c>
      <c r="L748" s="11" t="s">
        <v>460</v>
      </c>
      <c r="M748" s="11" t="s">
        <v>27</v>
      </c>
      <c r="N748" s="12">
        <v>43236</v>
      </c>
      <c r="O748" s="12">
        <v>43236</v>
      </c>
      <c r="P748" s="11">
        <v>3</v>
      </c>
      <c r="Q748" s="11" t="s">
        <v>982</v>
      </c>
    </row>
    <row r="749" spans="1:17" ht="13" hidden="1" x14ac:dyDescent="0.15">
      <c r="A749" s="10">
        <v>43255.489249618055</v>
      </c>
      <c r="B749" s="11" t="s">
        <v>1866</v>
      </c>
      <c r="C749" s="11">
        <v>883</v>
      </c>
      <c r="D749" s="11" t="s">
        <v>1867</v>
      </c>
      <c r="E749" s="11">
        <v>9447159084</v>
      </c>
      <c r="F749" s="11" t="s">
        <v>266</v>
      </c>
      <c r="G749" s="11" t="s">
        <v>1868</v>
      </c>
      <c r="H749" s="11">
        <v>7</v>
      </c>
      <c r="I749" s="12">
        <v>43185</v>
      </c>
      <c r="J749" s="2">
        <v>3</v>
      </c>
      <c r="K749" s="11">
        <v>1165955000017</v>
      </c>
      <c r="L749" s="11" t="s">
        <v>1869</v>
      </c>
      <c r="M749" s="11" t="s">
        <v>27</v>
      </c>
      <c r="N749" s="12">
        <v>43190</v>
      </c>
      <c r="O749" s="12">
        <v>43190</v>
      </c>
      <c r="P749" s="11">
        <v>3</v>
      </c>
      <c r="Q749" s="11" t="s">
        <v>1870</v>
      </c>
    </row>
    <row r="750" spans="1:17" ht="13" x14ac:dyDescent="0.15">
      <c r="A750" s="10">
        <v>43255.491296678243</v>
      </c>
      <c r="B750" s="11" t="s">
        <v>589</v>
      </c>
      <c r="C750" s="11">
        <v>305</v>
      </c>
      <c r="D750" s="11" t="s">
        <v>1871</v>
      </c>
      <c r="E750" s="11">
        <v>7736806968</v>
      </c>
      <c r="F750" s="11" t="s">
        <v>24</v>
      </c>
      <c r="G750" s="11" t="s">
        <v>369</v>
      </c>
      <c r="H750" s="11">
        <v>38</v>
      </c>
      <c r="I750" s="12">
        <v>43253</v>
      </c>
      <c r="J750" s="2">
        <v>2</v>
      </c>
      <c r="K750" s="11">
        <v>1146520004799</v>
      </c>
      <c r="L750" s="11" t="s">
        <v>1872</v>
      </c>
      <c r="M750" s="11" t="s">
        <v>27</v>
      </c>
      <c r="N750" s="12">
        <v>43194</v>
      </c>
      <c r="O750" s="12">
        <v>43194</v>
      </c>
      <c r="P750" s="11">
        <v>2</v>
      </c>
      <c r="Q750" s="11" t="s">
        <v>589</v>
      </c>
    </row>
    <row r="751" spans="1:17" ht="13" hidden="1" x14ac:dyDescent="0.15">
      <c r="A751" s="10">
        <v>43255.49457657407</v>
      </c>
      <c r="B751" s="11" t="s">
        <v>1873</v>
      </c>
      <c r="C751" s="11">
        <v>1206</v>
      </c>
      <c r="D751" s="11" t="s">
        <v>1874</v>
      </c>
      <c r="E751" s="11">
        <v>9037288907</v>
      </c>
      <c r="F751" s="11" t="s">
        <v>266</v>
      </c>
      <c r="G751" s="11" t="s">
        <v>1875</v>
      </c>
      <c r="H751" s="11">
        <v>7</v>
      </c>
      <c r="I751" s="12">
        <v>43236</v>
      </c>
      <c r="J751" s="2">
        <v>3</v>
      </c>
      <c r="K751" s="11">
        <v>1165956003130</v>
      </c>
      <c r="L751" s="11" t="s">
        <v>1869</v>
      </c>
      <c r="M751" s="11" t="s">
        <v>27</v>
      </c>
      <c r="N751" s="12">
        <v>43195</v>
      </c>
      <c r="O751" s="12">
        <v>43195</v>
      </c>
      <c r="P751" s="11">
        <v>3</v>
      </c>
      <c r="Q751" s="11" t="s">
        <v>1870</v>
      </c>
    </row>
    <row r="752" spans="1:17" ht="13" x14ac:dyDescent="0.15">
      <c r="A752" s="10">
        <v>43255.498262719906</v>
      </c>
      <c r="B752" s="11" t="s">
        <v>589</v>
      </c>
      <c r="C752" s="11">
        <v>83</v>
      </c>
      <c r="D752" s="11" t="s">
        <v>1876</v>
      </c>
      <c r="E752" s="11">
        <v>7034322221</v>
      </c>
      <c r="F752" s="11" t="s">
        <v>24</v>
      </c>
      <c r="G752" s="11" t="s">
        <v>369</v>
      </c>
      <c r="H752" s="11">
        <v>38</v>
      </c>
      <c r="I752" s="12">
        <v>43253</v>
      </c>
      <c r="J752" s="2">
        <v>2</v>
      </c>
      <c r="K752" s="11">
        <v>12988</v>
      </c>
      <c r="L752" s="11" t="s">
        <v>602</v>
      </c>
      <c r="M752" s="11" t="s">
        <v>27</v>
      </c>
      <c r="N752" s="12">
        <v>43164</v>
      </c>
      <c r="O752" s="12">
        <v>43164</v>
      </c>
      <c r="P752" s="11">
        <v>2</v>
      </c>
      <c r="Q752" s="11" t="s">
        <v>589</v>
      </c>
    </row>
    <row r="753" spans="1:17" ht="13" hidden="1" x14ac:dyDescent="0.15">
      <c r="A753" s="10">
        <v>43255.511647118052</v>
      </c>
      <c r="B753" s="11" t="s">
        <v>589</v>
      </c>
      <c r="C753" s="11">
        <v>734</v>
      </c>
      <c r="D753" s="11" t="s">
        <v>1877</v>
      </c>
      <c r="E753" s="11">
        <v>7034200099</v>
      </c>
      <c r="F753" s="11" t="s">
        <v>35</v>
      </c>
      <c r="G753" s="11" t="s">
        <v>369</v>
      </c>
      <c r="H753" s="11">
        <v>38</v>
      </c>
      <c r="I753" s="12">
        <v>43185</v>
      </c>
      <c r="J753" s="2">
        <v>30</v>
      </c>
      <c r="K753" s="11">
        <v>1355910003652</v>
      </c>
      <c r="L753" s="11" t="s">
        <v>1878</v>
      </c>
      <c r="M753" s="11" t="s">
        <v>27</v>
      </c>
      <c r="N753" s="12">
        <v>43245</v>
      </c>
      <c r="O753" s="12">
        <v>43245</v>
      </c>
      <c r="P753" s="11">
        <v>30</v>
      </c>
      <c r="Q753" s="11" t="s">
        <v>589</v>
      </c>
    </row>
    <row r="754" spans="1:17" ht="13" hidden="1" x14ac:dyDescent="0.15">
      <c r="A754" s="10">
        <v>43255.519112013892</v>
      </c>
      <c r="B754" s="11" t="s">
        <v>589</v>
      </c>
      <c r="C754" s="11">
        <v>733</v>
      </c>
      <c r="D754" s="11" t="s">
        <v>1879</v>
      </c>
      <c r="E754" s="11">
        <v>7034200099</v>
      </c>
      <c r="F754" s="11" t="s">
        <v>270</v>
      </c>
      <c r="G754" s="11" t="s">
        <v>369</v>
      </c>
      <c r="H754" s="11">
        <v>38</v>
      </c>
      <c r="I754" s="12">
        <v>43187</v>
      </c>
      <c r="J754" s="2">
        <v>5</v>
      </c>
      <c r="K754" s="11">
        <v>1156173005579</v>
      </c>
      <c r="L754" s="11" t="s">
        <v>1617</v>
      </c>
      <c r="M754" s="11" t="s">
        <v>27</v>
      </c>
      <c r="N754" s="12">
        <v>43220</v>
      </c>
      <c r="O754" s="12">
        <v>43220</v>
      </c>
      <c r="P754" s="11">
        <v>5</v>
      </c>
      <c r="Q754" s="11" t="s">
        <v>589</v>
      </c>
    </row>
    <row r="755" spans="1:17" ht="13" hidden="1" x14ac:dyDescent="0.15">
      <c r="A755" s="10">
        <v>43255.523740381948</v>
      </c>
      <c r="B755" s="11" t="s">
        <v>589</v>
      </c>
      <c r="C755" s="11">
        <v>794</v>
      </c>
      <c r="D755" s="11" t="s">
        <v>1881</v>
      </c>
      <c r="E755" s="11">
        <v>7034200099</v>
      </c>
      <c r="F755" s="11" t="s">
        <v>287</v>
      </c>
      <c r="G755" s="11" t="s">
        <v>369</v>
      </c>
      <c r="H755" s="11">
        <v>38</v>
      </c>
      <c r="I755" s="12">
        <v>43192</v>
      </c>
      <c r="J755" s="2">
        <v>15</v>
      </c>
      <c r="K755" s="11">
        <v>1166742036648</v>
      </c>
      <c r="L755" s="11" t="s">
        <v>1882</v>
      </c>
      <c r="M755" s="11" t="s">
        <v>27</v>
      </c>
      <c r="N755" s="12">
        <v>43235</v>
      </c>
      <c r="O755" s="12">
        <v>43235</v>
      </c>
      <c r="P755" s="11">
        <v>15</v>
      </c>
      <c r="Q755" s="11" t="s">
        <v>589</v>
      </c>
    </row>
    <row r="756" spans="1:17" ht="13" hidden="1" x14ac:dyDescent="0.15">
      <c r="A756" s="10">
        <v>43255.528869502319</v>
      </c>
      <c r="B756" s="11" t="s">
        <v>589</v>
      </c>
      <c r="C756" s="11">
        <v>796</v>
      </c>
      <c r="D756" s="11" t="s">
        <v>1883</v>
      </c>
      <c r="E756" s="11">
        <v>7034200099</v>
      </c>
      <c r="F756" s="11" t="s">
        <v>40</v>
      </c>
      <c r="G756" s="11" t="s">
        <v>369</v>
      </c>
      <c r="H756" s="11">
        <v>38</v>
      </c>
      <c r="I756" s="12">
        <v>43192</v>
      </c>
      <c r="J756" s="2">
        <v>5</v>
      </c>
      <c r="K756" s="11">
        <v>1146287015634</v>
      </c>
      <c r="L756" s="11" t="s">
        <v>1884</v>
      </c>
      <c r="M756" s="11" t="s">
        <v>27</v>
      </c>
      <c r="N756" s="12">
        <v>43157</v>
      </c>
      <c r="O756" s="12">
        <v>43157</v>
      </c>
      <c r="P756" s="11">
        <v>5</v>
      </c>
      <c r="Q756" s="11" t="s">
        <v>589</v>
      </c>
    </row>
    <row r="757" spans="1:17" ht="13" hidden="1" x14ac:dyDescent="0.15">
      <c r="A757" s="10">
        <v>43255.535738032406</v>
      </c>
      <c r="B757" s="11" t="s">
        <v>589</v>
      </c>
      <c r="C757" s="11">
        <v>1019</v>
      </c>
      <c r="D757" s="11" t="s">
        <v>1885</v>
      </c>
      <c r="E757" s="11">
        <v>9895686483</v>
      </c>
      <c r="F757" s="11" t="s">
        <v>182</v>
      </c>
      <c r="G757" s="11" t="s">
        <v>369</v>
      </c>
      <c r="H757" s="11">
        <v>38</v>
      </c>
      <c r="I757" s="12">
        <v>43252</v>
      </c>
      <c r="J757" s="2">
        <v>3</v>
      </c>
      <c r="K757" s="11">
        <v>1165827002437</v>
      </c>
      <c r="L757" s="11" t="s">
        <v>1886</v>
      </c>
      <c r="M757" s="11" t="s">
        <v>27</v>
      </c>
      <c r="N757" s="12">
        <v>43253</v>
      </c>
      <c r="O757" s="12">
        <v>43253</v>
      </c>
      <c r="P757" s="11">
        <v>3</v>
      </c>
      <c r="Q757" s="11" t="s">
        <v>589</v>
      </c>
    </row>
    <row r="758" spans="1:17" ht="13" x14ac:dyDescent="0.15">
      <c r="A758" s="10">
        <v>43255.540329618059</v>
      </c>
      <c r="B758" s="11" t="s">
        <v>589</v>
      </c>
      <c r="C758" s="11">
        <v>1018</v>
      </c>
      <c r="D758" s="11" t="s">
        <v>1887</v>
      </c>
      <c r="E758" s="11">
        <v>9496852775</v>
      </c>
      <c r="F758" s="11" t="s">
        <v>24</v>
      </c>
      <c r="G758" s="11" t="s">
        <v>369</v>
      </c>
      <c r="H758" s="11">
        <v>38</v>
      </c>
      <c r="I758" s="12">
        <v>43220</v>
      </c>
      <c r="J758" s="2">
        <v>5</v>
      </c>
      <c r="K758" s="11">
        <v>1145578014250</v>
      </c>
      <c r="L758" s="11" t="s">
        <v>1888</v>
      </c>
      <c r="M758" s="11" t="s">
        <v>27</v>
      </c>
      <c r="N758" s="12">
        <v>43222</v>
      </c>
      <c r="O758" s="12">
        <v>43222</v>
      </c>
      <c r="P758" s="11">
        <v>5</v>
      </c>
      <c r="Q758" s="11" t="s">
        <v>589</v>
      </c>
    </row>
    <row r="759" spans="1:17" ht="13" x14ac:dyDescent="0.15">
      <c r="A759" s="10">
        <v>43255.54455288194</v>
      </c>
      <c r="B759" s="11" t="s">
        <v>589</v>
      </c>
      <c r="C759" s="11">
        <v>1009</v>
      </c>
      <c r="D759" s="11" t="s">
        <v>1889</v>
      </c>
      <c r="E759" s="11">
        <v>9496852775</v>
      </c>
      <c r="F759" s="11" t="s">
        <v>24</v>
      </c>
      <c r="G759" s="11" t="s">
        <v>369</v>
      </c>
      <c r="H759" s="11">
        <v>38</v>
      </c>
      <c r="I759" s="12">
        <v>43223</v>
      </c>
      <c r="J759" s="2">
        <v>5</v>
      </c>
      <c r="K759" s="11">
        <v>1145562009166</v>
      </c>
      <c r="L759" s="11" t="s">
        <v>1890</v>
      </c>
      <c r="M759" s="11" t="s">
        <v>27</v>
      </c>
      <c r="N759" s="12">
        <v>43223</v>
      </c>
      <c r="O759" s="12">
        <v>43223</v>
      </c>
      <c r="P759" s="11">
        <v>5</v>
      </c>
      <c r="Q759" s="11" t="s">
        <v>589</v>
      </c>
    </row>
    <row r="760" spans="1:17" ht="13" hidden="1" x14ac:dyDescent="0.15">
      <c r="A760" s="10">
        <v>43255.553134652779</v>
      </c>
      <c r="B760" s="11" t="s">
        <v>1891</v>
      </c>
      <c r="C760" s="11">
        <v>296</v>
      </c>
      <c r="D760" s="11" t="s">
        <v>1892</v>
      </c>
      <c r="E760" s="11">
        <v>9446850953</v>
      </c>
      <c r="F760" s="11" t="s">
        <v>73</v>
      </c>
      <c r="G760" s="11" t="s">
        <v>1893</v>
      </c>
      <c r="H760" s="11">
        <v>20</v>
      </c>
      <c r="I760" s="12">
        <v>43229</v>
      </c>
      <c r="J760" s="2">
        <v>10</v>
      </c>
      <c r="K760" s="11">
        <v>32690</v>
      </c>
      <c r="L760" s="11" t="s">
        <v>1894</v>
      </c>
      <c r="M760" s="11" t="s">
        <v>27</v>
      </c>
      <c r="N760" s="12">
        <v>43227</v>
      </c>
      <c r="O760" s="12">
        <v>43227</v>
      </c>
      <c r="P760" s="11">
        <v>10</v>
      </c>
      <c r="Q760" s="11" t="s">
        <v>1891</v>
      </c>
    </row>
    <row r="761" spans="1:17" ht="13" hidden="1" x14ac:dyDescent="0.15">
      <c r="A761" s="10">
        <v>43255.558499351857</v>
      </c>
      <c r="B761" s="11" t="s">
        <v>1895</v>
      </c>
      <c r="C761" s="11">
        <v>478</v>
      </c>
      <c r="D761" s="11" t="s">
        <v>1896</v>
      </c>
      <c r="E761" s="11">
        <v>9447782894</v>
      </c>
      <c r="F761" s="11" t="s">
        <v>73</v>
      </c>
      <c r="G761" s="11" t="s">
        <v>1893</v>
      </c>
      <c r="H761" s="11">
        <v>20</v>
      </c>
      <c r="I761" s="12">
        <v>43242</v>
      </c>
      <c r="J761" s="2">
        <v>3</v>
      </c>
      <c r="K761" s="11">
        <v>1145625011554</v>
      </c>
      <c r="L761" s="11" t="s">
        <v>1897</v>
      </c>
      <c r="M761" s="11" t="s">
        <v>27</v>
      </c>
      <c r="N761" s="12">
        <v>43176</v>
      </c>
      <c r="O761" s="12">
        <v>43176</v>
      </c>
      <c r="P761" s="11">
        <v>3</v>
      </c>
      <c r="Q761" s="11" t="s">
        <v>1895</v>
      </c>
    </row>
    <row r="762" spans="1:17" ht="13" hidden="1" x14ac:dyDescent="0.15">
      <c r="A762" s="10">
        <v>43255.564393275461</v>
      </c>
      <c r="B762" s="11" t="s">
        <v>1364</v>
      </c>
      <c r="C762" s="11">
        <v>799</v>
      </c>
      <c r="D762" s="11" t="s">
        <v>1898</v>
      </c>
      <c r="E762" s="11">
        <v>9745082556</v>
      </c>
      <c r="F762" s="11" t="s">
        <v>73</v>
      </c>
      <c r="G762" s="11" t="s">
        <v>1893</v>
      </c>
      <c r="H762" s="11">
        <v>20</v>
      </c>
      <c r="I762" s="12">
        <v>43197</v>
      </c>
      <c r="J762" s="2">
        <v>5</v>
      </c>
      <c r="K762" s="11">
        <v>1145812004870</v>
      </c>
      <c r="L762" s="11" t="s">
        <v>1899</v>
      </c>
      <c r="M762" s="11" t="s">
        <v>27</v>
      </c>
      <c r="N762" s="12">
        <v>43208</v>
      </c>
      <c r="O762" s="12">
        <v>43208</v>
      </c>
      <c r="P762" s="11">
        <v>5</v>
      </c>
      <c r="Q762" s="11" t="s">
        <v>1364</v>
      </c>
    </row>
    <row r="763" spans="1:17" ht="13" hidden="1" x14ac:dyDescent="0.15">
      <c r="A763" s="10">
        <v>43255.568420578704</v>
      </c>
      <c r="B763" s="11" t="s">
        <v>1901</v>
      </c>
      <c r="C763" s="11">
        <v>830</v>
      </c>
      <c r="D763" s="11" t="s">
        <v>1902</v>
      </c>
      <c r="E763" s="11">
        <v>8078519493</v>
      </c>
      <c r="F763" s="11" t="s">
        <v>73</v>
      </c>
      <c r="G763" s="11" t="s">
        <v>1893</v>
      </c>
      <c r="H763" s="11">
        <v>20</v>
      </c>
      <c r="I763" s="12">
        <v>43193</v>
      </c>
      <c r="J763" s="2">
        <v>5</v>
      </c>
      <c r="K763" s="11">
        <v>1145746003494</v>
      </c>
      <c r="L763" s="11" t="s">
        <v>1903</v>
      </c>
      <c r="M763" s="11" t="s">
        <v>27</v>
      </c>
      <c r="N763" s="12">
        <v>43193</v>
      </c>
      <c r="O763" s="12">
        <v>43193</v>
      </c>
      <c r="P763" s="11">
        <v>5</v>
      </c>
      <c r="Q763" s="11" t="s">
        <v>1901</v>
      </c>
    </row>
    <row r="764" spans="1:17" ht="13" hidden="1" x14ac:dyDescent="0.15">
      <c r="A764" s="10">
        <v>43255.611640763891</v>
      </c>
      <c r="B764" s="11" t="s">
        <v>589</v>
      </c>
      <c r="C764" s="11">
        <v>1022</v>
      </c>
      <c r="D764" s="11" t="s">
        <v>1904</v>
      </c>
      <c r="E764" s="11">
        <v>9645322229</v>
      </c>
      <c r="F764" s="11" t="s">
        <v>56</v>
      </c>
      <c r="G764" s="11" t="s">
        <v>369</v>
      </c>
      <c r="H764" s="11">
        <v>38</v>
      </c>
      <c r="I764" s="12">
        <v>43220</v>
      </c>
      <c r="J764" s="2">
        <v>5</v>
      </c>
      <c r="K764" s="11">
        <v>1156386030436</v>
      </c>
      <c r="L764" s="11" t="s">
        <v>1905</v>
      </c>
      <c r="M764" s="11" t="s">
        <v>27</v>
      </c>
      <c r="N764" s="12">
        <v>43220</v>
      </c>
      <c r="O764" s="12">
        <v>43220</v>
      </c>
      <c r="P764" s="11">
        <v>5</v>
      </c>
      <c r="Q764" s="11" t="s">
        <v>589</v>
      </c>
    </row>
    <row r="765" spans="1:17" ht="13" hidden="1" x14ac:dyDescent="0.15">
      <c r="A765" s="10">
        <v>43255.61381347222</v>
      </c>
      <c r="B765" s="11" t="s">
        <v>1870</v>
      </c>
      <c r="C765" s="11">
        <v>1125</v>
      </c>
      <c r="D765" s="11" t="s">
        <v>1906</v>
      </c>
      <c r="E765" s="11">
        <v>9496439148</v>
      </c>
      <c r="F765" s="11" t="s">
        <v>266</v>
      </c>
      <c r="G765" s="11" t="s">
        <v>1868</v>
      </c>
      <c r="H765" s="11">
        <v>7</v>
      </c>
      <c r="I765" s="12">
        <v>43236</v>
      </c>
      <c r="J765" s="2">
        <v>3</v>
      </c>
      <c r="K765" s="11">
        <v>116777003858</v>
      </c>
      <c r="L765" s="11" t="s">
        <v>1907</v>
      </c>
      <c r="M765" s="11" t="s">
        <v>27</v>
      </c>
      <c r="N765" s="12">
        <v>43185</v>
      </c>
      <c r="O765" s="12">
        <v>43185</v>
      </c>
      <c r="P765" s="11">
        <v>2</v>
      </c>
      <c r="Q765" s="11" t="s">
        <v>1870</v>
      </c>
    </row>
    <row r="766" spans="1:17" ht="13" hidden="1" x14ac:dyDescent="0.15">
      <c r="A766" s="10">
        <v>43255.616168414352</v>
      </c>
      <c r="B766" s="11" t="s">
        <v>589</v>
      </c>
      <c r="C766" s="11">
        <v>1021</v>
      </c>
      <c r="D766" s="11" t="s">
        <v>1908</v>
      </c>
      <c r="E766" s="11">
        <v>9645322229</v>
      </c>
      <c r="F766" s="11" t="s">
        <v>73</v>
      </c>
      <c r="G766" s="11" t="s">
        <v>369</v>
      </c>
      <c r="H766" s="11">
        <v>38</v>
      </c>
      <c r="I766" s="12">
        <v>43220</v>
      </c>
      <c r="J766" s="2">
        <v>5</v>
      </c>
      <c r="K766" s="11">
        <v>1156386030436</v>
      </c>
      <c r="L766" s="11" t="s">
        <v>1905</v>
      </c>
      <c r="M766" s="11" t="s">
        <v>27</v>
      </c>
      <c r="N766" s="12">
        <v>43223</v>
      </c>
      <c r="O766" s="12">
        <v>43223</v>
      </c>
      <c r="P766" s="11">
        <v>5</v>
      </c>
      <c r="Q766" s="11" t="s">
        <v>589</v>
      </c>
    </row>
    <row r="767" spans="1:17" ht="13" hidden="1" x14ac:dyDescent="0.15">
      <c r="A767" s="10">
        <v>43255.616648564814</v>
      </c>
      <c r="B767" s="11" t="s">
        <v>1870</v>
      </c>
      <c r="C767" s="11">
        <v>1175</v>
      </c>
      <c r="D767" s="11" t="s">
        <v>1909</v>
      </c>
      <c r="E767" s="11">
        <v>9037288907</v>
      </c>
      <c r="F767" s="11" t="s">
        <v>266</v>
      </c>
      <c r="G767" s="11" t="s">
        <v>1868</v>
      </c>
      <c r="H767" s="11">
        <v>7</v>
      </c>
      <c r="I767" s="12">
        <v>43236</v>
      </c>
      <c r="J767" s="2">
        <v>2</v>
      </c>
      <c r="K767" s="11">
        <v>1165985006336</v>
      </c>
      <c r="L767" s="11" t="s">
        <v>1474</v>
      </c>
      <c r="M767" s="11" t="s">
        <v>27</v>
      </c>
      <c r="N767" s="12">
        <v>43164</v>
      </c>
      <c r="O767" s="12">
        <v>43164</v>
      </c>
      <c r="P767" s="11">
        <v>2</v>
      </c>
      <c r="Q767" s="11" t="s">
        <v>1870</v>
      </c>
    </row>
    <row r="768" spans="1:17" ht="13" hidden="1" x14ac:dyDescent="0.15">
      <c r="A768" s="10">
        <v>43255.618695381942</v>
      </c>
      <c r="B768" s="11" t="s">
        <v>1870</v>
      </c>
      <c r="C768" s="11">
        <v>1176</v>
      </c>
      <c r="D768" s="11" t="s">
        <v>1910</v>
      </c>
      <c r="E768" s="11">
        <v>9037288907</v>
      </c>
      <c r="F768" s="11" t="s">
        <v>266</v>
      </c>
      <c r="G768" s="11" t="s">
        <v>1868</v>
      </c>
      <c r="H768" s="11">
        <v>7</v>
      </c>
      <c r="I768" s="12">
        <v>43236</v>
      </c>
      <c r="J768" s="2">
        <v>2</v>
      </c>
      <c r="K768" s="11">
        <v>1166100012462</v>
      </c>
      <c r="L768" s="11" t="s">
        <v>1911</v>
      </c>
      <c r="M768" s="11" t="s">
        <v>27</v>
      </c>
      <c r="N768" s="12">
        <v>43202</v>
      </c>
      <c r="O768" s="12">
        <v>43202</v>
      </c>
      <c r="P768" s="11">
        <v>2</v>
      </c>
      <c r="Q768" s="11" t="s">
        <v>1870</v>
      </c>
    </row>
    <row r="769" spans="1:17" ht="13" x14ac:dyDescent="0.15">
      <c r="A769" s="10">
        <v>43255.623409629625</v>
      </c>
      <c r="B769" s="11" t="s">
        <v>589</v>
      </c>
      <c r="C769" s="11">
        <v>195</v>
      </c>
      <c r="D769" s="11" t="s">
        <v>1912</v>
      </c>
      <c r="E769" s="11">
        <v>7034322221</v>
      </c>
      <c r="F769" s="11" t="s">
        <v>24</v>
      </c>
      <c r="G769" s="11" t="s">
        <v>369</v>
      </c>
      <c r="H769" s="11">
        <v>38</v>
      </c>
      <c r="I769" s="12">
        <v>43102</v>
      </c>
      <c r="J769" s="2">
        <v>10</v>
      </c>
      <c r="K769" s="11">
        <v>1145560014239</v>
      </c>
      <c r="L769" s="11" t="s">
        <v>1890</v>
      </c>
      <c r="M769" s="11" t="s">
        <v>27</v>
      </c>
      <c r="N769" s="12">
        <v>43110</v>
      </c>
      <c r="O769" s="12">
        <v>43110</v>
      </c>
      <c r="P769" s="11">
        <v>10</v>
      </c>
      <c r="Q769" s="11" t="s">
        <v>589</v>
      </c>
    </row>
    <row r="770" spans="1:17" ht="13" hidden="1" x14ac:dyDescent="0.15">
      <c r="A770" s="10">
        <v>43255.633941111111</v>
      </c>
      <c r="B770" s="11" t="s">
        <v>589</v>
      </c>
      <c r="C770" s="11">
        <v>201</v>
      </c>
      <c r="D770" s="11" t="s">
        <v>1913</v>
      </c>
      <c r="E770" s="11">
        <v>7034322221</v>
      </c>
      <c r="F770" s="11" t="s">
        <v>73</v>
      </c>
      <c r="G770" s="11" t="s">
        <v>369</v>
      </c>
      <c r="H770" s="11">
        <v>38</v>
      </c>
      <c r="I770" s="12">
        <v>43187</v>
      </c>
      <c r="J770" s="2">
        <v>5</v>
      </c>
      <c r="K770" s="11">
        <v>1146718007846</v>
      </c>
      <c r="L770" s="11" t="s">
        <v>1914</v>
      </c>
      <c r="M770" s="11" t="s">
        <v>27</v>
      </c>
      <c r="N770" s="12">
        <v>43190</v>
      </c>
      <c r="O770" s="12">
        <v>43190</v>
      </c>
      <c r="P770" s="11">
        <v>5</v>
      </c>
      <c r="Q770" s="11" t="s">
        <v>589</v>
      </c>
    </row>
    <row r="771" spans="1:17" ht="13" x14ac:dyDescent="0.15">
      <c r="A771" s="10">
        <v>43255.639751099538</v>
      </c>
      <c r="B771" s="11" t="s">
        <v>22</v>
      </c>
      <c r="C771" s="11">
        <v>404</v>
      </c>
      <c r="D771" s="11" t="s">
        <v>1916</v>
      </c>
      <c r="E771" s="11">
        <v>9072666513</v>
      </c>
      <c r="F771" s="11" t="s">
        <v>24</v>
      </c>
      <c r="G771" s="11" t="s">
        <v>1687</v>
      </c>
      <c r="H771" s="11">
        <v>54</v>
      </c>
      <c r="I771" s="12">
        <v>43255</v>
      </c>
      <c r="J771" s="2">
        <v>5</v>
      </c>
      <c r="K771" s="11">
        <v>1145082032733</v>
      </c>
      <c r="L771" s="11" t="s">
        <v>485</v>
      </c>
      <c r="M771" s="11" t="s">
        <v>27</v>
      </c>
      <c r="N771" s="12">
        <v>43237</v>
      </c>
      <c r="O771" s="12">
        <v>43237</v>
      </c>
      <c r="P771" s="11">
        <v>5</v>
      </c>
      <c r="Q771" s="11" t="s">
        <v>22</v>
      </c>
    </row>
    <row r="772" spans="1:17" ht="13" hidden="1" x14ac:dyDescent="0.15">
      <c r="A772" s="10">
        <v>43255.645506712965</v>
      </c>
      <c r="B772" s="11" t="s">
        <v>1917</v>
      </c>
      <c r="C772" s="11">
        <v>1188</v>
      </c>
      <c r="D772" s="11" t="s">
        <v>1918</v>
      </c>
      <c r="E772" s="11">
        <v>9847036754</v>
      </c>
      <c r="F772" s="11" t="s">
        <v>35</v>
      </c>
      <c r="G772" s="11" t="s">
        <v>170</v>
      </c>
      <c r="H772" s="11">
        <v>26</v>
      </c>
      <c r="I772" s="12">
        <v>43252</v>
      </c>
      <c r="J772" s="2">
        <v>3</v>
      </c>
      <c r="K772" s="11">
        <v>1155484016745</v>
      </c>
      <c r="L772" s="11" t="s">
        <v>1919</v>
      </c>
      <c r="M772" s="11" t="s">
        <v>27</v>
      </c>
      <c r="N772" s="12">
        <v>43232</v>
      </c>
      <c r="O772" s="12">
        <v>43232</v>
      </c>
      <c r="P772" s="11">
        <v>3</v>
      </c>
      <c r="Q772" s="11" t="s">
        <v>436</v>
      </c>
    </row>
    <row r="773" spans="1:17" ht="13" hidden="1" x14ac:dyDescent="0.15">
      <c r="A773" s="10">
        <v>43255.647189351846</v>
      </c>
      <c r="B773" s="11" t="s">
        <v>1920</v>
      </c>
      <c r="C773" s="11">
        <v>901</v>
      </c>
      <c r="D773" s="11" t="s">
        <v>1921</v>
      </c>
      <c r="E773" s="11">
        <v>7025868550</v>
      </c>
      <c r="F773" s="11" t="s">
        <v>73</v>
      </c>
      <c r="G773" s="11" t="s">
        <v>1893</v>
      </c>
      <c r="H773" s="11">
        <v>20</v>
      </c>
      <c r="I773" s="12">
        <v>43252</v>
      </c>
      <c r="J773" s="2">
        <v>5</v>
      </c>
      <c r="K773" s="11">
        <v>1145631011951</v>
      </c>
      <c r="L773" s="11" t="s">
        <v>291</v>
      </c>
      <c r="M773" s="11" t="s">
        <v>27</v>
      </c>
      <c r="N773" s="12">
        <v>43203</v>
      </c>
      <c r="O773" s="12">
        <v>43203</v>
      </c>
      <c r="P773" s="11">
        <v>5</v>
      </c>
      <c r="Q773" s="11" t="s">
        <v>1920</v>
      </c>
    </row>
    <row r="774" spans="1:17" ht="13" hidden="1" x14ac:dyDescent="0.15">
      <c r="A774" s="10">
        <v>43255.648526192133</v>
      </c>
      <c r="B774" s="11" t="s">
        <v>589</v>
      </c>
      <c r="C774" s="11">
        <v>763</v>
      </c>
      <c r="D774" s="11" t="s">
        <v>1922</v>
      </c>
      <c r="E774" s="11">
        <v>9037655903</v>
      </c>
      <c r="F774" s="11" t="s">
        <v>30</v>
      </c>
      <c r="G774" s="11" t="s">
        <v>369</v>
      </c>
      <c r="H774" s="11">
        <v>38</v>
      </c>
      <c r="I774" s="12">
        <v>43186</v>
      </c>
      <c r="J774" s="2">
        <v>10</v>
      </c>
      <c r="K774" s="11">
        <v>1157287003949</v>
      </c>
      <c r="L774" s="11" t="s">
        <v>1923</v>
      </c>
      <c r="M774" s="11" t="s">
        <v>27</v>
      </c>
      <c r="N774" s="12">
        <v>43200</v>
      </c>
      <c r="O774" s="12">
        <v>43200</v>
      </c>
      <c r="P774" s="11">
        <v>10</v>
      </c>
      <c r="Q774" s="11" t="s">
        <v>589</v>
      </c>
    </row>
    <row r="775" spans="1:17" ht="13" hidden="1" x14ac:dyDescent="0.15">
      <c r="A775" s="10">
        <v>43255.708634953698</v>
      </c>
      <c r="B775" s="11" t="s">
        <v>1924</v>
      </c>
      <c r="C775" s="11">
        <v>1123</v>
      </c>
      <c r="D775" s="11" t="s">
        <v>1925</v>
      </c>
      <c r="E775" s="11">
        <v>9846395555</v>
      </c>
      <c r="F775" s="11" t="s">
        <v>35</v>
      </c>
      <c r="G775" s="11" t="s">
        <v>126</v>
      </c>
      <c r="H775" s="11">
        <v>64</v>
      </c>
      <c r="I775" s="12">
        <v>43255</v>
      </c>
      <c r="J775" s="2">
        <v>5</v>
      </c>
      <c r="K775" s="11">
        <v>1155421002537</v>
      </c>
      <c r="L775" s="11" t="s">
        <v>510</v>
      </c>
      <c r="M775" s="11" t="s">
        <v>27</v>
      </c>
      <c r="N775" s="12">
        <v>43251</v>
      </c>
      <c r="O775" s="12">
        <v>43251</v>
      </c>
      <c r="P775" s="11">
        <v>5</v>
      </c>
      <c r="Q775" s="11" t="s">
        <v>1924</v>
      </c>
    </row>
    <row r="776" spans="1:17" ht="13" hidden="1" x14ac:dyDescent="0.15">
      <c r="A776" s="10">
        <v>43255.889825219907</v>
      </c>
      <c r="B776" s="11" t="s">
        <v>1086</v>
      </c>
      <c r="C776" s="11">
        <v>1236</v>
      </c>
      <c r="D776" s="11" t="s">
        <v>1927</v>
      </c>
      <c r="E776" s="11">
        <v>9447719274</v>
      </c>
      <c r="F776" s="11" t="s">
        <v>30</v>
      </c>
      <c r="G776" s="11" t="s">
        <v>1088</v>
      </c>
      <c r="H776" s="11">
        <v>41</v>
      </c>
      <c r="I776" s="12">
        <v>43251</v>
      </c>
      <c r="J776" s="2">
        <v>5</v>
      </c>
      <c r="K776" s="11">
        <v>12718</v>
      </c>
      <c r="L776" s="11" t="s">
        <v>1928</v>
      </c>
      <c r="M776" s="11" t="s">
        <v>27</v>
      </c>
      <c r="N776" s="12">
        <v>43253</v>
      </c>
      <c r="O776" s="12">
        <v>43253</v>
      </c>
      <c r="P776" s="11">
        <v>5</v>
      </c>
      <c r="Q776" s="11" t="s">
        <v>1086</v>
      </c>
    </row>
    <row r="777" spans="1:17" ht="13" hidden="1" x14ac:dyDescent="0.15">
      <c r="A777" s="10">
        <v>43256.477816724539</v>
      </c>
      <c r="B777" s="11" t="s">
        <v>1929</v>
      </c>
      <c r="C777" s="11">
        <v>508</v>
      </c>
      <c r="D777" s="11" t="s">
        <v>1930</v>
      </c>
      <c r="E777" s="11">
        <v>9349881979</v>
      </c>
      <c r="F777" s="11" t="s">
        <v>1124</v>
      </c>
      <c r="G777" s="11" t="s">
        <v>952</v>
      </c>
      <c r="H777" s="11">
        <v>20</v>
      </c>
      <c r="I777" s="12">
        <v>43220</v>
      </c>
      <c r="J777" s="2">
        <v>5</v>
      </c>
      <c r="K777" s="11">
        <v>1167012030236</v>
      </c>
      <c r="L777" s="11" t="s">
        <v>1931</v>
      </c>
      <c r="M777" s="11" t="s">
        <v>27</v>
      </c>
      <c r="N777" s="12">
        <v>43210</v>
      </c>
      <c r="O777" s="12">
        <v>43210</v>
      </c>
      <c r="P777" s="11">
        <v>5</v>
      </c>
      <c r="Q777" s="11" t="s">
        <v>1929</v>
      </c>
    </row>
    <row r="778" spans="1:17" ht="13" hidden="1" x14ac:dyDescent="0.15">
      <c r="A778" s="10">
        <v>43256.519169664352</v>
      </c>
      <c r="B778" s="11" t="s">
        <v>1932</v>
      </c>
      <c r="C778" s="11">
        <v>1252</v>
      </c>
      <c r="D778" s="11" t="s">
        <v>1933</v>
      </c>
      <c r="E778" s="11">
        <v>9446521312</v>
      </c>
      <c r="F778" s="11" t="s">
        <v>30</v>
      </c>
      <c r="G778" s="11" t="s">
        <v>1934</v>
      </c>
      <c r="H778" s="11">
        <v>69</v>
      </c>
      <c r="I778" s="12">
        <v>43200</v>
      </c>
      <c r="J778" s="2">
        <v>30</v>
      </c>
      <c r="K778" s="11">
        <v>1356820003130</v>
      </c>
      <c r="L778" s="11" t="s">
        <v>1146</v>
      </c>
      <c r="M778" s="11" t="s">
        <v>27</v>
      </c>
      <c r="N778" s="12">
        <v>43048</v>
      </c>
      <c r="O778" s="12">
        <v>43048</v>
      </c>
      <c r="P778" s="11">
        <v>30</v>
      </c>
      <c r="Q778" s="11" t="s">
        <v>1932</v>
      </c>
    </row>
    <row r="779" spans="1:17" ht="13" hidden="1" x14ac:dyDescent="0.15">
      <c r="A779" s="10">
        <v>43256.622583969904</v>
      </c>
      <c r="B779" s="11" t="s">
        <v>1935</v>
      </c>
      <c r="C779" s="11">
        <v>1250</v>
      </c>
      <c r="D779" s="11" t="s">
        <v>1936</v>
      </c>
      <c r="E779" s="11">
        <v>9946882370</v>
      </c>
      <c r="F779" s="11" t="s">
        <v>287</v>
      </c>
      <c r="G779" s="11" t="s">
        <v>488</v>
      </c>
      <c r="H779" s="11">
        <v>22</v>
      </c>
      <c r="I779" s="12">
        <v>43252</v>
      </c>
      <c r="J779" s="2">
        <v>10</v>
      </c>
      <c r="K779" s="11">
        <v>1167601012397</v>
      </c>
      <c r="L779" s="11" t="s">
        <v>1937</v>
      </c>
      <c r="M779" s="11" t="s">
        <v>27</v>
      </c>
      <c r="N779" s="12">
        <v>43252</v>
      </c>
      <c r="O779" s="12">
        <v>43252</v>
      </c>
      <c r="P779" s="11">
        <v>10</v>
      </c>
      <c r="Q779" s="11" t="s">
        <v>1935</v>
      </c>
    </row>
    <row r="780" spans="1:17" ht="13" hidden="1" x14ac:dyDescent="0.15">
      <c r="A780" s="10">
        <v>43256.629088761576</v>
      </c>
      <c r="B780" s="11" t="s">
        <v>1938</v>
      </c>
      <c r="C780" s="11">
        <v>709</v>
      </c>
      <c r="D780" s="11" t="s">
        <v>1939</v>
      </c>
      <c r="E780" s="11">
        <v>9562233099</v>
      </c>
      <c r="F780" s="11" t="s">
        <v>35</v>
      </c>
      <c r="G780" s="11" t="s">
        <v>134</v>
      </c>
      <c r="H780" s="11">
        <v>47</v>
      </c>
      <c r="I780" s="12">
        <v>43195</v>
      </c>
      <c r="J780" s="2">
        <v>10</v>
      </c>
      <c r="K780" s="11">
        <v>1155552029264</v>
      </c>
      <c r="L780" s="11" t="s">
        <v>970</v>
      </c>
      <c r="M780" s="11" t="s">
        <v>27</v>
      </c>
      <c r="N780" s="12">
        <v>43256</v>
      </c>
      <c r="O780" s="12">
        <v>43256</v>
      </c>
      <c r="P780" s="11">
        <v>10</v>
      </c>
      <c r="Q780" s="11" t="s">
        <v>1938</v>
      </c>
    </row>
    <row r="781" spans="1:17" ht="13" hidden="1" x14ac:dyDescent="0.15">
      <c r="A781" s="10">
        <v>43256.686775671296</v>
      </c>
      <c r="B781" s="11" t="s">
        <v>1733</v>
      </c>
      <c r="C781" s="11">
        <v>1090</v>
      </c>
      <c r="D781" s="11" t="s">
        <v>1941</v>
      </c>
      <c r="E781" s="11">
        <v>8589019033</v>
      </c>
      <c r="F781" s="11" t="s">
        <v>30</v>
      </c>
      <c r="G781" s="11" t="s">
        <v>1735</v>
      </c>
      <c r="H781" s="11">
        <v>24</v>
      </c>
      <c r="I781" s="12">
        <v>43256</v>
      </c>
      <c r="J781" s="2">
        <v>3</v>
      </c>
      <c r="K781" s="11">
        <v>1156513027614</v>
      </c>
      <c r="L781" s="11" t="s">
        <v>1942</v>
      </c>
      <c r="M781" s="11" t="s">
        <v>27</v>
      </c>
      <c r="N781" s="12">
        <v>43242</v>
      </c>
      <c r="O781" s="12">
        <v>43242</v>
      </c>
      <c r="P781" s="11">
        <v>3</v>
      </c>
      <c r="Q781" s="11" t="s">
        <v>1733</v>
      </c>
    </row>
    <row r="782" spans="1:17" ht="13" hidden="1" x14ac:dyDescent="0.15">
      <c r="A782" s="10">
        <v>43256.694600868053</v>
      </c>
      <c r="B782" s="11" t="s">
        <v>1733</v>
      </c>
      <c r="C782" s="11">
        <v>1218</v>
      </c>
      <c r="D782" s="11" t="s">
        <v>1943</v>
      </c>
      <c r="E782" s="11">
        <v>8589019035</v>
      </c>
      <c r="F782" s="11" t="s">
        <v>35</v>
      </c>
      <c r="G782" s="11" t="s">
        <v>1735</v>
      </c>
      <c r="H782" s="11">
        <v>24</v>
      </c>
      <c r="I782" s="12">
        <v>43256</v>
      </c>
      <c r="J782" s="2">
        <v>3</v>
      </c>
      <c r="K782" s="11">
        <v>1155570003946</v>
      </c>
      <c r="L782" s="11" t="s">
        <v>1944</v>
      </c>
      <c r="M782" s="11" t="s">
        <v>27</v>
      </c>
      <c r="N782" s="12">
        <v>43251</v>
      </c>
      <c r="O782" s="12">
        <v>43251</v>
      </c>
      <c r="P782" s="11">
        <v>3</v>
      </c>
      <c r="Q782" s="11" t="s">
        <v>1733</v>
      </c>
    </row>
    <row r="783" spans="1:17" ht="13" hidden="1" x14ac:dyDescent="0.15">
      <c r="A783" s="10">
        <v>43256.72924828704</v>
      </c>
      <c r="B783" s="11" t="s">
        <v>22</v>
      </c>
      <c r="C783" s="11">
        <v>1220</v>
      </c>
      <c r="D783" s="11" t="s">
        <v>1945</v>
      </c>
      <c r="E783" s="11">
        <v>9072666513</v>
      </c>
      <c r="F783" s="11" t="s">
        <v>35</v>
      </c>
      <c r="G783" s="11" t="s">
        <v>1687</v>
      </c>
      <c r="H783" s="11">
        <v>54</v>
      </c>
      <c r="I783" s="12">
        <v>43241</v>
      </c>
      <c r="J783" s="2">
        <v>3</v>
      </c>
      <c r="K783" s="11">
        <v>1155486006038</v>
      </c>
      <c r="L783" s="11" t="s">
        <v>71</v>
      </c>
      <c r="M783" s="11" t="s">
        <v>27</v>
      </c>
      <c r="N783" s="12">
        <v>43246</v>
      </c>
      <c r="O783" s="12">
        <v>43246</v>
      </c>
      <c r="P783" s="11">
        <v>5</v>
      </c>
      <c r="Q783" s="11" t="s">
        <v>22</v>
      </c>
    </row>
    <row r="784" spans="1:17" ht="13" hidden="1" x14ac:dyDescent="0.15">
      <c r="A784" s="10">
        <v>43256.729989097221</v>
      </c>
      <c r="B784" s="11" t="s">
        <v>1946</v>
      </c>
      <c r="C784" s="11">
        <v>731</v>
      </c>
      <c r="D784" s="11" t="s">
        <v>1947</v>
      </c>
      <c r="E784" s="11">
        <v>9446504127</v>
      </c>
      <c r="F784" s="11" t="s">
        <v>40</v>
      </c>
      <c r="G784" s="11" t="s">
        <v>1134</v>
      </c>
      <c r="H784" s="11">
        <v>20</v>
      </c>
      <c r="I784" s="12">
        <v>43222</v>
      </c>
      <c r="J784" s="2">
        <v>5</v>
      </c>
      <c r="K784" s="11">
        <v>1155018025264</v>
      </c>
      <c r="L784" s="11" t="s">
        <v>1949</v>
      </c>
      <c r="M784" s="11" t="s">
        <v>27</v>
      </c>
      <c r="N784" s="12">
        <v>43215</v>
      </c>
      <c r="O784" s="12">
        <v>43218</v>
      </c>
      <c r="P784" s="11">
        <v>5</v>
      </c>
      <c r="Q784" s="11" t="s">
        <v>1946</v>
      </c>
    </row>
    <row r="785" spans="1:17" ht="13" hidden="1" x14ac:dyDescent="0.15">
      <c r="A785" s="10">
        <v>43256.743923981485</v>
      </c>
      <c r="B785" s="11" t="s">
        <v>1946</v>
      </c>
      <c r="C785" s="11">
        <v>457</v>
      </c>
      <c r="D785" s="11" t="s">
        <v>1950</v>
      </c>
      <c r="E785" s="11">
        <v>9447250028</v>
      </c>
      <c r="F785" s="11" t="s">
        <v>40</v>
      </c>
      <c r="G785" s="11" t="s">
        <v>36</v>
      </c>
      <c r="H785" s="11">
        <v>20</v>
      </c>
      <c r="I785" s="12">
        <v>43215</v>
      </c>
      <c r="J785" s="2">
        <v>3</v>
      </c>
      <c r="K785" s="11">
        <v>1155098008044</v>
      </c>
      <c r="L785" s="11" t="s">
        <v>1951</v>
      </c>
      <c r="M785" s="11" t="s">
        <v>27</v>
      </c>
      <c r="N785" s="12">
        <v>43210</v>
      </c>
      <c r="O785" s="12">
        <v>43210</v>
      </c>
      <c r="P785" s="11">
        <v>3</v>
      </c>
      <c r="Q785" s="11" t="s">
        <v>1946</v>
      </c>
    </row>
    <row r="786" spans="1:17" ht="13" hidden="1" x14ac:dyDescent="0.15">
      <c r="A786" s="10">
        <v>43256.856816215281</v>
      </c>
      <c r="B786" s="11" t="s">
        <v>709</v>
      </c>
      <c r="C786" s="11">
        <v>1062</v>
      </c>
      <c r="D786" s="11" t="s">
        <v>1952</v>
      </c>
      <c r="E786" s="11">
        <v>9495336654</v>
      </c>
      <c r="F786" s="11" t="s">
        <v>73</v>
      </c>
      <c r="G786" s="11" t="s">
        <v>1084</v>
      </c>
      <c r="H786" s="11">
        <v>41</v>
      </c>
      <c r="I786" s="12">
        <v>43253</v>
      </c>
      <c r="J786" s="2">
        <v>3</v>
      </c>
      <c r="K786" s="11">
        <v>1145667002009</v>
      </c>
      <c r="L786" s="11" t="s">
        <v>1953</v>
      </c>
      <c r="M786" s="11" t="s">
        <v>27</v>
      </c>
      <c r="N786" s="12">
        <v>43248</v>
      </c>
      <c r="O786" s="12">
        <v>43248</v>
      </c>
      <c r="P786" s="11">
        <v>3</v>
      </c>
      <c r="Q786" s="11" t="s">
        <v>709</v>
      </c>
    </row>
    <row r="787" spans="1:17" ht="13" hidden="1" x14ac:dyDescent="0.15">
      <c r="A787" s="10">
        <v>43257.154066944444</v>
      </c>
      <c r="B787" s="11" t="s">
        <v>1946</v>
      </c>
      <c r="C787" s="11">
        <v>371</v>
      </c>
      <c r="D787" s="11" t="s">
        <v>1954</v>
      </c>
      <c r="E787" s="11">
        <v>9446504127</v>
      </c>
      <c r="F787" s="11" t="s">
        <v>40</v>
      </c>
      <c r="G787" s="11" t="s">
        <v>36</v>
      </c>
      <c r="H787" s="11">
        <v>20</v>
      </c>
      <c r="I787" s="12">
        <v>43225</v>
      </c>
      <c r="J787" s="2">
        <v>5</v>
      </c>
      <c r="K787" s="11">
        <v>1155018025264</v>
      </c>
      <c r="L787" s="11" t="s">
        <v>1949</v>
      </c>
      <c r="M787" s="11" t="s">
        <v>27</v>
      </c>
      <c r="N787" s="12">
        <v>43215</v>
      </c>
      <c r="O787" s="12">
        <v>43215</v>
      </c>
      <c r="P787" s="11">
        <v>5</v>
      </c>
      <c r="Q787" s="11" t="s">
        <v>1946</v>
      </c>
    </row>
    <row r="788" spans="1:17" ht="13" hidden="1" x14ac:dyDescent="0.15">
      <c r="A788" s="10">
        <v>43257.163270023149</v>
      </c>
      <c r="B788" s="11" t="s">
        <v>1946</v>
      </c>
      <c r="C788" s="11">
        <v>725</v>
      </c>
      <c r="D788" s="11" t="s">
        <v>1955</v>
      </c>
      <c r="E788" s="11">
        <v>9946001172</v>
      </c>
      <c r="F788" s="11" t="s">
        <v>40</v>
      </c>
      <c r="G788" s="11" t="s">
        <v>36</v>
      </c>
      <c r="H788" s="11">
        <v>20</v>
      </c>
      <c r="I788" s="12">
        <v>43187</v>
      </c>
      <c r="J788" s="2">
        <v>3</v>
      </c>
      <c r="K788" s="11">
        <v>1155228000342</v>
      </c>
      <c r="L788" s="11" t="s">
        <v>1956</v>
      </c>
      <c r="M788" s="11" t="s">
        <v>27</v>
      </c>
      <c r="N788" s="12">
        <v>43179</v>
      </c>
      <c r="O788" s="12">
        <v>43179</v>
      </c>
      <c r="P788" s="11">
        <v>3</v>
      </c>
      <c r="Q788" s="11" t="s">
        <v>1946</v>
      </c>
    </row>
    <row r="789" spans="1:17" ht="13" hidden="1" x14ac:dyDescent="0.15">
      <c r="A789" s="10">
        <v>43257.175833506946</v>
      </c>
      <c r="B789" s="11" t="s">
        <v>1946</v>
      </c>
      <c r="C789" s="11">
        <v>726</v>
      </c>
      <c r="D789" s="11" t="s">
        <v>1958</v>
      </c>
      <c r="E789" s="11">
        <v>8606824001</v>
      </c>
      <c r="F789" s="11" t="s">
        <v>40</v>
      </c>
      <c r="G789" s="11" t="s">
        <v>36</v>
      </c>
      <c r="H789" s="11">
        <v>20</v>
      </c>
      <c r="I789" s="12">
        <v>43187</v>
      </c>
      <c r="J789" s="2">
        <v>5</v>
      </c>
      <c r="K789" s="11">
        <v>1155228014706</v>
      </c>
      <c r="L789" s="11" t="s">
        <v>1749</v>
      </c>
      <c r="M789" s="11" t="s">
        <v>27</v>
      </c>
      <c r="N789" s="12">
        <v>43184</v>
      </c>
      <c r="O789" s="12">
        <v>43184</v>
      </c>
      <c r="P789" s="11">
        <v>5</v>
      </c>
      <c r="Q789" s="11" t="s">
        <v>1946</v>
      </c>
    </row>
    <row r="790" spans="1:17" ht="13" hidden="1" x14ac:dyDescent="0.15">
      <c r="A790" s="10">
        <v>43257.42726798611</v>
      </c>
      <c r="B790" s="11" t="s">
        <v>1018</v>
      </c>
      <c r="C790" s="11">
        <v>871</v>
      </c>
      <c r="D790" s="11" t="s">
        <v>1959</v>
      </c>
      <c r="E790" s="11">
        <v>9447014721</v>
      </c>
      <c r="F790" s="11" t="s">
        <v>61</v>
      </c>
      <c r="G790" s="11" t="s">
        <v>1076</v>
      </c>
      <c r="H790" s="11">
        <v>21</v>
      </c>
      <c r="I790" s="12">
        <v>43210</v>
      </c>
      <c r="J790" s="2">
        <v>2</v>
      </c>
      <c r="K790" s="11">
        <v>1146220006084</v>
      </c>
      <c r="L790" s="11" t="s">
        <v>1021</v>
      </c>
      <c r="M790" s="11" t="s">
        <v>27</v>
      </c>
      <c r="N790" s="12">
        <v>43189</v>
      </c>
      <c r="O790" s="12">
        <v>43189</v>
      </c>
      <c r="P790" s="11">
        <v>2</v>
      </c>
      <c r="Q790" s="11" t="s">
        <v>1018</v>
      </c>
    </row>
    <row r="791" spans="1:17" ht="13" x14ac:dyDescent="0.15">
      <c r="A791" s="10">
        <v>43257.505454085651</v>
      </c>
      <c r="B791" s="11" t="s">
        <v>371</v>
      </c>
      <c r="C791" s="11">
        <v>1132</v>
      </c>
      <c r="D791" s="11" t="s">
        <v>1960</v>
      </c>
      <c r="E791" s="11">
        <v>8547564126</v>
      </c>
      <c r="F791" s="11" t="s">
        <v>24</v>
      </c>
      <c r="G791" s="11" t="s">
        <v>215</v>
      </c>
      <c r="H791" s="11">
        <v>27</v>
      </c>
      <c r="I791" s="12">
        <v>43252</v>
      </c>
      <c r="J791" s="2">
        <v>3</v>
      </c>
      <c r="K791" s="11">
        <v>1145161007014</v>
      </c>
      <c r="L791" s="11" t="s">
        <v>1961</v>
      </c>
      <c r="M791" s="11" t="s">
        <v>27</v>
      </c>
      <c r="N791" s="12">
        <v>43252</v>
      </c>
      <c r="O791" s="12">
        <v>43252</v>
      </c>
      <c r="P791" s="11">
        <v>3</v>
      </c>
      <c r="Q791" s="11" t="s">
        <v>371</v>
      </c>
    </row>
    <row r="792" spans="1:17" ht="13" hidden="1" x14ac:dyDescent="0.15">
      <c r="A792" s="10">
        <v>43257.527403599539</v>
      </c>
      <c r="B792" s="11" t="s">
        <v>563</v>
      </c>
      <c r="C792" s="11">
        <v>1050</v>
      </c>
      <c r="D792" s="11" t="s">
        <v>1962</v>
      </c>
      <c r="E792" s="11">
        <v>9061327111</v>
      </c>
      <c r="F792" s="11" t="s">
        <v>287</v>
      </c>
      <c r="G792" s="11" t="s">
        <v>692</v>
      </c>
      <c r="H792" s="11">
        <v>18</v>
      </c>
      <c r="I792" s="12">
        <v>43257</v>
      </c>
      <c r="J792" s="2">
        <v>3</v>
      </c>
      <c r="K792" s="11">
        <v>1166805007263</v>
      </c>
      <c r="L792" s="11" t="s">
        <v>979</v>
      </c>
      <c r="M792" s="11" t="s">
        <v>27</v>
      </c>
      <c r="N792" s="12">
        <v>43213</v>
      </c>
      <c r="O792" s="12">
        <v>43213</v>
      </c>
      <c r="P792" s="11">
        <v>3</v>
      </c>
      <c r="Q792" s="11" t="s">
        <v>563</v>
      </c>
    </row>
    <row r="793" spans="1:17" ht="13" hidden="1" x14ac:dyDescent="0.15">
      <c r="A793" s="10">
        <v>43257.527565474535</v>
      </c>
      <c r="B793" s="11" t="s">
        <v>563</v>
      </c>
      <c r="C793" s="11">
        <v>1050</v>
      </c>
      <c r="D793" s="11" t="s">
        <v>1962</v>
      </c>
      <c r="E793" s="11">
        <v>9061327111</v>
      </c>
      <c r="F793" s="11" t="s">
        <v>287</v>
      </c>
      <c r="G793" s="11" t="s">
        <v>692</v>
      </c>
      <c r="H793" s="11">
        <v>18</v>
      </c>
      <c r="I793" s="12">
        <v>43257</v>
      </c>
      <c r="J793" s="2">
        <v>3</v>
      </c>
      <c r="K793" s="11">
        <v>1166805007263</v>
      </c>
      <c r="L793" s="11" t="s">
        <v>979</v>
      </c>
      <c r="M793" s="11" t="s">
        <v>27</v>
      </c>
      <c r="N793" s="12">
        <v>43213</v>
      </c>
      <c r="O793" s="12">
        <v>43213</v>
      </c>
      <c r="P793" s="11">
        <v>3</v>
      </c>
      <c r="Q793" s="11" t="s">
        <v>563</v>
      </c>
    </row>
    <row r="794" spans="1:17" ht="13" hidden="1" x14ac:dyDescent="0.15">
      <c r="A794" s="10">
        <v>43257.599703946762</v>
      </c>
      <c r="B794" s="11" t="s">
        <v>475</v>
      </c>
      <c r="C794" s="11">
        <v>335</v>
      </c>
      <c r="D794" s="11" t="s">
        <v>1964</v>
      </c>
      <c r="E794" s="11">
        <v>9072626009</v>
      </c>
      <c r="F794" s="11" t="s">
        <v>35</v>
      </c>
      <c r="G794" s="11" t="s">
        <v>1965</v>
      </c>
      <c r="H794" s="11">
        <v>11</v>
      </c>
      <c r="I794" s="12">
        <v>43257</v>
      </c>
      <c r="J794" s="2">
        <v>10</v>
      </c>
      <c r="K794" s="11">
        <v>1155846019859</v>
      </c>
      <c r="L794" s="11" t="s">
        <v>1966</v>
      </c>
      <c r="M794" s="11" t="s">
        <v>27</v>
      </c>
      <c r="N794" s="12">
        <v>43246</v>
      </c>
      <c r="O794" s="12">
        <v>43246</v>
      </c>
      <c r="P794" s="11">
        <v>10</v>
      </c>
      <c r="Q794" s="11" t="s">
        <v>475</v>
      </c>
    </row>
    <row r="795" spans="1:17" ht="13" hidden="1" x14ac:dyDescent="0.15">
      <c r="A795" s="10">
        <v>43257.606555810184</v>
      </c>
      <c r="B795" s="11" t="s">
        <v>1967</v>
      </c>
      <c r="C795" s="11">
        <v>1203</v>
      </c>
      <c r="D795" s="11" t="s">
        <v>1968</v>
      </c>
      <c r="E795" s="11">
        <v>9539470860</v>
      </c>
      <c r="F795" s="11" t="s">
        <v>35</v>
      </c>
      <c r="G795" s="11" t="s">
        <v>1719</v>
      </c>
      <c r="H795" s="11">
        <v>11</v>
      </c>
      <c r="I795" s="12">
        <v>43257</v>
      </c>
      <c r="J795" s="2">
        <v>3</v>
      </c>
      <c r="K795" s="11">
        <v>1156086000912</v>
      </c>
      <c r="L795" s="11" t="s">
        <v>1969</v>
      </c>
      <c r="M795" s="11" t="s">
        <v>27</v>
      </c>
      <c r="N795" s="12">
        <v>43257</v>
      </c>
      <c r="O795" s="12">
        <v>43257</v>
      </c>
      <c r="P795" s="11">
        <v>3</v>
      </c>
      <c r="Q795" s="11" t="s">
        <v>475</v>
      </c>
    </row>
    <row r="796" spans="1:17" ht="13" hidden="1" x14ac:dyDescent="0.15">
      <c r="A796" s="10">
        <v>43257.614625775459</v>
      </c>
      <c r="B796" s="11" t="s">
        <v>1132</v>
      </c>
      <c r="C796" s="11">
        <v>555</v>
      </c>
      <c r="D796" s="11" t="s">
        <v>1970</v>
      </c>
      <c r="E796" s="11">
        <v>9497714979</v>
      </c>
      <c r="F796" s="11" t="s">
        <v>266</v>
      </c>
      <c r="G796" s="11" t="s">
        <v>973</v>
      </c>
      <c r="H796" s="11">
        <v>20</v>
      </c>
      <c r="I796" s="12">
        <v>43238</v>
      </c>
      <c r="J796" s="2">
        <v>3</v>
      </c>
      <c r="K796" s="11">
        <v>10809</v>
      </c>
      <c r="L796" s="11">
        <v>7424</v>
      </c>
      <c r="M796" s="11" t="s">
        <v>27</v>
      </c>
      <c r="N796" s="12">
        <v>43162</v>
      </c>
      <c r="O796" s="12">
        <v>43162</v>
      </c>
      <c r="P796" s="11">
        <v>3</v>
      </c>
      <c r="Q796" s="11" t="s">
        <v>1132</v>
      </c>
    </row>
    <row r="797" spans="1:17" ht="13" hidden="1" x14ac:dyDescent="0.15">
      <c r="A797" s="10">
        <v>43257.631605011571</v>
      </c>
      <c r="B797" s="11" t="s">
        <v>1971</v>
      </c>
      <c r="C797" s="11">
        <v>489</v>
      </c>
      <c r="D797" s="11" t="s">
        <v>1972</v>
      </c>
      <c r="E797" s="11">
        <v>9497075305</v>
      </c>
      <c r="F797" s="11" t="s">
        <v>266</v>
      </c>
      <c r="G797" s="11" t="s">
        <v>36</v>
      </c>
      <c r="H797" s="11">
        <v>20</v>
      </c>
      <c r="I797" s="12">
        <v>43230</v>
      </c>
      <c r="J797" s="2">
        <v>3</v>
      </c>
      <c r="K797" s="11">
        <v>1167648006879</v>
      </c>
      <c r="L797" s="11">
        <v>6764</v>
      </c>
      <c r="M797" s="11" t="s">
        <v>27</v>
      </c>
      <c r="N797" s="12">
        <v>43181</v>
      </c>
      <c r="O797" s="12">
        <v>43181</v>
      </c>
      <c r="P797" s="11">
        <v>3</v>
      </c>
      <c r="Q797" s="11" t="s">
        <v>1971</v>
      </c>
    </row>
    <row r="798" spans="1:17" ht="13" x14ac:dyDescent="0.15">
      <c r="A798" s="10">
        <v>43257.634658773153</v>
      </c>
      <c r="B798" s="11" t="s">
        <v>371</v>
      </c>
      <c r="C798" s="11">
        <v>1131</v>
      </c>
      <c r="D798" s="11" t="s">
        <v>1973</v>
      </c>
      <c r="E798" s="11">
        <v>8547564126</v>
      </c>
      <c r="F798" s="11" t="s">
        <v>24</v>
      </c>
      <c r="G798" s="11" t="s">
        <v>215</v>
      </c>
      <c r="H798" s="11">
        <v>27</v>
      </c>
      <c r="I798" s="12">
        <v>43256</v>
      </c>
      <c r="J798" s="2">
        <v>3</v>
      </c>
      <c r="K798" s="11">
        <v>1145190027453</v>
      </c>
      <c r="L798" s="11" t="s">
        <v>1974</v>
      </c>
      <c r="M798" s="11" t="s">
        <v>27</v>
      </c>
      <c r="N798" s="12">
        <v>43256</v>
      </c>
      <c r="O798" s="12">
        <v>43256</v>
      </c>
      <c r="P798" s="11">
        <v>3</v>
      </c>
      <c r="Q798" s="11" t="s">
        <v>371</v>
      </c>
    </row>
    <row r="799" spans="1:17" ht="13" hidden="1" x14ac:dyDescent="0.15">
      <c r="A799" s="10">
        <v>43257.635267349542</v>
      </c>
      <c r="B799" s="11" t="s">
        <v>1975</v>
      </c>
      <c r="C799" s="11">
        <v>598</v>
      </c>
      <c r="D799" s="11" t="s">
        <v>1976</v>
      </c>
      <c r="E799" s="11">
        <v>8547211000</v>
      </c>
      <c r="F799" s="11" t="s">
        <v>35</v>
      </c>
      <c r="G799" s="11" t="s">
        <v>1977</v>
      </c>
      <c r="H799" s="11">
        <v>6</v>
      </c>
      <c r="I799" s="12">
        <v>43250</v>
      </c>
      <c r="J799" s="2">
        <v>5</v>
      </c>
      <c r="K799" s="11">
        <v>1155658024954</v>
      </c>
      <c r="L799" s="11" t="s">
        <v>1979</v>
      </c>
      <c r="M799" s="11" t="s">
        <v>27</v>
      </c>
      <c r="N799" s="12">
        <v>43246</v>
      </c>
      <c r="O799" s="12">
        <v>43246</v>
      </c>
      <c r="P799" s="11">
        <v>5</v>
      </c>
      <c r="Q799" s="11" t="s">
        <v>1975</v>
      </c>
    </row>
    <row r="800" spans="1:17" ht="13" hidden="1" x14ac:dyDescent="0.15">
      <c r="A800" s="10">
        <v>43257.63548675926</v>
      </c>
      <c r="B800" s="11" t="s">
        <v>1971</v>
      </c>
      <c r="C800" s="11">
        <v>1088</v>
      </c>
      <c r="D800" s="11" t="s">
        <v>1980</v>
      </c>
      <c r="E800" s="11">
        <v>9562003335</v>
      </c>
      <c r="F800" s="11" t="s">
        <v>266</v>
      </c>
      <c r="G800" s="11" t="s">
        <v>1981</v>
      </c>
      <c r="H800" s="11">
        <v>20</v>
      </c>
      <c r="I800" s="12">
        <v>43242</v>
      </c>
      <c r="J800" s="2">
        <v>5</v>
      </c>
      <c r="K800" s="11">
        <v>11655981017198</v>
      </c>
      <c r="L800" s="11">
        <v>6598</v>
      </c>
      <c r="M800" s="11" t="s">
        <v>27</v>
      </c>
      <c r="N800" s="12">
        <v>43218</v>
      </c>
      <c r="O800" s="12">
        <v>43208</v>
      </c>
      <c r="P800" s="11">
        <v>5</v>
      </c>
      <c r="Q800" s="11" t="s">
        <v>1971</v>
      </c>
    </row>
    <row r="801" spans="1:17" ht="13" hidden="1" x14ac:dyDescent="0.15">
      <c r="A801" s="10">
        <v>43257.640438912036</v>
      </c>
      <c r="B801" s="11" t="s">
        <v>1971</v>
      </c>
      <c r="C801" s="11">
        <v>911</v>
      </c>
      <c r="D801" s="11" t="s">
        <v>1982</v>
      </c>
      <c r="E801" s="11">
        <v>9947999241</v>
      </c>
      <c r="F801" s="11" t="s">
        <v>266</v>
      </c>
      <c r="G801" s="11" t="s">
        <v>36</v>
      </c>
      <c r="H801" s="11">
        <v>20</v>
      </c>
      <c r="I801" s="12">
        <v>43239</v>
      </c>
      <c r="J801" s="2">
        <v>3</v>
      </c>
      <c r="K801" s="11">
        <v>1166050010509</v>
      </c>
      <c r="L801" s="11">
        <v>6605</v>
      </c>
      <c r="M801" s="11" t="s">
        <v>27</v>
      </c>
      <c r="N801" s="12">
        <v>43201</v>
      </c>
      <c r="O801" s="12">
        <v>43201</v>
      </c>
      <c r="P801" s="11">
        <v>5</v>
      </c>
      <c r="Q801" s="11" t="s">
        <v>1971</v>
      </c>
    </row>
    <row r="802" spans="1:17" ht="13" hidden="1" x14ac:dyDescent="0.15">
      <c r="A802" s="10">
        <v>43257.647222141204</v>
      </c>
      <c r="B802" s="11" t="s">
        <v>1983</v>
      </c>
      <c r="C802" s="11">
        <v>977</v>
      </c>
      <c r="D802" s="11" t="s">
        <v>1984</v>
      </c>
      <c r="E802" s="11">
        <v>9388412252</v>
      </c>
      <c r="F802" s="11" t="s">
        <v>266</v>
      </c>
      <c r="G802" s="11" t="s">
        <v>1981</v>
      </c>
      <c r="H802" s="11">
        <v>20</v>
      </c>
      <c r="I802" s="12">
        <v>43144</v>
      </c>
      <c r="J802" s="2">
        <v>3</v>
      </c>
      <c r="K802" s="11">
        <v>1166223007924</v>
      </c>
      <c r="L802" s="11">
        <v>6622</v>
      </c>
      <c r="M802" s="11" t="s">
        <v>27</v>
      </c>
      <c r="N802" s="12">
        <v>43203</v>
      </c>
      <c r="O802" s="12">
        <v>43203</v>
      </c>
      <c r="P802" s="11">
        <v>3</v>
      </c>
      <c r="Q802" s="11" t="s">
        <v>1983</v>
      </c>
    </row>
    <row r="803" spans="1:17" ht="13" hidden="1" x14ac:dyDescent="0.15">
      <c r="A803" s="10">
        <v>43257.657473599538</v>
      </c>
      <c r="B803" s="11" t="s">
        <v>1985</v>
      </c>
      <c r="C803" s="11">
        <v>787</v>
      </c>
      <c r="D803" s="11" t="s">
        <v>1986</v>
      </c>
      <c r="E803" s="11">
        <v>9995587415</v>
      </c>
      <c r="F803" s="11" t="s">
        <v>266</v>
      </c>
      <c r="G803" s="11" t="s">
        <v>36</v>
      </c>
      <c r="H803" s="11">
        <v>20</v>
      </c>
      <c r="I803" s="12">
        <v>43207</v>
      </c>
      <c r="J803" s="2">
        <v>3</v>
      </c>
      <c r="K803" s="11">
        <v>1165988029720</v>
      </c>
      <c r="L803" s="11">
        <v>6598</v>
      </c>
      <c r="M803" s="11" t="s">
        <v>27</v>
      </c>
      <c r="N803" s="12">
        <v>43206</v>
      </c>
      <c r="O803" s="12">
        <v>43206</v>
      </c>
      <c r="P803" s="11">
        <v>3</v>
      </c>
      <c r="Q803" s="11" t="s">
        <v>1985</v>
      </c>
    </row>
    <row r="804" spans="1:17" ht="13" hidden="1" x14ac:dyDescent="0.15">
      <c r="A804" s="10">
        <v>43257.659050717593</v>
      </c>
      <c r="B804" s="11" t="s">
        <v>1987</v>
      </c>
      <c r="C804" s="11">
        <v>801</v>
      </c>
      <c r="D804" s="11" t="s">
        <v>1988</v>
      </c>
      <c r="E804" s="11">
        <v>8129157999</v>
      </c>
      <c r="F804" s="11" t="s">
        <v>35</v>
      </c>
      <c r="G804" s="11" t="s">
        <v>1457</v>
      </c>
      <c r="H804" s="11">
        <v>11</v>
      </c>
      <c r="I804" s="12">
        <v>43257</v>
      </c>
      <c r="J804" s="2">
        <v>3</v>
      </c>
      <c r="K804" s="11">
        <v>1155589018583</v>
      </c>
      <c r="L804" s="11" t="s">
        <v>1966</v>
      </c>
      <c r="M804" s="11" t="s">
        <v>27</v>
      </c>
      <c r="N804" s="12">
        <v>43257</v>
      </c>
      <c r="O804" s="12">
        <v>43257</v>
      </c>
      <c r="P804" s="11">
        <v>3</v>
      </c>
      <c r="Q804" s="11" t="s">
        <v>1987</v>
      </c>
    </row>
    <row r="805" spans="1:17" ht="13" hidden="1" x14ac:dyDescent="0.15">
      <c r="A805" s="10">
        <v>43257.674559282408</v>
      </c>
      <c r="B805" s="11" t="s">
        <v>1132</v>
      </c>
      <c r="C805" s="11">
        <v>1087</v>
      </c>
      <c r="D805" s="11" t="s">
        <v>1989</v>
      </c>
      <c r="E805" s="11">
        <v>9207268920</v>
      </c>
      <c r="F805" s="11" t="s">
        <v>266</v>
      </c>
      <c r="G805" s="11" t="s">
        <v>1981</v>
      </c>
      <c r="H805" s="11">
        <v>20</v>
      </c>
      <c r="I805" s="12">
        <v>43244</v>
      </c>
      <c r="J805" s="2">
        <v>3</v>
      </c>
      <c r="K805" s="11">
        <v>1165951030356</v>
      </c>
      <c r="L805" s="11">
        <v>6595</v>
      </c>
      <c r="M805" s="11" t="s">
        <v>27</v>
      </c>
      <c r="N805" s="12">
        <v>43180</v>
      </c>
      <c r="O805" s="12">
        <v>43180</v>
      </c>
      <c r="P805" s="11">
        <v>3</v>
      </c>
      <c r="Q805" s="11" t="s">
        <v>1132</v>
      </c>
    </row>
    <row r="806" spans="1:17" ht="13" hidden="1" x14ac:dyDescent="0.15">
      <c r="A806" s="10">
        <v>43257.680041990738</v>
      </c>
      <c r="B806" s="11" t="s">
        <v>1971</v>
      </c>
      <c r="C806" s="11">
        <v>981</v>
      </c>
      <c r="D806" s="11" t="s">
        <v>1990</v>
      </c>
      <c r="E806" s="11">
        <v>4952222810</v>
      </c>
      <c r="F806" s="11" t="s">
        <v>266</v>
      </c>
      <c r="G806" s="11" t="s">
        <v>1981</v>
      </c>
      <c r="H806" s="11">
        <v>20</v>
      </c>
      <c r="I806" s="12">
        <v>43214</v>
      </c>
      <c r="J806" s="2">
        <v>10</v>
      </c>
      <c r="K806" s="11">
        <v>1166102004810</v>
      </c>
      <c r="L806" s="11">
        <v>6610</v>
      </c>
      <c r="M806" s="11" t="s">
        <v>27</v>
      </c>
      <c r="N806" s="12">
        <v>43185</v>
      </c>
      <c r="O806" s="12">
        <v>43185</v>
      </c>
      <c r="P806" s="11">
        <v>10</v>
      </c>
      <c r="Q806" s="11" t="s">
        <v>1971</v>
      </c>
    </row>
    <row r="807" spans="1:17" ht="13" hidden="1" x14ac:dyDescent="0.15">
      <c r="A807" s="10">
        <v>43257.699573124999</v>
      </c>
      <c r="B807" s="11" t="s">
        <v>1992</v>
      </c>
      <c r="C807" s="11">
        <v>974</v>
      </c>
      <c r="D807" s="11" t="s">
        <v>1993</v>
      </c>
      <c r="E807" s="11">
        <v>9562003335</v>
      </c>
      <c r="F807" s="11" t="s">
        <v>266</v>
      </c>
      <c r="G807" s="11" t="s">
        <v>36</v>
      </c>
      <c r="H807" s="11">
        <v>20</v>
      </c>
      <c r="I807" s="12">
        <v>43237</v>
      </c>
      <c r="J807" s="2">
        <v>30</v>
      </c>
      <c r="K807" s="11">
        <v>1166011009785</v>
      </c>
      <c r="L807" s="11">
        <v>6601</v>
      </c>
      <c r="M807" s="11" t="s">
        <v>27</v>
      </c>
      <c r="N807" s="12">
        <v>43210</v>
      </c>
      <c r="O807" s="12">
        <v>43210</v>
      </c>
      <c r="P807" s="11">
        <v>30</v>
      </c>
      <c r="Q807" s="11" t="s">
        <v>1992</v>
      </c>
    </row>
    <row r="808" spans="1:17" ht="13" hidden="1" x14ac:dyDescent="0.15">
      <c r="A808" s="10">
        <v>43257.70721</v>
      </c>
      <c r="B808" s="11" t="s">
        <v>1994</v>
      </c>
      <c r="C808" s="11">
        <v>418</v>
      </c>
      <c r="D808" s="11" t="s">
        <v>1995</v>
      </c>
      <c r="E808" s="11">
        <v>9497714979</v>
      </c>
      <c r="F808" s="11" t="s">
        <v>266</v>
      </c>
      <c r="G808" s="11" t="s">
        <v>36</v>
      </c>
      <c r="H808" s="11">
        <v>20</v>
      </c>
      <c r="I808" s="12">
        <v>43175</v>
      </c>
      <c r="J808" s="2">
        <v>3</v>
      </c>
      <c r="K808" s="11">
        <v>1166051020188</v>
      </c>
      <c r="L808" s="11">
        <v>6605</v>
      </c>
      <c r="M808" s="11" t="s">
        <v>27</v>
      </c>
      <c r="N808" s="12">
        <v>43161</v>
      </c>
      <c r="O808" s="12">
        <v>43161</v>
      </c>
      <c r="P808" s="11">
        <v>3</v>
      </c>
      <c r="Q808" s="11" t="s">
        <v>1132</v>
      </c>
    </row>
    <row r="809" spans="1:17" ht="13" hidden="1" x14ac:dyDescent="0.15">
      <c r="A809" s="10">
        <v>43257.735001238427</v>
      </c>
      <c r="B809" s="11" t="s">
        <v>1996</v>
      </c>
      <c r="C809" s="11">
        <v>976</v>
      </c>
      <c r="D809" s="11" t="s">
        <v>1997</v>
      </c>
      <c r="E809" s="11">
        <v>9388223144</v>
      </c>
      <c r="F809" s="11" t="s">
        <v>266</v>
      </c>
      <c r="G809" s="11" t="s">
        <v>36</v>
      </c>
      <c r="H809" s="11">
        <v>20</v>
      </c>
      <c r="I809" s="12">
        <v>43230</v>
      </c>
      <c r="J809" s="2">
        <v>3</v>
      </c>
      <c r="K809" s="11">
        <v>1165975017947</v>
      </c>
      <c r="L809" s="11">
        <v>6597</v>
      </c>
      <c r="M809" s="11" t="s">
        <v>27</v>
      </c>
      <c r="N809" s="12">
        <v>43159</v>
      </c>
      <c r="O809" s="12">
        <v>43159</v>
      </c>
      <c r="P809" s="11">
        <v>3</v>
      </c>
      <c r="Q809" s="11" t="s">
        <v>1996</v>
      </c>
    </row>
    <row r="810" spans="1:17" ht="13" hidden="1" x14ac:dyDescent="0.15">
      <c r="A810" s="10">
        <v>43257.740268530091</v>
      </c>
      <c r="B810" s="11" t="s">
        <v>1998</v>
      </c>
      <c r="C810" s="11">
        <v>645</v>
      </c>
      <c r="D810" s="11" t="s">
        <v>1999</v>
      </c>
      <c r="E810" s="11">
        <v>9400540185</v>
      </c>
      <c r="F810" s="11" t="s">
        <v>266</v>
      </c>
      <c r="G810" s="11" t="s">
        <v>36</v>
      </c>
      <c r="H810" s="11">
        <v>20</v>
      </c>
      <c r="I810" s="12">
        <v>43210</v>
      </c>
      <c r="J810" s="2">
        <v>3</v>
      </c>
      <c r="K810" s="11">
        <v>1165970010657</v>
      </c>
      <c r="L810" s="11">
        <v>6597</v>
      </c>
      <c r="M810" s="11" t="s">
        <v>27</v>
      </c>
      <c r="N810" s="12">
        <v>43180</v>
      </c>
      <c r="O810" s="12">
        <v>43180</v>
      </c>
      <c r="P810" s="11">
        <v>3</v>
      </c>
      <c r="Q810" s="11" t="s">
        <v>1998</v>
      </c>
    </row>
    <row r="811" spans="1:17" ht="13" hidden="1" x14ac:dyDescent="0.15">
      <c r="A811" s="10">
        <v>43257.810958796297</v>
      </c>
      <c r="B811" s="11" t="s">
        <v>1946</v>
      </c>
      <c r="C811" s="11">
        <v>731</v>
      </c>
      <c r="D811" s="11" t="s">
        <v>2000</v>
      </c>
      <c r="E811" s="11">
        <v>9446504127</v>
      </c>
      <c r="F811" s="11" t="s">
        <v>40</v>
      </c>
      <c r="G811" s="11" t="s">
        <v>36</v>
      </c>
      <c r="H811" s="11">
        <v>20</v>
      </c>
      <c r="I811" s="12">
        <v>43225</v>
      </c>
      <c r="J811" s="2">
        <v>5</v>
      </c>
      <c r="K811" s="11">
        <v>1155018025264</v>
      </c>
      <c r="L811" s="11" t="s">
        <v>2001</v>
      </c>
      <c r="M811" s="11" t="s">
        <v>27</v>
      </c>
      <c r="N811" s="12">
        <v>43218</v>
      </c>
      <c r="O811" s="12">
        <v>43218</v>
      </c>
      <c r="P811" s="11">
        <v>5</v>
      </c>
      <c r="Q811" s="11" t="s">
        <v>1946</v>
      </c>
    </row>
    <row r="812" spans="1:17" ht="13" hidden="1" x14ac:dyDescent="0.15">
      <c r="A812" s="10">
        <v>43257.822072060182</v>
      </c>
      <c r="B812" s="11" t="s">
        <v>1946</v>
      </c>
      <c r="C812" s="11">
        <v>220</v>
      </c>
      <c r="D812" s="11" t="s">
        <v>2002</v>
      </c>
      <c r="E812" s="11">
        <v>9495831376</v>
      </c>
      <c r="F812" s="11" t="s">
        <v>40</v>
      </c>
      <c r="G812" s="11" t="s">
        <v>36</v>
      </c>
      <c r="H812" s="11">
        <v>20</v>
      </c>
      <c r="I812" s="12">
        <v>43193</v>
      </c>
      <c r="J812" s="2">
        <v>5</v>
      </c>
      <c r="K812" s="11">
        <v>1157410009738</v>
      </c>
      <c r="L812" s="11" t="s">
        <v>2003</v>
      </c>
      <c r="M812" s="11" t="s">
        <v>27</v>
      </c>
      <c r="N812" s="12">
        <v>43187</v>
      </c>
      <c r="O812" s="12">
        <v>43187</v>
      </c>
      <c r="P812" s="11">
        <v>5</v>
      </c>
      <c r="Q812" s="11" t="s">
        <v>1946</v>
      </c>
    </row>
    <row r="813" spans="1:17" ht="13" hidden="1" x14ac:dyDescent="0.15">
      <c r="A813" s="10">
        <v>43257.836631354163</v>
      </c>
      <c r="B813" s="11" t="s">
        <v>1946</v>
      </c>
      <c r="C813" s="11">
        <v>261</v>
      </c>
      <c r="D813" s="11" t="s">
        <v>262</v>
      </c>
      <c r="E813" s="11">
        <v>9495268973</v>
      </c>
      <c r="F813" s="11" t="s">
        <v>40</v>
      </c>
      <c r="G813" s="11" t="s">
        <v>36</v>
      </c>
      <c r="H813" s="11">
        <v>20</v>
      </c>
      <c r="I813" s="12">
        <v>43225</v>
      </c>
      <c r="J813" s="2">
        <v>3</v>
      </c>
      <c r="K813" s="11">
        <v>1155164022491</v>
      </c>
      <c r="L813" s="11" t="s">
        <v>2004</v>
      </c>
      <c r="M813" s="11" t="s">
        <v>27</v>
      </c>
      <c r="N813" s="12">
        <v>43210</v>
      </c>
      <c r="O813" s="12">
        <v>43210</v>
      </c>
      <c r="P813" s="11">
        <v>3</v>
      </c>
      <c r="Q813" s="11" t="s">
        <v>1946</v>
      </c>
    </row>
    <row r="814" spans="1:17" ht="13" hidden="1" x14ac:dyDescent="0.15">
      <c r="A814" s="10">
        <v>43257.84404773148</v>
      </c>
      <c r="B814" s="11" t="s">
        <v>1946</v>
      </c>
      <c r="C814" s="11">
        <v>863</v>
      </c>
      <c r="D814" s="11" t="s">
        <v>2005</v>
      </c>
      <c r="E814" s="11">
        <v>9961076638</v>
      </c>
      <c r="F814" s="11" t="s">
        <v>40</v>
      </c>
      <c r="G814" s="11" t="s">
        <v>36</v>
      </c>
      <c r="H814" s="11">
        <v>20</v>
      </c>
      <c r="I814" s="12">
        <v>43240</v>
      </c>
      <c r="J814" s="2">
        <v>3</v>
      </c>
      <c r="K814" s="11">
        <v>1155332014848</v>
      </c>
      <c r="L814" s="11" t="s">
        <v>2006</v>
      </c>
      <c r="M814" s="11" t="s">
        <v>27</v>
      </c>
      <c r="N814" s="12">
        <v>43236</v>
      </c>
      <c r="O814" s="12">
        <v>43236</v>
      </c>
      <c r="P814" s="11">
        <v>3</v>
      </c>
      <c r="Q814" s="11" t="s">
        <v>1946</v>
      </c>
    </row>
    <row r="815" spans="1:17" ht="13" hidden="1" x14ac:dyDescent="0.15">
      <c r="A815" s="10">
        <v>43257.847240590279</v>
      </c>
      <c r="B815" s="11" t="s">
        <v>1946</v>
      </c>
      <c r="C815" s="11">
        <v>813</v>
      </c>
      <c r="D815" s="11" t="s">
        <v>2007</v>
      </c>
      <c r="E815" s="11">
        <v>9447045352</v>
      </c>
      <c r="F815" s="11" t="s">
        <v>40</v>
      </c>
      <c r="G815" s="11" t="s">
        <v>36</v>
      </c>
      <c r="H815" s="11">
        <v>20</v>
      </c>
      <c r="I815" s="12">
        <v>43240</v>
      </c>
      <c r="J815" s="2">
        <v>5</v>
      </c>
      <c r="K815" s="11">
        <v>1155330005679</v>
      </c>
      <c r="L815" s="11" t="s">
        <v>2006</v>
      </c>
      <c r="M815" s="11" t="s">
        <v>27</v>
      </c>
      <c r="N815" s="12">
        <v>43236</v>
      </c>
      <c r="O815" s="12">
        <v>43236</v>
      </c>
      <c r="P815" s="11">
        <v>5</v>
      </c>
      <c r="Q815" s="11" t="s">
        <v>1946</v>
      </c>
    </row>
    <row r="816" spans="1:17" ht="13" hidden="1" x14ac:dyDescent="0.15">
      <c r="A816" s="10">
        <v>43257.894743854165</v>
      </c>
      <c r="B816" s="11" t="s">
        <v>2008</v>
      </c>
      <c r="C816" s="11">
        <v>1014</v>
      </c>
      <c r="D816" s="11" t="s">
        <v>2009</v>
      </c>
      <c r="E816" s="11">
        <v>9746338323</v>
      </c>
      <c r="F816" s="11" t="s">
        <v>35</v>
      </c>
      <c r="G816" s="11" t="s">
        <v>170</v>
      </c>
      <c r="H816" s="11">
        <v>26</v>
      </c>
      <c r="I816" s="12">
        <v>43253</v>
      </c>
      <c r="J816" s="2">
        <v>2</v>
      </c>
      <c r="K816" s="11">
        <v>1157359006277</v>
      </c>
      <c r="L816" s="11" t="s">
        <v>2011</v>
      </c>
      <c r="M816" s="11" t="s">
        <v>27</v>
      </c>
      <c r="N816" s="12">
        <v>43241</v>
      </c>
      <c r="O816" s="12">
        <v>43241</v>
      </c>
      <c r="P816" s="11">
        <v>2</v>
      </c>
      <c r="Q816" s="11" t="s">
        <v>436</v>
      </c>
    </row>
    <row r="817" spans="1:17" ht="13" hidden="1" x14ac:dyDescent="0.15">
      <c r="A817" s="10">
        <v>43257.897889907406</v>
      </c>
      <c r="B817" s="11" t="s">
        <v>436</v>
      </c>
      <c r="C817" s="11">
        <v>1098</v>
      </c>
      <c r="D817" s="11" t="s">
        <v>2012</v>
      </c>
      <c r="E817" s="11">
        <v>9447769225</v>
      </c>
      <c r="F817" s="11" t="s">
        <v>35</v>
      </c>
      <c r="G817" s="11" t="s">
        <v>170</v>
      </c>
      <c r="H817" s="11">
        <v>26</v>
      </c>
      <c r="I817" s="12">
        <v>43257</v>
      </c>
      <c r="J817" s="2">
        <v>3</v>
      </c>
      <c r="K817" s="11">
        <v>1155465010235</v>
      </c>
      <c r="L817" s="11" t="s">
        <v>2013</v>
      </c>
      <c r="M817" s="11" t="s">
        <v>27</v>
      </c>
      <c r="N817" s="12">
        <v>43257</v>
      </c>
      <c r="O817" s="12">
        <v>43257</v>
      </c>
      <c r="P817" s="11">
        <v>3</v>
      </c>
      <c r="Q817" s="11" t="s">
        <v>436</v>
      </c>
    </row>
    <row r="818" spans="1:17" ht="13" hidden="1" x14ac:dyDescent="0.15">
      <c r="A818" s="10">
        <v>43258.413143958329</v>
      </c>
      <c r="B818" s="11" t="s">
        <v>65</v>
      </c>
      <c r="C818" s="11">
        <v>1199</v>
      </c>
      <c r="D818" s="11" t="s">
        <v>2014</v>
      </c>
      <c r="E818" s="11">
        <v>994690109</v>
      </c>
      <c r="F818" s="11" t="s">
        <v>61</v>
      </c>
      <c r="G818" s="11" t="s">
        <v>62</v>
      </c>
      <c r="H818" s="11">
        <v>42</v>
      </c>
      <c r="I818" s="12">
        <v>43258</v>
      </c>
      <c r="J818" s="2">
        <v>3</v>
      </c>
      <c r="K818" s="11">
        <v>1146198006495</v>
      </c>
      <c r="L818" s="11" t="s">
        <v>1600</v>
      </c>
      <c r="M818" s="11" t="s">
        <v>27</v>
      </c>
      <c r="N818" s="12">
        <v>43257</v>
      </c>
      <c r="O818" s="12">
        <v>43257</v>
      </c>
      <c r="P818" s="11">
        <v>3</v>
      </c>
      <c r="Q818" s="11" t="s">
        <v>65</v>
      </c>
    </row>
    <row r="819" spans="1:17" ht="13" hidden="1" x14ac:dyDescent="0.15">
      <c r="A819" s="10">
        <v>43258.414851956019</v>
      </c>
      <c r="B819" s="11" t="s">
        <v>2015</v>
      </c>
      <c r="C819" s="11">
        <v>458</v>
      </c>
      <c r="D819" s="11" t="s">
        <v>2016</v>
      </c>
      <c r="E819" s="11">
        <v>4772702739</v>
      </c>
      <c r="F819" s="11" t="s">
        <v>40</v>
      </c>
      <c r="G819" s="11" t="s">
        <v>36</v>
      </c>
      <c r="H819" s="11">
        <v>20</v>
      </c>
      <c r="I819" s="12">
        <v>43218</v>
      </c>
      <c r="J819" s="2">
        <v>3</v>
      </c>
      <c r="K819" s="11">
        <v>1155095007470</v>
      </c>
      <c r="L819" s="11" t="s">
        <v>2017</v>
      </c>
      <c r="M819" s="11" t="s">
        <v>27</v>
      </c>
      <c r="N819" s="12">
        <v>43211</v>
      </c>
      <c r="O819" s="12">
        <v>43211</v>
      </c>
      <c r="P819" s="11">
        <v>3</v>
      </c>
      <c r="Q819" s="11" t="s">
        <v>1946</v>
      </c>
    </row>
    <row r="820" spans="1:17" ht="13" hidden="1" x14ac:dyDescent="0.15">
      <c r="A820" s="10">
        <v>43258.417660949075</v>
      </c>
      <c r="B820" s="11" t="s">
        <v>2015</v>
      </c>
      <c r="C820" s="11">
        <v>1023</v>
      </c>
      <c r="D820" s="11" t="s">
        <v>2018</v>
      </c>
      <c r="E820" s="11">
        <v>9495944611</v>
      </c>
      <c r="F820" s="11" t="s">
        <v>40</v>
      </c>
      <c r="G820" s="11" t="s">
        <v>36</v>
      </c>
      <c r="H820" s="11">
        <v>20</v>
      </c>
      <c r="I820" s="12">
        <v>43224</v>
      </c>
      <c r="J820" s="2">
        <v>5</v>
      </c>
      <c r="K820" s="11">
        <v>1155030000148</v>
      </c>
      <c r="L820" s="11">
        <v>5503</v>
      </c>
      <c r="M820" s="11" t="s">
        <v>27</v>
      </c>
      <c r="N820" s="12">
        <v>43218</v>
      </c>
      <c r="O820" s="12">
        <v>43218</v>
      </c>
      <c r="P820" s="11">
        <v>5</v>
      </c>
      <c r="Q820" s="11" t="s">
        <v>1946</v>
      </c>
    </row>
    <row r="821" spans="1:17" ht="13" hidden="1" x14ac:dyDescent="0.15">
      <c r="A821" s="10">
        <v>43258.428497141205</v>
      </c>
      <c r="B821" s="11" t="s">
        <v>1946</v>
      </c>
      <c r="C821" s="11">
        <v>729</v>
      </c>
      <c r="D821" s="11" t="s">
        <v>2019</v>
      </c>
      <c r="E821" s="11">
        <v>8606002620</v>
      </c>
      <c r="F821" s="11" t="s">
        <v>40</v>
      </c>
      <c r="G821" s="11" t="s">
        <v>36</v>
      </c>
      <c r="H821" s="11">
        <v>20</v>
      </c>
      <c r="I821" s="12">
        <v>43220</v>
      </c>
      <c r="J821" s="2">
        <v>3</v>
      </c>
      <c r="K821" s="11">
        <v>1155096017403</v>
      </c>
      <c r="L821" s="11" t="s">
        <v>2017</v>
      </c>
      <c r="M821" s="11" t="s">
        <v>27</v>
      </c>
      <c r="N821" s="12">
        <v>43210</v>
      </c>
      <c r="O821" s="12">
        <v>43210</v>
      </c>
      <c r="P821" s="11">
        <v>3</v>
      </c>
      <c r="Q821" s="11" t="s">
        <v>2020</v>
      </c>
    </row>
    <row r="822" spans="1:17" ht="13" hidden="1" x14ac:dyDescent="0.15">
      <c r="A822" s="10">
        <v>43258.463384409726</v>
      </c>
      <c r="B822" s="11" t="s">
        <v>2015</v>
      </c>
      <c r="C822" s="11">
        <v>1214</v>
      </c>
      <c r="D822" s="11" t="s">
        <v>2021</v>
      </c>
      <c r="E822" s="11">
        <v>9605420994</v>
      </c>
      <c r="F822" s="11" t="s">
        <v>40</v>
      </c>
      <c r="G822" s="11" t="s">
        <v>36</v>
      </c>
      <c r="H822" s="11">
        <v>20</v>
      </c>
      <c r="I822" s="12">
        <v>43225</v>
      </c>
      <c r="J822" s="2">
        <v>3</v>
      </c>
      <c r="K822" s="11">
        <v>1155335002091</v>
      </c>
      <c r="L822" s="11" t="s">
        <v>2022</v>
      </c>
      <c r="M822" s="11" t="s">
        <v>27</v>
      </c>
      <c r="N822" s="12">
        <v>43223</v>
      </c>
      <c r="O822" s="12">
        <v>43223</v>
      </c>
      <c r="P822" s="11">
        <v>3</v>
      </c>
      <c r="Q822" s="11" t="s">
        <v>1946</v>
      </c>
    </row>
    <row r="823" spans="1:17" ht="13" hidden="1" x14ac:dyDescent="0.15">
      <c r="A823" s="10">
        <v>43258.467324976853</v>
      </c>
      <c r="B823" s="11" t="s">
        <v>2023</v>
      </c>
      <c r="C823" s="11">
        <v>119</v>
      </c>
      <c r="D823" s="11" t="s">
        <v>2024</v>
      </c>
      <c r="E823" s="11">
        <v>9447934220</v>
      </c>
      <c r="F823" s="11" t="s">
        <v>182</v>
      </c>
      <c r="G823" s="11" t="s">
        <v>1088</v>
      </c>
      <c r="H823" s="11">
        <v>41</v>
      </c>
      <c r="I823" s="12">
        <v>43258</v>
      </c>
      <c r="J823" s="2">
        <v>2</v>
      </c>
      <c r="K823" s="11">
        <v>1167557004078</v>
      </c>
      <c r="L823" s="11" t="s">
        <v>2025</v>
      </c>
      <c r="M823" s="11" t="s">
        <v>27</v>
      </c>
      <c r="N823" s="12">
        <v>43257</v>
      </c>
      <c r="O823" s="12">
        <v>43257</v>
      </c>
      <c r="P823" s="11">
        <v>2</v>
      </c>
      <c r="Q823" s="11" t="s">
        <v>2023</v>
      </c>
    </row>
    <row r="824" spans="1:17" ht="13" hidden="1" x14ac:dyDescent="0.15">
      <c r="A824" s="10">
        <v>43258.938998900463</v>
      </c>
      <c r="B824" s="11" t="s">
        <v>2027</v>
      </c>
      <c r="C824" s="11">
        <v>1226</v>
      </c>
      <c r="D824" s="11" t="s">
        <v>2028</v>
      </c>
      <c r="E824" s="11">
        <v>9895792039</v>
      </c>
      <c r="F824" s="11" t="s">
        <v>35</v>
      </c>
      <c r="G824" s="11" t="s">
        <v>280</v>
      </c>
      <c r="H824" s="11">
        <v>66</v>
      </c>
      <c r="I824" s="12">
        <v>43258</v>
      </c>
      <c r="J824" s="2">
        <v>5</v>
      </c>
      <c r="K824" s="11">
        <v>1155493000002</v>
      </c>
      <c r="L824" s="11" t="s">
        <v>550</v>
      </c>
      <c r="M824" s="11" t="s">
        <v>27</v>
      </c>
      <c r="N824" s="12">
        <v>43251</v>
      </c>
      <c r="O824" s="12">
        <v>43251</v>
      </c>
      <c r="P824" s="11">
        <v>5</v>
      </c>
      <c r="Q824" s="11" t="s">
        <v>2027</v>
      </c>
    </row>
    <row r="825" spans="1:17" ht="13" hidden="1" x14ac:dyDescent="0.15">
      <c r="A825" s="10">
        <v>43258.941926678242</v>
      </c>
      <c r="B825" s="11" t="s">
        <v>2029</v>
      </c>
      <c r="C825" s="11">
        <v>1228</v>
      </c>
      <c r="D825" s="11" t="s">
        <v>2030</v>
      </c>
      <c r="E825" s="11">
        <v>9497888257</v>
      </c>
      <c r="F825" s="11" t="s">
        <v>35</v>
      </c>
      <c r="G825" s="11" t="s">
        <v>280</v>
      </c>
      <c r="H825" s="11">
        <v>66</v>
      </c>
      <c r="I825" s="12">
        <v>43258</v>
      </c>
      <c r="J825" s="2">
        <v>3</v>
      </c>
      <c r="K825" s="11">
        <v>1155570029850</v>
      </c>
      <c r="L825" s="11" t="s">
        <v>2031</v>
      </c>
      <c r="M825" s="11" t="s">
        <v>27</v>
      </c>
      <c r="N825" s="12">
        <v>43258</v>
      </c>
      <c r="O825" s="12">
        <v>43258</v>
      </c>
      <c r="P825" s="11">
        <v>3</v>
      </c>
      <c r="Q825" s="11" t="s">
        <v>2029</v>
      </c>
    </row>
    <row r="826" spans="1:17" ht="13" x14ac:dyDescent="0.15">
      <c r="A826" s="10">
        <v>43259.443748067133</v>
      </c>
      <c r="B826" s="11" t="s">
        <v>382</v>
      </c>
      <c r="C826" s="11">
        <v>806</v>
      </c>
      <c r="D826" s="11" t="s">
        <v>2032</v>
      </c>
      <c r="E826" s="11">
        <v>9387707733</v>
      </c>
      <c r="F826" s="11" t="s">
        <v>24</v>
      </c>
      <c r="G826" s="11" t="s">
        <v>2033</v>
      </c>
      <c r="H826" s="11">
        <v>4</v>
      </c>
      <c r="I826" s="12">
        <v>43245</v>
      </c>
      <c r="J826" s="2">
        <v>2</v>
      </c>
      <c r="K826" s="11">
        <v>1145140010821</v>
      </c>
      <c r="L826" s="11" t="s">
        <v>696</v>
      </c>
      <c r="M826" s="11" t="s">
        <v>27</v>
      </c>
      <c r="N826" s="12">
        <v>43242</v>
      </c>
      <c r="O826" s="12">
        <v>43242</v>
      </c>
      <c r="P826" s="11">
        <v>2</v>
      </c>
      <c r="Q826" s="11" t="s">
        <v>382</v>
      </c>
    </row>
    <row r="827" spans="1:17" ht="13" hidden="1" x14ac:dyDescent="0.15">
      <c r="A827" s="10">
        <v>43259.448555543982</v>
      </c>
      <c r="B827" s="11" t="s">
        <v>303</v>
      </c>
      <c r="C827" s="11">
        <v>1182</v>
      </c>
      <c r="D827" s="11" t="s">
        <v>2034</v>
      </c>
      <c r="E827" s="11">
        <v>9497108550</v>
      </c>
      <c r="F827" s="11" t="s">
        <v>40</v>
      </c>
      <c r="G827" s="11" t="s">
        <v>280</v>
      </c>
      <c r="H827" s="11">
        <v>66</v>
      </c>
      <c r="I827" s="12">
        <v>43257</v>
      </c>
      <c r="J827" s="2">
        <v>5</v>
      </c>
      <c r="K827" s="11">
        <v>1157410004773</v>
      </c>
      <c r="L827" s="11" t="s">
        <v>2035</v>
      </c>
      <c r="M827" s="11" t="s">
        <v>27</v>
      </c>
      <c r="N827" s="12">
        <v>43256</v>
      </c>
      <c r="O827" s="12">
        <v>43256</v>
      </c>
      <c r="P827" s="11">
        <v>5</v>
      </c>
      <c r="Q827" s="11" t="s">
        <v>303</v>
      </c>
    </row>
    <row r="828" spans="1:17" ht="13" hidden="1" x14ac:dyDescent="0.15">
      <c r="A828" s="10">
        <v>43259.47914236111</v>
      </c>
      <c r="B828" s="11" t="s">
        <v>303</v>
      </c>
      <c r="C828" s="11">
        <v>839</v>
      </c>
      <c r="D828" s="11" t="s">
        <v>2036</v>
      </c>
      <c r="E828" s="11">
        <v>9447130382</v>
      </c>
      <c r="F828" s="11" t="s">
        <v>56</v>
      </c>
      <c r="G828" s="11" t="s">
        <v>280</v>
      </c>
      <c r="H828" s="11">
        <v>66</v>
      </c>
      <c r="I828" s="12">
        <v>43258</v>
      </c>
      <c r="J828" s="2">
        <v>3</v>
      </c>
      <c r="K828" s="11">
        <v>1156301022856</v>
      </c>
      <c r="L828" s="11" t="s">
        <v>2037</v>
      </c>
      <c r="M828" s="11" t="s">
        <v>27</v>
      </c>
      <c r="N828" s="12">
        <v>43256</v>
      </c>
      <c r="O828" s="12">
        <v>43256</v>
      </c>
      <c r="P828" s="11">
        <v>3</v>
      </c>
      <c r="Q828" s="11" t="s">
        <v>303</v>
      </c>
    </row>
    <row r="829" spans="1:17" ht="13" x14ac:dyDescent="0.15">
      <c r="A829" s="10">
        <v>43259.493628425931</v>
      </c>
      <c r="B829" s="11" t="s">
        <v>2038</v>
      </c>
      <c r="C829" s="11">
        <v>1082</v>
      </c>
      <c r="D829" s="11" t="s">
        <v>2039</v>
      </c>
      <c r="E829" s="11">
        <v>9496393992</v>
      </c>
      <c r="F829" s="11" t="s">
        <v>24</v>
      </c>
      <c r="G829" s="11" t="s">
        <v>1226</v>
      </c>
      <c r="H829" s="11">
        <v>20</v>
      </c>
      <c r="I829" s="12">
        <v>43226</v>
      </c>
      <c r="J829" s="2">
        <v>5</v>
      </c>
      <c r="K829" s="11">
        <v>1145125029407</v>
      </c>
      <c r="L829" s="11" t="s">
        <v>790</v>
      </c>
      <c r="M829" s="11" t="s">
        <v>27</v>
      </c>
      <c r="N829" s="12">
        <v>43224</v>
      </c>
      <c r="O829" s="12">
        <v>43224</v>
      </c>
      <c r="P829" s="11">
        <v>5</v>
      </c>
      <c r="Q829" s="11" t="s">
        <v>2038</v>
      </c>
    </row>
    <row r="830" spans="1:17" ht="13" x14ac:dyDescent="0.15">
      <c r="A830" s="10">
        <v>43259.496163402779</v>
      </c>
      <c r="B830" s="11" t="s">
        <v>2040</v>
      </c>
      <c r="C830" s="11">
        <v>949</v>
      </c>
      <c r="D830" s="11" t="s">
        <v>2041</v>
      </c>
      <c r="E830" s="11">
        <v>9447402774</v>
      </c>
      <c r="F830" s="11" t="s">
        <v>24</v>
      </c>
      <c r="G830" s="11" t="s">
        <v>2042</v>
      </c>
      <c r="H830" s="11">
        <v>20</v>
      </c>
      <c r="I830" s="12">
        <v>43228</v>
      </c>
      <c r="J830" s="2">
        <v>3</v>
      </c>
      <c r="K830" s="11">
        <v>1145505012774</v>
      </c>
      <c r="L830" s="11" t="s">
        <v>525</v>
      </c>
      <c r="M830" s="11" t="s">
        <v>27</v>
      </c>
      <c r="N830" s="12">
        <v>43213</v>
      </c>
      <c r="O830" s="12">
        <v>43213</v>
      </c>
      <c r="P830" s="11">
        <v>3</v>
      </c>
      <c r="Q830" s="11" t="s">
        <v>625</v>
      </c>
    </row>
    <row r="831" spans="1:17" ht="13" x14ac:dyDescent="0.15">
      <c r="A831" s="10">
        <v>43259.498990381944</v>
      </c>
      <c r="B831" s="11" t="s">
        <v>2043</v>
      </c>
      <c r="C831" s="11">
        <v>1177</v>
      </c>
      <c r="D831" s="11" t="s">
        <v>2044</v>
      </c>
      <c r="E831" s="11">
        <v>8547865146</v>
      </c>
      <c r="F831" s="11" t="s">
        <v>24</v>
      </c>
      <c r="G831" s="11" t="s">
        <v>1226</v>
      </c>
      <c r="H831" s="11">
        <v>20</v>
      </c>
      <c r="I831" s="12">
        <v>43238</v>
      </c>
      <c r="J831" s="2">
        <v>3</v>
      </c>
      <c r="K831" s="11">
        <v>1145061011380</v>
      </c>
      <c r="L831" s="11" t="s">
        <v>347</v>
      </c>
      <c r="M831" s="11" t="s">
        <v>27</v>
      </c>
      <c r="N831" s="12">
        <v>43236</v>
      </c>
      <c r="O831" s="12">
        <v>43236</v>
      </c>
      <c r="P831" s="11">
        <v>3</v>
      </c>
      <c r="Q831" s="11" t="s">
        <v>2043</v>
      </c>
    </row>
    <row r="832" spans="1:17" ht="13" x14ac:dyDescent="0.15">
      <c r="A832" s="10">
        <v>43259.501303888886</v>
      </c>
      <c r="B832" s="11" t="s">
        <v>625</v>
      </c>
      <c r="C832" s="11">
        <v>1084</v>
      </c>
      <c r="D832" s="11" t="s">
        <v>2046</v>
      </c>
      <c r="E832" s="11">
        <v>9947751145</v>
      </c>
      <c r="F832" s="11" t="s">
        <v>24</v>
      </c>
      <c r="G832" s="11" t="s">
        <v>1226</v>
      </c>
      <c r="H832" s="11">
        <v>20</v>
      </c>
      <c r="I832" s="12">
        <v>43235</v>
      </c>
      <c r="J832" s="2">
        <v>3</v>
      </c>
      <c r="K832" s="11">
        <v>1145128009641</v>
      </c>
      <c r="L832" s="11" t="s">
        <v>790</v>
      </c>
      <c r="M832" s="11" t="s">
        <v>27</v>
      </c>
      <c r="N832" s="12">
        <v>43231</v>
      </c>
      <c r="O832" s="12">
        <v>43231</v>
      </c>
      <c r="P832" s="11">
        <v>3</v>
      </c>
      <c r="Q832" s="11" t="s">
        <v>625</v>
      </c>
    </row>
    <row r="833" spans="1:17" ht="13" x14ac:dyDescent="0.15">
      <c r="A833" s="10">
        <v>43259.502429918983</v>
      </c>
      <c r="B833" s="11" t="s">
        <v>589</v>
      </c>
      <c r="C833" s="11">
        <v>573</v>
      </c>
      <c r="D833" s="11" t="s">
        <v>2047</v>
      </c>
      <c r="E833" s="11">
        <v>9048956767</v>
      </c>
      <c r="F833" s="11" t="s">
        <v>24</v>
      </c>
      <c r="G833" s="11" t="s">
        <v>369</v>
      </c>
      <c r="H833" s="11">
        <v>38</v>
      </c>
      <c r="I833" s="12">
        <v>43173</v>
      </c>
      <c r="J833" s="2">
        <v>5</v>
      </c>
      <c r="K833" s="11">
        <v>1145147022790</v>
      </c>
      <c r="L833" s="11" t="s">
        <v>462</v>
      </c>
      <c r="M833" s="11" t="s">
        <v>27</v>
      </c>
      <c r="N833" s="12">
        <v>43258</v>
      </c>
      <c r="O833" s="12">
        <v>43258</v>
      </c>
      <c r="P833" s="11">
        <v>5</v>
      </c>
      <c r="Q833" s="11" t="s">
        <v>589</v>
      </c>
    </row>
    <row r="834" spans="1:17" ht="13" x14ac:dyDescent="0.15">
      <c r="A834" s="10">
        <v>43259.50406013889</v>
      </c>
      <c r="B834" s="11" t="s">
        <v>2048</v>
      </c>
      <c r="C834" s="11">
        <v>1001</v>
      </c>
      <c r="D834" s="11" t="s">
        <v>2049</v>
      </c>
      <c r="E834" s="11">
        <v>9446175482</v>
      </c>
      <c r="F834" s="11" t="s">
        <v>24</v>
      </c>
      <c r="G834" s="11" t="s">
        <v>1226</v>
      </c>
      <c r="H834" s="11">
        <v>20</v>
      </c>
      <c r="I834" s="12">
        <v>43238</v>
      </c>
      <c r="J834" s="2">
        <v>3</v>
      </c>
      <c r="K834" s="11">
        <v>1145140010850</v>
      </c>
      <c r="L834" s="11" t="s">
        <v>462</v>
      </c>
      <c r="M834" s="11" t="s">
        <v>27</v>
      </c>
      <c r="N834" s="12">
        <v>43235</v>
      </c>
      <c r="O834" s="12">
        <v>43235</v>
      </c>
      <c r="P834" s="11">
        <v>3</v>
      </c>
      <c r="Q834" s="11" t="s">
        <v>2048</v>
      </c>
    </row>
    <row r="835" spans="1:17" ht="13" x14ac:dyDescent="0.15">
      <c r="A835" s="10">
        <v>43259.507319189812</v>
      </c>
      <c r="B835" s="11" t="s">
        <v>2050</v>
      </c>
      <c r="C835" s="11">
        <v>1056</v>
      </c>
      <c r="D835" s="11" t="s">
        <v>2051</v>
      </c>
      <c r="E835" s="11">
        <v>9847101687</v>
      </c>
      <c r="F835" s="11" t="s">
        <v>24</v>
      </c>
      <c r="G835" s="11" t="s">
        <v>1226</v>
      </c>
      <c r="H835" s="11">
        <v>20</v>
      </c>
      <c r="I835" s="12">
        <v>43224</v>
      </c>
      <c r="J835" s="2">
        <v>5</v>
      </c>
      <c r="K835" s="11">
        <v>1145187019292</v>
      </c>
      <c r="L835" s="11" t="s">
        <v>326</v>
      </c>
      <c r="M835" s="11" t="s">
        <v>27</v>
      </c>
      <c r="N835" s="12">
        <v>43251</v>
      </c>
      <c r="O835" s="12">
        <v>43251</v>
      </c>
      <c r="P835" s="11">
        <v>5</v>
      </c>
      <c r="Q835" s="11" t="s">
        <v>2050</v>
      </c>
    </row>
    <row r="836" spans="1:17" ht="13" x14ac:dyDescent="0.15">
      <c r="A836" s="10">
        <v>43259.50974040509</v>
      </c>
      <c r="B836" s="11" t="s">
        <v>2052</v>
      </c>
      <c r="C836" s="11">
        <v>1008</v>
      </c>
      <c r="D836" s="11" t="s">
        <v>2053</v>
      </c>
      <c r="E836" s="11">
        <v>9961542129</v>
      </c>
      <c r="F836" s="11" t="s">
        <v>24</v>
      </c>
      <c r="G836" s="11" t="s">
        <v>1226</v>
      </c>
      <c r="H836" s="11">
        <v>20</v>
      </c>
      <c r="I836" s="12">
        <v>43224</v>
      </c>
      <c r="J836" s="2">
        <v>5</v>
      </c>
      <c r="K836" s="11">
        <v>1145080008844</v>
      </c>
      <c r="L836" s="11" t="s">
        <v>485</v>
      </c>
      <c r="M836" s="11" t="s">
        <v>27</v>
      </c>
      <c r="N836" s="12">
        <v>43220</v>
      </c>
      <c r="O836" s="12">
        <v>43220</v>
      </c>
      <c r="P836" s="11">
        <v>5</v>
      </c>
      <c r="Q836" s="11" t="s">
        <v>2052</v>
      </c>
    </row>
    <row r="837" spans="1:17" ht="13" hidden="1" x14ac:dyDescent="0.15">
      <c r="A837" s="10">
        <v>43259.513269467592</v>
      </c>
      <c r="B837" s="11" t="s">
        <v>1465</v>
      </c>
      <c r="C837" s="11">
        <v>172</v>
      </c>
      <c r="D837" s="11" t="s">
        <v>2054</v>
      </c>
      <c r="E837" s="11">
        <v>7558881999</v>
      </c>
      <c r="F837" s="11" t="s">
        <v>56</v>
      </c>
      <c r="G837" s="11" t="s">
        <v>36</v>
      </c>
      <c r="H837" s="11">
        <v>20</v>
      </c>
      <c r="I837" s="12">
        <v>43151</v>
      </c>
      <c r="J837" s="2">
        <v>3</v>
      </c>
      <c r="K837" s="11">
        <v>1146356001831</v>
      </c>
      <c r="L837" s="11" t="s">
        <v>2055</v>
      </c>
      <c r="M837" s="11" t="s">
        <v>27</v>
      </c>
      <c r="N837" s="12">
        <v>43147</v>
      </c>
      <c r="O837" s="12">
        <v>43147</v>
      </c>
      <c r="P837" s="11">
        <v>3</v>
      </c>
      <c r="Q837" s="11" t="s">
        <v>1465</v>
      </c>
    </row>
    <row r="838" spans="1:17" ht="13" x14ac:dyDescent="0.15">
      <c r="A838" s="10">
        <v>43259.520500312501</v>
      </c>
      <c r="B838" s="11" t="s">
        <v>2056</v>
      </c>
      <c r="C838" s="11">
        <v>1181</v>
      </c>
      <c r="D838" s="11" t="s">
        <v>2057</v>
      </c>
      <c r="E838" s="11">
        <v>8848012953</v>
      </c>
      <c r="F838" s="11" t="s">
        <v>24</v>
      </c>
      <c r="G838" s="11" t="s">
        <v>1245</v>
      </c>
      <c r="H838" s="11">
        <v>20</v>
      </c>
      <c r="I838" s="12">
        <v>43241</v>
      </c>
      <c r="J838" s="2">
        <v>3</v>
      </c>
      <c r="K838" s="11">
        <v>1145167008257</v>
      </c>
      <c r="L838" s="11" t="s">
        <v>2059</v>
      </c>
      <c r="M838" s="11" t="s">
        <v>27</v>
      </c>
      <c r="N838" s="12">
        <v>43234</v>
      </c>
      <c r="O838" s="12">
        <v>43234</v>
      </c>
      <c r="P838" s="11">
        <v>3</v>
      </c>
      <c r="Q838" s="11" t="s">
        <v>2056</v>
      </c>
    </row>
    <row r="839" spans="1:17" ht="13" hidden="1" x14ac:dyDescent="0.15">
      <c r="A839" s="10">
        <v>43259.521199594907</v>
      </c>
      <c r="B839" s="11" t="s">
        <v>2060</v>
      </c>
      <c r="C839" s="11">
        <v>1042</v>
      </c>
      <c r="D839" s="11" t="s">
        <v>2061</v>
      </c>
      <c r="E839" s="11">
        <v>8547339264</v>
      </c>
      <c r="F839" s="11" t="s">
        <v>56</v>
      </c>
      <c r="G839" s="11" t="s">
        <v>2062</v>
      </c>
      <c r="H839" s="11">
        <v>30</v>
      </c>
      <c r="I839" s="12">
        <v>43241</v>
      </c>
      <c r="J839" s="2">
        <v>2</v>
      </c>
      <c r="K839" s="11">
        <v>1146463001458</v>
      </c>
      <c r="L839" s="11" t="s">
        <v>2063</v>
      </c>
      <c r="M839" s="11" t="s">
        <v>27</v>
      </c>
      <c r="N839" s="12">
        <v>43195</v>
      </c>
      <c r="O839" s="12">
        <v>43195</v>
      </c>
      <c r="P839" s="11">
        <v>2</v>
      </c>
      <c r="Q839" s="11" t="s">
        <v>2060</v>
      </c>
    </row>
    <row r="840" spans="1:17" ht="13" hidden="1" x14ac:dyDescent="0.15">
      <c r="A840" s="10">
        <v>43259.524567777778</v>
      </c>
      <c r="B840" s="11" t="s">
        <v>1465</v>
      </c>
      <c r="C840" s="11">
        <v>171</v>
      </c>
      <c r="D840" s="11" t="s">
        <v>2064</v>
      </c>
      <c r="E840" s="11">
        <v>7558881999</v>
      </c>
      <c r="F840" s="11" t="s">
        <v>56</v>
      </c>
      <c r="G840" s="11" t="s">
        <v>36</v>
      </c>
      <c r="H840" s="11">
        <v>20</v>
      </c>
      <c r="I840" s="12">
        <v>43145</v>
      </c>
      <c r="J840" s="2">
        <v>3</v>
      </c>
      <c r="K840" s="11">
        <v>1146316003386</v>
      </c>
      <c r="L840" s="11" t="s">
        <v>2065</v>
      </c>
      <c r="M840" s="11" t="s">
        <v>27</v>
      </c>
      <c r="N840" s="12">
        <v>43154</v>
      </c>
      <c r="O840" s="12">
        <v>43154</v>
      </c>
      <c r="P840" s="11">
        <v>3</v>
      </c>
      <c r="Q840" s="11" t="s">
        <v>1465</v>
      </c>
    </row>
    <row r="841" spans="1:17" ht="13" x14ac:dyDescent="0.15">
      <c r="A841" s="10">
        <v>43259.524658761569</v>
      </c>
      <c r="B841" s="11" t="s">
        <v>2052</v>
      </c>
      <c r="C841" s="11">
        <v>919</v>
      </c>
      <c r="D841" s="11" t="s">
        <v>2066</v>
      </c>
      <c r="E841" s="11">
        <v>9895892451</v>
      </c>
      <c r="F841" s="11" t="s">
        <v>24</v>
      </c>
      <c r="G841" s="11" t="s">
        <v>1226</v>
      </c>
      <c r="H841" s="11">
        <v>20</v>
      </c>
      <c r="I841" s="12">
        <v>43205</v>
      </c>
      <c r="J841" s="2">
        <v>3</v>
      </c>
      <c r="K841" s="11">
        <v>1145148007095</v>
      </c>
      <c r="L841" s="11" t="s">
        <v>462</v>
      </c>
      <c r="M841" s="11" t="s">
        <v>27</v>
      </c>
      <c r="N841" s="12">
        <v>43228</v>
      </c>
      <c r="O841" s="12">
        <v>43228</v>
      </c>
      <c r="P841" s="11">
        <v>3</v>
      </c>
      <c r="Q841" s="11" t="s">
        <v>2052</v>
      </c>
    </row>
    <row r="842" spans="1:17" ht="13" hidden="1" x14ac:dyDescent="0.15">
      <c r="A842" s="10">
        <v>43259.533040717593</v>
      </c>
      <c r="B842" s="11" t="s">
        <v>1465</v>
      </c>
      <c r="C842" s="11">
        <v>213</v>
      </c>
      <c r="D842" s="11" t="s">
        <v>2067</v>
      </c>
      <c r="E842" s="11">
        <v>7558881999</v>
      </c>
      <c r="F842" s="11" t="s">
        <v>56</v>
      </c>
      <c r="G842" s="11" t="s">
        <v>36</v>
      </c>
      <c r="H842" s="11">
        <v>20</v>
      </c>
      <c r="I842" s="12">
        <v>43164</v>
      </c>
      <c r="J842" s="2">
        <v>3</v>
      </c>
      <c r="K842" s="11">
        <v>1156360025312</v>
      </c>
      <c r="L842" s="11" t="s">
        <v>2068</v>
      </c>
      <c r="M842" s="11" t="s">
        <v>27</v>
      </c>
      <c r="N842" s="12">
        <v>43154</v>
      </c>
      <c r="O842" s="12">
        <v>43154</v>
      </c>
      <c r="P842" s="11">
        <v>3</v>
      </c>
      <c r="Q842" s="11" t="s">
        <v>1465</v>
      </c>
    </row>
    <row r="843" spans="1:17" ht="13" hidden="1" x14ac:dyDescent="0.15">
      <c r="A843" s="10">
        <v>43259.541656388887</v>
      </c>
      <c r="B843" s="11" t="s">
        <v>1465</v>
      </c>
      <c r="C843" s="11">
        <v>214</v>
      </c>
      <c r="D843" s="11" t="s">
        <v>2069</v>
      </c>
      <c r="E843" s="11">
        <v>7558881999</v>
      </c>
      <c r="F843" s="11" t="s">
        <v>56</v>
      </c>
      <c r="G843" s="11" t="s">
        <v>36</v>
      </c>
      <c r="H843" s="11">
        <v>20</v>
      </c>
      <c r="I843" s="12">
        <v>43154</v>
      </c>
      <c r="J843" s="2">
        <v>3</v>
      </c>
      <c r="K843" s="11">
        <v>1146379017773</v>
      </c>
      <c r="L843" s="11" t="s">
        <v>2071</v>
      </c>
      <c r="M843" s="11" t="s">
        <v>27</v>
      </c>
      <c r="N843" s="12">
        <v>43238</v>
      </c>
      <c r="O843" s="12">
        <v>43238</v>
      </c>
      <c r="P843" s="11">
        <v>3</v>
      </c>
      <c r="Q843" s="11" t="s">
        <v>1465</v>
      </c>
    </row>
    <row r="844" spans="1:17" ht="13" x14ac:dyDescent="0.15">
      <c r="A844" s="10">
        <v>43259.542715208328</v>
      </c>
      <c r="B844" s="11" t="s">
        <v>2052</v>
      </c>
      <c r="C844" s="11">
        <v>849</v>
      </c>
      <c r="D844" s="11" t="s">
        <v>2072</v>
      </c>
      <c r="E844" s="11">
        <v>9526991112</v>
      </c>
      <c r="F844" s="11" t="s">
        <v>24</v>
      </c>
      <c r="G844" s="11" t="s">
        <v>1226</v>
      </c>
      <c r="H844" s="11">
        <v>20</v>
      </c>
      <c r="I844" s="12">
        <v>43204</v>
      </c>
      <c r="J844" s="2">
        <v>3</v>
      </c>
      <c r="K844" s="11">
        <v>1145146007135</v>
      </c>
      <c r="L844" s="11" t="s">
        <v>696</v>
      </c>
      <c r="M844" s="11" t="s">
        <v>27</v>
      </c>
      <c r="N844" s="12">
        <v>43199</v>
      </c>
      <c r="O844" s="12">
        <v>43199</v>
      </c>
      <c r="P844" s="11">
        <v>3</v>
      </c>
      <c r="Q844" s="11" t="s">
        <v>2052</v>
      </c>
    </row>
    <row r="845" spans="1:17" ht="13" x14ac:dyDescent="0.15">
      <c r="A845" s="10">
        <v>43259.54580954861</v>
      </c>
      <c r="B845" s="11" t="s">
        <v>2073</v>
      </c>
      <c r="C845" s="11">
        <v>761</v>
      </c>
      <c r="D845" s="11" t="s">
        <v>2074</v>
      </c>
      <c r="E845" s="11">
        <v>9447856846</v>
      </c>
      <c r="F845" s="11" t="s">
        <v>24</v>
      </c>
      <c r="G845" s="11" t="s">
        <v>901</v>
      </c>
      <c r="H845" s="11">
        <v>20</v>
      </c>
      <c r="I845" s="12">
        <v>43205</v>
      </c>
      <c r="J845" s="2">
        <v>15</v>
      </c>
      <c r="K845" s="11">
        <v>1145148007147</v>
      </c>
      <c r="L845" s="11" t="s">
        <v>462</v>
      </c>
      <c r="M845" s="11" t="s">
        <v>27</v>
      </c>
      <c r="N845" s="12">
        <v>43220</v>
      </c>
      <c r="O845" s="12">
        <v>43220</v>
      </c>
      <c r="P845" s="11">
        <v>3</v>
      </c>
      <c r="Q845" s="11" t="s">
        <v>2073</v>
      </c>
    </row>
    <row r="846" spans="1:17" ht="13" x14ac:dyDescent="0.15">
      <c r="A846" s="10">
        <v>43259.548770555557</v>
      </c>
      <c r="B846" s="11" t="s">
        <v>2052</v>
      </c>
      <c r="C846" s="11">
        <v>946</v>
      </c>
      <c r="D846" s="11" t="s">
        <v>2075</v>
      </c>
      <c r="E846" s="11">
        <v>7356417557</v>
      </c>
      <c r="F846" s="11" t="s">
        <v>24</v>
      </c>
      <c r="G846" s="11" t="s">
        <v>1226</v>
      </c>
      <c r="H846" s="11">
        <v>20</v>
      </c>
      <c r="I846" s="12">
        <v>43204</v>
      </c>
      <c r="J846" s="2">
        <v>5</v>
      </c>
      <c r="K846" s="11">
        <v>1145068000282</v>
      </c>
      <c r="L846" s="11" t="s">
        <v>331</v>
      </c>
      <c r="M846" s="11" t="s">
        <v>27</v>
      </c>
      <c r="N846" s="12">
        <v>43200</v>
      </c>
      <c r="O846" s="12">
        <v>43200</v>
      </c>
      <c r="P846" s="11">
        <v>5</v>
      </c>
      <c r="Q846" s="11" t="s">
        <v>2052</v>
      </c>
    </row>
    <row r="847" spans="1:17" ht="13" hidden="1" x14ac:dyDescent="0.15">
      <c r="A847" s="10">
        <v>43259.550334618056</v>
      </c>
      <c r="B847" s="11" t="s">
        <v>475</v>
      </c>
      <c r="C847" s="11">
        <v>790</v>
      </c>
      <c r="D847" s="11" t="s">
        <v>2076</v>
      </c>
      <c r="E847" s="11">
        <v>9072626009</v>
      </c>
      <c r="F847" s="11" t="s">
        <v>35</v>
      </c>
      <c r="G847" s="11" t="s">
        <v>1457</v>
      </c>
      <c r="H847" s="11">
        <v>11</v>
      </c>
      <c r="I847" s="12">
        <v>43259</v>
      </c>
      <c r="J847" s="2">
        <v>3</v>
      </c>
      <c r="K847" s="11">
        <v>1155502030970</v>
      </c>
      <c r="L847" s="11" t="s">
        <v>2078</v>
      </c>
      <c r="M847" s="11" t="s">
        <v>27</v>
      </c>
      <c r="N847" s="12">
        <v>43259</v>
      </c>
      <c r="O847" s="12">
        <v>43259</v>
      </c>
      <c r="P847" s="11">
        <v>3</v>
      </c>
      <c r="Q847" s="11" t="s">
        <v>475</v>
      </c>
    </row>
    <row r="848" spans="1:17" ht="13" hidden="1" x14ac:dyDescent="0.15">
      <c r="A848" s="10">
        <v>43259.553497152781</v>
      </c>
      <c r="B848" s="11" t="s">
        <v>1465</v>
      </c>
      <c r="C848" s="11">
        <v>334</v>
      </c>
      <c r="D848" s="11" t="s">
        <v>2079</v>
      </c>
      <c r="E848" s="11">
        <v>7558881999</v>
      </c>
      <c r="F848" s="11" t="s">
        <v>56</v>
      </c>
      <c r="G848" s="11" t="s">
        <v>36</v>
      </c>
      <c r="H848" s="11">
        <v>20</v>
      </c>
      <c r="I848" s="12">
        <v>43150</v>
      </c>
      <c r="J848" s="2">
        <v>5</v>
      </c>
      <c r="K848" s="11">
        <v>1146347005426</v>
      </c>
      <c r="L848" s="11" t="s">
        <v>2080</v>
      </c>
      <c r="M848" s="11" t="s">
        <v>27</v>
      </c>
      <c r="N848" s="12">
        <v>43183</v>
      </c>
      <c r="O848" s="12">
        <v>43183</v>
      </c>
      <c r="P848" s="11">
        <v>5</v>
      </c>
      <c r="Q848" s="11" t="s">
        <v>1465</v>
      </c>
    </row>
    <row r="849" spans="1:17" ht="13" x14ac:dyDescent="0.15">
      <c r="A849" s="10">
        <v>43259.553536261577</v>
      </c>
      <c r="B849" s="11" t="s">
        <v>2081</v>
      </c>
      <c r="C849" s="11">
        <v>1083</v>
      </c>
      <c r="D849" s="11" t="s">
        <v>2082</v>
      </c>
      <c r="E849" s="11">
        <v>8939017949</v>
      </c>
      <c r="F849" s="11" t="s">
        <v>24</v>
      </c>
      <c r="G849" s="11" t="s">
        <v>1226</v>
      </c>
      <c r="H849" s="11">
        <v>20</v>
      </c>
      <c r="I849" s="12">
        <v>43229</v>
      </c>
      <c r="J849" s="2">
        <v>5</v>
      </c>
      <c r="K849" s="11">
        <v>1145072017470</v>
      </c>
      <c r="L849" s="11" t="s">
        <v>460</v>
      </c>
      <c r="M849" s="11" t="s">
        <v>27</v>
      </c>
      <c r="N849" s="12">
        <v>43223</v>
      </c>
      <c r="O849" s="12">
        <v>43223</v>
      </c>
      <c r="P849" s="11">
        <v>5</v>
      </c>
      <c r="Q849" s="11" t="s">
        <v>2081</v>
      </c>
    </row>
    <row r="850" spans="1:17" ht="13" x14ac:dyDescent="0.15">
      <c r="A850" s="10">
        <v>43259.557140810182</v>
      </c>
      <c r="B850" s="11" t="s">
        <v>2083</v>
      </c>
      <c r="C850" s="11">
        <v>1097</v>
      </c>
      <c r="D850" s="11" t="s">
        <v>2084</v>
      </c>
      <c r="E850" s="11">
        <v>9447655705</v>
      </c>
      <c r="F850" s="11" t="s">
        <v>24</v>
      </c>
      <c r="G850" s="11" t="s">
        <v>1226</v>
      </c>
      <c r="H850" s="11">
        <v>20</v>
      </c>
      <c r="I850" s="12">
        <v>43225</v>
      </c>
      <c r="J850" s="2">
        <v>3</v>
      </c>
      <c r="K850" s="11">
        <v>1145188027042</v>
      </c>
      <c r="L850" s="11" t="s">
        <v>326</v>
      </c>
      <c r="M850" s="11" t="s">
        <v>27</v>
      </c>
      <c r="N850" s="12">
        <v>43223</v>
      </c>
      <c r="O850" s="12">
        <v>43223</v>
      </c>
      <c r="P850" s="11">
        <v>3</v>
      </c>
      <c r="Q850" s="11" t="s">
        <v>2083</v>
      </c>
    </row>
    <row r="851" spans="1:17" ht="13" x14ac:dyDescent="0.15">
      <c r="A851" s="10">
        <v>43259.560343032412</v>
      </c>
      <c r="B851" s="11" t="s">
        <v>2085</v>
      </c>
      <c r="C851" s="11">
        <v>986</v>
      </c>
      <c r="D851" s="11" t="s">
        <v>2086</v>
      </c>
      <c r="E851" s="11">
        <v>9995865942</v>
      </c>
      <c r="F851" s="11" t="s">
        <v>24</v>
      </c>
      <c r="G851" s="11" t="s">
        <v>1226</v>
      </c>
      <c r="H851" s="11">
        <v>20</v>
      </c>
      <c r="I851" s="12">
        <v>43229</v>
      </c>
      <c r="J851" s="2">
        <v>5</v>
      </c>
      <c r="K851" s="11">
        <v>2429</v>
      </c>
      <c r="L851" s="11" t="s">
        <v>381</v>
      </c>
      <c r="M851" s="11" t="s">
        <v>27</v>
      </c>
      <c r="N851" s="12">
        <v>43254</v>
      </c>
      <c r="O851" s="12">
        <v>43254</v>
      </c>
      <c r="P851" s="11">
        <v>5</v>
      </c>
      <c r="Q851" s="11" t="s">
        <v>2085</v>
      </c>
    </row>
    <row r="852" spans="1:17" ht="13" hidden="1" x14ac:dyDescent="0.15">
      <c r="A852" s="10">
        <v>43259.5613805787</v>
      </c>
      <c r="B852" s="11" t="s">
        <v>2087</v>
      </c>
      <c r="C852" s="11">
        <v>1207</v>
      </c>
      <c r="D852" s="11" t="s">
        <v>2088</v>
      </c>
      <c r="E852" s="11">
        <v>8891972770</v>
      </c>
      <c r="F852" s="11" t="s">
        <v>35</v>
      </c>
      <c r="G852" s="11" t="s">
        <v>418</v>
      </c>
      <c r="H852" s="11">
        <v>5</v>
      </c>
      <c r="I852" s="12">
        <v>43262</v>
      </c>
      <c r="J852" s="2">
        <v>25</v>
      </c>
      <c r="K852" s="11">
        <v>1355760001364</v>
      </c>
      <c r="L852" s="11" t="s">
        <v>2089</v>
      </c>
      <c r="M852" s="11" t="s">
        <v>27</v>
      </c>
      <c r="N852" s="12">
        <v>43262</v>
      </c>
      <c r="O852" s="12">
        <v>43262</v>
      </c>
      <c r="P852" s="11">
        <v>25</v>
      </c>
      <c r="Q852" s="11" t="s">
        <v>2090</v>
      </c>
    </row>
    <row r="853" spans="1:17" ht="13" x14ac:dyDescent="0.15">
      <c r="A853" s="10">
        <v>43259.563735173608</v>
      </c>
      <c r="B853" s="11" t="s">
        <v>2091</v>
      </c>
      <c r="C853" s="11">
        <v>1039</v>
      </c>
      <c r="D853" s="11" t="s">
        <v>2092</v>
      </c>
      <c r="E853" s="11">
        <v>9447749808</v>
      </c>
      <c r="F853" s="11" t="s">
        <v>24</v>
      </c>
      <c r="G853" s="11" t="s">
        <v>1226</v>
      </c>
      <c r="H853" s="11">
        <v>20</v>
      </c>
      <c r="I853" s="12">
        <v>43237</v>
      </c>
      <c r="J853" s="2">
        <v>5</v>
      </c>
      <c r="K853" s="11">
        <v>1145076014198</v>
      </c>
      <c r="L853" s="11" t="s">
        <v>460</v>
      </c>
      <c r="M853" s="11" t="s">
        <v>27</v>
      </c>
      <c r="N853" s="12">
        <v>43236</v>
      </c>
      <c r="O853" s="12">
        <v>43236</v>
      </c>
      <c r="P853" s="11">
        <v>5</v>
      </c>
      <c r="Q853" s="11" t="s">
        <v>2091</v>
      </c>
    </row>
    <row r="854" spans="1:17" ht="13" hidden="1" x14ac:dyDescent="0.15">
      <c r="A854" s="10">
        <v>43259.565749918984</v>
      </c>
      <c r="B854" s="11" t="s">
        <v>469</v>
      </c>
      <c r="C854" s="11">
        <v>937</v>
      </c>
      <c r="D854" s="11" t="s">
        <v>2093</v>
      </c>
      <c r="E854" s="11">
        <v>9388155155</v>
      </c>
      <c r="F854" s="11" t="s">
        <v>30</v>
      </c>
      <c r="G854" s="11" t="s">
        <v>772</v>
      </c>
      <c r="H854" s="11">
        <v>48</v>
      </c>
      <c r="I854" s="12">
        <v>43206</v>
      </c>
      <c r="J854" s="2">
        <v>5</v>
      </c>
      <c r="K854" s="11">
        <v>1156807018025</v>
      </c>
      <c r="L854" s="11" t="s">
        <v>2094</v>
      </c>
      <c r="M854" s="11" t="s">
        <v>27</v>
      </c>
      <c r="N854" s="12">
        <v>43259</v>
      </c>
      <c r="O854" s="12">
        <v>43259</v>
      </c>
      <c r="P854" s="11">
        <v>5</v>
      </c>
      <c r="Q854" s="11" t="s">
        <v>469</v>
      </c>
    </row>
    <row r="855" spans="1:17" ht="13" hidden="1" x14ac:dyDescent="0.15">
      <c r="A855" s="10">
        <v>43259.569119189815</v>
      </c>
      <c r="B855" s="11" t="s">
        <v>1465</v>
      </c>
      <c r="C855" s="11">
        <v>549</v>
      </c>
      <c r="D855" s="11" t="s">
        <v>2095</v>
      </c>
      <c r="E855" s="11">
        <v>7558881999</v>
      </c>
      <c r="F855" s="11" t="s">
        <v>56</v>
      </c>
      <c r="G855" s="11" t="s">
        <v>36</v>
      </c>
      <c r="H855" s="11">
        <v>20</v>
      </c>
      <c r="I855" s="12">
        <v>43160</v>
      </c>
      <c r="J855" s="2">
        <v>3</v>
      </c>
      <c r="K855" s="11">
        <v>1146351007168</v>
      </c>
      <c r="L855" s="11" t="s">
        <v>2097</v>
      </c>
      <c r="M855" s="11" t="s">
        <v>27</v>
      </c>
      <c r="N855" s="12">
        <v>43218</v>
      </c>
      <c r="O855" s="12">
        <v>43218</v>
      </c>
      <c r="P855" s="11">
        <v>3</v>
      </c>
      <c r="Q855" s="11" t="s">
        <v>1465</v>
      </c>
    </row>
    <row r="856" spans="1:17" ht="13" x14ac:dyDescent="0.15">
      <c r="A856" s="10">
        <v>43259.572037048609</v>
      </c>
      <c r="B856" s="11" t="s">
        <v>2098</v>
      </c>
      <c r="C856" s="11">
        <v>426</v>
      </c>
      <c r="D856" s="11" t="s">
        <v>2099</v>
      </c>
      <c r="E856" s="11">
        <v>9447024464</v>
      </c>
      <c r="F856" s="11" t="s">
        <v>24</v>
      </c>
      <c r="G856" s="11" t="s">
        <v>1226</v>
      </c>
      <c r="H856" s="11">
        <v>20</v>
      </c>
      <c r="I856" s="12">
        <v>43229</v>
      </c>
      <c r="J856" s="2">
        <v>3</v>
      </c>
      <c r="K856" s="11">
        <v>1145100003093</v>
      </c>
      <c r="L856" s="11" t="s">
        <v>2100</v>
      </c>
      <c r="M856" s="11" t="s">
        <v>27</v>
      </c>
      <c r="N856" s="12">
        <v>43229</v>
      </c>
      <c r="O856" s="12">
        <v>43229</v>
      </c>
      <c r="P856" s="11">
        <v>3</v>
      </c>
      <c r="Q856" s="11" t="s">
        <v>2098</v>
      </c>
    </row>
    <row r="857" spans="1:17" ht="13" hidden="1" x14ac:dyDescent="0.15">
      <c r="A857" s="10">
        <v>43259.580377546299</v>
      </c>
      <c r="B857" s="11" t="s">
        <v>1465</v>
      </c>
      <c r="C857" s="11">
        <v>547</v>
      </c>
      <c r="D857" s="11" t="s">
        <v>2101</v>
      </c>
      <c r="E857" s="11">
        <v>7558881999</v>
      </c>
      <c r="F857" s="11" t="s">
        <v>56</v>
      </c>
      <c r="G857" s="11" t="s">
        <v>36</v>
      </c>
      <c r="H857" s="11">
        <v>20</v>
      </c>
      <c r="I857" s="12">
        <v>43176</v>
      </c>
      <c r="J857" s="2">
        <v>5</v>
      </c>
      <c r="K857" s="11">
        <v>1146363017200</v>
      </c>
      <c r="L857" s="11" t="s">
        <v>2102</v>
      </c>
      <c r="M857" s="11" t="s">
        <v>27</v>
      </c>
      <c r="N857" s="12">
        <v>43196</v>
      </c>
      <c r="O857" s="12">
        <v>43196</v>
      </c>
      <c r="P857" s="11">
        <v>5</v>
      </c>
      <c r="Q857" s="11" t="s">
        <v>1465</v>
      </c>
    </row>
    <row r="858" spans="1:17" ht="13" hidden="1" x14ac:dyDescent="0.15">
      <c r="A858" s="10">
        <v>43259.582490810186</v>
      </c>
      <c r="B858" s="11" t="s">
        <v>176</v>
      </c>
      <c r="C858" s="11">
        <v>1201</v>
      </c>
      <c r="D858" s="11" t="s">
        <v>2103</v>
      </c>
      <c r="E858" s="11">
        <v>9142099977</v>
      </c>
      <c r="F858" s="11" t="s">
        <v>182</v>
      </c>
      <c r="G858" s="11" t="s">
        <v>916</v>
      </c>
      <c r="H858" s="11">
        <v>14</v>
      </c>
      <c r="I858" s="12">
        <v>43259</v>
      </c>
      <c r="J858" s="2">
        <v>2</v>
      </c>
      <c r="K858" s="11">
        <v>1165563001201</v>
      </c>
      <c r="L858" s="11" t="s">
        <v>2104</v>
      </c>
      <c r="M858" s="11" t="s">
        <v>27</v>
      </c>
      <c r="N858" s="12">
        <v>43256</v>
      </c>
      <c r="O858" s="12">
        <v>43256</v>
      </c>
      <c r="P858" s="11">
        <v>2</v>
      </c>
      <c r="Q858" s="11" t="s">
        <v>176</v>
      </c>
    </row>
    <row r="859" spans="1:17" ht="13" hidden="1" x14ac:dyDescent="0.15">
      <c r="A859" s="10">
        <v>43259.617110104169</v>
      </c>
      <c r="B859" s="11" t="s">
        <v>1465</v>
      </c>
      <c r="C859" s="11">
        <v>502</v>
      </c>
      <c r="D859" s="11" t="s">
        <v>2105</v>
      </c>
      <c r="E859" s="11">
        <v>7558881999</v>
      </c>
      <c r="F859" s="11" t="s">
        <v>56</v>
      </c>
      <c r="G859" s="11" t="s">
        <v>36</v>
      </c>
      <c r="H859" s="11">
        <v>20</v>
      </c>
      <c r="I859" s="12">
        <v>43164</v>
      </c>
      <c r="J859" s="2">
        <v>3</v>
      </c>
      <c r="K859" s="11">
        <v>1146894001499</v>
      </c>
      <c r="L859" s="11" t="s">
        <v>1404</v>
      </c>
      <c r="M859" s="11" t="s">
        <v>27</v>
      </c>
      <c r="N859" s="12">
        <v>43159</v>
      </c>
      <c r="O859" s="12">
        <v>43159</v>
      </c>
      <c r="P859" s="11">
        <v>3</v>
      </c>
      <c r="Q859" s="11" t="s">
        <v>1465</v>
      </c>
    </row>
    <row r="860" spans="1:17" ht="13" hidden="1" x14ac:dyDescent="0.15">
      <c r="A860" s="10">
        <v>43259.625379571764</v>
      </c>
      <c r="B860" s="11" t="s">
        <v>1465</v>
      </c>
      <c r="C860" s="11">
        <v>559</v>
      </c>
      <c r="D860" s="11" t="s">
        <v>2106</v>
      </c>
      <c r="E860" s="11">
        <v>7558881999</v>
      </c>
      <c r="F860" s="11" t="s">
        <v>56</v>
      </c>
      <c r="G860" s="11" t="s">
        <v>36</v>
      </c>
      <c r="H860" s="11">
        <v>20</v>
      </c>
      <c r="I860" s="12">
        <v>43176</v>
      </c>
      <c r="J860" s="2">
        <v>5</v>
      </c>
      <c r="K860" s="11">
        <v>1146343008299</v>
      </c>
      <c r="L860" s="11" t="s">
        <v>2107</v>
      </c>
      <c r="M860" s="11" t="s">
        <v>27</v>
      </c>
      <c r="N860" s="12">
        <v>43200</v>
      </c>
      <c r="O860" s="12">
        <v>43200</v>
      </c>
      <c r="P860" s="11">
        <v>5</v>
      </c>
      <c r="Q860" s="11" t="s">
        <v>1465</v>
      </c>
    </row>
    <row r="861" spans="1:17" ht="13" hidden="1" x14ac:dyDescent="0.15">
      <c r="A861" s="10">
        <v>43259.64365543981</v>
      </c>
      <c r="B861" s="11" t="s">
        <v>1321</v>
      </c>
      <c r="C861" s="11">
        <v>1034</v>
      </c>
      <c r="D861" s="11" t="s">
        <v>2109</v>
      </c>
      <c r="E861" s="11">
        <v>9994175414</v>
      </c>
      <c r="F861" s="11" t="s">
        <v>30</v>
      </c>
      <c r="G861" s="11" t="s">
        <v>2110</v>
      </c>
      <c r="H861" s="11">
        <v>68</v>
      </c>
      <c r="I861" s="12">
        <v>43227</v>
      </c>
      <c r="J861" s="2">
        <v>30</v>
      </c>
      <c r="K861" s="11">
        <v>5737</v>
      </c>
      <c r="L861" s="11" t="s">
        <v>2111</v>
      </c>
      <c r="M861" s="11" t="s">
        <v>27</v>
      </c>
      <c r="N861" s="12">
        <v>43234</v>
      </c>
      <c r="O861" s="12">
        <v>43234</v>
      </c>
      <c r="P861" s="11">
        <v>30</v>
      </c>
      <c r="Q861" s="11" t="s">
        <v>1321</v>
      </c>
    </row>
    <row r="862" spans="1:17" ht="13" hidden="1" x14ac:dyDescent="0.15">
      <c r="A862" s="10">
        <v>43259.654362453701</v>
      </c>
      <c r="B862" s="11" t="s">
        <v>1465</v>
      </c>
      <c r="C862" s="11">
        <v>560</v>
      </c>
      <c r="D862" s="11" t="s">
        <v>2112</v>
      </c>
      <c r="E862" s="11">
        <v>7558881999</v>
      </c>
      <c r="F862" s="11" t="s">
        <v>56</v>
      </c>
      <c r="G862" s="11" t="s">
        <v>36</v>
      </c>
      <c r="H862" s="11">
        <v>20</v>
      </c>
      <c r="I862" s="12">
        <v>43185</v>
      </c>
      <c r="J862" s="2">
        <v>3</v>
      </c>
      <c r="K862" s="11">
        <v>1156286016688</v>
      </c>
      <c r="L862" s="11" t="s">
        <v>2113</v>
      </c>
      <c r="M862" s="11" t="s">
        <v>27</v>
      </c>
      <c r="N862" s="12">
        <v>43194</v>
      </c>
      <c r="O862" s="12">
        <v>43194</v>
      </c>
      <c r="P862" s="11">
        <v>3</v>
      </c>
      <c r="Q862" s="11" t="s">
        <v>1465</v>
      </c>
    </row>
    <row r="863" spans="1:17" ht="13" hidden="1" x14ac:dyDescent="0.15">
      <c r="A863" s="10">
        <v>43259.658540497687</v>
      </c>
      <c r="B863" s="11" t="s">
        <v>303</v>
      </c>
      <c r="C863" s="11">
        <v>1183</v>
      </c>
      <c r="D863" s="11" t="s">
        <v>2114</v>
      </c>
      <c r="E863" s="11">
        <v>919947333597</v>
      </c>
      <c r="F863" s="11" t="s">
        <v>40</v>
      </c>
      <c r="G863" s="11" t="s">
        <v>280</v>
      </c>
      <c r="H863" s="11">
        <v>66</v>
      </c>
      <c r="I863" s="12">
        <v>43259</v>
      </c>
      <c r="J863" s="2">
        <v>3</v>
      </c>
      <c r="K863" s="11">
        <v>1157255010299</v>
      </c>
      <c r="L863" s="11" t="s">
        <v>2115</v>
      </c>
      <c r="M863" s="11" t="s">
        <v>27</v>
      </c>
      <c r="N863" s="12">
        <v>43259</v>
      </c>
      <c r="O863" s="12">
        <v>43317</v>
      </c>
      <c r="P863" s="11">
        <v>3</v>
      </c>
      <c r="Q863" s="11" t="s">
        <v>303</v>
      </c>
    </row>
    <row r="864" spans="1:17" ht="13" hidden="1" x14ac:dyDescent="0.15">
      <c r="A864" s="10">
        <v>43259.683998090273</v>
      </c>
      <c r="B864" s="11" t="s">
        <v>1465</v>
      </c>
      <c r="C864" s="11">
        <v>648</v>
      </c>
      <c r="D864" s="11" t="s">
        <v>2116</v>
      </c>
      <c r="E864" s="11">
        <v>7558881999</v>
      </c>
      <c r="F864" s="11" t="s">
        <v>56</v>
      </c>
      <c r="G864" s="11" t="s">
        <v>36</v>
      </c>
      <c r="H864" s="11">
        <v>20</v>
      </c>
      <c r="I864" s="12">
        <v>43181</v>
      </c>
      <c r="J864" s="2">
        <v>5</v>
      </c>
      <c r="K864" s="11">
        <v>1156374000724</v>
      </c>
      <c r="L864" s="11" t="s">
        <v>2117</v>
      </c>
      <c r="M864" s="11" t="s">
        <v>27</v>
      </c>
      <c r="N864" s="12">
        <v>43181</v>
      </c>
      <c r="O864" s="12">
        <v>43181</v>
      </c>
      <c r="P864" s="11">
        <v>5</v>
      </c>
      <c r="Q864" s="11" t="s">
        <v>1465</v>
      </c>
    </row>
    <row r="865" spans="1:17" ht="13" hidden="1" x14ac:dyDescent="0.15">
      <c r="A865" s="10">
        <v>43259.726073865742</v>
      </c>
      <c r="B865" s="11" t="s">
        <v>1465</v>
      </c>
      <c r="C865" s="11">
        <v>658</v>
      </c>
      <c r="D865" s="11" t="s">
        <v>2118</v>
      </c>
      <c r="E865" s="11">
        <v>7558881999</v>
      </c>
      <c r="F865" s="11" t="s">
        <v>56</v>
      </c>
      <c r="G865" s="11" t="s">
        <v>36</v>
      </c>
      <c r="H865" s="11">
        <v>20</v>
      </c>
      <c r="I865" s="12">
        <v>43197</v>
      </c>
      <c r="J865" s="2">
        <v>5</v>
      </c>
      <c r="K865" s="11">
        <v>1156245013452</v>
      </c>
      <c r="L865" s="11" t="s">
        <v>257</v>
      </c>
      <c r="M865" s="11" t="s">
        <v>27</v>
      </c>
      <c r="N865" s="12">
        <v>43182</v>
      </c>
      <c r="O865" s="12">
        <v>43182</v>
      </c>
      <c r="P865" s="11">
        <v>5</v>
      </c>
      <c r="Q865" s="11" t="s">
        <v>1465</v>
      </c>
    </row>
    <row r="866" spans="1:17" ht="13" hidden="1" x14ac:dyDescent="0.15">
      <c r="A866" s="10">
        <v>43260.41447113426</v>
      </c>
      <c r="B866" s="11" t="s">
        <v>303</v>
      </c>
      <c r="C866" s="11">
        <v>804</v>
      </c>
      <c r="D866" s="11" t="s">
        <v>2119</v>
      </c>
      <c r="E866" s="11">
        <v>9895043428</v>
      </c>
      <c r="F866" s="11" t="s">
        <v>35</v>
      </c>
      <c r="G866" s="11" t="s">
        <v>280</v>
      </c>
      <c r="H866" s="11">
        <v>66</v>
      </c>
      <c r="I866" s="12">
        <v>43259</v>
      </c>
      <c r="J866" s="2">
        <v>5</v>
      </c>
      <c r="K866" s="11">
        <v>1155506021557</v>
      </c>
      <c r="L866" s="11" t="s">
        <v>2120</v>
      </c>
      <c r="M866" s="11" t="s">
        <v>27</v>
      </c>
      <c r="N866" s="12">
        <v>43199</v>
      </c>
      <c r="O866" s="12">
        <v>43199</v>
      </c>
      <c r="P866" s="11">
        <v>5</v>
      </c>
      <c r="Q866" s="11" t="s">
        <v>303</v>
      </c>
    </row>
    <row r="867" spans="1:17" ht="13" hidden="1" x14ac:dyDescent="0.15">
      <c r="A867" s="10">
        <v>43260.418087245373</v>
      </c>
      <c r="B867" s="11" t="s">
        <v>303</v>
      </c>
      <c r="C867" s="11">
        <v>1002</v>
      </c>
      <c r="D867" s="11" t="s">
        <v>2121</v>
      </c>
      <c r="E867" s="11">
        <v>9847201302</v>
      </c>
      <c r="F867" s="11" t="s">
        <v>35</v>
      </c>
      <c r="G867" s="11" t="s">
        <v>280</v>
      </c>
      <c r="H867" s="11">
        <v>66</v>
      </c>
      <c r="I867" s="12">
        <v>43242</v>
      </c>
      <c r="J867" s="2">
        <v>5</v>
      </c>
      <c r="K867" s="11">
        <v>1155449004113</v>
      </c>
      <c r="L867" s="11" t="s">
        <v>37</v>
      </c>
      <c r="M867" s="11" t="s">
        <v>27</v>
      </c>
      <c r="N867" s="12">
        <v>43243</v>
      </c>
      <c r="O867" s="12">
        <v>43243</v>
      </c>
      <c r="P867" s="11">
        <v>5</v>
      </c>
      <c r="Q867" s="11" t="s">
        <v>303</v>
      </c>
    </row>
    <row r="868" spans="1:17" ht="13" hidden="1" x14ac:dyDescent="0.15">
      <c r="A868" s="10">
        <v>43260.474379525462</v>
      </c>
      <c r="B868" s="11" t="s">
        <v>303</v>
      </c>
      <c r="C868" s="11">
        <v>1095</v>
      </c>
      <c r="D868" s="11" t="s">
        <v>2122</v>
      </c>
      <c r="E868" s="11">
        <v>9995611005</v>
      </c>
      <c r="F868" s="11" t="s">
        <v>35</v>
      </c>
      <c r="G868" s="11" t="s">
        <v>280</v>
      </c>
      <c r="H868" s="11">
        <v>66</v>
      </c>
      <c r="I868" s="12">
        <v>43259</v>
      </c>
      <c r="J868" s="2">
        <v>5</v>
      </c>
      <c r="K868" s="11">
        <v>1155589018155</v>
      </c>
      <c r="L868" s="11" t="s">
        <v>144</v>
      </c>
      <c r="M868" s="11" t="s">
        <v>27</v>
      </c>
      <c r="N868" s="12">
        <v>43243</v>
      </c>
      <c r="O868" s="12">
        <v>43243</v>
      </c>
      <c r="P868" s="11">
        <v>10</v>
      </c>
      <c r="Q868" s="11" t="s">
        <v>303</v>
      </c>
    </row>
    <row r="869" spans="1:17" ht="13" hidden="1" x14ac:dyDescent="0.15">
      <c r="A869" s="10">
        <v>43260.486003402781</v>
      </c>
      <c r="B869" s="11" t="s">
        <v>303</v>
      </c>
      <c r="C869" s="11">
        <v>431</v>
      </c>
      <c r="D869" s="11" t="s">
        <v>2124</v>
      </c>
      <c r="E869" s="11">
        <v>8943541757</v>
      </c>
      <c r="F869" s="11" t="s">
        <v>287</v>
      </c>
      <c r="G869" s="11" t="s">
        <v>280</v>
      </c>
      <c r="H869" s="11">
        <v>66</v>
      </c>
      <c r="I869" s="12">
        <v>43259</v>
      </c>
      <c r="J869" s="2">
        <v>3</v>
      </c>
      <c r="K869" s="11">
        <v>1166664005622</v>
      </c>
      <c r="L869" s="11" t="s">
        <v>1418</v>
      </c>
      <c r="M869" s="11" t="s">
        <v>27</v>
      </c>
      <c r="N869" s="12">
        <v>43174</v>
      </c>
      <c r="O869" s="12">
        <v>43174</v>
      </c>
      <c r="P869" s="11">
        <v>3</v>
      </c>
      <c r="Q869" s="11" t="s">
        <v>303</v>
      </c>
    </row>
    <row r="870" spans="1:17" ht="13" hidden="1" x14ac:dyDescent="0.15">
      <c r="A870" s="10">
        <v>43260.63746633102</v>
      </c>
      <c r="B870" s="11" t="s">
        <v>1465</v>
      </c>
      <c r="C870" s="11">
        <v>1012</v>
      </c>
      <c r="D870" s="11" t="s">
        <v>2125</v>
      </c>
      <c r="E870" s="11">
        <v>7558881999</v>
      </c>
      <c r="F870" s="11" t="s">
        <v>56</v>
      </c>
      <c r="G870" s="11" t="s">
        <v>36</v>
      </c>
      <c r="H870" s="11">
        <v>20</v>
      </c>
      <c r="I870" s="12">
        <v>43206</v>
      </c>
      <c r="J870" s="2">
        <v>3</v>
      </c>
      <c r="K870" s="11">
        <v>1146281003358</v>
      </c>
      <c r="L870" s="11" t="s">
        <v>1884</v>
      </c>
      <c r="M870" s="11" t="s">
        <v>27</v>
      </c>
      <c r="N870" s="12">
        <v>43242</v>
      </c>
      <c r="O870" s="12">
        <v>43242</v>
      </c>
      <c r="P870" s="11">
        <v>3</v>
      </c>
      <c r="Q870" s="11" t="s">
        <v>1465</v>
      </c>
    </row>
    <row r="871" spans="1:17" ht="13" hidden="1" x14ac:dyDescent="0.15">
      <c r="A871" s="10">
        <v>43260.641968229167</v>
      </c>
      <c r="B871" s="11" t="s">
        <v>1465</v>
      </c>
      <c r="C871" s="11">
        <v>963</v>
      </c>
      <c r="D871" s="11" t="s">
        <v>2126</v>
      </c>
      <c r="E871" s="11">
        <v>7558881999</v>
      </c>
      <c r="F871" s="11" t="s">
        <v>56</v>
      </c>
      <c r="G871" s="11" t="s">
        <v>36</v>
      </c>
      <c r="H871" s="11">
        <v>20</v>
      </c>
      <c r="I871" s="12">
        <v>43206</v>
      </c>
      <c r="J871" s="2">
        <v>5</v>
      </c>
      <c r="K871" s="11">
        <v>1146460019897</v>
      </c>
      <c r="L871" s="11" t="s">
        <v>2063</v>
      </c>
      <c r="M871" s="11" t="s">
        <v>27</v>
      </c>
      <c r="N871" s="12">
        <v>43210</v>
      </c>
      <c r="O871" s="12">
        <v>43210</v>
      </c>
      <c r="P871" s="11">
        <v>5</v>
      </c>
      <c r="Q871" s="11" t="s">
        <v>1465</v>
      </c>
    </row>
    <row r="872" spans="1:17" ht="13" hidden="1" x14ac:dyDescent="0.15">
      <c r="A872" s="10">
        <v>43260.655034583338</v>
      </c>
      <c r="B872" s="11" t="s">
        <v>1465</v>
      </c>
      <c r="C872" s="11">
        <v>967</v>
      </c>
      <c r="D872" s="11" t="s">
        <v>2127</v>
      </c>
      <c r="E872" s="11">
        <v>7558881999</v>
      </c>
      <c r="F872" s="11" t="s">
        <v>56</v>
      </c>
      <c r="G872" s="11" t="s">
        <v>36</v>
      </c>
      <c r="H872" s="11">
        <v>20</v>
      </c>
      <c r="I872" s="12">
        <v>43208</v>
      </c>
      <c r="J872" s="2">
        <v>3</v>
      </c>
      <c r="K872" s="11">
        <v>1146315008775</v>
      </c>
      <c r="L872" s="11" t="s">
        <v>2065</v>
      </c>
      <c r="M872" s="11" t="s">
        <v>27</v>
      </c>
      <c r="N872" s="12">
        <v>43200</v>
      </c>
      <c r="O872" s="12">
        <v>43200</v>
      </c>
      <c r="P872" s="11">
        <v>3</v>
      </c>
      <c r="Q872" s="11" t="s">
        <v>1465</v>
      </c>
    </row>
    <row r="873" spans="1:17" ht="13" hidden="1" x14ac:dyDescent="0.15">
      <c r="A873" s="10">
        <v>43260.698145300921</v>
      </c>
      <c r="B873" s="11" t="s">
        <v>1465</v>
      </c>
      <c r="C873" s="11">
        <v>1046</v>
      </c>
      <c r="D873" s="11" t="s">
        <v>2128</v>
      </c>
      <c r="E873" s="11">
        <v>7558881999</v>
      </c>
      <c r="F873" s="11" t="s">
        <v>56</v>
      </c>
      <c r="G873" s="11" t="s">
        <v>36</v>
      </c>
      <c r="H873" s="11">
        <v>20</v>
      </c>
      <c r="I873" s="12">
        <v>43197</v>
      </c>
      <c r="J873" s="2">
        <v>30</v>
      </c>
      <c r="K873" s="11">
        <v>1146350014933</v>
      </c>
      <c r="L873" s="11" t="s">
        <v>2097</v>
      </c>
      <c r="M873" s="11" t="s">
        <v>27</v>
      </c>
      <c r="N873" s="12">
        <v>43189</v>
      </c>
      <c r="O873" s="12">
        <v>43189</v>
      </c>
      <c r="P873" s="11">
        <v>30</v>
      </c>
      <c r="Q873" s="11" t="s">
        <v>1465</v>
      </c>
    </row>
    <row r="874" spans="1:17" ht="13" hidden="1" x14ac:dyDescent="0.15">
      <c r="A874" s="10">
        <v>43260.776159143519</v>
      </c>
      <c r="B874" s="11" t="s">
        <v>142</v>
      </c>
      <c r="C874" s="11">
        <v>568</v>
      </c>
      <c r="D874" s="11" t="s">
        <v>2129</v>
      </c>
      <c r="E874" s="11">
        <v>9526991110</v>
      </c>
      <c r="F874" s="11" t="s">
        <v>35</v>
      </c>
      <c r="G874" s="11" t="s">
        <v>36</v>
      </c>
      <c r="H874" s="11">
        <v>20</v>
      </c>
      <c r="I874" s="12">
        <v>43228</v>
      </c>
      <c r="J874" s="2">
        <v>3</v>
      </c>
      <c r="K874" s="11">
        <v>1157311011972</v>
      </c>
      <c r="L874" s="11" t="s">
        <v>2130</v>
      </c>
      <c r="M874" s="11" t="s">
        <v>27</v>
      </c>
      <c r="N874" s="12">
        <v>43165</v>
      </c>
      <c r="O874" s="12">
        <v>43165</v>
      </c>
      <c r="P874" s="11">
        <v>3</v>
      </c>
      <c r="Q874" s="11" t="s">
        <v>142</v>
      </c>
    </row>
    <row r="875" spans="1:17" ht="13" hidden="1" x14ac:dyDescent="0.15">
      <c r="A875" s="10">
        <v>43260.781170451388</v>
      </c>
      <c r="B875" s="11" t="s">
        <v>142</v>
      </c>
      <c r="C875" s="11">
        <v>798</v>
      </c>
      <c r="D875" s="11" t="s">
        <v>2132</v>
      </c>
      <c r="E875" s="11">
        <v>9526991110</v>
      </c>
      <c r="F875" s="11" t="s">
        <v>35</v>
      </c>
      <c r="G875" s="11" t="s">
        <v>36</v>
      </c>
      <c r="H875" s="11">
        <v>20</v>
      </c>
      <c r="I875" s="12">
        <v>43215</v>
      </c>
      <c r="J875" s="2">
        <v>5</v>
      </c>
      <c r="K875" s="11">
        <v>1157484004361</v>
      </c>
      <c r="L875" s="11" t="s">
        <v>1082</v>
      </c>
      <c r="M875" s="11" t="s">
        <v>27</v>
      </c>
      <c r="N875" s="12">
        <v>43203</v>
      </c>
      <c r="O875" s="12">
        <v>43203</v>
      </c>
      <c r="P875" s="11">
        <v>5</v>
      </c>
      <c r="Q875" s="11" t="s">
        <v>142</v>
      </c>
    </row>
    <row r="876" spans="1:17" ht="13" hidden="1" x14ac:dyDescent="0.15">
      <c r="A876" s="10">
        <v>43260.784818912041</v>
      </c>
      <c r="B876" s="11" t="s">
        <v>142</v>
      </c>
      <c r="C876" s="11">
        <v>953</v>
      </c>
      <c r="D876" s="11" t="s">
        <v>1681</v>
      </c>
      <c r="E876" s="11">
        <v>9526991110</v>
      </c>
      <c r="F876" s="11" t="s">
        <v>35</v>
      </c>
      <c r="G876" s="11" t="s">
        <v>36</v>
      </c>
      <c r="H876" s="11">
        <v>20</v>
      </c>
      <c r="I876" s="12">
        <v>43224</v>
      </c>
      <c r="J876" s="2">
        <v>3</v>
      </c>
      <c r="K876" s="11">
        <v>1155571030652</v>
      </c>
      <c r="L876" s="11" t="s">
        <v>2130</v>
      </c>
      <c r="M876" s="11" t="s">
        <v>27</v>
      </c>
      <c r="N876" s="12">
        <v>43220</v>
      </c>
      <c r="O876" s="12">
        <v>43220</v>
      </c>
      <c r="P876" s="11">
        <v>3</v>
      </c>
      <c r="Q876" s="11" t="s">
        <v>142</v>
      </c>
    </row>
    <row r="877" spans="1:17" ht="13" hidden="1" x14ac:dyDescent="0.15">
      <c r="A877" s="10">
        <v>43260.788665185188</v>
      </c>
      <c r="B877" s="11" t="s">
        <v>142</v>
      </c>
      <c r="C877" s="11">
        <v>307</v>
      </c>
      <c r="D877" s="11" t="s">
        <v>2133</v>
      </c>
      <c r="E877" s="11">
        <v>9526991110</v>
      </c>
      <c r="F877" s="11" t="s">
        <v>35</v>
      </c>
      <c r="G877" s="11" t="s">
        <v>36</v>
      </c>
      <c r="H877" s="11">
        <v>20</v>
      </c>
      <c r="I877" s="12">
        <v>43223</v>
      </c>
      <c r="J877" s="2">
        <v>3</v>
      </c>
      <c r="K877" s="11">
        <v>1155428001917</v>
      </c>
      <c r="L877" s="11" t="s">
        <v>510</v>
      </c>
      <c r="M877" s="11" t="s">
        <v>27</v>
      </c>
      <c r="N877" s="12">
        <v>43146</v>
      </c>
      <c r="O877" s="12">
        <v>43146</v>
      </c>
      <c r="P877" s="11">
        <v>3</v>
      </c>
      <c r="Q877" s="11" t="s">
        <v>142</v>
      </c>
    </row>
    <row r="878" spans="1:17" ht="13" hidden="1" x14ac:dyDescent="0.15">
      <c r="A878" s="10">
        <v>43260.791699837966</v>
      </c>
      <c r="B878" s="11" t="s">
        <v>142</v>
      </c>
      <c r="C878" s="11">
        <v>721</v>
      </c>
      <c r="D878" s="11" t="s">
        <v>2134</v>
      </c>
      <c r="E878" s="11">
        <v>9526991110</v>
      </c>
      <c r="F878" s="11" t="s">
        <v>35</v>
      </c>
      <c r="G878" s="11" t="s">
        <v>2135</v>
      </c>
      <c r="H878" s="11">
        <v>20</v>
      </c>
      <c r="I878" s="12">
        <v>43243</v>
      </c>
      <c r="J878" s="2">
        <v>5</v>
      </c>
      <c r="K878" s="11">
        <v>1155977028952</v>
      </c>
      <c r="L878" s="11" t="s">
        <v>1094</v>
      </c>
      <c r="M878" s="11" t="s">
        <v>27</v>
      </c>
      <c r="N878" s="12">
        <v>43210</v>
      </c>
      <c r="O878" s="12">
        <v>43210</v>
      </c>
      <c r="P878" s="11">
        <v>5</v>
      </c>
      <c r="Q878" s="11" t="s">
        <v>142</v>
      </c>
    </row>
    <row r="879" spans="1:17" ht="13" hidden="1" x14ac:dyDescent="0.15">
      <c r="A879" s="10">
        <v>43260.795055798611</v>
      </c>
      <c r="B879" s="11" t="s">
        <v>142</v>
      </c>
      <c r="C879" s="11">
        <v>253</v>
      </c>
      <c r="D879" s="11" t="s">
        <v>2136</v>
      </c>
      <c r="E879" s="11">
        <v>9526992221</v>
      </c>
      <c r="F879" s="11" t="s">
        <v>35</v>
      </c>
      <c r="G879" s="11" t="s">
        <v>36</v>
      </c>
      <c r="H879" s="11">
        <v>20</v>
      </c>
      <c r="I879" s="12">
        <v>43210</v>
      </c>
      <c r="J879" s="2">
        <v>3</v>
      </c>
      <c r="K879" s="11">
        <v>1155451015997</v>
      </c>
      <c r="L879" s="11" t="s">
        <v>1080</v>
      </c>
      <c r="M879" s="11" t="s">
        <v>27</v>
      </c>
      <c r="N879" s="12">
        <v>43120</v>
      </c>
      <c r="O879" s="12">
        <v>43120</v>
      </c>
      <c r="P879" s="11">
        <v>3</v>
      </c>
      <c r="Q879" s="11" t="s">
        <v>142</v>
      </c>
    </row>
    <row r="880" spans="1:17" ht="13" hidden="1" x14ac:dyDescent="0.15">
      <c r="A880" s="10">
        <v>43261.394480104165</v>
      </c>
      <c r="B880" s="11" t="s">
        <v>2015</v>
      </c>
      <c r="C880" s="11">
        <v>226</v>
      </c>
      <c r="D880" s="11" t="s">
        <v>2137</v>
      </c>
      <c r="E880" s="11">
        <v>9646551285</v>
      </c>
      <c r="F880" s="11" t="s">
        <v>61</v>
      </c>
      <c r="G880" s="11" t="s">
        <v>36</v>
      </c>
      <c r="H880" s="11">
        <v>20</v>
      </c>
      <c r="I880" s="12">
        <v>43261</v>
      </c>
      <c r="J880" s="2">
        <v>3</v>
      </c>
      <c r="K880" s="11">
        <v>1146187004700</v>
      </c>
      <c r="L880" s="11" t="s">
        <v>2138</v>
      </c>
      <c r="M880" s="11" t="s">
        <v>27</v>
      </c>
      <c r="N880" s="12">
        <v>43258</v>
      </c>
      <c r="O880" s="12">
        <v>43258</v>
      </c>
      <c r="P880" s="11">
        <v>3</v>
      </c>
      <c r="Q880" s="11" t="s">
        <v>1946</v>
      </c>
    </row>
    <row r="881" spans="1:17" ht="13" hidden="1" x14ac:dyDescent="0.15">
      <c r="A881" s="10">
        <v>43262.416966886572</v>
      </c>
      <c r="B881" s="11" t="s">
        <v>303</v>
      </c>
      <c r="C881" s="11">
        <v>1208</v>
      </c>
      <c r="D881" s="11" t="s">
        <v>2139</v>
      </c>
      <c r="E881" s="11">
        <v>7510448444</v>
      </c>
      <c r="F881" s="11" t="s">
        <v>182</v>
      </c>
      <c r="G881" s="11" t="s">
        <v>280</v>
      </c>
      <c r="H881" s="11">
        <v>66</v>
      </c>
      <c r="I881" s="12">
        <v>43260</v>
      </c>
      <c r="J881" s="2">
        <v>5</v>
      </c>
      <c r="K881" s="11">
        <v>1165799012168</v>
      </c>
      <c r="L881" s="11" t="s">
        <v>2140</v>
      </c>
      <c r="M881" s="11" t="s">
        <v>27</v>
      </c>
      <c r="N881" s="12">
        <v>43246</v>
      </c>
      <c r="O881" s="12">
        <v>43246</v>
      </c>
      <c r="P881" s="11">
        <v>5</v>
      </c>
      <c r="Q881" s="11" t="s">
        <v>303</v>
      </c>
    </row>
    <row r="882" spans="1:17" ht="13" hidden="1" x14ac:dyDescent="0.15">
      <c r="A882" s="10">
        <v>43262.424436666668</v>
      </c>
      <c r="B882" s="11" t="s">
        <v>303</v>
      </c>
      <c r="C882" s="11">
        <v>5</v>
      </c>
      <c r="D882" s="11" t="s">
        <v>2141</v>
      </c>
      <c r="E882" s="11">
        <v>8891160631</v>
      </c>
      <c r="F882" s="11" t="s">
        <v>46</v>
      </c>
      <c r="G882" s="11" t="s">
        <v>280</v>
      </c>
      <c r="H882" s="11">
        <v>66</v>
      </c>
      <c r="I882" s="12">
        <v>43259</v>
      </c>
      <c r="J882" s="2">
        <v>5</v>
      </c>
      <c r="K882" s="11">
        <v>1165201009788</v>
      </c>
      <c r="L882" s="11" t="s">
        <v>2142</v>
      </c>
      <c r="M882" s="11" t="s">
        <v>27</v>
      </c>
      <c r="N882" s="12">
        <v>43255</v>
      </c>
      <c r="O882" s="12">
        <v>43255</v>
      </c>
      <c r="P882" s="11">
        <v>5</v>
      </c>
      <c r="Q882" s="11" t="s">
        <v>303</v>
      </c>
    </row>
    <row r="883" spans="1:17" ht="13" hidden="1" x14ac:dyDescent="0.15">
      <c r="A883" s="10">
        <v>43262.453299456014</v>
      </c>
      <c r="B883" s="11" t="s">
        <v>2144</v>
      </c>
      <c r="C883" s="11">
        <v>449</v>
      </c>
      <c r="D883" s="11" t="s">
        <v>2145</v>
      </c>
      <c r="E883" s="11">
        <v>9400253042</v>
      </c>
      <c r="F883" s="11" t="s">
        <v>270</v>
      </c>
      <c r="G883" s="11" t="s">
        <v>2146</v>
      </c>
      <c r="H883" s="11">
        <v>20</v>
      </c>
      <c r="I883" s="12">
        <v>43255</v>
      </c>
      <c r="J883" s="2">
        <v>5</v>
      </c>
      <c r="K883" s="11">
        <v>1156190000928</v>
      </c>
      <c r="L883" s="11" t="s">
        <v>2147</v>
      </c>
      <c r="M883" s="11" t="s">
        <v>27</v>
      </c>
      <c r="N883" s="12">
        <v>43231</v>
      </c>
      <c r="O883" s="12">
        <v>43231</v>
      </c>
      <c r="P883" s="11">
        <v>5</v>
      </c>
      <c r="Q883" s="11" t="s">
        <v>1051</v>
      </c>
    </row>
    <row r="884" spans="1:17" ht="13" hidden="1" x14ac:dyDescent="0.15">
      <c r="A884" s="10">
        <v>43262.47901181713</v>
      </c>
      <c r="B884" s="11" t="s">
        <v>371</v>
      </c>
      <c r="C884" s="11">
        <v>1158</v>
      </c>
      <c r="D884" s="11" t="s">
        <v>2148</v>
      </c>
      <c r="E884" s="11">
        <v>8547564126</v>
      </c>
      <c r="F884" s="11" t="s">
        <v>73</v>
      </c>
      <c r="G884" s="11" t="s">
        <v>215</v>
      </c>
      <c r="H884" s="11">
        <v>27</v>
      </c>
      <c r="I884" s="12">
        <v>43256</v>
      </c>
      <c r="J884" s="2">
        <v>3</v>
      </c>
      <c r="K884" s="11">
        <v>1145872000152</v>
      </c>
      <c r="L884" s="11" t="s">
        <v>2149</v>
      </c>
      <c r="M884" s="11" t="s">
        <v>27</v>
      </c>
      <c r="N884" s="12">
        <v>43256</v>
      </c>
      <c r="O884" s="12">
        <v>43256</v>
      </c>
      <c r="P884" s="11">
        <v>3</v>
      </c>
      <c r="Q884" s="11" t="s">
        <v>371</v>
      </c>
    </row>
    <row r="885" spans="1:17" ht="13" hidden="1" x14ac:dyDescent="0.15">
      <c r="A885" s="10">
        <v>43262.492841886575</v>
      </c>
      <c r="B885" s="11" t="s">
        <v>303</v>
      </c>
      <c r="C885" s="11">
        <v>769</v>
      </c>
      <c r="D885" s="11" t="s">
        <v>2150</v>
      </c>
      <c r="E885" s="11">
        <v>9449811781</v>
      </c>
      <c r="F885" s="11" t="s">
        <v>1124</v>
      </c>
      <c r="G885" s="11" t="s">
        <v>280</v>
      </c>
      <c r="H885" s="11">
        <v>66</v>
      </c>
      <c r="I885" s="12">
        <v>43271</v>
      </c>
      <c r="J885" s="2">
        <v>3</v>
      </c>
      <c r="K885" s="11">
        <v>1167007001477</v>
      </c>
      <c r="L885" s="11" t="s">
        <v>2151</v>
      </c>
      <c r="M885" s="11" t="s">
        <v>27</v>
      </c>
      <c r="N885" s="12">
        <v>43186</v>
      </c>
      <c r="O885" s="12">
        <v>43186</v>
      </c>
      <c r="P885" s="11">
        <v>3</v>
      </c>
      <c r="Q885" s="11" t="s">
        <v>303</v>
      </c>
    </row>
    <row r="886" spans="1:17" ht="13" hidden="1" x14ac:dyDescent="0.15">
      <c r="A886" s="10">
        <v>43262.496653703703</v>
      </c>
      <c r="B886" s="11" t="s">
        <v>2152</v>
      </c>
      <c r="C886" s="11">
        <v>765</v>
      </c>
      <c r="D886" s="11" t="s">
        <v>2153</v>
      </c>
      <c r="E886" s="11">
        <v>9447252415</v>
      </c>
      <c r="F886" s="11" t="s">
        <v>35</v>
      </c>
      <c r="G886" s="11" t="s">
        <v>2154</v>
      </c>
      <c r="H886" s="11">
        <v>64</v>
      </c>
      <c r="I886" s="12">
        <v>43200</v>
      </c>
      <c r="J886" s="2">
        <v>3</v>
      </c>
      <c r="K886" s="11">
        <v>1155484018012</v>
      </c>
      <c r="L886" s="11" t="s">
        <v>2155</v>
      </c>
      <c r="M886" s="11" t="s">
        <v>27</v>
      </c>
      <c r="N886" s="12">
        <v>43262</v>
      </c>
      <c r="O886" s="12">
        <v>43262</v>
      </c>
      <c r="P886" s="11">
        <v>3</v>
      </c>
      <c r="Q886" s="11" t="s">
        <v>2152</v>
      </c>
    </row>
    <row r="887" spans="1:17" ht="13" hidden="1" x14ac:dyDescent="0.15">
      <c r="A887" s="10">
        <v>43262.514765949076</v>
      </c>
      <c r="B887" s="11" t="s">
        <v>303</v>
      </c>
      <c r="C887" s="11">
        <v>812</v>
      </c>
      <c r="D887" s="11" t="s">
        <v>2156</v>
      </c>
      <c r="E887" s="11">
        <v>7012162995</v>
      </c>
      <c r="F887" s="11" t="s">
        <v>35</v>
      </c>
      <c r="G887" s="11" t="s">
        <v>654</v>
      </c>
      <c r="H887" s="11">
        <v>66</v>
      </c>
      <c r="I887" s="12">
        <v>43251</v>
      </c>
      <c r="J887" s="2">
        <v>3</v>
      </c>
      <c r="K887" s="11">
        <v>1156024034421</v>
      </c>
      <c r="L887" s="11" t="s">
        <v>533</v>
      </c>
      <c r="M887" s="11" t="s">
        <v>27</v>
      </c>
      <c r="N887" s="12">
        <v>43203</v>
      </c>
      <c r="O887" s="12">
        <v>43203</v>
      </c>
      <c r="P887" s="11">
        <v>3</v>
      </c>
      <c r="Q887" s="11" t="s">
        <v>303</v>
      </c>
    </row>
    <row r="888" spans="1:17" ht="13" hidden="1" x14ac:dyDescent="0.15">
      <c r="A888" s="10">
        <v>43262.518161423606</v>
      </c>
      <c r="B888" s="11" t="s">
        <v>303</v>
      </c>
      <c r="C888" s="11">
        <v>817</v>
      </c>
      <c r="D888" s="11" t="s">
        <v>2157</v>
      </c>
      <c r="E888" s="11">
        <v>7012162995</v>
      </c>
      <c r="F888" s="11" t="s">
        <v>35</v>
      </c>
      <c r="G888" s="11" t="s">
        <v>280</v>
      </c>
      <c r="H888" s="11">
        <v>66</v>
      </c>
      <c r="I888" s="12">
        <v>43251</v>
      </c>
      <c r="J888" s="2">
        <v>3</v>
      </c>
      <c r="K888" s="11">
        <v>1156028015216</v>
      </c>
      <c r="L888" s="11" t="s">
        <v>533</v>
      </c>
      <c r="M888" s="11" t="s">
        <v>27</v>
      </c>
      <c r="N888" s="12">
        <v>43203</v>
      </c>
      <c r="O888" s="12">
        <v>43203</v>
      </c>
      <c r="P888" s="11">
        <v>3</v>
      </c>
      <c r="Q888" s="11" t="s">
        <v>303</v>
      </c>
    </row>
    <row r="889" spans="1:17" ht="13" hidden="1" x14ac:dyDescent="0.15">
      <c r="A889" s="10">
        <v>43262.524271898146</v>
      </c>
      <c r="B889" s="11" t="s">
        <v>303</v>
      </c>
      <c r="C889" s="11">
        <v>881</v>
      </c>
      <c r="D889" s="11" t="s">
        <v>2158</v>
      </c>
      <c r="E889" s="11">
        <v>7012162995</v>
      </c>
      <c r="F889" s="11" t="s">
        <v>35</v>
      </c>
      <c r="G889" s="11" t="s">
        <v>280</v>
      </c>
      <c r="H889" s="11">
        <v>66</v>
      </c>
      <c r="I889" s="12">
        <v>43251</v>
      </c>
      <c r="J889" s="2">
        <v>3</v>
      </c>
      <c r="K889" s="11">
        <v>1155659012738</v>
      </c>
      <c r="L889" s="11" t="s">
        <v>1680</v>
      </c>
      <c r="M889" s="11" t="s">
        <v>27</v>
      </c>
      <c r="N889" s="12">
        <v>43224</v>
      </c>
      <c r="O889" s="12">
        <v>43224</v>
      </c>
      <c r="P889" s="11">
        <v>3</v>
      </c>
      <c r="Q889" s="11" t="s">
        <v>303</v>
      </c>
    </row>
    <row r="890" spans="1:17" ht="13" hidden="1" x14ac:dyDescent="0.15">
      <c r="A890" s="10">
        <v>43262.526452858801</v>
      </c>
      <c r="B890" s="11" t="s">
        <v>303</v>
      </c>
      <c r="C890" s="11">
        <v>985</v>
      </c>
      <c r="D890" s="11" t="s">
        <v>2160</v>
      </c>
      <c r="E890" s="11">
        <v>7012162995</v>
      </c>
      <c r="F890" s="11" t="s">
        <v>35</v>
      </c>
      <c r="G890" s="11" t="s">
        <v>280</v>
      </c>
      <c r="H890" s="11">
        <v>66</v>
      </c>
      <c r="I890" s="12">
        <v>43251</v>
      </c>
      <c r="J890" s="2">
        <v>3</v>
      </c>
      <c r="K890" s="11">
        <v>1156028005012</v>
      </c>
      <c r="L890" s="11" t="s">
        <v>533</v>
      </c>
      <c r="M890" s="11" t="s">
        <v>27</v>
      </c>
      <c r="N890" s="12">
        <v>43216</v>
      </c>
      <c r="O890" s="12">
        <v>43216</v>
      </c>
      <c r="P890" s="11">
        <v>3</v>
      </c>
      <c r="Q890" s="11" t="s">
        <v>303</v>
      </c>
    </row>
    <row r="891" spans="1:17" ht="13" hidden="1" x14ac:dyDescent="0.15">
      <c r="A891" s="10">
        <v>43262.530417974536</v>
      </c>
      <c r="B891" s="11" t="s">
        <v>142</v>
      </c>
      <c r="C891" s="11">
        <v>294</v>
      </c>
      <c r="D891" s="11" t="s">
        <v>2161</v>
      </c>
      <c r="E891" s="11">
        <v>9526991110</v>
      </c>
      <c r="F891" s="11" t="s">
        <v>35</v>
      </c>
      <c r="G891" s="11" t="s">
        <v>36</v>
      </c>
      <c r="H891" s="11">
        <v>20</v>
      </c>
      <c r="I891" s="12">
        <v>43167</v>
      </c>
      <c r="J891" s="2">
        <v>3</v>
      </c>
      <c r="K891" s="11">
        <v>1155360006531</v>
      </c>
      <c r="L891" s="11" t="s">
        <v>1479</v>
      </c>
      <c r="M891" s="11" t="s">
        <v>27</v>
      </c>
      <c r="N891" s="12">
        <v>43167</v>
      </c>
      <c r="O891" s="12">
        <v>43167</v>
      </c>
      <c r="P891" s="11">
        <v>3</v>
      </c>
      <c r="Q891" s="11" t="s">
        <v>142</v>
      </c>
    </row>
    <row r="892" spans="1:17" ht="13" hidden="1" x14ac:dyDescent="0.15">
      <c r="A892" s="10">
        <v>43262.535120474538</v>
      </c>
      <c r="B892" s="11" t="s">
        <v>142</v>
      </c>
      <c r="C892" s="11">
        <v>516</v>
      </c>
      <c r="D892" s="11" t="s">
        <v>2162</v>
      </c>
      <c r="E892" s="11">
        <v>9526991110</v>
      </c>
      <c r="F892" s="11" t="s">
        <v>35</v>
      </c>
      <c r="G892" s="11" t="s">
        <v>36</v>
      </c>
      <c r="H892" s="11">
        <v>20</v>
      </c>
      <c r="I892" s="12">
        <v>43179</v>
      </c>
      <c r="J892" s="2">
        <v>3</v>
      </c>
      <c r="K892" s="11">
        <v>1155422009799</v>
      </c>
      <c r="L892" s="11" t="s">
        <v>510</v>
      </c>
      <c r="M892" s="11" t="s">
        <v>27</v>
      </c>
      <c r="N892" s="12">
        <v>43179</v>
      </c>
      <c r="O892" s="12">
        <v>43179</v>
      </c>
      <c r="P892" s="11">
        <v>3</v>
      </c>
      <c r="Q892" s="11" t="s">
        <v>142</v>
      </c>
    </row>
    <row r="893" spans="1:17" ht="13" hidden="1" x14ac:dyDescent="0.15">
      <c r="A893" s="10">
        <v>43262.549662106481</v>
      </c>
      <c r="B893" s="11" t="s">
        <v>2163</v>
      </c>
      <c r="C893" s="11">
        <v>1042</v>
      </c>
      <c r="D893" s="11" t="s">
        <v>2164</v>
      </c>
      <c r="E893" s="11">
        <v>8547339264</v>
      </c>
      <c r="F893" s="11" t="s">
        <v>56</v>
      </c>
      <c r="G893" s="11" t="s">
        <v>2165</v>
      </c>
      <c r="H893" s="11">
        <v>30</v>
      </c>
      <c r="I893" s="12">
        <v>43229</v>
      </c>
      <c r="J893" s="2">
        <v>2</v>
      </c>
      <c r="K893" s="11">
        <v>1146463001458</v>
      </c>
      <c r="L893" s="11" t="s">
        <v>2166</v>
      </c>
      <c r="M893" s="11" t="s">
        <v>27</v>
      </c>
      <c r="N893" s="12">
        <v>43202</v>
      </c>
      <c r="O893" s="12">
        <v>43202</v>
      </c>
      <c r="P893" s="11">
        <v>2</v>
      </c>
      <c r="Q893" s="11" t="s">
        <v>2163</v>
      </c>
    </row>
    <row r="894" spans="1:17" ht="13" hidden="1" x14ac:dyDescent="0.15">
      <c r="A894" s="10">
        <v>43262.550384884264</v>
      </c>
      <c r="B894" s="11" t="s">
        <v>1132</v>
      </c>
      <c r="C894" s="11">
        <v>646</v>
      </c>
      <c r="D894" s="11" t="s">
        <v>2167</v>
      </c>
      <c r="E894" s="11">
        <v>9497714979</v>
      </c>
      <c r="F894" s="11" t="s">
        <v>266</v>
      </c>
      <c r="G894" s="11" t="s">
        <v>1981</v>
      </c>
      <c r="H894" s="11">
        <v>20</v>
      </c>
      <c r="I894" s="12">
        <v>43230</v>
      </c>
      <c r="J894" s="2">
        <v>5</v>
      </c>
      <c r="K894" s="11">
        <v>1165950032462</v>
      </c>
      <c r="L894" s="11">
        <v>6595</v>
      </c>
      <c r="M894" s="11" t="s">
        <v>27</v>
      </c>
      <c r="N894" s="12">
        <v>43164</v>
      </c>
      <c r="O894" s="12">
        <v>43164</v>
      </c>
      <c r="P894" s="11">
        <v>5</v>
      </c>
      <c r="Q894" s="11" t="s">
        <v>1132</v>
      </c>
    </row>
    <row r="895" spans="1:17" ht="13" hidden="1" x14ac:dyDescent="0.15">
      <c r="A895" s="10">
        <v>43262.550805868057</v>
      </c>
      <c r="B895" s="11" t="s">
        <v>142</v>
      </c>
      <c r="C895" s="11">
        <v>175</v>
      </c>
      <c r="D895" s="11" t="s">
        <v>2168</v>
      </c>
      <c r="E895" s="11">
        <v>9526991110</v>
      </c>
      <c r="F895" s="11" t="s">
        <v>35</v>
      </c>
      <c r="G895" s="11" t="s">
        <v>36</v>
      </c>
      <c r="H895" s="11">
        <v>20</v>
      </c>
      <c r="I895" s="12">
        <v>43180</v>
      </c>
      <c r="J895" s="2">
        <v>3</v>
      </c>
      <c r="K895" s="11">
        <v>1155885019792</v>
      </c>
      <c r="L895" s="11" t="s">
        <v>1609</v>
      </c>
      <c r="M895" s="11" t="s">
        <v>27</v>
      </c>
      <c r="N895" s="12">
        <v>43175</v>
      </c>
      <c r="O895" s="12">
        <v>43175</v>
      </c>
      <c r="P895" s="11">
        <v>3</v>
      </c>
      <c r="Q895" s="11" t="s">
        <v>142</v>
      </c>
    </row>
    <row r="896" spans="1:17" ht="13" hidden="1" x14ac:dyDescent="0.15">
      <c r="A896" s="10">
        <v>43262.555202291667</v>
      </c>
      <c r="B896" s="11" t="s">
        <v>142</v>
      </c>
      <c r="C896" s="11">
        <v>685</v>
      </c>
      <c r="D896" s="11" t="s">
        <v>2170</v>
      </c>
      <c r="E896" s="11">
        <v>9526992221</v>
      </c>
      <c r="F896" s="11" t="s">
        <v>35</v>
      </c>
      <c r="G896" s="11" t="s">
        <v>36</v>
      </c>
      <c r="H896" s="11">
        <v>20</v>
      </c>
      <c r="I896" s="12">
        <v>43218</v>
      </c>
      <c r="J896" s="2">
        <v>5</v>
      </c>
      <c r="K896" s="11">
        <v>1155537018488</v>
      </c>
      <c r="L896" s="11" t="s">
        <v>2171</v>
      </c>
      <c r="M896" s="11" t="s">
        <v>27</v>
      </c>
      <c r="N896" s="12">
        <v>43216</v>
      </c>
      <c r="O896" s="12">
        <v>43216</v>
      </c>
      <c r="P896" s="11">
        <v>5</v>
      </c>
      <c r="Q896" s="11" t="s">
        <v>142</v>
      </c>
    </row>
    <row r="897" spans="1:17" ht="13" hidden="1" x14ac:dyDescent="0.15">
      <c r="A897" s="10">
        <v>43262.566060335652</v>
      </c>
      <c r="B897" s="11" t="s">
        <v>2172</v>
      </c>
      <c r="C897" s="11">
        <v>775</v>
      </c>
      <c r="D897" s="11" t="s">
        <v>2173</v>
      </c>
      <c r="E897" s="11">
        <v>9526992221</v>
      </c>
      <c r="F897" s="11" t="s">
        <v>35</v>
      </c>
      <c r="G897" s="11" t="s">
        <v>36</v>
      </c>
      <c r="H897" s="11">
        <v>20</v>
      </c>
      <c r="I897" s="12">
        <v>43187</v>
      </c>
      <c r="J897" s="2">
        <v>5</v>
      </c>
      <c r="K897" s="11">
        <v>1155448022869</v>
      </c>
      <c r="L897" s="11" t="s">
        <v>37</v>
      </c>
      <c r="M897" s="11" t="s">
        <v>27</v>
      </c>
      <c r="N897" s="12">
        <v>43186</v>
      </c>
      <c r="O897" s="12">
        <v>43186</v>
      </c>
      <c r="P897" s="11">
        <v>5</v>
      </c>
      <c r="Q897" s="11" t="s">
        <v>142</v>
      </c>
    </row>
    <row r="898" spans="1:17" ht="13" hidden="1" x14ac:dyDescent="0.15">
      <c r="A898" s="10">
        <v>43262.567808784719</v>
      </c>
      <c r="B898" s="11" t="s">
        <v>1132</v>
      </c>
      <c r="C898" s="11">
        <v>978</v>
      </c>
      <c r="D898" s="11" t="s">
        <v>2174</v>
      </c>
      <c r="E898" s="11">
        <v>9947999241</v>
      </c>
      <c r="F898" s="11" t="s">
        <v>266</v>
      </c>
      <c r="G898" s="11" t="s">
        <v>36</v>
      </c>
      <c r="H898" s="11">
        <v>20</v>
      </c>
      <c r="I898" s="12">
        <v>43203</v>
      </c>
      <c r="J898" s="2">
        <v>3</v>
      </c>
      <c r="K898" s="11">
        <v>1166228013407</v>
      </c>
      <c r="L898" s="11">
        <v>6622</v>
      </c>
      <c r="M898" s="11" t="s">
        <v>27</v>
      </c>
      <c r="N898" s="12">
        <v>43196</v>
      </c>
      <c r="O898" s="12">
        <v>43203</v>
      </c>
      <c r="P898" s="11">
        <v>3</v>
      </c>
      <c r="Q898" s="11" t="s">
        <v>1132</v>
      </c>
    </row>
    <row r="899" spans="1:17" ht="13" hidden="1" x14ac:dyDescent="0.15">
      <c r="A899" s="10">
        <v>43262.568800520836</v>
      </c>
      <c r="B899" s="11" t="s">
        <v>2144</v>
      </c>
      <c r="C899" s="11">
        <v>448</v>
      </c>
      <c r="D899" s="11" t="s">
        <v>2175</v>
      </c>
      <c r="E899" s="11">
        <v>9400253042</v>
      </c>
      <c r="F899" s="11" t="s">
        <v>270</v>
      </c>
      <c r="G899" s="11" t="s">
        <v>1049</v>
      </c>
      <c r="H899" s="11">
        <v>20</v>
      </c>
      <c r="I899" s="12">
        <v>43255</v>
      </c>
      <c r="J899" s="2">
        <v>5</v>
      </c>
      <c r="K899" s="11">
        <v>1156199000554</v>
      </c>
      <c r="L899" s="11" t="s">
        <v>1050</v>
      </c>
      <c r="M899" s="11" t="s">
        <v>27</v>
      </c>
      <c r="N899" s="12">
        <v>43231</v>
      </c>
      <c r="O899" s="12">
        <v>43231</v>
      </c>
      <c r="P899" s="11">
        <v>5</v>
      </c>
      <c r="Q899" s="11" t="s">
        <v>1051</v>
      </c>
    </row>
    <row r="900" spans="1:17" ht="13" hidden="1" x14ac:dyDescent="0.15">
      <c r="A900" s="10">
        <v>43262.569892384257</v>
      </c>
      <c r="B900" s="11" t="s">
        <v>142</v>
      </c>
      <c r="C900" s="11">
        <v>1235</v>
      </c>
      <c r="D900" s="11" t="s">
        <v>2176</v>
      </c>
      <c r="E900" s="11">
        <v>9526991110</v>
      </c>
      <c r="F900" s="11" t="s">
        <v>35</v>
      </c>
      <c r="G900" s="11" t="s">
        <v>36</v>
      </c>
      <c r="H900" s="11">
        <v>20</v>
      </c>
      <c r="I900" s="12">
        <v>43250</v>
      </c>
      <c r="J900" s="2">
        <v>3</v>
      </c>
      <c r="K900" s="11">
        <v>1155692026180</v>
      </c>
      <c r="L900" s="11" t="s">
        <v>1091</v>
      </c>
      <c r="M900" s="11" t="s">
        <v>27</v>
      </c>
      <c r="N900" s="12">
        <v>43239</v>
      </c>
      <c r="O900" s="12">
        <v>43239</v>
      </c>
      <c r="P900" s="11">
        <v>3</v>
      </c>
      <c r="Q900" s="11" t="s">
        <v>142</v>
      </c>
    </row>
    <row r="901" spans="1:17" ht="13" hidden="1" x14ac:dyDescent="0.15">
      <c r="A901" s="10">
        <v>43262.57447496528</v>
      </c>
      <c r="B901" s="11" t="s">
        <v>2177</v>
      </c>
      <c r="C901" s="11">
        <v>933</v>
      </c>
      <c r="D901" s="11" t="s">
        <v>2178</v>
      </c>
      <c r="E901" s="11">
        <v>9526991110</v>
      </c>
      <c r="F901" s="11" t="s">
        <v>35</v>
      </c>
      <c r="G901" s="11" t="s">
        <v>36</v>
      </c>
      <c r="H901" s="11">
        <v>20</v>
      </c>
      <c r="I901" s="12">
        <v>43194</v>
      </c>
      <c r="J901" s="2">
        <v>3</v>
      </c>
      <c r="K901" s="11">
        <v>1155477016838</v>
      </c>
      <c r="L901" s="11" t="s">
        <v>887</v>
      </c>
      <c r="M901" s="11" t="s">
        <v>27</v>
      </c>
      <c r="N901" s="12">
        <v>43192</v>
      </c>
      <c r="O901" s="12">
        <v>43192</v>
      </c>
      <c r="P901" s="11">
        <v>3</v>
      </c>
      <c r="Q901" s="11" t="s">
        <v>142</v>
      </c>
    </row>
    <row r="902" spans="1:17" ht="13" hidden="1" x14ac:dyDescent="0.15">
      <c r="A902" s="10">
        <v>43262.575957210647</v>
      </c>
      <c r="B902" s="11" t="s">
        <v>1132</v>
      </c>
      <c r="C902" s="11">
        <v>910</v>
      </c>
      <c r="D902" s="11" t="s">
        <v>2180</v>
      </c>
      <c r="E902" s="11">
        <v>9947999241</v>
      </c>
      <c r="F902" s="11" t="s">
        <v>266</v>
      </c>
      <c r="G902" s="11" t="s">
        <v>36</v>
      </c>
      <c r="H902" s="11">
        <v>20</v>
      </c>
      <c r="I902" s="12">
        <v>43231</v>
      </c>
      <c r="J902" s="2">
        <v>5</v>
      </c>
      <c r="K902" s="11">
        <v>1167517010892</v>
      </c>
      <c r="L902" s="11">
        <v>6751</v>
      </c>
      <c r="M902" s="11" t="s">
        <v>27</v>
      </c>
      <c r="N902" s="12">
        <v>43216</v>
      </c>
      <c r="O902" s="12">
        <v>43221</v>
      </c>
      <c r="P902" s="11">
        <v>5</v>
      </c>
      <c r="Q902" s="11" t="s">
        <v>1132</v>
      </c>
    </row>
    <row r="903" spans="1:17" ht="13" hidden="1" x14ac:dyDescent="0.15">
      <c r="A903" s="10">
        <v>43262.580940532411</v>
      </c>
      <c r="B903" s="11" t="s">
        <v>1132</v>
      </c>
      <c r="C903" s="11">
        <v>979</v>
      </c>
      <c r="D903" s="11" t="s">
        <v>2181</v>
      </c>
      <c r="E903" s="11">
        <v>9947999241</v>
      </c>
      <c r="F903" s="11" t="s">
        <v>266</v>
      </c>
      <c r="G903" s="11" t="s">
        <v>1981</v>
      </c>
      <c r="H903" s="11">
        <v>20</v>
      </c>
      <c r="I903" s="12">
        <v>43259</v>
      </c>
      <c r="J903" s="2">
        <v>3</v>
      </c>
      <c r="K903" s="11">
        <v>4004243</v>
      </c>
      <c r="L903" s="11">
        <v>6601</v>
      </c>
      <c r="M903" s="11" t="s">
        <v>27</v>
      </c>
      <c r="N903" s="12">
        <v>43256</v>
      </c>
      <c r="O903" s="12">
        <v>43258</v>
      </c>
      <c r="P903" s="11">
        <v>3</v>
      </c>
      <c r="Q903" s="11" t="s">
        <v>1132</v>
      </c>
    </row>
    <row r="904" spans="1:17" ht="13" hidden="1" x14ac:dyDescent="0.15">
      <c r="A904" s="10">
        <v>43262.589764699078</v>
      </c>
      <c r="B904" s="11" t="s">
        <v>1132</v>
      </c>
      <c r="C904" s="11">
        <v>975</v>
      </c>
      <c r="D904" s="11" t="s">
        <v>2182</v>
      </c>
      <c r="E904" s="11">
        <v>9562003335</v>
      </c>
      <c r="F904" s="11" t="s">
        <v>266</v>
      </c>
      <c r="G904" s="11" t="s">
        <v>36</v>
      </c>
      <c r="H904" s="11">
        <v>20</v>
      </c>
      <c r="I904" s="12">
        <v>43238</v>
      </c>
      <c r="J904" s="2">
        <v>3</v>
      </c>
      <c r="K904" s="11">
        <v>1166367000056</v>
      </c>
      <c r="L904" s="11">
        <v>6636</v>
      </c>
      <c r="M904" s="11" t="s">
        <v>27</v>
      </c>
      <c r="N904" s="12">
        <v>43176</v>
      </c>
      <c r="O904" s="12">
        <v>43187</v>
      </c>
      <c r="P904" s="11">
        <v>3</v>
      </c>
      <c r="Q904" s="11" t="s">
        <v>1132</v>
      </c>
    </row>
    <row r="905" spans="1:17" ht="13" hidden="1" x14ac:dyDescent="0.15">
      <c r="A905" s="10">
        <v>43262.594517708334</v>
      </c>
      <c r="B905" s="11" t="s">
        <v>1132</v>
      </c>
      <c r="C905" s="11">
        <v>510</v>
      </c>
      <c r="D905" s="11" t="s">
        <v>2183</v>
      </c>
      <c r="E905" s="11">
        <v>9947999241</v>
      </c>
      <c r="F905" s="11" t="s">
        <v>266</v>
      </c>
      <c r="G905" s="11" t="s">
        <v>36</v>
      </c>
      <c r="H905" s="11">
        <v>20</v>
      </c>
      <c r="I905" s="12">
        <v>43230</v>
      </c>
      <c r="J905" s="2">
        <v>3</v>
      </c>
      <c r="K905" s="11">
        <v>1165977013984</v>
      </c>
      <c r="L905" s="11">
        <v>6597</v>
      </c>
      <c r="M905" s="11" t="s">
        <v>27</v>
      </c>
      <c r="N905" s="12">
        <v>43210</v>
      </c>
      <c r="O905" s="12">
        <v>43212</v>
      </c>
      <c r="P905" s="11">
        <v>3</v>
      </c>
      <c r="Q905" s="11" t="s">
        <v>1132</v>
      </c>
    </row>
    <row r="906" spans="1:17" ht="13" hidden="1" x14ac:dyDescent="0.15">
      <c r="A906" s="10">
        <v>43262.598615196759</v>
      </c>
      <c r="B906" s="11" t="s">
        <v>142</v>
      </c>
      <c r="C906" s="11">
        <v>454</v>
      </c>
      <c r="D906" s="11" t="s">
        <v>2184</v>
      </c>
      <c r="E906" s="11">
        <v>9526991110</v>
      </c>
      <c r="F906" s="11" t="s">
        <v>35</v>
      </c>
      <c r="G906" s="11" t="s">
        <v>36</v>
      </c>
      <c r="H906" s="11">
        <v>20</v>
      </c>
      <c r="I906" s="12">
        <v>43188</v>
      </c>
      <c r="J906" s="2">
        <v>5</v>
      </c>
      <c r="K906" s="11">
        <v>1155423012490</v>
      </c>
      <c r="L906" s="11" t="s">
        <v>510</v>
      </c>
      <c r="M906" s="11" t="s">
        <v>27</v>
      </c>
      <c r="N906" s="12">
        <v>43181</v>
      </c>
      <c r="O906" s="12">
        <v>43181</v>
      </c>
      <c r="P906" s="11">
        <v>5</v>
      </c>
      <c r="Q906" s="11" t="s">
        <v>142</v>
      </c>
    </row>
    <row r="907" spans="1:17" ht="13" hidden="1" x14ac:dyDescent="0.15">
      <c r="A907" s="10">
        <v>43262.643506643522</v>
      </c>
      <c r="B907" s="11" t="s">
        <v>2186</v>
      </c>
      <c r="C907" s="11">
        <v>894</v>
      </c>
      <c r="D907" s="11" t="s">
        <v>2187</v>
      </c>
      <c r="E907" s="11">
        <v>9037416434</v>
      </c>
      <c r="F907" s="11" t="s">
        <v>182</v>
      </c>
      <c r="G907" s="11" t="s">
        <v>280</v>
      </c>
      <c r="H907" s="11">
        <v>66</v>
      </c>
      <c r="I907" s="12">
        <v>43260</v>
      </c>
      <c r="J907" s="2">
        <v>3</v>
      </c>
      <c r="K907" s="11">
        <v>1165707004862</v>
      </c>
      <c r="L907" s="11" t="s">
        <v>2188</v>
      </c>
      <c r="M907" s="11" t="s">
        <v>27</v>
      </c>
      <c r="N907" s="12">
        <v>43242</v>
      </c>
      <c r="O907" s="12">
        <v>43242</v>
      </c>
      <c r="P907" s="11">
        <v>3</v>
      </c>
      <c r="Q907" s="11" t="s">
        <v>303</v>
      </c>
    </row>
    <row r="908" spans="1:17" ht="13" hidden="1" x14ac:dyDescent="0.15">
      <c r="A908" s="10">
        <v>43262.655203726856</v>
      </c>
      <c r="B908" s="11" t="s">
        <v>206</v>
      </c>
      <c r="C908" s="11">
        <v>679</v>
      </c>
      <c r="D908" s="11" t="s">
        <v>2189</v>
      </c>
      <c r="E908" s="11">
        <v>8078213924</v>
      </c>
      <c r="F908" s="11" t="s">
        <v>35</v>
      </c>
      <c r="G908" s="11" t="s">
        <v>2190</v>
      </c>
      <c r="H908" s="11">
        <v>38</v>
      </c>
      <c r="I908" s="12">
        <v>43257</v>
      </c>
      <c r="J908" s="2">
        <v>5</v>
      </c>
      <c r="K908" s="11">
        <v>637</v>
      </c>
      <c r="L908" s="11" t="s">
        <v>2191</v>
      </c>
      <c r="M908" s="11" t="s">
        <v>27</v>
      </c>
      <c r="N908" s="12">
        <v>43217</v>
      </c>
      <c r="O908" s="12">
        <v>43217</v>
      </c>
      <c r="P908" s="11">
        <v>5</v>
      </c>
      <c r="Q908" s="11" t="s">
        <v>206</v>
      </c>
    </row>
    <row r="909" spans="1:17" ht="13" hidden="1" x14ac:dyDescent="0.15">
      <c r="A909" s="10">
        <v>43262.664432013888</v>
      </c>
      <c r="B909" s="11" t="s">
        <v>1132</v>
      </c>
      <c r="C909" s="11">
        <v>556</v>
      </c>
      <c r="D909" s="11" t="s">
        <v>2192</v>
      </c>
      <c r="E909" s="11">
        <v>7736246146</v>
      </c>
      <c r="F909" s="11" t="s">
        <v>266</v>
      </c>
      <c r="G909" s="11" t="s">
        <v>36</v>
      </c>
      <c r="H909" s="11">
        <v>20</v>
      </c>
      <c r="I909" s="12">
        <v>43245</v>
      </c>
      <c r="J909" s="2">
        <v>25</v>
      </c>
      <c r="K909" s="11">
        <v>1166333009126</v>
      </c>
      <c r="L909" s="11">
        <v>6633</v>
      </c>
      <c r="M909" s="11" t="s">
        <v>27</v>
      </c>
      <c r="N909" s="12">
        <v>43249</v>
      </c>
      <c r="O909" s="12">
        <v>43251</v>
      </c>
      <c r="P909" s="11">
        <v>25</v>
      </c>
      <c r="Q909" s="11" t="s">
        <v>1132</v>
      </c>
    </row>
    <row r="910" spans="1:17" ht="13" hidden="1" x14ac:dyDescent="0.15">
      <c r="A910" s="10">
        <v>43262.682759317133</v>
      </c>
      <c r="B910" s="11" t="s">
        <v>1769</v>
      </c>
      <c r="C910" s="11">
        <v>876</v>
      </c>
      <c r="D910" s="11" t="s">
        <v>2193</v>
      </c>
      <c r="E910" s="11">
        <v>9946034777</v>
      </c>
      <c r="F910" s="11" t="s">
        <v>73</v>
      </c>
      <c r="G910" s="11" t="s">
        <v>2194</v>
      </c>
      <c r="H910" s="11">
        <v>22</v>
      </c>
      <c r="I910" s="12">
        <v>43262</v>
      </c>
      <c r="J910" s="2">
        <v>15</v>
      </c>
      <c r="K910" s="11">
        <v>1145957035261</v>
      </c>
      <c r="L910" s="11" t="s">
        <v>2195</v>
      </c>
      <c r="M910" s="11" t="s">
        <v>27</v>
      </c>
      <c r="N910" s="12">
        <v>43261</v>
      </c>
      <c r="O910" s="12">
        <v>43261</v>
      </c>
      <c r="P910" s="11">
        <v>15</v>
      </c>
      <c r="Q910" s="11" t="s">
        <v>1769</v>
      </c>
    </row>
    <row r="911" spans="1:17" ht="13" hidden="1" x14ac:dyDescent="0.15">
      <c r="A911" s="10">
        <v>43262.688158622681</v>
      </c>
      <c r="B911" s="11" t="s">
        <v>1132</v>
      </c>
      <c r="C911" s="11">
        <v>493</v>
      </c>
      <c r="D911" s="11" t="s">
        <v>2196</v>
      </c>
      <c r="E911" s="11">
        <v>9497714979</v>
      </c>
      <c r="F911" s="11" t="s">
        <v>266</v>
      </c>
      <c r="G911" s="11" t="s">
        <v>36</v>
      </c>
      <c r="H911" s="11">
        <v>20</v>
      </c>
      <c r="I911" s="12">
        <v>43262</v>
      </c>
      <c r="J911" s="2">
        <v>3</v>
      </c>
      <c r="K911" s="11">
        <v>1166033018044</v>
      </c>
      <c r="L911" s="11">
        <v>6603</v>
      </c>
      <c r="M911" s="11" t="s">
        <v>27</v>
      </c>
      <c r="N911" s="12">
        <v>43260</v>
      </c>
      <c r="O911" s="12">
        <v>43260</v>
      </c>
      <c r="P911" s="11">
        <v>3</v>
      </c>
      <c r="Q911" s="11" t="s">
        <v>1132</v>
      </c>
    </row>
    <row r="912" spans="1:17" ht="13" hidden="1" x14ac:dyDescent="0.15">
      <c r="A912" s="10">
        <v>43262.691648622684</v>
      </c>
      <c r="B912" s="11" t="s">
        <v>1132</v>
      </c>
      <c r="C912" s="11">
        <v>914</v>
      </c>
      <c r="D912" s="11" t="s">
        <v>2197</v>
      </c>
      <c r="E912" s="11">
        <v>9497714979</v>
      </c>
      <c r="F912" s="11" t="s">
        <v>266</v>
      </c>
      <c r="G912" s="11" t="s">
        <v>36</v>
      </c>
      <c r="H912" s="11">
        <v>20</v>
      </c>
      <c r="I912" s="12">
        <v>43256</v>
      </c>
      <c r="J912" s="2">
        <v>5</v>
      </c>
      <c r="K912" s="11">
        <v>10560</v>
      </c>
      <c r="L912" s="11">
        <v>6608</v>
      </c>
      <c r="M912" s="11" t="s">
        <v>27</v>
      </c>
      <c r="N912" s="12">
        <v>43257</v>
      </c>
      <c r="O912" s="12">
        <v>43258</v>
      </c>
      <c r="P912" s="11">
        <v>5</v>
      </c>
      <c r="Q912" s="11" t="s">
        <v>1132</v>
      </c>
    </row>
    <row r="913" spans="1:17" ht="13" hidden="1" x14ac:dyDescent="0.15">
      <c r="A913" s="10">
        <v>43262.693078495373</v>
      </c>
      <c r="B913" s="11" t="s">
        <v>1465</v>
      </c>
      <c r="C913" s="11">
        <v>1045</v>
      </c>
      <c r="D913" s="11" t="s">
        <v>2198</v>
      </c>
      <c r="E913" s="11">
        <v>7558882999</v>
      </c>
      <c r="F913" s="11" t="s">
        <v>56</v>
      </c>
      <c r="G913" s="11" t="s">
        <v>1134</v>
      </c>
      <c r="H913" s="11">
        <v>20</v>
      </c>
      <c r="I913" s="12">
        <v>43237</v>
      </c>
      <c r="J913" s="2">
        <v>50</v>
      </c>
      <c r="K913" s="11">
        <v>1346460001901</v>
      </c>
      <c r="L913" s="11" t="s">
        <v>2199</v>
      </c>
      <c r="M913" s="11" t="s">
        <v>27</v>
      </c>
      <c r="N913" s="12">
        <v>43236</v>
      </c>
      <c r="O913" s="12">
        <v>43236</v>
      </c>
      <c r="P913" s="11">
        <v>50</v>
      </c>
      <c r="Q913" s="11" t="s">
        <v>1465</v>
      </c>
    </row>
    <row r="914" spans="1:17" ht="13" hidden="1" x14ac:dyDescent="0.15">
      <c r="A914" s="10">
        <v>43262.69703599537</v>
      </c>
      <c r="B914" s="11" t="s">
        <v>1132</v>
      </c>
      <c r="C914" s="11">
        <v>514</v>
      </c>
      <c r="D914" s="11" t="s">
        <v>2200</v>
      </c>
      <c r="E914" s="11">
        <v>9947999241</v>
      </c>
      <c r="F914" s="11" t="s">
        <v>266</v>
      </c>
      <c r="G914" s="11" t="s">
        <v>36</v>
      </c>
      <c r="H914" s="11">
        <v>20</v>
      </c>
      <c r="I914" s="12">
        <v>43258</v>
      </c>
      <c r="J914" s="2">
        <v>5</v>
      </c>
      <c r="K914" s="11">
        <v>1166303000476</v>
      </c>
      <c r="L914" s="11">
        <v>6630</v>
      </c>
      <c r="M914" s="11" t="s">
        <v>27</v>
      </c>
      <c r="N914" s="12">
        <v>43214</v>
      </c>
      <c r="O914" s="12">
        <v>43246</v>
      </c>
      <c r="P914" s="11">
        <v>5</v>
      </c>
      <c r="Q914" s="11" t="s">
        <v>1132</v>
      </c>
    </row>
    <row r="915" spans="1:17" ht="13" hidden="1" x14ac:dyDescent="0.15">
      <c r="A915" s="10">
        <v>43262.69764914352</v>
      </c>
      <c r="B915" s="11" t="s">
        <v>371</v>
      </c>
      <c r="C915" s="11">
        <v>1134</v>
      </c>
      <c r="D915" s="11" t="s">
        <v>2201</v>
      </c>
      <c r="E915" s="11">
        <v>8547564126</v>
      </c>
      <c r="F915" s="11" t="s">
        <v>30</v>
      </c>
      <c r="G915" s="11" t="s">
        <v>215</v>
      </c>
      <c r="H915" s="11">
        <v>27</v>
      </c>
      <c r="I915" s="12">
        <v>43265</v>
      </c>
      <c r="J915" s="2">
        <v>3</v>
      </c>
      <c r="K915" s="11">
        <v>1156804013818</v>
      </c>
      <c r="L915" s="11" t="s">
        <v>300</v>
      </c>
      <c r="M915" s="11" t="s">
        <v>27</v>
      </c>
      <c r="N915" s="12">
        <v>43265</v>
      </c>
      <c r="O915" s="12">
        <v>43265</v>
      </c>
      <c r="P915" s="11">
        <v>3</v>
      </c>
      <c r="Q915" s="11" t="s">
        <v>371</v>
      </c>
    </row>
    <row r="916" spans="1:17" ht="13" hidden="1" x14ac:dyDescent="0.15">
      <c r="A916" s="10">
        <v>43262.703014027778</v>
      </c>
      <c r="B916" s="11" t="s">
        <v>1465</v>
      </c>
      <c r="C916" s="11">
        <v>1148</v>
      </c>
      <c r="D916" s="11" t="s">
        <v>2202</v>
      </c>
      <c r="E916" s="11">
        <v>7558881999</v>
      </c>
      <c r="F916" s="11" t="s">
        <v>56</v>
      </c>
      <c r="G916" s="11" t="s">
        <v>36</v>
      </c>
      <c r="H916" s="11">
        <v>20</v>
      </c>
      <c r="I916" s="12">
        <v>43236</v>
      </c>
      <c r="J916" s="2">
        <v>5</v>
      </c>
      <c r="K916" s="11">
        <v>1146292001368</v>
      </c>
      <c r="L916" s="11" t="s">
        <v>2203</v>
      </c>
      <c r="M916" s="11" t="s">
        <v>27</v>
      </c>
      <c r="N916" s="12">
        <v>43238</v>
      </c>
      <c r="O916" s="12">
        <v>43238</v>
      </c>
      <c r="P916" s="11">
        <v>5</v>
      </c>
      <c r="Q916" s="11" t="s">
        <v>1465</v>
      </c>
    </row>
    <row r="917" spans="1:17" ht="13" hidden="1" x14ac:dyDescent="0.15">
      <c r="A917" s="10">
        <v>43262.703290520833</v>
      </c>
      <c r="B917" s="11" t="s">
        <v>2204</v>
      </c>
      <c r="C917" s="11">
        <v>876</v>
      </c>
      <c r="D917" s="11" t="s">
        <v>2205</v>
      </c>
      <c r="E917" s="11">
        <v>9946034777</v>
      </c>
      <c r="F917" s="11" t="s">
        <v>56</v>
      </c>
      <c r="G917" s="11" t="s">
        <v>2206</v>
      </c>
      <c r="H917" s="11">
        <v>22</v>
      </c>
      <c r="I917" s="12">
        <v>43262</v>
      </c>
      <c r="J917" s="2">
        <v>15</v>
      </c>
      <c r="K917" s="11">
        <v>1146355012877</v>
      </c>
      <c r="L917" s="11" t="s">
        <v>2207</v>
      </c>
      <c r="M917" s="11" t="s">
        <v>27</v>
      </c>
      <c r="N917" s="12">
        <v>43256</v>
      </c>
      <c r="O917" s="12">
        <v>43256</v>
      </c>
      <c r="P917" s="11">
        <v>15</v>
      </c>
      <c r="Q917" s="11" t="s">
        <v>2204</v>
      </c>
    </row>
    <row r="918" spans="1:17" ht="13" hidden="1" x14ac:dyDescent="0.15">
      <c r="A918" s="10">
        <v>43262.707283217591</v>
      </c>
      <c r="B918" s="11" t="s">
        <v>1465</v>
      </c>
      <c r="C918" s="11">
        <v>1149</v>
      </c>
      <c r="D918" s="11" t="s">
        <v>2209</v>
      </c>
      <c r="E918" s="11">
        <v>7558881999</v>
      </c>
      <c r="F918" s="11" t="s">
        <v>56</v>
      </c>
      <c r="G918" s="11" t="s">
        <v>36</v>
      </c>
      <c r="H918" s="11">
        <v>20</v>
      </c>
      <c r="I918" s="12">
        <v>43238</v>
      </c>
      <c r="J918" s="2">
        <v>3</v>
      </c>
      <c r="K918" s="11">
        <v>1146493013464</v>
      </c>
      <c r="L918" s="11" t="s">
        <v>2210</v>
      </c>
      <c r="M918" s="11" t="s">
        <v>27</v>
      </c>
      <c r="N918" s="12">
        <v>43231</v>
      </c>
      <c r="O918" s="12">
        <v>43231</v>
      </c>
      <c r="P918" s="11">
        <v>3</v>
      </c>
      <c r="Q918" s="11" t="s">
        <v>1465</v>
      </c>
    </row>
    <row r="919" spans="1:17" ht="13" hidden="1" x14ac:dyDescent="0.15">
      <c r="A919" s="10">
        <v>43262.707332673614</v>
      </c>
      <c r="B919" s="11" t="s">
        <v>303</v>
      </c>
      <c r="C919" s="11">
        <v>1185</v>
      </c>
      <c r="D919" s="11" t="s">
        <v>2211</v>
      </c>
      <c r="E919" s="11">
        <v>7559966183</v>
      </c>
      <c r="F919" s="11" t="s">
        <v>266</v>
      </c>
      <c r="G919" s="11" t="s">
        <v>280</v>
      </c>
      <c r="H919" s="11">
        <v>66</v>
      </c>
      <c r="I919" s="12">
        <v>43262</v>
      </c>
      <c r="J919" s="2">
        <v>3</v>
      </c>
      <c r="K919" s="11">
        <v>1166194021628</v>
      </c>
      <c r="L919" s="11" t="s">
        <v>2212</v>
      </c>
      <c r="M919" s="11" t="s">
        <v>27</v>
      </c>
      <c r="N919" s="12">
        <v>43238</v>
      </c>
      <c r="O919" s="12">
        <v>43238</v>
      </c>
      <c r="P919" s="11">
        <v>3</v>
      </c>
      <c r="Q919" s="11" t="s">
        <v>303</v>
      </c>
    </row>
    <row r="920" spans="1:17" ht="13" hidden="1" x14ac:dyDescent="0.15">
      <c r="A920" s="10">
        <v>43262.710220208333</v>
      </c>
      <c r="B920" s="11" t="s">
        <v>1465</v>
      </c>
      <c r="C920" s="11">
        <v>1191</v>
      </c>
      <c r="D920" s="11" t="s">
        <v>2213</v>
      </c>
      <c r="E920" s="11">
        <v>7558881999</v>
      </c>
      <c r="F920" s="11" t="s">
        <v>56</v>
      </c>
      <c r="G920" s="11" t="s">
        <v>36</v>
      </c>
      <c r="H920" s="11">
        <v>20</v>
      </c>
      <c r="I920" s="12">
        <v>43243</v>
      </c>
      <c r="J920" s="2">
        <v>3</v>
      </c>
      <c r="K920" s="11">
        <v>1157070001022</v>
      </c>
      <c r="L920" s="11" t="s">
        <v>2214</v>
      </c>
      <c r="M920" s="11" t="s">
        <v>27</v>
      </c>
      <c r="N920" s="12">
        <v>43242</v>
      </c>
      <c r="O920" s="12">
        <v>43242</v>
      </c>
      <c r="P920" s="11">
        <v>3</v>
      </c>
      <c r="Q920" s="11" t="s">
        <v>1465</v>
      </c>
    </row>
    <row r="921" spans="1:17" ht="13" hidden="1" x14ac:dyDescent="0.15">
      <c r="A921" s="10">
        <v>43262.994717835652</v>
      </c>
      <c r="B921" s="11" t="s">
        <v>142</v>
      </c>
      <c r="C921" s="11">
        <v>828</v>
      </c>
      <c r="D921" s="11" t="s">
        <v>2215</v>
      </c>
      <c r="E921" s="11">
        <v>9526991110</v>
      </c>
      <c r="F921" s="11" t="s">
        <v>35</v>
      </c>
      <c r="G921" s="11" t="s">
        <v>36</v>
      </c>
      <c r="H921" s="11">
        <v>20</v>
      </c>
      <c r="I921" s="12">
        <v>43228</v>
      </c>
      <c r="J921" s="2">
        <v>10</v>
      </c>
      <c r="K921" s="11">
        <v>1155576025258</v>
      </c>
      <c r="L921" s="11" t="s">
        <v>2130</v>
      </c>
      <c r="M921" s="11" t="s">
        <v>27</v>
      </c>
      <c r="N921" s="12">
        <v>43201</v>
      </c>
      <c r="O921" s="12">
        <v>43201</v>
      </c>
      <c r="P921" s="11">
        <v>10</v>
      </c>
      <c r="Q921" s="11" t="s">
        <v>142</v>
      </c>
    </row>
    <row r="922" spans="1:17" ht="13" hidden="1" x14ac:dyDescent="0.15">
      <c r="A922" s="10">
        <v>43263.329606574072</v>
      </c>
      <c r="B922" s="11" t="s">
        <v>340</v>
      </c>
      <c r="C922" s="11">
        <v>606</v>
      </c>
      <c r="D922" s="11" t="s">
        <v>2216</v>
      </c>
      <c r="E922" s="11">
        <v>9400020127</v>
      </c>
      <c r="F922" s="11" t="s">
        <v>35</v>
      </c>
      <c r="G922" s="11" t="s">
        <v>2217</v>
      </c>
      <c r="H922" s="11">
        <v>56</v>
      </c>
      <c r="I922" s="12">
        <v>43238</v>
      </c>
      <c r="J922" s="2">
        <v>2</v>
      </c>
      <c r="K922" s="11">
        <v>1156020005418</v>
      </c>
      <c r="L922" s="11" t="s">
        <v>533</v>
      </c>
      <c r="M922" s="11" t="s">
        <v>27</v>
      </c>
      <c r="N922" s="12">
        <v>43193</v>
      </c>
      <c r="O922" s="12">
        <v>43193</v>
      </c>
      <c r="P922" s="11">
        <v>2</v>
      </c>
      <c r="Q922" s="11" t="s">
        <v>340</v>
      </c>
    </row>
    <row r="923" spans="1:17" ht="13" hidden="1" x14ac:dyDescent="0.15">
      <c r="A923" s="10">
        <v>43263.342961562499</v>
      </c>
      <c r="B923" s="11" t="s">
        <v>2218</v>
      </c>
      <c r="C923" s="11">
        <v>836</v>
      </c>
      <c r="D923" s="11" t="s">
        <v>2219</v>
      </c>
      <c r="E923" s="11">
        <v>9048615833</v>
      </c>
      <c r="F923" s="11" t="s">
        <v>1124</v>
      </c>
      <c r="G923" s="11" t="s">
        <v>2220</v>
      </c>
      <c r="H923" s="11">
        <v>20</v>
      </c>
      <c r="I923" s="12">
        <v>43263</v>
      </c>
      <c r="J923" s="2">
        <v>20</v>
      </c>
      <c r="K923" s="11">
        <v>1166788012772</v>
      </c>
      <c r="L923" s="11" t="s">
        <v>2221</v>
      </c>
      <c r="M923" s="11" t="s">
        <v>27</v>
      </c>
      <c r="N923" s="12">
        <v>43249</v>
      </c>
      <c r="O923" s="12">
        <v>43250</v>
      </c>
      <c r="P923" s="11">
        <v>20</v>
      </c>
      <c r="Q923" s="11" t="s">
        <v>2218</v>
      </c>
    </row>
    <row r="924" spans="1:17" ht="13" hidden="1" x14ac:dyDescent="0.15">
      <c r="A924" s="10">
        <v>43263.375401249999</v>
      </c>
      <c r="B924" s="11" t="s">
        <v>1578</v>
      </c>
      <c r="C924" s="11">
        <v>13</v>
      </c>
      <c r="D924" s="11" t="s">
        <v>1579</v>
      </c>
      <c r="E924" s="11">
        <v>9442768435</v>
      </c>
      <c r="F924" s="11" t="s">
        <v>182</v>
      </c>
      <c r="G924" s="11" t="s">
        <v>36</v>
      </c>
      <c r="H924" s="11">
        <v>20</v>
      </c>
      <c r="I924" s="12">
        <v>43185</v>
      </c>
      <c r="J924" s="2">
        <v>3</v>
      </c>
      <c r="K924" s="11">
        <v>1165433021399</v>
      </c>
      <c r="L924" s="11" t="s">
        <v>2222</v>
      </c>
      <c r="M924" s="11" t="s">
        <v>27</v>
      </c>
      <c r="N924" s="12">
        <v>43183</v>
      </c>
      <c r="O924" s="12">
        <v>43183</v>
      </c>
      <c r="P924" s="11">
        <v>3</v>
      </c>
      <c r="Q924" s="11" t="s">
        <v>1578</v>
      </c>
    </row>
    <row r="925" spans="1:17" ht="13" hidden="1" x14ac:dyDescent="0.15">
      <c r="A925" s="10">
        <v>43263.391910949074</v>
      </c>
      <c r="B925" s="11" t="s">
        <v>1578</v>
      </c>
      <c r="C925" s="11">
        <v>206</v>
      </c>
      <c r="D925" s="14" t="s">
        <v>2223</v>
      </c>
      <c r="E925" s="11">
        <v>9447268435</v>
      </c>
      <c r="F925" s="11" t="s">
        <v>182</v>
      </c>
      <c r="G925" s="11" t="s">
        <v>36</v>
      </c>
      <c r="H925" s="11">
        <v>20</v>
      </c>
      <c r="I925" s="12">
        <v>43217</v>
      </c>
      <c r="J925" s="2">
        <v>10</v>
      </c>
      <c r="K925" s="11">
        <v>1165565028206</v>
      </c>
      <c r="L925" s="11" t="s">
        <v>2224</v>
      </c>
      <c r="M925" s="11" t="s">
        <v>27</v>
      </c>
      <c r="N925" s="12">
        <v>43209</v>
      </c>
      <c r="O925" s="12">
        <v>43209</v>
      </c>
      <c r="P925" s="11">
        <v>10</v>
      </c>
      <c r="Q925" s="11" t="s">
        <v>1578</v>
      </c>
    </row>
    <row r="926" spans="1:17" ht="13" hidden="1" x14ac:dyDescent="0.15">
      <c r="A926" s="10">
        <v>43263.395928622689</v>
      </c>
      <c r="B926" s="11" t="s">
        <v>1578</v>
      </c>
      <c r="C926" s="11">
        <v>207</v>
      </c>
      <c r="D926" s="11" t="s">
        <v>2225</v>
      </c>
      <c r="E926" s="11">
        <v>9447268435</v>
      </c>
      <c r="F926" s="11" t="s">
        <v>182</v>
      </c>
      <c r="G926" s="11" t="s">
        <v>36</v>
      </c>
      <c r="H926" s="11">
        <v>20</v>
      </c>
      <c r="I926" s="12">
        <v>43220</v>
      </c>
      <c r="J926" s="2">
        <v>10</v>
      </c>
      <c r="K926" s="11">
        <v>1165432023043</v>
      </c>
      <c r="L926" s="11" t="s">
        <v>2222</v>
      </c>
      <c r="M926" s="11" t="s">
        <v>27</v>
      </c>
      <c r="N926" s="12">
        <v>43183</v>
      </c>
      <c r="O926" s="12">
        <v>43183</v>
      </c>
      <c r="P926" s="11">
        <v>10</v>
      </c>
      <c r="Q926" s="11" t="s">
        <v>1578</v>
      </c>
    </row>
    <row r="927" spans="1:17" ht="13" hidden="1" x14ac:dyDescent="0.15">
      <c r="A927" s="10">
        <v>43263.404170902781</v>
      </c>
      <c r="B927" s="11" t="s">
        <v>1578</v>
      </c>
      <c r="C927" s="11">
        <v>1154</v>
      </c>
      <c r="D927" s="11" t="s">
        <v>2226</v>
      </c>
      <c r="E927" s="11">
        <v>9447268435</v>
      </c>
      <c r="F927" s="11" t="s">
        <v>182</v>
      </c>
      <c r="G927" s="11" t="s">
        <v>36</v>
      </c>
      <c r="H927" s="11">
        <v>20</v>
      </c>
      <c r="I927" s="12">
        <v>43208</v>
      </c>
      <c r="J927" s="2">
        <v>3</v>
      </c>
      <c r="K927" s="11">
        <v>1165542026389</v>
      </c>
      <c r="L927" s="11" t="s">
        <v>2227</v>
      </c>
      <c r="M927" s="11" t="s">
        <v>27</v>
      </c>
      <c r="N927" s="12">
        <v>43188</v>
      </c>
      <c r="O927" s="12">
        <v>43188</v>
      </c>
      <c r="P927" s="11">
        <v>3</v>
      </c>
      <c r="Q927" s="11" t="s">
        <v>1578</v>
      </c>
    </row>
    <row r="928" spans="1:17" ht="13" hidden="1" x14ac:dyDescent="0.15">
      <c r="A928" s="10">
        <v>43263.418378541668</v>
      </c>
      <c r="B928" s="11" t="s">
        <v>1578</v>
      </c>
      <c r="C928" s="11">
        <v>928</v>
      </c>
      <c r="D928" s="11" t="s">
        <v>2228</v>
      </c>
      <c r="E928" s="11">
        <v>9447268435</v>
      </c>
      <c r="F928" s="11" t="s">
        <v>182</v>
      </c>
      <c r="G928" s="11" t="s">
        <v>36</v>
      </c>
      <c r="H928" s="11">
        <v>20</v>
      </c>
      <c r="I928" s="12">
        <v>43189</v>
      </c>
      <c r="J928" s="2">
        <v>3</v>
      </c>
      <c r="K928" s="11">
        <v>1165552032224</v>
      </c>
      <c r="L928" s="11" t="s">
        <v>1038</v>
      </c>
      <c r="M928" s="11" t="s">
        <v>27</v>
      </c>
      <c r="N928" s="12">
        <v>43241</v>
      </c>
      <c r="O928" s="12">
        <v>43241</v>
      </c>
      <c r="P928" s="11">
        <v>3</v>
      </c>
      <c r="Q928" s="11" t="s">
        <v>1578</v>
      </c>
    </row>
    <row r="929" spans="1:17" ht="13" hidden="1" x14ac:dyDescent="0.15">
      <c r="A929" s="10">
        <v>43263.422610138892</v>
      </c>
      <c r="B929" s="11" t="s">
        <v>1578</v>
      </c>
      <c r="C929" s="11">
        <v>1151</v>
      </c>
      <c r="D929" s="11" t="s">
        <v>2229</v>
      </c>
      <c r="E929" s="11">
        <v>9447268435</v>
      </c>
      <c r="F929" s="11" t="s">
        <v>182</v>
      </c>
      <c r="G929" s="11" t="s">
        <v>36</v>
      </c>
      <c r="H929" s="11">
        <v>20</v>
      </c>
      <c r="I929" s="12">
        <v>43241</v>
      </c>
      <c r="J929" s="2">
        <v>5</v>
      </c>
      <c r="K929" s="11">
        <v>1167106016575</v>
      </c>
      <c r="L929" s="11" t="s">
        <v>2230</v>
      </c>
      <c r="M929" s="11" t="s">
        <v>27</v>
      </c>
      <c r="N929" s="12">
        <v>43224</v>
      </c>
      <c r="O929" s="12">
        <v>43224</v>
      </c>
      <c r="P929" s="11">
        <v>5</v>
      </c>
      <c r="Q929" s="11" t="s">
        <v>1578</v>
      </c>
    </row>
    <row r="930" spans="1:17" ht="13" hidden="1" x14ac:dyDescent="0.15">
      <c r="A930" s="10">
        <v>43263.426379224533</v>
      </c>
      <c r="B930" s="11" t="s">
        <v>303</v>
      </c>
      <c r="C930" s="11">
        <v>1121</v>
      </c>
      <c r="D930" s="11" t="s">
        <v>2231</v>
      </c>
      <c r="E930" s="11">
        <v>7012610990</v>
      </c>
      <c r="F930" s="11" t="s">
        <v>287</v>
      </c>
      <c r="G930" s="11" t="s">
        <v>280</v>
      </c>
      <c r="H930" s="11">
        <v>66</v>
      </c>
      <c r="I930" s="12">
        <v>43262</v>
      </c>
      <c r="J930" s="2">
        <v>3</v>
      </c>
      <c r="K930" s="11">
        <v>1166518005060</v>
      </c>
      <c r="L930" s="11" t="s">
        <v>2233</v>
      </c>
      <c r="M930" s="11" t="s">
        <v>27</v>
      </c>
      <c r="N930" s="12">
        <v>43223</v>
      </c>
      <c r="O930" s="12">
        <v>43223</v>
      </c>
      <c r="P930" s="11">
        <v>3</v>
      </c>
      <c r="Q930" s="11" t="s">
        <v>303</v>
      </c>
    </row>
    <row r="931" spans="1:17" ht="13" hidden="1" x14ac:dyDescent="0.15">
      <c r="A931" s="10">
        <v>43263.427211064816</v>
      </c>
      <c r="B931" s="11" t="s">
        <v>1578</v>
      </c>
      <c r="C931" s="11">
        <v>929</v>
      </c>
      <c r="D931" s="14" t="s">
        <v>2234</v>
      </c>
      <c r="E931" s="11">
        <v>9447268435</v>
      </c>
      <c r="F931" s="11" t="s">
        <v>182</v>
      </c>
      <c r="G931" s="11" t="s">
        <v>36</v>
      </c>
      <c r="H931" s="11">
        <v>20</v>
      </c>
      <c r="I931" s="12">
        <v>43250</v>
      </c>
      <c r="J931" s="2">
        <v>3</v>
      </c>
      <c r="K931" s="11">
        <v>1167108014286</v>
      </c>
      <c r="L931" s="11" t="s">
        <v>2230</v>
      </c>
      <c r="M931" s="11" t="s">
        <v>27</v>
      </c>
      <c r="N931" s="12">
        <v>43224</v>
      </c>
      <c r="O931" s="12">
        <v>43224</v>
      </c>
      <c r="P931" s="11">
        <v>5</v>
      </c>
      <c r="Q931" s="11" t="s">
        <v>1578</v>
      </c>
    </row>
    <row r="932" spans="1:17" ht="13" hidden="1" x14ac:dyDescent="0.15">
      <c r="A932" s="10">
        <v>43263.428680034718</v>
      </c>
      <c r="B932" s="11" t="s">
        <v>2235</v>
      </c>
      <c r="C932" s="11">
        <v>414</v>
      </c>
      <c r="D932" s="11" t="s">
        <v>2236</v>
      </c>
      <c r="E932" s="11">
        <v>9496386298</v>
      </c>
      <c r="F932" s="11" t="s">
        <v>1558</v>
      </c>
      <c r="G932" s="11" t="s">
        <v>2237</v>
      </c>
      <c r="H932" s="11">
        <v>20</v>
      </c>
      <c r="I932" s="12">
        <v>43221</v>
      </c>
      <c r="J932" s="2">
        <v>5</v>
      </c>
      <c r="K932" s="11">
        <v>1165869006206</v>
      </c>
      <c r="L932" s="11" t="s">
        <v>2238</v>
      </c>
      <c r="M932" s="11" t="s">
        <v>27</v>
      </c>
      <c r="N932" s="12">
        <v>43221</v>
      </c>
      <c r="O932" s="12">
        <v>43221</v>
      </c>
      <c r="P932" s="11">
        <v>5</v>
      </c>
      <c r="Q932" s="11" t="s">
        <v>2235</v>
      </c>
    </row>
    <row r="933" spans="1:17" ht="13" hidden="1" x14ac:dyDescent="0.15">
      <c r="A933" s="10">
        <v>43263.42888975695</v>
      </c>
      <c r="B933" s="11" t="s">
        <v>2239</v>
      </c>
      <c r="C933" s="11">
        <v>383</v>
      </c>
      <c r="D933" s="11" t="s">
        <v>2240</v>
      </c>
      <c r="E933" s="11">
        <v>9847361122</v>
      </c>
      <c r="F933" s="11" t="s">
        <v>35</v>
      </c>
      <c r="G933" s="11" t="s">
        <v>2241</v>
      </c>
      <c r="H933" s="11">
        <v>17</v>
      </c>
      <c r="I933" s="12">
        <v>43262</v>
      </c>
      <c r="J933" s="2">
        <v>5</v>
      </c>
      <c r="K933" s="11">
        <v>1155976028142</v>
      </c>
      <c r="L933" s="11" t="s">
        <v>2242</v>
      </c>
      <c r="M933" s="11" t="s">
        <v>27</v>
      </c>
      <c r="N933" s="12">
        <v>43084</v>
      </c>
      <c r="O933" s="12">
        <v>43084</v>
      </c>
      <c r="P933" s="11">
        <v>6</v>
      </c>
      <c r="Q933" s="11" t="s">
        <v>2243</v>
      </c>
    </row>
    <row r="934" spans="1:17" ht="13" hidden="1" x14ac:dyDescent="0.15">
      <c r="A934" s="10">
        <v>43263.432889652773</v>
      </c>
      <c r="B934" s="11" t="s">
        <v>2244</v>
      </c>
      <c r="C934" s="11">
        <v>416</v>
      </c>
      <c r="D934" s="11" t="s">
        <v>2245</v>
      </c>
      <c r="E934" s="11">
        <v>85470386389</v>
      </c>
      <c r="F934" s="11" t="s">
        <v>1558</v>
      </c>
      <c r="G934" s="11" t="s">
        <v>2237</v>
      </c>
      <c r="H934" s="11">
        <v>20</v>
      </c>
      <c r="I934" s="12">
        <v>43145</v>
      </c>
      <c r="J934" s="2">
        <v>20</v>
      </c>
      <c r="K934" s="11">
        <v>1165885002376</v>
      </c>
      <c r="L934" s="11" t="s">
        <v>2246</v>
      </c>
      <c r="M934" s="11" t="s">
        <v>27</v>
      </c>
      <c r="N934" s="12">
        <v>43259</v>
      </c>
      <c r="O934" s="12">
        <v>43259</v>
      </c>
      <c r="P934" s="11">
        <v>20</v>
      </c>
      <c r="Q934" s="11" t="s">
        <v>2244</v>
      </c>
    </row>
    <row r="935" spans="1:17" ht="13" hidden="1" x14ac:dyDescent="0.15">
      <c r="A935" s="10">
        <v>43263.436009039353</v>
      </c>
      <c r="B935" s="11" t="s">
        <v>1578</v>
      </c>
      <c r="C935" s="11">
        <v>1103</v>
      </c>
      <c r="D935" s="11" t="s">
        <v>2247</v>
      </c>
      <c r="E935" s="11">
        <v>9447268435</v>
      </c>
      <c r="F935" s="11" t="s">
        <v>182</v>
      </c>
      <c r="G935" s="11" t="s">
        <v>36</v>
      </c>
      <c r="H935" s="11">
        <v>20</v>
      </c>
      <c r="I935" s="12">
        <v>43251</v>
      </c>
      <c r="J935" s="2">
        <v>5</v>
      </c>
      <c r="K935" s="11">
        <v>1165627008710</v>
      </c>
      <c r="L935" s="11" t="s">
        <v>1523</v>
      </c>
      <c r="M935" s="11" t="s">
        <v>27</v>
      </c>
      <c r="N935" s="12">
        <v>43237</v>
      </c>
      <c r="O935" s="12">
        <v>43237</v>
      </c>
      <c r="P935" s="11">
        <v>5</v>
      </c>
      <c r="Q935" s="11" t="s">
        <v>1578</v>
      </c>
    </row>
    <row r="936" spans="1:17" ht="13" hidden="1" x14ac:dyDescent="0.15">
      <c r="A936" s="10">
        <v>43263.437446886572</v>
      </c>
      <c r="B936" s="11" t="s">
        <v>2248</v>
      </c>
      <c r="C936" s="11">
        <v>415</v>
      </c>
      <c r="D936" s="11" t="s">
        <v>2249</v>
      </c>
      <c r="E936" s="11">
        <v>9496386298</v>
      </c>
      <c r="F936" s="11" t="s">
        <v>1558</v>
      </c>
      <c r="G936" s="11" t="s">
        <v>2237</v>
      </c>
      <c r="H936" s="11">
        <v>20</v>
      </c>
      <c r="I936" s="12">
        <v>43157</v>
      </c>
      <c r="J936" s="2">
        <v>3</v>
      </c>
      <c r="K936" s="11">
        <v>1165900009628</v>
      </c>
      <c r="L936" s="11" t="s">
        <v>2250</v>
      </c>
      <c r="M936" s="11" t="s">
        <v>27</v>
      </c>
      <c r="N936" s="12">
        <v>43157</v>
      </c>
      <c r="O936" s="12">
        <v>43157</v>
      </c>
      <c r="P936" s="11">
        <v>3</v>
      </c>
      <c r="Q936" s="11" t="s">
        <v>2248</v>
      </c>
    </row>
    <row r="937" spans="1:17" ht="13" hidden="1" x14ac:dyDescent="0.15">
      <c r="A937" s="10">
        <v>43263.443439085648</v>
      </c>
      <c r="B937" s="11" t="s">
        <v>2251</v>
      </c>
      <c r="C937" s="11">
        <v>238</v>
      </c>
      <c r="D937" s="11" t="s">
        <v>2252</v>
      </c>
      <c r="E937" s="11">
        <v>8547038639</v>
      </c>
      <c r="F937" s="11" t="s">
        <v>1558</v>
      </c>
      <c r="G937" s="11" t="s">
        <v>2237</v>
      </c>
      <c r="H937" s="11">
        <v>20</v>
      </c>
      <c r="I937" s="12">
        <v>43171</v>
      </c>
      <c r="J937" s="2">
        <v>5</v>
      </c>
      <c r="K937" s="11">
        <v>1167207021311</v>
      </c>
      <c r="L937" s="11" t="s">
        <v>2253</v>
      </c>
      <c r="M937" s="11" t="s">
        <v>27</v>
      </c>
      <c r="N937" s="12">
        <v>43171</v>
      </c>
      <c r="O937" s="12">
        <v>43171</v>
      </c>
      <c r="P937" s="11">
        <v>5</v>
      </c>
      <c r="Q937" s="11" t="s">
        <v>2251</v>
      </c>
    </row>
    <row r="938" spans="1:17" ht="13" hidden="1" x14ac:dyDescent="0.15">
      <c r="A938" s="10">
        <v>43263.447744004632</v>
      </c>
      <c r="B938" s="11" t="s">
        <v>2254</v>
      </c>
      <c r="C938" s="11">
        <v>972</v>
      </c>
      <c r="D938" s="11" t="s">
        <v>2255</v>
      </c>
      <c r="E938" s="11">
        <v>9496386298</v>
      </c>
      <c r="F938" s="11" t="s">
        <v>1558</v>
      </c>
      <c r="G938" s="11" t="s">
        <v>36</v>
      </c>
      <c r="H938" s="11">
        <v>20</v>
      </c>
      <c r="I938" s="12">
        <v>43234</v>
      </c>
      <c r="J938" s="2">
        <v>10</v>
      </c>
      <c r="K938" s="11">
        <v>1165890017054</v>
      </c>
      <c r="L938" s="11" t="s">
        <v>1559</v>
      </c>
      <c r="M938" s="11" t="s">
        <v>27</v>
      </c>
      <c r="N938" s="12">
        <v>43234</v>
      </c>
      <c r="O938" s="12">
        <v>43234</v>
      </c>
      <c r="P938" s="11">
        <v>10</v>
      </c>
      <c r="Q938" s="11" t="s">
        <v>2254</v>
      </c>
    </row>
    <row r="939" spans="1:17" ht="13" hidden="1" x14ac:dyDescent="0.15">
      <c r="A939" s="10">
        <v>43263.450997372682</v>
      </c>
      <c r="B939" s="11" t="s">
        <v>1578</v>
      </c>
      <c r="C939" s="11">
        <v>1194</v>
      </c>
      <c r="D939" s="11" t="s">
        <v>2256</v>
      </c>
      <c r="E939" s="11">
        <v>9447268435</v>
      </c>
      <c r="F939" s="11" t="s">
        <v>182</v>
      </c>
      <c r="G939" s="11" t="s">
        <v>36</v>
      </c>
      <c r="H939" s="11">
        <v>20</v>
      </c>
      <c r="I939" s="12">
        <v>43225</v>
      </c>
      <c r="J939" s="2">
        <v>3</v>
      </c>
      <c r="K939" s="11">
        <v>1165496022351</v>
      </c>
      <c r="L939" s="11" t="s">
        <v>2257</v>
      </c>
      <c r="M939" s="11" t="s">
        <v>27</v>
      </c>
      <c r="N939" s="12">
        <v>43175</v>
      </c>
      <c r="O939" s="12">
        <v>43175</v>
      </c>
      <c r="P939" s="11">
        <v>3</v>
      </c>
      <c r="Q939" s="11" t="s">
        <v>1578</v>
      </c>
    </row>
    <row r="940" spans="1:17" ht="13" hidden="1" x14ac:dyDescent="0.15">
      <c r="A940" s="10">
        <v>43263.45638019676</v>
      </c>
      <c r="B940" s="11" t="s">
        <v>2258</v>
      </c>
      <c r="C940" s="11">
        <v>104</v>
      </c>
      <c r="D940" s="11" t="s">
        <v>2259</v>
      </c>
      <c r="E940" s="11">
        <v>8547038639</v>
      </c>
      <c r="F940" s="11" t="s">
        <v>1558</v>
      </c>
      <c r="G940" s="11" t="s">
        <v>36</v>
      </c>
      <c r="H940" s="11">
        <v>20</v>
      </c>
      <c r="I940" s="12">
        <v>43236</v>
      </c>
      <c r="J940" s="2">
        <v>20</v>
      </c>
      <c r="K940" s="11">
        <v>1165922000254</v>
      </c>
      <c r="L940" s="11" t="s">
        <v>2260</v>
      </c>
      <c r="M940" s="11" t="s">
        <v>27</v>
      </c>
      <c r="N940" s="12">
        <v>43236</v>
      </c>
      <c r="O940" s="12">
        <v>43236</v>
      </c>
      <c r="P940" s="11">
        <v>20</v>
      </c>
      <c r="Q940" s="11" t="s">
        <v>2258</v>
      </c>
    </row>
    <row r="941" spans="1:17" ht="13" hidden="1" x14ac:dyDescent="0.15">
      <c r="A941" s="10">
        <v>43263.468547569442</v>
      </c>
      <c r="B941" s="11" t="s">
        <v>2261</v>
      </c>
      <c r="C941" s="11">
        <v>973</v>
      </c>
      <c r="D941" s="11" t="s">
        <v>2262</v>
      </c>
      <c r="E941" s="11">
        <v>8547038639</v>
      </c>
      <c r="F941" s="11" t="s">
        <v>1558</v>
      </c>
      <c r="G941" s="11" t="s">
        <v>36</v>
      </c>
      <c r="H941" s="11">
        <v>20</v>
      </c>
      <c r="I941" s="12">
        <v>43238</v>
      </c>
      <c r="J941" s="2">
        <v>3</v>
      </c>
      <c r="K941" s="11">
        <v>1165863037373</v>
      </c>
      <c r="L941" s="11" t="s">
        <v>2263</v>
      </c>
      <c r="M941" s="11" t="s">
        <v>27</v>
      </c>
      <c r="N941" s="12">
        <v>43238</v>
      </c>
      <c r="O941" s="12">
        <v>43238</v>
      </c>
      <c r="P941" s="11">
        <v>3</v>
      </c>
      <c r="Q941" s="11" t="s">
        <v>2261</v>
      </c>
    </row>
    <row r="942" spans="1:17" ht="13" hidden="1" x14ac:dyDescent="0.15">
      <c r="A942" s="10">
        <v>43263.474775034723</v>
      </c>
      <c r="B942" s="11" t="s">
        <v>2264</v>
      </c>
      <c r="C942" s="11">
        <v>24</v>
      </c>
      <c r="D942" s="11" t="s">
        <v>2265</v>
      </c>
      <c r="E942" s="11">
        <v>9496386298</v>
      </c>
      <c r="F942" s="11" t="s">
        <v>1558</v>
      </c>
      <c r="G942" s="11" t="s">
        <v>36</v>
      </c>
      <c r="H942" s="11">
        <v>20</v>
      </c>
      <c r="I942" s="12">
        <v>43235</v>
      </c>
      <c r="J942" s="2">
        <v>30</v>
      </c>
      <c r="K942" s="11">
        <v>1165866013753</v>
      </c>
      <c r="L942" s="11" t="s">
        <v>2263</v>
      </c>
      <c r="M942" s="11" t="s">
        <v>27</v>
      </c>
      <c r="N942" s="12">
        <v>43454</v>
      </c>
      <c r="O942" s="12">
        <v>43454</v>
      </c>
      <c r="P942" s="11">
        <v>30</v>
      </c>
      <c r="Q942" s="11" t="s">
        <v>2264</v>
      </c>
    </row>
    <row r="943" spans="1:17" ht="13" hidden="1" x14ac:dyDescent="0.15">
      <c r="A943" s="10">
        <v>43263.486459270833</v>
      </c>
      <c r="B943" s="11" t="s">
        <v>2266</v>
      </c>
      <c r="C943" s="11">
        <v>291</v>
      </c>
      <c r="D943" s="11" t="s">
        <v>2267</v>
      </c>
      <c r="E943" s="11">
        <v>8086416676</v>
      </c>
      <c r="F943" s="11" t="s">
        <v>266</v>
      </c>
      <c r="G943" s="11" t="s">
        <v>36</v>
      </c>
      <c r="H943" s="11">
        <v>20</v>
      </c>
      <c r="I943" s="12">
        <v>43236</v>
      </c>
      <c r="J943" s="2">
        <v>5</v>
      </c>
      <c r="K943" s="11">
        <v>1166044016677</v>
      </c>
      <c r="L943" s="11">
        <v>6604</v>
      </c>
      <c r="M943" s="11" t="s">
        <v>27</v>
      </c>
      <c r="N943" s="12">
        <v>43213</v>
      </c>
      <c r="O943" s="12">
        <v>43217</v>
      </c>
      <c r="P943" s="11">
        <v>5</v>
      </c>
      <c r="Q943" s="11" t="s">
        <v>2266</v>
      </c>
    </row>
    <row r="944" spans="1:17" ht="13" hidden="1" x14ac:dyDescent="0.15">
      <c r="A944" s="10">
        <v>43263.495549803236</v>
      </c>
      <c r="B944" s="11" t="s">
        <v>1983</v>
      </c>
      <c r="C944" s="11">
        <v>274</v>
      </c>
      <c r="D944" s="11" t="s">
        <v>2269</v>
      </c>
      <c r="E944" s="11">
        <v>9947999241</v>
      </c>
      <c r="F944" s="11" t="s">
        <v>266</v>
      </c>
      <c r="G944" s="11" t="s">
        <v>36</v>
      </c>
      <c r="H944" s="11">
        <v>20</v>
      </c>
      <c r="I944" s="12">
        <v>43252</v>
      </c>
      <c r="J944" s="2">
        <v>20</v>
      </c>
      <c r="K944" s="11">
        <v>1166055018453</v>
      </c>
      <c r="L944" s="11">
        <v>6605</v>
      </c>
      <c r="M944" s="11" t="s">
        <v>27</v>
      </c>
      <c r="N944" s="12">
        <v>43212</v>
      </c>
      <c r="O944" s="12">
        <v>43216</v>
      </c>
      <c r="P944" s="11">
        <v>20</v>
      </c>
      <c r="Q944" s="11" t="s">
        <v>1983</v>
      </c>
    </row>
    <row r="945" spans="1:17" ht="13" hidden="1" x14ac:dyDescent="0.15">
      <c r="A945" s="10">
        <v>43263.503106608798</v>
      </c>
      <c r="B945" s="11" t="s">
        <v>1132</v>
      </c>
      <c r="C945" s="11">
        <v>9497714979</v>
      </c>
      <c r="D945" s="11">
        <v>1231</v>
      </c>
      <c r="E945" s="11">
        <v>9497714979</v>
      </c>
      <c r="F945" s="11" t="s">
        <v>266</v>
      </c>
      <c r="G945" s="11" t="s">
        <v>36</v>
      </c>
      <c r="H945" s="11">
        <v>20</v>
      </c>
      <c r="I945" s="12">
        <v>43250</v>
      </c>
      <c r="J945" s="2">
        <v>10</v>
      </c>
      <c r="K945" s="11">
        <v>116775003877</v>
      </c>
      <c r="L945" s="11">
        <v>6777</v>
      </c>
      <c r="M945" s="11" t="s">
        <v>27</v>
      </c>
      <c r="N945" s="12">
        <v>43236</v>
      </c>
      <c r="O945" s="12">
        <v>43237</v>
      </c>
      <c r="P945" s="11">
        <v>10</v>
      </c>
      <c r="Q945" s="11" t="s">
        <v>1132</v>
      </c>
    </row>
    <row r="946" spans="1:17" ht="13" hidden="1" x14ac:dyDescent="0.15">
      <c r="A946" s="10">
        <v>43263.503128159718</v>
      </c>
      <c r="B946" s="11" t="s">
        <v>1846</v>
      </c>
      <c r="C946" s="11">
        <v>1161</v>
      </c>
      <c r="D946" s="11" t="s">
        <v>2270</v>
      </c>
      <c r="E946" s="11">
        <v>9526023144</v>
      </c>
      <c r="F946" s="11" t="s">
        <v>56</v>
      </c>
      <c r="G946" s="11" t="s">
        <v>2271</v>
      </c>
      <c r="H946" s="11">
        <v>33</v>
      </c>
      <c r="I946" s="12">
        <v>43244</v>
      </c>
      <c r="J946" s="2">
        <v>3</v>
      </c>
      <c r="K946" s="11">
        <v>1156246003909</v>
      </c>
      <c r="L946" s="11" t="s">
        <v>585</v>
      </c>
      <c r="M946" s="11" t="s">
        <v>27</v>
      </c>
      <c r="N946" s="12">
        <v>43253</v>
      </c>
      <c r="O946" s="12">
        <v>43253</v>
      </c>
      <c r="P946" s="11">
        <v>3</v>
      </c>
      <c r="Q946" s="11" t="s">
        <v>1846</v>
      </c>
    </row>
    <row r="947" spans="1:17" ht="13" hidden="1" x14ac:dyDescent="0.15">
      <c r="A947" s="10">
        <v>43263.505402094903</v>
      </c>
      <c r="B947" s="11" t="s">
        <v>1132</v>
      </c>
      <c r="C947" s="11">
        <v>1231</v>
      </c>
      <c r="D947" s="11" t="s">
        <v>2272</v>
      </c>
      <c r="E947" s="11">
        <v>7736246146</v>
      </c>
      <c r="F947" s="11" t="s">
        <v>266</v>
      </c>
      <c r="G947" s="11" t="s">
        <v>36</v>
      </c>
      <c r="H947" s="11">
        <v>20</v>
      </c>
      <c r="I947" s="12">
        <v>43237</v>
      </c>
      <c r="J947" s="2">
        <v>10</v>
      </c>
      <c r="K947" s="11">
        <v>116775003877</v>
      </c>
      <c r="L947" s="11">
        <v>6777</v>
      </c>
      <c r="M947" s="11" t="s">
        <v>27</v>
      </c>
      <c r="N947" s="12">
        <v>43244</v>
      </c>
      <c r="O947" s="12">
        <v>43244</v>
      </c>
      <c r="P947" s="11">
        <v>10</v>
      </c>
      <c r="Q947" s="11" t="s">
        <v>1132</v>
      </c>
    </row>
    <row r="948" spans="1:17" ht="13" hidden="1" x14ac:dyDescent="0.15">
      <c r="A948" s="10">
        <v>43263.517438819443</v>
      </c>
      <c r="B948" s="11" t="s">
        <v>1578</v>
      </c>
      <c r="C948" s="11">
        <v>1156</v>
      </c>
      <c r="D948" s="11" t="s">
        <v>2273</v>
      </c>
      <c r="E948" s="11">
        <v>9447268435</v>
      </c>
      <c r="F948" s="11" t="s">
        <v>182</v>
      </c>
      <c r="G948" s="11" t="s">
        <v>2274</v>
      </c>
      <c r="H948" s="11">
        <v>20</v>
      </c>
      <c r="I948" s="12">
        <v>43241</v>
      </c>
      <c r="J948" s="2">
        <v>3</v>
      </c>
      <c r="K948" s="11">
        <v>1165438018931</v>
      </c>
      <c r="L948" s="11" t="s">
        <v>2222</v>
      </c>
      <c r="M948" s="11" t="s">
        <v>27</v>
      </c>
      <c r="N948" s="12">
        <v>43251</v>
      </c>
      <c r="O948" s="12">
        <v>43251</v>
      </c>
      <c r="P948" s="11">
        <v>3</v>
      </c>
      <c r="Q948" s="11" t="s">
        <v>1578</v>
      </c>
    </row>
    <row r="949" spans="1:17" ht="13" hidden="1" x14ac:dyDescent="0.15">
      <c r="A949" s="10">
        <v>43263.542189050924</v>
      </c>
      <c r="B949" s="11" t="s">
        <v>1578</v>
      </c>
      <c r="C949" s="11">
        <v>504</v>
      </c>
      <c r="D949" s="11" t="s">
        <v>2275</v>
      </c>
      <c r="E949" s="11">
        <v>9447268435</v>
      </c>
      <c r="F949" s="11" t="s">
        <v>182</v>
      </c>
      <c r="G949" s="11" t="s">
        <v>36</v>
      </c>
      <c r="H949" s="11">
        <v>20</v>
      </c>
      <c r="I949" s="12">
        <v>43241</v>
      </c>
      <c r="J949" s="2">
        <v>3</v>
      </c>
      <c r="K949" s="11">
        <v>1165762001602</v>
      </c>
      <c r="L949" s="11" t="s">
        <v>2276</v>
      </c>
      <c r="M949" s="11" t="s">
        <v>27</v>
      </c>
      <c r="N949" s="12">
        <v>43253</v>
      </c>
      <c r="O949" s="12">
        <v>43253</v>
      </c>
      <c r="P949" s="11">
        <v>3</v>
      </c>
      <c r="Q949" s="11" t="s">
        <v>1578</v>
      </c>
    </row>
    <row r="950" spans="1:17" ht="13" x14ac:dyDescent="0.15">
      <c r="A950" s="10">
        <v>43263.551691620371</v>
      </c>
      <c r="B950" s="11" t="s">
        <v>589</v>
      </c>
      <c r="C950" s="11">
        <v>367</v>
      </c>
      <c r="D950" s="11" t="s">
        <v>2277</v>
      </c>
      <c r="E950" s="11">
        <v>9645322221</v>
      </c>
      <c r="F950" s="11" t="s">
        <v>24</v>
      </c>
      <c r="G950" s="11" t="s">
        <v>369</v>
      </c>
      <c r="H950" s="11">
        <v>38</v>
      </c>
      <c r="I950" s="12">
        <v>43263</v>
      </c>
      <c r="J950" s="2">
        <v>3</v>
      </c>
      <c r="K950" s="11">
        <v>1145318025871</v>
      </c>
      <c r="L950" s="11" t="s">
        <v>572</v>
      </c>
      <c r="M950" s="11" t="s">
        <v>27</v>
      </c>
      <c r="N950" s="12">
        <v>43160</v>
      </c>
      <c r="O950" s="12">
        <v>43160</v>
      </c>
      <c r="P950" s="11">
        <v>3</v>
      </c>
      <c r="Q950" s="11" t="s">
        <v>589</v>
      </c>
    </row>
    <row r="951" spans="1:17" ht="13" hidden="1" x14ac:dyDescent="0.15">
      <c r="A951" s="10">
        <v>43263.556791689814</v>
      </c>
      <c r="B951" s="11" t="s">
        <v>303</v>
      </c>
      <c r="C951" s="11">
        <v>841</v>
      </c>
      <c r="D951" s="11" t="s">
        <v>2278</v>
      </c>
      <c r="E951" s="11">
        <v>9839559739</v>
      </c>
      <c r="F951" s="11" t="s">
        <v>266</v>
      </c>
      <c r="G951" s="11" t="s">
        <v>280</v>
      </c>
      <c r="H951" s="11">
        <v>66</v>
      </c>
      <c r="I951" s="12">
        <v>43263</v>
      </c>
      <c r="J951" s="2">
        <v>3</v>
      </c>
      <c r="K951" s="11">
        <v>15591</v>
      </c>
      <c r="L951" s="11" t="s">
        <v>2279</v>
      </c>
      <c r="M951" s="11" t="s">
        <v>27</v>
      </c>
      <c r="N951" s="12">
        <v>43262</v>
      </c>
      <c r="O951" s="12">
        <v>43262</v>
      </c>
      <c r="P951" s="11">
        <v>3</v>
      </c>
      <c r="Q951" s="11" t="s">
        <v>303</v>
      </c>
    </row>
    <row r="952" spans="1:17" ht="13" hidden="1" x14ac:dyDescent="0.15">
      <c r="A952" s="10">
        <v>43263.580156064811</v>
      </c>
      <c r="B952" s="11" t="s">
        <v>303</v>
      </c>
      <c r="C952" s="11">
        <v>1027</v>
      </c>
      <c r="D952" s="11" t="s">
        <v>2280</v>
      </c>
      <c r="E952" s="11">
        <v>9744425365</v>
      </c>
      <c r="F952" s="11" t="s">
        <v>35</v>
      </c>
      <c r="G952" s="11" t="s">
        <v>280</v>
      </c>
      <c r="H952" s="11">
        <v>66</v>
      </c>
      <c r="I952" s="12">
        <v>43243</v>
      </c>
      <c r="J952" s="2">
        <v>3</v>
      </c>
      <c r="K952" s="11">
        <v>1155869012520</v>
      </c>
      <c r="L952" s="11" t="s">
        <v>1479</v>
      </c>
      <c r="M952" s="11" t="s">
        <v>27</v>
      </c>
      <c r="N952" s="12">
        <v>43256</v>
      </c>
      <c r="O952" s="12">
        <v>43256</v>
      </c>
      <c r="P952" s="11">
        <v>3</v>
      </c>
      <c r="Q952" s="11" t="s">
        <v>303</v>
      </c>
    </row>
    <row r="953" spans="1:17" ht="13" hidden="1" x14ac:dyDescent="0.15">
      <c r="A953" s="10">
        <v>43263.587292824071</v>
      </c>
      <c r="B953" s="11" t="s">
        <v>1578</v>
      </c>
      <c r="C953" s="11">
        <v>1103</v>
      </c>
      <c r="D953" s="11" t="s">
        <v>2281</v>
      </c>
      <c r="E953" s="11">
        <v>9447268435</v>
      </c>
      <c r="F953" s="11" t="s">
        <v>182</v>
      </c>
      <c r="G953" s="11" t="s">
        <v>36</v>
      </c>
      <c r="H953" s="11">
        <v>20</v>
      </c>
      <c r="I953" s="12">
        <v>43230</v>
      </c>
      <c r="J953" s="2">
        <v>3</v>
      </c>
      <c r="K953" s="11">
        <v>1167414003842</v>
      </c>
      <c r="L953" s="11" t="s">
        <v>2282</v>
      </c>
      <c r="M953" s="11" t="s">
        <v>27</v>
      </c>
      <c r="N953" s="12">
        <v>43236</v>
      </c>
      <c r="O953" s="12">
        <v>43236</v>
      </c>
      <c r="P953" s="11">
        <v>3</v>
      </c>
      <c r="Q953" s="11" t="s">
        <v>1578</v>
      </c>
    </row>
    <row r="954" spans="1:17" ht="13" hidden="1" x14ac:dyDescent="0.15">
      <c r="A954" s="10">
        <v>43263.598337696763</v>
      </c>
      <c r="B954" s="11" t="s">
        <v>1578</v>
      </c>
      <c r="C954" s="11">
        <v>927</v>
      </c>
      <c r="D954" s="11" t="s">
        <v>2283</v>
      </c>
      <c r="E954" s="11">
        <v>9447268435</v>
      </c>
      <c r="F954" s="11" t="s">
        <v>182</v>
      </c>
      <c r="G954" s="11" t="s">
        <v>36</v>
      </c>
      <c r="H954" s="11">
        <v>20</v>
      </c>
      <c r="I954" s="12">
        <v>43263</v>
      </c>
      <c r="J954" s="2">
        <v>3</v>
      </c>
      <c r="K954" s="11">
        <v>1165575037895</v>
      </c>
      <c r="L954" s="11" t="s">
        <v>2284</v>
      </c>
      <c r="M954" s="11" t="s">
        <v>27</v>
      </c>
      <c r="N954" s="12">
        <v>43263</v>
      </c>
      <c r="O954" s="12">
        <v>43263</v>
      </c>
      <c r="P954" s="11">
        <v>3</v>
      </c>
      <c r="Q954" s="11" t="s">
        <v>1578</v>
      </c>
    </row>
    <row r="955" spans="1:17" ht="13" hidden="1" x14ac:dyDescent="0.15">
      <c r="A955" s="10">
        <v>43263.622000995369</v>
      </c>
      <c r="B955" s="11" t="s">
        <v>1465</v>
      </c>
      <c r="C955" s="11">
        <v>558</v>
      </c>
      <c r="D955" s="11" t="s">
        <v>2285</v>
      </c>
      <c r="E955" s="11">
        <v>7558881999</v>
      </c>
      <c r="F955" s="11" t="s">
        <v>56</v>
      </c>
      <c r="G955" s="11">
        <v>20</v>
      </c>
      <c r="H955" s="11">
        <v>20</v>
      </c>
      <c r="I955" s="12">
        <v>43161</v>
      </c>
      <c r="J955" s="2">
        <v>3</v>
      </c>
      <c r="K955" s="11">
        <v>1146643010326</v>
      </c>
      <c r="L955" s="11" t="s">
        <v>2286</v>
      </c>
      <c r="M955" s="11" t="s">
        <v>27</v>
      </c>
      <c r="N955" s="12">
        <v>43263</v>
      </c>
      <c r="O955" s="12">
        <v>43263</v>
      </c>
      <c r="P955" s="11">
        <v>3</v>
      </c>
      <c r="Q955" s="11" t="s">
        <v>1465</v>
      </c>
    </row>
    <row r="956" spans="1:17" ht="13" hidden="1" x14ac:dyDescent="0.15">
      <c r="A956" s="10">
        <v>43263.624651342594</v>
      </c>
      <c r="B956" s="11" t="s">
        <v>1578</v>
      </c>
      <c r="C956" s="11">
        <v>1152</v>
      </c>
      <c r="D956" s="11" t="s">
        <v>2288</v>
      </c>
      <c r="E956" s="11">
        <v>9447268435</v>
      </c>
      <c r="F956" s="11" t="s">
        <v>182</v>
      </c>
      <c r="G956" s="11" t="s">
        <v>36</v>
      </c>
      <c r="H956" s="11">
        <v>20</v>
      </c>
      <c r="I956" s="12">
        <v>43239</v>
      </c>
      <c r="J956" s="2">
        <v>3</v>
      </c>
      <c r="K956" s="11">
        <v>1168083002647</v>
      </c>
      <c r="L956" s="11" t="s">
        <v>2289</v>
      </c>
      <c r="M956" s="11" t="s">
        <v>27</v>
      </c>
      <c r="N956" s="12">
        <v>43250</v>
      </c>
      <c r="O956" s="12">
        <v>43250</v>
      </c>
      <c r="P956" s="11">
        <v>3</v>
      </c>
      <c r="Q956" s="11" t="s">
        <v>1578</v>
      </c>
    </row>
    <row r="957" spans="1:17" ht="13" hidden="1" x14ac:dyDescent="0.15">
      <c r="A957" s="10">
        <v>43263.62845827546</v>
      </c>
      <c r="B957" s="11" t="s">
        <v>1465</v>
      </c>
      <c r="C957" s="11">
        <v>558</v>
      </c>
      <c r="D957" s="11" t="s">
        <v>2285</v>
      </c>
      <c r="E957" s="11">
        <v>7558881999</v>
      </c>
      <c r="F957" s="11" t="s">
        <v>56</v>
      </c>
      <c r="G957" s="11" t="s">
        <v>36</v>
      </c>
      <c r="H957" s="11">
        <v>20</v>
      </c>
      <c r="I957" s="12">
        <v>43161</v>
      </c>
      <c r="J957" s="2">
        <v>3</v>
      </c>
      <c r="K957" s="11">
        <v>1146643010326</v>
      </c>
      <c r="L957" s="11" t="s">
        <v>1845</v>
      </c>
      <c r="M957" s="11" t="s">
        <v>27</v>
      </c>
      <c r="N957" s="12">
        <v>43263</v>
      </c>
      <c r="O957" s="12">
        <v>43263</v>
      </c>
      <c r="P957" s="11">
        <v>3</v>
      </c>
      <c r="Q957" s="11" t="s">
        <v>1465</v>
      </c>
    </row>
    <row r="958" spans="1:17" ht="13" hidden="1" x14ac:dyDescent="0.15">
      <c r="A958" s="10">
        <v>43263.635448136571</v>
      </c>
      <c r="B958" s="11" t="s">
        <v>303</v>
      </c>
      <c r="C958" s="11">
        <v>1119</v>
      </c>
      <c r="D958" s="11" t="s">
        <v>2290</v>
      </c>
      <c r="E958" s="11">
        <v>7012334211</v>
      </c>
      <c r="F958" s="11" t="s">
        <v>56</v>
      </c>
      <c r="G958" s="11" t="s">
        <v>280</v>
      </c>
      <c r="H958" s="11">
        <v>66</v>
      </c>
      <c r="I958" s="12">
        <v>43258</v>
      </c>
      <c r="J958" s="2">
        <v>5</v>
      </c>
      <c r="K958" s="11">
        <v>1146363026477</v>
      </c>
      <c r="L958" s="11" t="s">
        <v>2291</v>
      </c>
      <c r="M958" s="11" t="s">
        <v>27</v>
      </c>
      <c r="N958" s="12">
        <v>43263</v>
      </c>
      <c r="O958" s="12">
        <v>43263</v>
      </c>
      <c r="P958" s="11">
        <v>5</v>
      </c>
      <c r="Q958" s="11" t="s">
        <v>303</v>
      </c>
    </row>
    <row r="959" spans="1:17" ht="13" hidden="1" x14ac:dyDescent="0.15">
      <c r="A959" s="10">
        <v>43263.653776886575</v>
      </c>
      <c r="B959" s="11" t="s">
        <v>303</v>
      </c>
      <c r="C959" s="11">
        <v>897</v>
      </c>
      <c r="D959" s="11" t="s">
        <v>2292</v>
      </c>
      <c r="E959" s="11">
        <v>9746615668</v>
      </c>
      <c r="F959" s="11" t="s">
        <v>35</v>
      </c>
      <c r="G959" s="11" t="s">
        <v>280</v>
      </c>
      <c r="H959" s="11">
        <v>66</v>
      </c>
      <c r="I959" s="12">
        <v>43215</v>
      </c>
      <c r="J959" s="2">
        <v>3</v>
      </c>
      <c r="K959" s="11">
        <v>1155592008684</v>
      </c>
      <c r="L959" s="11" t="s">
        <v>2293</v>
      </c>
      <c r="M959" s="11" t="s">
        <v>27</v>
      </c>
      <c r="N959" s="12">
        <v>43263</v>
      </c>
      <c r="O959" s="12">
        <v>43263</v>
      </c>
      <c r="P959" s="11">
        <v>3</v>
      </c>
      <c r="Q959" s="11" t="s">
        <v>303</v>
      </c>
    </row>
    <row r="960" spans="1:17" ht="13" hidden="1" x14ac:dyDescent="0.15">
      <c r="A960" s="10">
        <v>43263.658352766201</v>
      </c>
      <c r="B960" s="11" t="s">
        <v>371</v>
      </c>
      <c r="C960" s="11">
        <v>1129</v>
      </c>
      <c r="D960" s="11" t="s">
        <v>2294</v>
      </c>
      <c r="E960" s="11">
        <v>8547564126</v>
      </c>
      <c r="F960" s="11" t="s">
        <v>73</v>
      </c>
      <c r="G960" s="11" t="s">
        <v>215</v>
      </c>
      <c r="H960" s="11">
        <v>27</v>
      </c>
      <c r="I960" s="12">
        <v>43263</v>
      </c>
      <c r="J960" s="2">
        <v>3</v>
      </c>
      <c r="K960" s="11">
        <v>1145935030123</v>
      </c>
      <c r="L960" s="11" t="s">
        <v>2295</v>
      </c>
      <c r="M960" s="11" t="s">
        <v>27</v>
      </c>
      <c r="N960" s="12">
        <v>43263</v>
      </c>
      <c r="O960" s="12">
        <v>43263</v>
      </c>
      <c r="P960" s="11">
        <v>3</v>
      </c>
      <c r="Q960" s="11" t="s">
        <v>371</v>
      </c>
    </row>
    <row r="961" spans="1:17" ht="13" hidden="1" x14ac:dyDescent="0.15">
      <c r="A961" s="10">
        <v>43263.661306192131</v>
      </c>
      <c r="B961" s="11" t="s">
        <v>1578</v>
      </c>
      <c r="C961" s="11">
        <v>1153</v>
      </c>
      <c r="D961" s="11" t="s">
        <v>2296</v>
      </c>
      <c r="E961" s="11">
        <v>9447268435</v>
      </c>
      <c r="F961" s="11" t="s">
        <v>46</v>
      </c>
      <c r="G961" s="11" t="s">
        <v>973</v>
      </c>
      <c r="H961" s="11">
        <v>20</v>
      </c>
      <c r="I961" s="12">
        <v>43263</v>
      </c>
      <c r="J961" s="2">
        <v>10</v>
      </c>
      <c r="K961" s="11">
        <v>1165216030815</v>
      </c>
      <c r="L961" s="11" t="s">
        <v>2297</v>
      </c>
      <c r="M961" s="11" t="s">
        <v>27</v>
      </c>
      <c r="N961" s="12">
        <v>43263</v>
      </c>
      <c r="O961" s="12">
        <v>43263</v>
      </c>
      <c r="P961" s="11">
        <v>10</v>
      </c>
      <c r="Q961" s="11" t="s">
        <v>1578</v>
      </c>
    </row>
    <row r="962" spans="1:17" ht="13" hidden="1" x14ac:dyDescent="0.15">
      <c r="A962" s="10">
        <v>43263.668695682871</v>
      </c>
      <c r="B962" s="11" t="s">
        <v>1132</v>
      </c>
      <c r="C962" s="11">
        <v>535</v>
      </c>
      <c r="D962" s="11" t="s">
        <v>2298</v>
      </c>
      <c r="E962" s="11">
        <v>9497714979</v>
      </c>
      <c r="F962" s="11" t="s">
        <v>266</v>
      </c>
      <c r="G962" s="11" t="s">
        <v>36</v>
      </c>
      <c r="H962" s="11">
        <v>20</v>
      </c>
      <c r="I962" s="12">
        <v>43262</v>
      </c>
      <c r="J962" s="2">
        <v>15</v>
      </c>
      <c r="K962" s="11">
        <v>5687</v>
      </c>
      <c r="L962" s="11">
        <v>6744</v>
      </c>
      <c r="M962" s="11" t="s">
        <v>27</v>
      </c>
      <c r="N962" s="12">
        <v>43258</v>
      </c>
      <c r="O962" s="12">
        <v>43258</v>
      </c>
      <c r="P962" s="11">
        <v>15</v>
      </c>
      <c r="Q962" s="11" t="s">
        <v>1132</v>
      </c>
    </row>
    <row r="963" spans="1:17" ht="13" hidden="1" x14ac:dyDescent="0.15">
      <c r="A963" s="10">
        <v>43263.674423634264</v>
      </c>
      <c r="B963" s="11" t="s">
        <v>371</v>
      </c>
      <c r="C963" s="11">
        <v>1133</v>
      </c>
      <c r="D963" s="11" t="s">
        <v>2299</v>
      </c>
      <c r="E963" s="11">
        <v>8547564126</v>
      </c>
      <c r="F963" s="11" t="s">
        <v>30</v>
      </c>
      <c r="G963" s="11" t="s">
        <v>215</v>
      </c>
      <c r="H963" s="11">
        <v>27</v>
      </c>
      <c r="I963" s="12">
        <v>43263</v>
      </c>
      <c r="J963" s="2">
        <v>3</v>
      </c>
      <c r="K963" s="11">
        <v>1156772004646</v>
      </c>
      <c r="L963" s="11" t="s">
        <v>284</v>
      </c>
      <c r="M963" s="11" t="s">
        <v>27</v>
      </c>
      <c r="N963" s="12">
        <v>43263</v>
      </c>
      <c r="O963" s="12">
        <v>43263</v>
      </c>
      <c r="P963" s="11">
        <v>3</v>
      </c>
      <c r="Q963" s="11" t="s">
        <v>371</v>
      </c>
    </row>
    <row r="964" spans="1:17" ht="13" hidden="1" x14ac:dyDescent="0.15">
      <c r="A964" s="10">
        <v>43263.675492754628</v>
      </c>
      <c r="B964" s="11" t="s">
        <v>1733</v>
      </c>
      <c r="C964" s="11">
        <v>1089</v>
      </c>
      <c r="D964" s="11" t="s">
        <v>2300</v>
      </c>
      <c r="E964" s="11">
        <v>8589019033</v>
      </c>
      <c r="F964" s="11" t="s">
        <v>30</v>
      </c>
      <c r="G964" s="11" t="s">
        <v>1735</v>
      </c>
      <c r="H964" s="11">
        <v>24</v>
      </c>
      <c r="I964" s="12">
        <v>43235</v>
      </c>
      <c r="J964" s="2">
        <v>3</v>
      </c>
      <c r="K964" s="11">
        <v>1156519008979</v>
      </c>
      <c r="L964" s="11" t="s">
        <v>1942</v>
      </c>
      <c r="M964" s="11" t="s">
        <v>27</v>
      </c>
      <c r="N964" s="12">
        <v>43263</v>
      </c>
      <c r="O964" s="12">
        <v>43263</v>
      </c>
      <c r="P964" s="11">
        <v>3</v>
      </c>
      <c r="Q964" s="11" t="s">
        <v>1733</v>
      </c>
    </row>
    <row r="965" spans="1:17" ht="13" hidden="1" x14ac:dyDescent="0.15">
      <c r="A965" s="10">
        <v>43263.678195092594</v>
      </c>
      <c r="B965" s="11" t="s">
        <v>1465</v>
      </c>
      <c r="C965" s="11">
        <v>1066</v>
      </c>
      <c r="D965" s="11" t="s">
        <v>2301</v>
      </c>
      <c r="E965" s="11">
        <v>7558881999</v>
      </c>
      <c r="F965" s="11" t="s">
        <v>56</v>
      </c>
      <c r="G965" s="11" t="s">
        <v>36</v>
      </c>
      <c r="H965" s="11">
        <v>20</v>
      </c>
      <c r="I965" s="12">
        <v>43227</v>
      </c>
      <c r="J965" s="2">
        <v>3</v>
      </c>
      <c r="K965" s="11">
        <v>1156288008348</v>
      </c>
      <c r="L965" s="11" t="s">
        <v>2113</v>
      </c>
      <c r="M965" s="11" t="s">
        <v>27</v>
      </c>
      <c r="N965" s="12">
        <v>43263</v>
      </c>
      <c r="O965" s="12">
        <v>43263</v>
      </c>
      <c r="P965" s="11">
        <v>3</v>
      </c>
      <c r="Q965" s="11" t="s">
        <v>1465</v>
      </c>
    </row>
    <row r="966" spans="1:17" ht="13" hidden="1" x14ac:dyDescent="0.15">
      <c r="A966" s="10">
        <v>43263.678533622689</v>
      </c>
      <c r="B966" s="11" t="s">
        <v>2303</v>
      </c>
      <c r="C966" s="11">
        <v>1196</v>
      </c>
      <c r="D966" s="11" t="s">
        <v>2304</v>
      </c>
      <c r="E966" s="11">
        <v>9446867273</v>
      </c>
      <c r="F966" s="11" t="s">
        <v>270</v>
      </c>
      <c r="G966" s="11" t="s">
        <v>2194</v>
      </c>
      <c r="H966" s="11">
        <v>22</v>
      </c>
      <c r="I966" s="12">
        <v>43263</v>
      </c>
      <c r="J966" s="2">
        <v>15</v>
      </c>
      <c r="K966" s="11">
        <v>1156224013403</v>
      </c>
      <c r="L966" s="11" t="s">
        <v>2305</v>
      </c>
      <c r="M966" s="11" t="s">
        <v>27</v>
      </c>
      <c r="N966" s="12">
        <v>43263</v>
      </c>
      <c r="O966" s="12">
        <v>43263</v>
      </c>
      <c r="P966" s="11">
        <v>15</v>
      </c>
      <c r="Q966" s="11" t="s">
        <v>2303</v>
      </c>
    </row>
    <row r="967" spans="1:17" ht="13" hidden="1" x14ac:dyDescent="0.15">
      <c r="A967" s="10">
        <v>43263.67903078704</v>
      </c>
      <c r="B967" s="11" t="s">
        <v>2306</v>
      </c>
      <c r="C967" s="11">
        <v>1155</v>
      </c>
      <c r="D967" s="11" t="s">
        <v>2307</v>
      </c>
      <c r="E967" s="11">
        <v>9447268435</v>
      </c>
      <c r="F967" s="11" t="s">
        <v>182</v>
      </c>
      <c r="G967" s="11" t="s">
        <v>36</v>
      </c>
      <c r="H967" s="11">
        <v>20</v>
      </c>
      <c r="I967" s="12">
        <v>43263</v>
      </c>
      <c r="J967" s="2">
        <v>10</v>
      </c>
      <c r="K967" s="11">
        <v>1165596032300</v>
      </c>
      <c r="L967" s="11" t="s">
        <v>2308</v>
      </c>
      <c r="M967" s="11" t="s">
        <v>27</v>
      </c>
      <c r="N967" s="12">
        <v>43222</v>
      </c>
      <c r="O967" s="12">
        <v>43222</v>
      </c>
      <c r="P967" s="11">
        <v>10</v>
      </c>
      <c r="Q967" s="11" t="s">
        <v>1578</v>
      </c>
    </row>
    <row r="968" spans="1:17" ht="13" hidden="1" x14ac:dyDescent="0.15">
      <c r="A968" s="10">
        <v>43263.699712372691</v>
      </c>
      <c r="B968" s="11" t="s">
        <v>1465</v>
      </c>
      <c r="C968" s="11">
        <v>1190</v>
      </c>
      <c r="D968" s="11" t="s">
        <v>2309</v>
      </c>
      <c r="E968" s="11">
        <v>7558881999</v>
      </c>
      <c r="F968" s="11" t="s">
        <v>56</v>
      </c>
      <c r="G968" s="11" t="s">
        <v>36</v>
      </c>
      <c r="H968" s="11">
        <v>20</v>
      </c>
      <c r="I968" s="12">
        <v>43250</v>
      </c>
      <c r="J968" s="2">
        <v>3</v>
      </c>
      <c r="K968" s="11">
        <v>1156261003239</v>
      </c>
      <c r="L968" s="11" t="s">
        <v>2310</v>
      </c>
      <c r="M968" s="11" t="s">
        <v>27</v>
      </c>
      <c r="N968" s="12">
        <v>43263</v>
      </c>
      <c r="O968" s="12">
        <v>43263</v>
      </c>
      <c r="P968" s="11">
        <v>3</v>
      </c>
      <c r="Q968" s="11" t="s">
        <v>1465</v>
      </c>
    </row>
    <row r="969" spans="1:17" ht="13" hidden="1" x14ac:dyDescent="0.15">
      <c r="A969" s="10">
        <v>43263.708429409722</v>
      </c>
      <c r="B969" s="11" t="s">
        <v>1733</v>
      </c>
      <c r="C969" s="11">
        <v>1238</v>
      </c>
      <c r="D969" s="11" t="s">
        <v>2311</v>
      </c>
      <c r="E969" s="11">
        <v>8589019035</v>
      </c>
      <c r="F969" s="11" t="s">
        <v>270</v>
      </c>
      <c r="G969" s="11" t="s">
        <v>1735</v>
      </c>
      <c r="H969" s="11">
        <v>24</v>
      </c>
      <c r="I969" s="12">
        <v>43263</v>
      </c>
      <c r="J969" s="2">
        <v>3</v>
      </c>
      <c r="K969" s="11">
        <v>1156207012361</v>
      </c>
      <c r="L969" s="11" t="s">
        <v>2312</v>
      </c>
      <c r="M969" s="11" t="s">
        <v>27</v>
      </c>
      <c r="N969" s="12">
        <v>43263</v>
      </c>
      <c r="O969" s="12">
        <v>43263</v>
      </c>
      <c r="P969" s="11">
        <v>3</v>
      </c>
      <c r="Q969" s="11" t="s">
        <v>1733</v>
      </c>
    </row>
    <row r="970" spans="1:17" ht="13" hidden="1" x14ac:dyDescent="0.15">
      <c r="A970" s="10">
        <v>43263.724665428235</v>
      </c>
      <c r="B970" s="11" t="s">
        <v>1465</v>
      </c>
      <c r="C970" s="11">
        <v>1086</v>
      </c>
      <c r="D970" s="11" t="s">
        <v>2313</v>
      </c>
      <c r="E970" s="11">
        <v>7558881999</v>
      </c>
      <c r="F970" s="11" t="s">
        <v>56</v>
      </c>
      <c r="G970" s="11" t="s">
        <v>36</v>
      </c>
      <c r="H970" s="11">
        <v>20</v>
      </c>
      <c r="I970" s="12">
        <v>43259</v>
      </c>
      <c r="J970" s="2">
        <v>2</v>
      </c>
      <c r="K970" s="11">
        <v>1146414024045</v>
      </c>
      <c r="L970" s="11" t="s">
        <v>2314</v>
      </c>
      <c r="M970" s="11" t="s">
        <v>27</v>
      </c>
      <c r="N970" s="12">
        <v>43243</v>
      </c>
      <c r="O970" s="12">
        <v>43243</v>
      </c>
      <c r="P970" s="11">
        <v>2</v>
      </c>
      <c r="Q970" s="11" t="s">
        <v>1465</v>
      </c>
    </row>
    <row r="971" spans="1:17" ht="13" hidden="1" x14ac:dyDescent="0.15">
      <c r="A971" s="10">
        <v>43263.743237546296</v>
      </c>
      <c r="B971" s="11" t="s">
        <v>1465</v>
      </c>
      <c r="C971" s="11">
        <v>1242</v>
      </c>
      <c r="D971" s="11" t="s">
        <v>2315</v>
      </c>
      <c r="E971" s="11">
        <v>7558881999</v>
      </c>
      <c r="F971" s="11" t="s">
        <v>56</v>
      </c>
      <c r="G971" s="11" t="s">
        <v>36</v>
      </c>
      <c r="H971" s="11">
        <v>20</v>
      </c>
      <c r="I971" s="12">
        <v>43228</v>
      </c>
      <c r="J971" s="2">
        <v>3</v>
      </c>
      <c r="K971" s="11">
        <v>1146457001934</v>
      </c>
      <c r="L971" s="11" t="s">
        <v>1467</v>
      </c>
      <c r="M971" s="11" t="s">
        <v>27</v>
      </c>
      <c r="N971" s="12">
        <v>43263</v>
      </c>
      <c r="O971" s="12">
        <v>43263</v>
      </c>
      <c r="P971" s="11">
        <v>3</v>
      </c>
      <c r="Q971" s="11" t="s">
        <v>1465</v>
      </c>
    </row>
    <row r="972" spans="1:17" ht="13" hidden="1" x14ac:dyDescent="0.15">
      <c r="A972" s="10">
        <v>43263.756646307869</v>
      </c>
      <c r="B972" s="11" t="s">
        <v>1465</v>
      </c>
      <c r="C972" s="11">
        <v>1189</v>
      </c>
      <c r="D972" s="11" t="s">
        <v>2316</v>
      </c>
      <c r="E972" s="11">
        <v>7558881999</v>
      </c>
      <c r="F972" s="11" t="s">
        <v>56</v>
      </c>
      <c r="G972" s="11" t="s">
        <v>36</v>
      </c>
      <c r="H972" s="11">
        <v>20</v>
      </c>
      <c r="I972" s="12">
        <v>43253</v>
      </c>
      <c r="J972" s="2">
        <v>10</v>
      </c>
      <c r="K972" s="11">
        <v>1146253011322</v>
      </c>
      <c r="L972" s="11" t="s">
        <v>2317</v>
      </c>
      <c r="M972" s="11" t="s">
        <v>27</v>
      </c>
      <c r="N972" s="12">
        <v>43259</v>
      </c>
      <c r="O972" s="12">
        <v>43259</v>
      </c>
      <c r="P972" s="11">
        <v>10</v>
      </c>
      <c r="Q972" s="11" t="s">
        <v>1465</v>
      </c>
    </row>
    <row r="973" spans="1:17" ht="13" hidden="1" x14ac:dyDescent="0.15">
      <c r="A973" s="10">
        <v>43263.762542650467</v>
      </c>
      <c r="B973" s="11" t="s">
        <v>1465</v>
      </c>
      <c r="C973" s="11">
        <v>1240</v>
      </c>
      <c r="D973" s="11" t="s">
        <v>2318</v>
      </c>
      <c r="E973" s="11">
        <v>7558881999</v>
      </c>
      <c r="F973" s="11" t="s">
        <v>56</v>
      </c>
      <c r="G973" s="11" t="s">
        <v>36</v>
      </c>
      <c r="H973" s="11">
        <v>20</v>
      </c>
      <c r="I973" s="12">
        <v>43262</v>
      </c>
      <c r="J973" s="2">
        <v>3</v>
      </c>
      <c r="K973" s="11">
        <v>1146321000528</v>
      </c>
      <c r="L973" s="11" t="s">
        <v>2319</v>
      </c>
      <c r="M973" s="11" t="s">
        <v>27</v>
      </c>
      <c r="N973" s="12">
        <v>43263</v>
      </c>
      <c r="O973" s="12">
        <v>43263</v>
      </c>
      <c r="P973" s="11">
        <v>3</v>
      </c>
      <c r="Q973" s="11" t="s">
        <v>1465</v>
      </c>
    </row>
    <row r="974" spans="1:17" ht="13" hidden="1" x14ac:dyDescent="0.15">
      <c r="A974" s="10">
        <v>43263.777791631946</v>
      </c>
      <c r="B974" s="11" t="s">
        <v>1465</v>
      </c>
      <c r="C974" s="11">
        <v>95141</v>
      </c>
      <c r="D974" s="11" t="s">
        <v>2320</v>
      </c>
      <c r="E974" s="11">
        <v>7558881999</v>
      </c>
      <c r="F974" s="11" t="s">
        <v>56</v>
      </c>
      <c r="G974" s="11" t="s">
        <v>36</v>
      </c>
      <c r="H974" s="11">
        <v>20</v>
      </c>
      <c r="I974" s="12">
        <v>43259</v>
      </c>
      <c r="J974" s="2">
        <v>3</v>
      </c>
      <c r="K974" s="11">
        <v>1146502000134</v>
      </c>
      <c r="L974" s="11" t="s">
        <v>2321</v>
      </c>
      <c r="M974" s="11" t="s">
        <v>27</v>
      </c>
      <c r="N974" s="12">
        <v>43263</v>
      </c>
      <c r="O974" s="12">
        <v>43263</v>
      </c>
      <c r="P974" s="11">
        <v>3</v>
      </c>
      <c r="Q974" s="11" t="s">
        <v>1465</v>
      </c>
    </row>
    <row r="975" spans="1:17" ht="13" hidden="1" x14ac:dyDescent="0.15">
      <c r="A975" s="10">
        <v>43263.954126875004</v>
      </c>
      <c r="B975" s="11" t="s">
        <v>2322</v>
      </c>
      <c r="C975" s="11">
        <v>198</v>
      </c>
      <c r="D975" s="11" t="s">
        <v>2323</v>
      </c>
      <c r="E975" s="11">
        <v>9846395555</v>
      </c>
      <c r="F975" s="11" t="s">
        <v>35</v>
      </c>
      <c r="G975" s="11" t="s">
        <v>2154</v>
      </c>
      <c r="H975" s="11">
        <v>64</v>
      </c>
      <c r="I975" s="12">
        <v>43200</v>
      </c>
      <c r="J975" s="2">
        <v>2</v>
      </c>
      <c r="K975" s="11">
        <v>1155863019689</v>
      </c>
      <c r="L975" s="11" t="s">
        <v>1479</v>
      </c>
      <c r="M975" s="11" t="s">
        <v>27</v>
      </c>
      <c r="N975" s="12">
        <v>43262</v>
      </c>
      <c r="O975" s="12">
        <v>43262</v>
      </c>
      <c r="P975" s="11">
        <v>2</v>
      </c>
      <c r="Q975" s="11" t="s">
        <v>2322</v>
      </c>
    </row>
    <row r="976" spans="1:17" ht="13" hidden="1" x14ac:dyDescent="0.15">
      <c r="A976" s="10">
        <v>43263.955769583335</v>
      </c>
      <c r="B976" s="11" t="s">
        <v>2324</v>
      </c>
      <c r="C976" s="11">
        <v>1135</v>
      </c>
      <c r="D976" s="11" t="s">
        <v>2325</v>
      </c>
      <c r="E976" s="11">
        <v>9846395555</v>
      </c>
      <c r="F976" s="11" t="s">
        <v>35</v>
      </c>
      <c r="G976" s="11" t="s">
        <v>2154</v>
      </c>
      <c r="H976" s="11">
        <v>64</v>
      </c>
      <c r="I976" s="12">
        <v>43263</v>
      </c>
      <c r="J976" s="2">
        <v>2</v>
      </c>
      <c r="K976" s="11">
        <v>1155516007064</v>
      </c>
      <c r="L976" s="11" t="s">
        <v>828</v>
      </c>
      <c r="M976" s="11" t="s">
        <v>27</v>
      </c>
      <c r="N976" s="12">
        <v>43262</v>
      </c>
      <c r="O976" s="12">
        <v>43262</v>
      </c>
      <c r="P976" s="11">
        <v>2</v>
      </c>
      <c r="Q976" s="11" t="s">
        <v>2324</v>
      </c>
    </row>
    <row r="977" spans="1:17" ht="13" hidden="1" x14ac:dyDescent="0.15">
      <c r="A977" s="10">
        <v>43263.957430231487</v>
      </c>
      <c r="B977" s="11" t="s">
        <v>2327</v>
      </c>
      <c r="C977" s="11">
        <v>1211</v>
      </c>
      <c r="D977" s="11" t="s">
        <v>2328</v>
      </c>
      <c r="E977" s="11">
        <v>9846395555</v>
      </c>
      <c r="F977" s="11" t="s">
        <v>35</v>
      </c>
      <c r="G977" s="11" t="s">
        <v>2154</v>
      </c>
      <c r="H977" s="11">
        <v>64</v>
      </c>
      <c r="I977" s="12">
        <v>43263</v>
      </c>
      <c r="J977" s="2">
        <v>5</v>
      </c>
      <c r="K977" s="11">
        <v>1155453013365</v>
      </c>
      <c r="L977" s="11" t="s">
        <v>1080</v>
      </c>
      <c r="M977" s="11" t="s">
        <v>27</v>
      </c>
      <c r="N977" s="12">
        <v>43262</v>
      </c>
      <c r="O977" s="12">
        <v>43262</v>
      </c>
      <c r="P977" s="11">
        <v>5</v>
      </c>
      <c r="Q977" s="11" t="s">
        <v>2327</v>
      </c>
    </row>
    <row r="978" spans="1:17" ht="13" hidden="1" x14ac:dyDescent="0.15">
      <c r="A978" s="10">
        <v>43263.961892175925</v>
      </c>
      <c r="B978" s="11" t="s">
        <v>1946</v>
      </c>
      <c r="C978" s="11">
        <v>125</v>
      </c>
      <c r="D978" s="11" t="s">
        <v>2329</v>
      </c>
      <c r="E978" s="11">
        <v>9742926990</v>
      </c>
      <c r="F978" s="11" t="s">
        <v>40</v>
      </c>
      <c r="G978" s="11" t="s">
        <v>36</v>
      </c>
      <c r="H978" s="11">
        <v>20</v>
      </c>
      <c r="I978" s="12">
        <v>43230</v>
      </c>
      <c r="J978" s="2">
        <v>3</v>
      </c>
      <c r="K978" s="11">
        <v>1155417005244</v>
      </c>
      <c r="L978" s="11" t="s">
        <v>2330</v>
      </c>
      <c r="M978" s="11" t="s">
        <v>27</v>
      </c>
      <c r="N978" s="12">
        <v>43184</v>
      </c>
      <c r="O978" s="12">
        <v>43184</v>
      </c>
      <c r="P978" s="11">
        <v>3</v>
      </c>
      <c r="Q978" s="11" t="s">
        <v>1946</v>
      </c>
    </row>
    <row r="979" spans="1:17" ht="13" hidden="1" x14ac:dyDescent="0.15">
      <c r="A979" s="10">
        <v>43264.337562511573</v>
      </c>
      <c r="B979" s="11" t="s">
        <v>2015</v>
      </c>
      <c r="C979" s="11">
        <v>125</v>
      </c>
      <c r="D979" s="11" t="s">
        <v>2331</v>
      </c>
      <c r="E979" s="11">
        <v>9742926990</v>
      </c>
      <c r="F979" s="11" t="s">
        <v>40</v>
      </c>
      <c r="G979" s="11" t="s">
        <v>36</v>
      </c>
      <c r="H979" s="11">
        <v>20</v>
      </c>
      <c r="I979" s="12">
        <v>43195</v>
      </c>
      <c r="J979" s="2">
        <v>3</v>
      </c>
      <c r="K979" s="11">
        <v>5027224</v>
      </c>
      <c r="L979" s="11" t="s">
        <v>2330</v>
      </c>
      <c r="M979" s="11" t="s">
        <v>27</v>
      </c>
      <c r="N979" s="12">
        <v>43193</v>
      </c>
      <c r="O979" s="12">
        <v>43193</v>
      </c>
      <c r="P979" s="11">
        <v>3</v>
      </c>
      <c r="Q979" s="11" t="s">
        <v>1946</v>
      </c>
    </row>
    <row r="980" spans="1:17" ht="13" hidden="1" x14ac:dyDescent="0.15">
      <c r="A980" s="10">
        <v>43264.365956273148</v>
      </c>
      <c r="B980" s="11" t="s">
        <v>340</v>
      </c>
      <c r="C980" s="11">
        <v>1163</v>
      </c>
      <c r="D980" s="11" t="s">
        <v>2332</v>
      </c>
      <c r="E980" s="11">
        <v>9400020127</v>
      </c>
      <c r="F980" s="11" t="s">
        <v>35</v>
      </c>
      <c r="G980" s="11" t="s">
        <v>183</v>
      </c>
      <c r="H980" s="11">
        <v>56</v>
      </c>
      <c r="I980" s="12">
        <v>43263</v>
      </c>
      <c r="J980" s="2">
        <v>5</v>
      </c>
      <c r="K980" s="11">
        <v>1156052013441</v>
      </c>
      <c r="L980" s="11" t="s">
        <v>1371</v>
      </c>
      <c r="M980" s="11" t="s">
        <v>27</v>
      </c>
      <c r="N980" s="12">
        <v>43248</v>
      </c>
      <c r="O980" s="12">
        <v>43248</v>
      </c>
      <c r="P980" s="11">
        <v>5</v>
      </c>
      <c r="Q980" s="11" t="s">
        <v>340</v>
      </c>
    </row>
    <row r="981" spans="1:17" ht="13" hidden="1" x14ac:dyDescent="0.15">
      <c r="A981" s="10">
        <v>43264.369454039348</v>
      </c>
      <c r="B981" s="11" t="s">
        <v>340</v>
      </c>
      <c r="C981" s="11">
        <v>1163</v>
      </c>
      <c r="D981" s="11" t="s">
        <v>2333</v>
      </c>
      <c r="E981" s="11">
        <v>9400020127</v>
      </c>
      <c r="F981" s="11" t="s">
        <v>35</v>
      </c>
      <c r="G981" s="11" t="s">
        <v>183</v>
      </c>
      <c r="H981" s="11">
        <v>56</v>
      </c>
      <c r="I981" s="12">
        <v>43263</v>
      </c>
      <c r="J981" s="2">
        <v>5</v>
      </c>
      <c r="K981" s="11">
        <v>1156052013441</v>
      </c>
      <c r="L981" s="11" t="s">
        <v>1371</v>
      </c>
      <c r="M981" s="11" t="s">
        <v>27</v>
      </c>
      <c r="N981" s="12">
        <v>43248</v>
      </c>
      <c r="O981" s="12">
        <v>43248</v>
      </c>
      <c r="P981" s="11">
        <v>5</v>
      </c>
      <c r="Q981" s="11" t="s">
        <v>340</v>
      </c>
    </row>
    <row r="982" spans="1:17" ht="13" hidden="1" x14ac:dyDescent="0.15">
      <c r="A982" s="10">
        <v>43264.397025729166</v>
      </c>
      <c r="B982" s="11" t="s">
        <v>1353</v>
      </c>
      <c r="C982" s="11">
        <v>904</v>
      </c>
      <c r="D982" s="11" t="s">
        <v>2334</v>
      </c>
      <c r="E982" s="11">
        <v>9446393399</v>
      </c>
      <c r="F982" s="11" t="s">
        <v>182</v>
      </c>
      <c r="G982" s="11" t="s">
        <v>2190</v>
      </c>
      <c r="H982" s="11">
        <v>38</v>
      </c>
      <c r="I982" s="12">
        <v>43263</v>
      </c>
      <c r="J982" s="2">
        <v>5</v>
      </c>
      <c r="K982" s="11">
        <v>1167802007847</v>
      </c>
      <c r="L982" s="11" t="s">
        <v>2335</v>
      </c>
      <c r="M982" s="11" t="s">
        <v>27</v>
      </c>
      <c r="N982" s="12">
        <v>43218</v>
      </c>
      <c r="O982" s="12">
        <v>43218</v>
      </c>
      <c r="P982" s="11">
        <v>5</v>
      </c>
      <c r="Q982" s="11" t="s">
        <v>1353</v>
      </c>
    </row>
    <row r="983" spans="1:17" ht="13" hidden="1" x14ac:dyDescent="0.15">
      <c r="A983" s="10">
        <v>43264.461281192125</v>
      </c>
      <c r="B983" s="11" t="s">
        <v>1132</v>
      </c>
      <c r="C983" s="11">
        <v>56</v>
      </c>
      <c r="D983" s="11" t="s">
        <v>2336</v>
      </c>
      <c r="E983" s="11">
        <v>9605003339</v>
      </c>
      <c r="F983" s="11" t="s">
        <v>266</v>
      </c>
      <c r="G983" s="11" t="s">
        <v>36</v>
      </c>
      <c r="H983" s="11">
        <v>20</v>
      </c>
      <c r="I983" s="12">
        <v>43257</v>
      </c>
      <c r="J983" s="2">
        <v>5</v>
      </c>
      <c r="K983" s="11">
        <v>34567</v>
      </c>
      <c r="L983" s="11">
        <v>6662</v>
      </c>
      <c r="M983" s="11" t="s">
        <v>27</v>
      </c>
      <c r="N983" s="12">
        <v>43244</v>
      </c>
      <c r="O983" s="12">
        <v>43253</v>
      </c>
      <c r="P983" s="11">
        <v>5</v>
      </c>
      <c r="Q983" s="11" t="s">
        <v>1132</v>
      </c>
    </row>
    <row r="984" spans="1:17" ht="13" hidden="1" x14ac:dyDescent="0.15">
      <c r="A984" s="10">
        <v>43264.516355196756</v>
      </c>
      <c r="B984" s="11" t="s">
        <v>2337</v>
      </c>
      <c r="C984" s="11">
        <v>998</v>
      </c>
      <c r="D984" s="11" t="s">
        <v>2338</v>
      </c>
      <c r="E984" s="11">
        <v>9447022937</v>
      </c>
      <c r="F984" s="11" t="s">
        <v>46</v>
      </c>
      <c r="G984" s="11" t="s">
        <v>973</v>
      </c>
      <c r="H984" s="11">
        <v>20</v>
      </c>
      <c r="I984" s="12">
        <v>43256</v>
      </c>
      <c r="J984" s="2">
        <v>3</v>
      </c>
      <c r="K984" s="11">
        <v>1165042010089</v>
      </c>
      <c r="L984" s="11" t="s">
        <v>2339</v>
      </c>
      <c r="M984" s="11" t="s">
        <v>27</v>
      </c>
      <c r="N984" s="12">
        <v>43257</v>
      </c>
      <c r="O984" s="12">
        <v>43257</v>
      </c>
      <c r="P984" s="11">
        <v>3</v>
      </c>
      <c r="Q984" s="11" t="s">
        <v>2337</v>
      </c>
    </row>
    <row r="985" spans="1:17" ht="13" hidden="1" x14ac:dyDescent="0.15">
      <c r="A985" s="10">
        <v>43264.518767650465</v>
      </c>
      <c r="B985" s="11" t="s">
        <v>2340</v>
      </c>
      <c r="C985" s="11">
        <v>759</v>
      </c>
      <c r="D985" s="14" t="s">
        <v>2341</v>
      </c>
      <c r="E985" s="11">
        <v>8891352714</v>
      </c>
      <c r="F985" s="11" t="s">
        <v>46</v>
      </c>
      <c r="G985" s="11" t="s">
        <v>2342</v>
      </c>
      <c r="H985" s="11">
        <v>20</v>
      </c>
      <c r="I985" s="12">
        <v>43203</v>
      </c>
      <c r="J985" s="2">
        <v>3</v>
      </c>
      <c r="K985" s="11">
        <v>1165299003137</v>
      </c>
      <c r="L985" s="11" t="s">
        <v>974</v>
      </c>
      <c r="M985" s="11" t="s">
        <v>27</v>
      </c>
      <c r="N985" s="12">
        <v>43262</v>
      </c>
      <c r="O985" s="12">
        <v>43262</v>
      </c>
      <c r="P985" s="11">
        <v>3</v>
      </c>
      <c r="Q985" s="11" t="s">
        <v>2340</v>
      </c>
    </row>
    <row r="986" spans="1:17" ht="13" x14ac:dyDescent="0.15">
      <c r="A986" s="10">
        <v>43264.53182606482</v>
      </c>
      <c r="B986" s="11" t="s">
        <v>2052</v>
      </c>
      <c r="C986" s="11">
        <v>788</v>
      </c>
      <c r="D986" s="11" t="s">
        <v>2344</v>
      </c>
      <c r="E986" s="11">
        <v>9447129230</v>
      </c>
      <c r="F986" s="11" t="s">
        <v>24</v>
      </c>
      <c r="G986" s="11" t="s">
        <v>1226</v>
      </c>
      <c r="H986" s="11">
        <v>20</v>
      </c>
      <c r="I986" s="12">
        <v>43206</v>
      </c>
      <c r="J986" s="2">
        <v>10</v>
      </c>
      <c r="K986" s="11">
        <v>1145330003241</v>
      </c>
      <c r="L986" s="11" t="s">
        <v>2345</v>
      </c>
      <c r="M986" s="11" t="s">
        <v>27</v>
      </c>
      <c r="N986" s="12">
        <v>43262</v>
      </c>
      <c r="O986" s="12">
        <v>43262</v>
      </c>
      <c r="P986" s="11">
        <v>10</v>
      </c>
      <c r="Q986" s="11" t="s">
        <v>2052</v>
      </c>
    </row>
    <row r="987" spans="1:17" ht="13" x14ac:dyDescent="0.15">
      <c r="A987" s="10">
        <v>43264.536812974533</v>
      </c>
      <c r="B987" s="11" t="s">
        <v>2346</v>
      </c>
      <c r="C987" s="11">
        <v>387</v>
      </c>
      <c r="D987" s="11" t="s">
        <v>2347</v>
      </c>
      <c r="E987" s="11">
        <v>9447253738</v>
      </c>
      <c r="F987" s="11" t="s">
        <v>24</v>
      </c>
      <c r="G987" s="11" t="s">
        <v>1226</v>
      </c>
      <c r="H987" s="11">
        <v>20</v>
      </c>
      <c r="I987" s="12">
        <v>43178</v>
      </c>
      <c r="J987" s="2">
        <v>2</v>
      </c>
      <c r="K987" s="11">
        <v>1145097018570</v>
      </c>
      <c r="L987" s="11" t="s">
        <v>816</v>
      </c>
      <c r="M987" s="11" t="s">
        <v>27</v>
      </c>
      <c r="N987" s="12">
        <v>43223</v>
      </c>
      <c r="O987" s="12">
        <v>43223</v>
      </c>
      <c r="P987" s="11">
        <v>3</v>
      </c>
      <c r="Q987" s="11" t="s">
        <v>2346</v>
      </c>
    </row>
    <row r="988" spans="1:17" ht="13" x14ac:dyDescent="0.15">
      <c r="A988" s="10">
        <v>43264.556437152773</v>
      </c>
      <c r="B988" s="11" t="s">
        <v>2052</v>
      </c>
      <c r="C988" s="11">
        <v>861</v>
      </c>
      <c r="D988" s="11" t="s">
        <v>2348</v>
      </c>
      <c r="E988" s="11">
        <v>9947180808</v>
      </c>
      <c r="F988" s="11" t="s">
        <v>24</v>
      </c>
      <c r="G988" s="11" t="s">
        <v>1226</v>
      </c>
      <c r="H988" s="11">
        <v>20</v>
      </c>
      <c r="I988" s="12">
        <v>43265</v>
      </c>
      <c r="J988" s="2">
        <v>3</v>
      </c>
      <c r="K988" s="11">
        <v>1145076010464</v>
      </c>
      <c r="L988" s="11" t="s">
        <v>460</v>
      </c>
      <c r="M988" s="11" t="s">
        <v>27</v>
      </c>
      <c r="N988" s="12">
        <v>43236</v>
      </c>
      <c r="O988" s="12">
        <v>43236</v>
      </c>
      <c r="P988" s="11">
        <v>3</v>
      </c>
      <c r="Q988" s="11" t="s">
        <v>2052</v>
      </c>
    </row>
    <row r="989" spans="1:17" ht="13" x14ac:dyDescent="0.15">
      <c r="A989" s="10">
        <v>43264.571250856483</v>
      </c>
      <c r="B989" s="11" t="s">
        <v>22</v>
      </c>
      <c r="C989" s="11">
        <v>1124</v>
      </c>
      <c r="D989" s="11" t="s">
        <v>2349</v>
      </c>
      <c r="E989" s="11">
        <v>9072666513</v>
      </c>
      <c r="F989" s="11" t="s">
        <v>24</v>
      </c>
      <c r="G989" s="11" t="s">
        <v>1687</v>
      </c>
      <c r="H989" s="11">
        <v>54</v>
      </c>
      <c r="I989" s="12">
        <v>43264</v>
      </c>
      <c r="J989" s="2">
        <v>3</v>
      </c>
      <c r="K989" s="11">
        <v>1145072008545</v>
      </c>
      <c r="L989" s="11" t="s">
        <v>460</v>
      </c>
      <c r="M989" s="11" t="s">
        <v>27</v>
      </c>
      <c r="N989" s="12">
        <v>43236</v>
      </c>
      <c r="O989" s="12">
        <v>43236</v>
      </c>
      <c r="P989" s="11">
        <v>3</v>
      </c>
      <c r="Q989" s="11" t="s">
        <v>22</v>
      </c>
    </row>
    <row r="990" spans="1:17" ht="13" x14ac:dyDescent="0.15">
      <c r="A990" s="10">
        <v>43264.577639421295</v>
      </c>
      <c r="B990" s="11" t="s">
        <v>227</v>
      </c>
      <c r="C990" s="11">
        <v>701</v>
      </c>
      <c r="D990" s="11" t="s">
        <v>2350</v>
      </c>
      <c r="E990" s="11">
        <v>8137874406</v>
      </c>
      <c r="F990" s="11" t="s">
        <v>24</v>
      </c>
      <c r="G990" s="11" t="s">
        <v>157</v>
      </c>
      <c r="H990" s="11">
        <v>42</v>
      </c>
      <c r="I990" s="12">
        <v>43255</v>
      </c>
      <c r="J990" s="2">
        <v>5</v>
      </c>
      <c r="K990" s="11">
        <v>1145191022501</v>
      </c>
      <c r="L990" s="11" t="s">
        <v>1974</v>
      </c>
      <c r="M990" s="11" t="s">
        <v>27</v>
      </c>
      <c r="N990" s="12">
        <v>43231</v>
      </c>
      <c r="O990" s="12">
        <v>43231</v>
      </c>
      <c r="P990" s="11">
        <v>5</v>
      </c>
      <c r="Q990" s="11" t="s">
        <v>227</v>
      </c>
    </row>
    <row r="991" spans="1:17" ht="13" hidden="1" x14ac:dyDescent="0.15">
      <c r="A991" s="10">
        <v>43264.595973460644</v>
      </c>
      <c r="B991" s="11" t="s">
        <v>227</v>
      </c>
      <c r="C991" s="11">
        <v>845</v>
      </c>
      <c r="D991" s="11" t="s">
        <v>2351</v>
      </c>
      <c r="E991" s="11">
        <v>8137874406</v>
      </c>
      <c r="F991" s="11" t="s">
        <v>61</v>
      </c>
      <c r="G991" s="11" t="s">
        <v>157</v>
      </c>
      <c r="H991" s="11">
        <v>42</v>
      </c>
      <c r="I991" s="12">
        <v>43264</v>
      </c>
      <c r="J991" s="2">
        <v>10</v>
      </c>
      <c r="K991" s="11">
        <v>1146096028497</v>
      </c>
      <c r="L991" s="11" t="s">
        <v>2352</v>
      </c>
      <c r="M991" s="11" t="s">
        <v>27</v>
      </c>
      <c r="N991" s="12">
        <v>43222</v>
      </c>
      <c r="O991" s="12">
        <v>43222</v>
      </c>
      <c r="P991" s="11">
        <v>10</v>
      </c>
      <c r="Q991" s="11" t="s">
        <v>227</v>
      </c>
    </row>
    <row r="992" spans="1:17" ht="13" hidden="1" x14ac:dyDescent="0.15">
      <c r="A992" s="10">
        <v>43264.622281597221</v>
      </c>
      <c r="B992" s="11" t="s">
        <v>2177</v>
      </c>
      <c r="C992" s="11">
        <v>961</v>
      </c>
      <c r="D992" s="11" t="s">
        <v>2353</v>
      </c>
      <c r="E992" s="11">
        <v>9526991110</v>
      </c>
      <c r="F992" s="11" t="s">
        <v>35</v>
      </c>
      <c r="G992" s="11" t="s">
        <v>36</v>
      </c>
      <c r="H992" s="11">
        <v>20</v>
      </c>
      <c r="I992" s="12">
        <v>43252</v>
      </c>
      <c r="J992" s="2">
        <v>5</v>
      </c>
      <c r="K992" s="11">
        <v>1155449014223</v>
      </c>
      <c r="L992" s="11" t="s">
        <v>37</v>
      </c>
      <c r="M992" s="11" t="s">
        <v>27</v>
      </c>
      <c r="N992" s="12">
        <v>43252</v>
      </c>
      <c r="O992" s="12">
        <v>43252</v>
      </c>
      <c r="P992" s="11">
        <v>5</v>
      </c>
      <c r="Q992" s="11" t="s">
        <v>142</v>
      </c>
    </row>
    <row r="993" spans="1:17" ht="13" x14ac:dyDescent="0.15">
      <c r="A993" s="10">
        <v>43264.662655787033</v>
      </c>
      <c r="B993" s="11" t="s">
        <v>2354</v>
      </c>
      <c r="C993" s="11">
        <v>944</v>
      </c>
      <c r="D993" s="11" t="s">
        <v>2355</v>
      </c>
      <c r="E993" s="11">
        <v>7592009246</v>
      </c>
      <c r="F993" s="11" t="s">
        <v>24</v>
      </c>
      <c r="G993" s="11" t="s">
        <v>2356</v>
      </c>
      <c r="H993" s="11">
        <v>65</v>
      </c>
      <c r="I993" s="12">
        <v>43264</v>
      </c>
      <c r="J993" s="2">
        <v>20</v>
      </c>
      <c r="K993" s="11">
        <v>1145187025181</v>
      </c>
      <c r="L993" s="11" t="s">
        <v>264</v>
      </c>
      <c r="M993" s="11" t="s">
        <v>27</v>
      </c>
      <c r="N993" s="12">
        <v>43235</v>
      </c>
      <c r="O993" s="12">
        <v>43235</v>
      </c>
      <c r="P993" s="11">
        <v>20</v>
      </c>
      <c r="Q993" s="11" t="s">
        <v>2354</v>
      </c>
    </row>
    <row r="994" spans="1:17" ht="13" hidden="1" x14ac:dyDescent="0.15">
      <c r="A994" s="10">
        <v>43264.883151469912</v>
      </c>
      <c r="B994" s="11" t="s">
        <v>2218</v>
      </c>
      <c r="C994" s="11">
        <v>835</v>
      </c>
      <c r="D994" s="11" t="s">
        <v>2357</v>
      </c>
      <c r="E994" s="11">
        <v>9048615833</v>
      </c>
      <c r="F994" s="11" t="s">
        <v>1124</v>
      </c>
      <c r="G994" s="11" t="s">
        <v>2220</v>
      </c>
      <c r="H994" s="11">
        <v>20</v>
      </c>
      <c r="I994" s="12">
        <v>43230</v>
      </c>
      <c r="J994" s="2">
        <v>3</v>
      </c>
      <c r="K994" s="11">
        <v>11677449005905</v>
      </c>
      <c r="L994" s="11" t="s">
        <v>2359</v>
      </c>
      <c r="M994" s="11" t="s">
        <v>27</v>
      </c>
      <c r="N994" s="12">
        <v>43248</v>
      </c>
      <c r="O994" s="12">
        <v>43262</v>
      </c>
      <c r="P994" s="11">
        <v>3</v>
      </c>
      <c r="Q994" s="11" t="s">
        <v>2218</v>
      </c>
    </row>
    <row r="995" spans="1:17" ht="13" hidden="1" x14ac:dyDescent="0.15">
      <c r="A995" s="10">
        <v>43265.544879027773</v>
      </c>
      <c r="B995" s="11" t="s">
        <v>2360</v>
      </c>
      <c r="C995" s="11">
        <v>752</v>
      </c>
      <c r="D995" s="11" t="s">
        <v>2361</v>
      </c>
      <c r="E995" s="11">
        <v>94476400006</v>
      </c>
      <c r="F995" s="11" t="s">
        <v>46</v>
      </c>
      <c r="G995" s="11" t="s">
        <v>2362</v>
      </c>
      <c r="H995" s="11">
        <v>30</v>
      </c>
      <c r="I995" s="12">
        <v>43201</v>
      </c>
      <c r="J995" s="2">
        <v>3</v>
      </c>
      <c r="K995" s="11">
        <v>1165182004771</v>
      </c>
      <c r="L995" s="11" t="s">
        <v>2363</v>
      </c>
      <c r="M995" s="11" t="s">
        <v>27</v>
      </c>
      <c r="N995" s="12">
        <v>43189</v>
      </c>
      <c r="O995" s="12">
        <v>43189</v>
      </c>
      <c r="P995" s="11">
        <v>13</v>
      </c>
      <c r="Q995" s="11" t="s">
        <v>2360</v>
      </c>
    </row>
    <row r="996" spans="1:17" ht="13" hidden="1" x14ac:dyDescent="0.15">
      <c r="A996" s="10">
        <v>43265.550183715277</v>
      </c>
      <c r="B996" s="11" t="s">
        <v>2364</v>
      </c>
      <c r="C996" s="11">
        <v>770</v>
      </c>
      <c r="D996" s="11" t="s">
        <v>2365</v>
      </c>
      <c r="E996" s="11">
        <v>9446391456</v>
      </c>
      <c r="F996" s="11" t="s">
        <v>46</v>
      </c>
      <c r="G996" s="11" t="s">
        <v>2366</v>
      </c>
      <c r="H996" s="11">
        <v>30</v>
      </c>
      <c r="I996" s="12">
        <v>43201</v>
      </c>
      <c r="J996" s="2">
        <v>3</v>
      </c>
      <c r="K996" s="11">
        <v>1165319010196</v>
      </c>
      <c r="L996" s="11" t="s">
        <v>2367</v>
      </c>
      <c r="M996" s="11" t="s">
        <v>27</v>
      </c>
      <c r="N996" s="12">
        <v>43194</v>
      </c>
      <c r="O996" s="12">
        <v>43194</v>
      </c>
      <c r="P996" s="11">
        <v>33</v>
      </c>
      <c r="Q996" s="11" t="s">
        <v>2364</v>
      </c>
    </row>
    <row r="997" spans="1:17" ht="13" hidden="1" x14ac:dyDescent="0.15">
      <c r="A997" s="10">
        <v>43265.554896770831</v>
      </c>
      <c r="B997" s="11" t="s">
        <v>2368</v>
      </c>
      <c r="C997" s="11">
        <v>474</v>
      </c>
      <c r="D997" s="11" t="s">
        <v>2369</v>
      </c>
      <c r="E997" s="11">
        <v>9446236561</v>
      </c>
      <c r="F997" s="11" t="s">
        <v>46</v>
      </c>
      <c r="G997" s="11" t="s">
        <v>2370</v>
      </c>
      <c r="H997" s="11">
        <v>30</v>
      </c>
      <c r="I997" s="12">
        <v>43201</v>
      </c>
      <c r="J997" s="2">
        <v>3</v>
      </c>
      <c r="K997" s="11">
        <v>1167259000064</v>
      </c>
      <c r="L997" s="11" t="s">
        <v>2371</v>
      </c>
      <c r="M997" s="11" t="s">
        <v>27</v>
      </c>
      <c r="N997" s="12">
        <v>43171</v>
      </c>
      <c r="O997" s="12">
        <v>43171</v>
      </c>
      <c r="P997" s="11">
        <v>21</v>
      </c>
      <c r="Q997" s="11" t="s">
        <v>2368</v>
      </c>
    </row>
    <row r="998" spans="1:17" ht="13" hidden="1" x14ac:dyDescent="0.15">
      <c r="A998" s="10">
        <v>43265.558541886574</v>
      </c>
      <c r="B998" s="11" t="s">
        <v>2372</v>
      </c>
      <c r="C998" s="11">
        <v>470</v>
      </c>
      <c r="D998" s="11" t="s">
        <v>2373</v>
      </c>
      <c r="E998" s="11">
        <v>9495857144</v>
      </c>
      <c r="F998" s="11" t="s">
        <v>46</v>
      </c>
      <c r="G998" s="11" t="s">
        <v>2374</v>
      </c>
      <c r="H998" s="11">
        <v>30</v>
      </c>
      <c r="I998" s="12">
        <v>43201</v>
      </c>
      <c r="J998" s="2">
        <v>3</v>
      </c>
      <c r="K998" s="11">
        <v>1165258004812</v>
      </c>
      <c r="L998" s="11" t="s">
        <v>2375</v>
      </c>
      <c r="M998" s="11" t="s">
        <v>27</v>
      </c>
      <c r="N998" s="12">
        <v>43173</v>
      </c>
      <c r="O998" s="12">
        <v>43173</v>
      </c>
      <c r="P998" s="11">
        <v>13</v>
      </c>
      <c r="Q998" s="11" t="s">
        <v>2372</v>
      </c>
    </row>
    <row r="999" spans="1:17" ht="13" hidden="1" x14ac:dyDescent="0.15">
      <c r="A999" s="10">
        <v>43265.576903368055</v>
      </c>
      <c r="B999" s="11" t="s">
        <v>2376</v>
      </c>
      <c r="C999" s="11">
        <v>453</v>
      </c>
      <c r="D999" s="11" t="s">
        <v>2377</v>
      </c>
      <c r="E999" s="11">
        <v>4662227774</v>
      </c>
      <c r="F999" s="11" t="s">
        <v>46</v>
      </c>
      <c r="G999" s="11" t="s">
        <v>2378</v>
      </c>
      <c r="H999" s="11">
        <v>19</v>
      </c>
      <c r="I999" s="12">
        <v>43183</v>
      </c>
      <c r="J999" s="2">
        <v>10</v>
      </c>
      <c r="K999" s="11">
        <v>1167336004306</v>
      </c>
      <c r="L999" s="11" t="s">
        <v>2379</v>
      </c>
      <c r="M999" s="11" t="s">
        <v>27</v>
      </c>
      <c r="N999" s="12">
        <v>43174</v>
      </c>
      <c r="O999" s="12">
        <v>43174</v>
      </c>
      <c r="P999" s="11">
        <v>10</v>
      </c>
      <c r="Q999" s="11" t="s">
        <v>2376</v>
      </c>
    </row>
    <row r="1000" spans="1:17" ht="13" x14ac:dyDescent="0.15">
      <c r="A1000" s="10">
        <v>43265.904827245366</v>
      </c>
      <c r="B1000" s="11" t="s">
        <v>2052</v>
      </c>
      <c r="C1000" s="11">
        <v>947</v>
      </c>
      <c r="D1000" s="11" t="s">
        <v>2380</v>
      </c>
      <c r="E1000" s="11">
        <v>9447089900</v>
      </c>
      <c r="F1000" s="11" t="s">
        <v>24</v>
      </c>
      <c r="G1000" s="11" t="s">
        <v>1226</v>
      </c>
      <c r="H1000" s="11">
        <v>20</v>
      </c>
      <c r="I1000" s="12">
        <v>43232</v>
      </c>
      <c r="J1000" s="2">
        <v>5</v>
      </c>
      <c r="K1000" s="11">
        <v>1145145017679</v>
      </c>
      <c r="L1000" s="11" t="s">
        <v>462</v>
      </c>
      <c r="M1000" s="11" t="s">
        <v>27</v>
      </c>
      <c r="N1000" s="12">
        <v>43207</v>
      </c>
      <c r="O1000" s="12">
        <v>43207</v>
      </c>
      <c r="P1000" s="11">
        <v>5</v>
      </c>
      <c r="Q1000" s="11" t="s">
        <v>2052</v>
      </c>
    </row>
    <row r="1001" spans="1:17" ht="13" hidden="1" x14ac:dyDescent="0.15">
      <c r="A1001" s="10">
        <v>43266.480216666663</v>
      </c>
      <c r="B1001" s="11" t="s">
        <v>2381</v>
      </c>
      <c r="C1001" s="11">
        <v>300</v>
      </c>
      <c r="D1001" s="11" t="s">
        <v>2382</v>
      </c>
      <c r="E1001" s="11">
        <v>9188483105</v>
      </c>
      <c r="F1001" s="11" t="s">
        <v>35</v>
      </c>
      <c r="G1001" s="11" t="s">
        <v>2383</v>
      </c>
      <c r="H1001" s="11">
        <v>6</v>
      </c>
      <c r="I1001" s="12">
        <v>43226</v>
      </c>
      <c r="J1001" s="2">
        <v>5</v>
      </c>
      <c r="K1001" s="11">
        <v>1155492002345</v>
      </c>
      <c r="L1001" s="11" t="s">
        <v>2384</v>
      </c>
      <c r="M1001" s="11" t="s">
        <v>27</v>
      </c>
      <c r="N1001" s="12">
        <v>43233</v>
      </c>
      <c r="O1001" s="12">
        <v>43233</v>
      </c>
      <c r="P1001" s="11">
        <v>5</v>
      </c>
      <c r="Q1001" s="11" t="s">
        <v>2381</v>
      </c>
    </row>
    <row r="1002" spans="1:17" ht="13" hidden="1" x14ac:dyDescent="0.15">
      <c r="A1002" s="10">
        <v>43266.480264664351</v>
      </c>
      <c r="B1002" s="11" t="s">
        <v>2385</v>
      </c>
      <c r="C1002" s="11">
        <v>1015</v>
      </c>
      <c r="D1002" s="11" t="s">
        <v>2386</v>
      </c>
      <c r="E1002" s="11">
        <v>9895701787</v>
      </c>
      <c r="F1002" s="11" t="s">
        <v>30</v>
      </c>
      <c r="G1002" s="11" t="s">
        <v>2387</v>
      </c>
      <c r="H1002" s="11">
        <v>45</v>
      </c>
      <c r="I1002" s="12">
        <v>43266</v>
      </c>
      <c r="J1002" s="2">
        <v>3</v>
      </c>
      <c r="K1002" s="11">
        <v>1156937005849</v>
      </c>
      <c r="L1002" s="11" t="s">
        <v>570</v>
      </c>
      <c r="M1002" s="11" t="s">
        <v>27</v>
      </c>
      <c r="N1002" s="12">
        <v>43265</v>
      </c>
      <c r="O1002" s="12">
        <v>43265</v>
      </c>
      <c r="P1002" s="11">
        <v>3</v>
      </c>
      <c r="Q1002" s="11" t="s">
        <v>2388</v>
      </c>
    </row>
    <row r="1003" spans="1:17" ht="13" hidden="1" x14ac:dyDescent="0.15">
      <c r="A1003" s="10">
        <v>43268.606262349538</v>
      </c>
      <c r="B1003" s="11" t="s">
        <v>2389</v>
      </c>
      <c r="C1003" s="11">
        <v>111</v>
      </c>
      <c r="D1003" s="11" t="s">
        <v>2390</v>
      </c>
      <c r="E1003" s="11">
        <v>838292902</v>
      </c>
      <c r="F1003" s="11" t="s">
        <v>287</v>
      </c>
      <c r="G1003" s="11" t="s">
        <v>2391</v>
      </c>
      <c r="H1003" s="11">
        <v>3</v>
      </c>
      <c r="I1003" s="12">
        <v>43258</v>
      </c>
      <c r="J1003" s="2">
        <v>3</v>
      </c>
      <c r="K1003" s="11">
        <v>798922</v>
      </c>
      <c r="L1003" s="11" t="s">
        <v>2392</v>
      </c>
      <c r="M1003" s="11" t="s">
        <v>27</v>
      </c>
      <c r="N1003" s="12">
        <v>43257</v>
      </c>
      <c r="O1003" s="12">
        <v>43257</v>
      </c>
      <c r="P1003" s="11">
        <v>3</v>
      </c>
      <c r="Q1003" s="11" t="s">
        <v>2389</v>
      </c>
    </row>
    <row r="1004" spans="1:17" ht="13" hidden="1" x14ac:dyDescent="0.15">
      <c r="A1004" s="10">
        <v>43271.313548738428</v>
      </c>
      <c r="B1004" s="11" t="s">
        <v>2218</v>
      </c>
      <c r="C1004" s="11">
        <v>835</v>
      </c>
      <c r="D1004" s="11" t="s">
        <v>2394</v>
      </c>
      <c r="E1004" s="11">
        <v>9495933693</v>
      </c>
      <c r="F1004" s="11" t="s">
        <v>1124</v>
      </c>
      <c r="G1004" s="11" t="s">
        <v>2395</v>
      </c>
      <c r="H1004" s="11">
        <v>20</v>
      </c>
      <c r="I1004" s="12">
        <v>43223</v>
      </c>
      <c r="J1004" s="2">
        <v>3</v>
      </c>
      <c r="K1004" s="11">
        <v>112665372888</v>
      </c>
      <c r="L1004" s="11" t="s">
        <v>2359</v>
      </c>
      <c r="M1004" s="11" t="s">
        <v>27</v>
      </c>
      <c r="N1004" s="12">
        <v>43217</v>
      </c>
      <c r="O1004" s="12">
        <v>43304</v>
      </c>
      <c r="P1004" s="11">
        <v>3</v>
      </c>
      <c r="Q1004" s="11" t="s">
        <v>2218</v>
      </c>
    </row>
    <row r="1005" spans="1:17" ht="13" x14ac:dyDescent="0.15">
      <c r="A1005" s="10">
        <v>43271.507909108797</v>
      </c>
      <c r="B1005" s="11" t="s">
        <v>625</v>
      </c>
      <c r="C1005" s="11">
        <v>767</v>
      </c>
      <c r="D1005" s="11" t="s">
        <v>2396</v>
      </c>
      <c r="E1005" s="11">
        <v>9961003336</v>
      </c>
      <c r="F1005" s="11" t="s">
        <v>24</v>
      </c>
      <c r="G1005" s="11" t="s">
        <v>1226</v>
      </c>
      <c r="H1005" s="11">
        <v>20</v>
      </c>
      <c r="I1005" s="12">
        <v>43245</v>
      </c>
      <c r="J1005" s="2">
        <v>5</v>
      </c>
      <c r="K1005" s="11">
        <v>1145197009698</v>
      </c>
      <c r="L1005" s="11" t="s">
        <v>26</v>
      </c>
      <c r="M1005" s="11" t="s">
        <v>27</v>
      </c>
      <c r="N1005" s="12">
        <v>43214</v>
      </c>
      <c r="O1005" s="12">
        <v>43214</v>
      </c>
      <c r="P1005" s="11">
        <v>5</v>
      </c>
      <c r="Q1005" s="11" t="s">
        <v>625</v>
      </c>
    </row>
    <row r="1006" spans="1:17" ht="13" hidden="1" x14ac:dyDescent="0.15">
      <c r="A1006" s="10">
        <v>43271.609776354162</v>
      </c>
      <c r="B1006" s="11" t="s">
        <v>192</v>
      </c>
      <c r="C1006" s="11">
        <v>964</v>
      </c>
      <c r="D1006" s="11" t="s">
        <v>2397</v>
      </c>
      <c r="E1006" s="11">
        <v>7025521166</v>
      </c>
      <c r="F1006" s="11" t="s">
        <v>30</v>
      </c>
      <c r="G1006" s="11" t="s">
        <v>157</v>
      </c>
      <c r="H1006" s="11">
        <v>42</v>
      </c>
      <c r="I1006" s="12">
        <v>42833</v>
      </c>
      <c r="J1006" s="2">
        <v>2</v>
      </c>
      <c r="K1006" s="11">
        <v>1156792002485</v>
      </c>
      <c r="L1006" s="11" t="s">
        <v>2398</v>
      </c>
      <c r="M1006" s="11" t="s">
        <v>27</v>
      </c>
      <c r="N1006" s="12">
        <v>43243</v>
      </c>
      <c r="O1006" s="12">
        <v>43243</v>
      </c>
      <c r="P1006" s="11">
        <v>2</v>
      </c>
      <c r="Q1006" s="11" t="s">
        <v>192</v>
      </c>
    </row>
    <row r="1007" spans="1:17" ht="13" hidden="1" x14ac:dyDescent="0.15">
      <c r="A1007" s="10">
        <v>43271.637830879627</v>
      </c>
      <c r="B1007" s="11" t="s">
        <v>192</v>
      </c>
      <c r="C1007" s="11">
        <v>1099</v>
      </c>
      <c r="D1007" s="11" t="s">
        <v>2399</v>
      </c>
      <c r="E1007" s="11">
        <v>7025521166</v>
      </c>
      <c r="F1007" s="11" t="s">
        <v>30</v>
      </c>
      <c r="G1007" s="11" t="s">
        <v>157</v>
      </c>
      <c r="H1007" s="11">
        <v>42</v>
      </c>
      <c r="I1007" s="12">
        <v>43256</v>
      </c>
      <c r="J1007" s="2">
        <v>10</v>
      </c>
      <c r="K1007" s="11">
        <v>1156811017716</v>
      </c>
      <c r="L1007" s="11" t="s">
        <v>468</v>
      </c>
      <c r="M1007" s="11" t="s">
        <v>27</v>
      </c>
      <c r="N1007" s="12">
        <v>43253</v>
      </c>
      <c r="O1007" s="12">
        <v>43253</v>
      </c>
      <c r="P1007" s="11">
        <v>10</v>
      </c>
      <c r="Q1007" s="11" t="s">
        <v>192</v>
      </c>
    </row>
    <row r="1008" spans="1:17" ht="13" hidden="1" x14ac:dyDescent="0.15">
      <c r="A1008" s="10">
        <v>43271.693496770837</v>
      </c>
      <c r="B1008" s="11" t="s">
        <v>227</v>
      </c>
      <c r="C1008" s="11">
        <v>274</v>
      </c>
      <c r="D1008" s="11" t="s">
        <v>2400</v>
      </c>
      <c r="E1008" s="11">
        <v>8137874406</v>
      </c>
      <c r="F1008" s="11" t="s">
        <v>266</v>
      </c>
      <c r="G1008" s="11" t="s">
        <v>157</v>
      </c>
      <c r="H1008" s="11">
        <v>42</v>
      </c>
      <c r="I1008" s="12">
        <v>43189</v>
      </c>
      <c r="J1008" s="2">
        <v>3</v>
      </c>
      <c r="K1008" s="11">
        <v>1165985028597</v>
      </c>
      <c r="L1008" s="11" t="s">
        <v>1474</v>
      </c>
      <c r="M1008" s="11" t="s">
        <v>27</v>
      </c>
      <c r="N1008" s="12">
        <v>43278</v>
      </c>
      <c r="O1008" s="12">
        <v>43278</v>
      </c>
      <c r="P1008" s="11">
        <v>3</v>
      </c>
      <c r="Q1008" s="11" t="s">
        <v>227</v>
      </c>
    </row>
    <row r="1009" spans="1:17" ht="13" hidden="1" x14ac:dyDescent="0.15">
      <c r="A1009" s="10">
        <v>43271.709630775462</v>
      </c>
      <c r="B1009" s="11" t="s">
        <v>227</v>
      </c>
      <c r="C1009" s="11">
        <v>825</v>
      </c>
      <c r="D1009" s="11" t="s">
        <v>2401</v>
      </c>
      <c r="E1009" s="11">
        <v>8137874406</v>
      </c>
      <c r="F1009" s="11" t="s">
        <v>266</v>
      </c>
      <c r="G1009" s="11" t="s">
        <v>157</v>
      </c>
      <c r="H1009" s="11">
        <v>42</v>
      </c>
      <c r="I1009" s="12">
        <v>43189</v>
      </c>
      <c r="J1009" s="2">
        <v>3</v>
      </c>
      <c r="K1009" s="11">
        <v>1165988028949</v>
      </c>
      <c r="L1009" s="11" t="s">
        <v>956</v>
      </c>
      <c r="M1009" s="11" t="s">
        <v>27</v>
      </c>
      <c r="N1009" s="12">
        <v>43216</v>
      </c>
      <c r="O1009" s="12">
        <v>43216</v>
      </c>
      <c r="P1009" s="11">
        <v>3</v>
      </c>
      <c r="Q1009" s="11" t="s">
        <v>227</v>
      </c>
    </row>
    <row r="1010" spans="1:17" ht="13" hidden="1" x14ac:dyDescent="0.15">
      <c r="A1010" s="10">
        <v>43271.740223090281</v>
      </c>
      <c r="B1010" s="11" t="s">
        <v>227</v>
      </c>
      <c r="C1010" s="11">
        <v>465</v>
      </c>
      <c r="D1010" s="11" t="s">
        <v>2402</v>
      </c>
      <c r="E1010" s="11">
        <v>8137874406</v>
      </c>
      <c r="F1010" s="11" t="s">
        <v>266</v>
      </c>
      <c r="G1010" s="11" t="s">
        <v>157</v>
      </c>
      <c r="H1010" s="11">
        <v>42</v>
      </c>
      <c r="I1010" s="12">
        <v>43196</v>
      </c>
      <c r="J1010" s="2">
        <v>3</v>
      </c>
      <c r="K1010" s="11">
        <v>1166052007804</v>
      </c>
      <c r="L1010" s="11" t="s">
        <v>854</v>
      </c>
      <c r="M1010" s="11" t="s">
        <v>27</v>
      </c>
      <c r="N1010" s="12">
        <v>43194</v>
      </c>
      <c r="O1010" s="12">
        <v>43194</v>
      </c>
      <c r="P1010" s="11">
        <v>3</v>
      </c>
      <c r="Q1010" s="11" t="s">
        <v>227</v>
      </c>
    </row>
    <row r="1011" spans="1:17" ht="13" x14ac:dyDescent="0.15">
      <c r="A1011" s="10">
        <v>43271.744817060186</v>
      </c>
      <c r="B1011" s="11" t="s">
        <v>227</v>
      </c>
      <c r="C1011" s="11">
        <v>1069</v>
      </c>
      <c r="D1011" s="11" t="s">
        <v>2403</v>
      </c>
      <c r="E1011" s="11">
        <v>8137874406</v>
      </c>
      <c r="F1011" s="11" t="s">
        <v>24</v>
      </c>
      <c r="G1011" s="11" t="s">
        <v>157</v>
      </c>
      <c r="H1011" s="11">
        <v>42</v>
      </c>
      <c r="I1011" s="12">
        <v>43241</v>
      </c>
      <c r="J1011" s="2">
        <v>5</v>
      </c>
      <c r="K1011" s="11">
        <v>1146765011760</v>
      </c>
      <c r="L1011" s="11" t="s">
        <v>598</v>
      </c>
      <c r="M1011" s="11" t="s">
        <v>27</v>
      </c>
      <c r="N1011" s="12">
        <v>43223</v>
      </c>
      <c r="O1011" s="12">
        <v>43223</v>
      </c>
      <c r="P1011" s="11">
        <v>5</v>
      </c>
      <c r="Q1011" s="11" t="s">
        <v>227</v>
      </c>
    </row>
    <row r="1012" spans="1:17" ht="13" hidden="1" x14ac:dyDescent="0.15">
      <c r="A1012" s="10">
        <v>43272.674776215281</v>
      </c>
      <c r="B1012" s="11" t="s">
        <v>227</v>
      </c>
      <c r="C1012" s="11">
        <v>1237</v>
      </c>
      <c r="D1012" s="11" t="s">
        <v>2404</v>
      </c>
      <c r="E1012" s="11">
        <v>8137874406</v>
      </c>
      <c r="F1012" s="11" t="s">
        <v>266</v>
      </c>
      <c r="G1012" s="11" t="s">
        <v>157</v>
      </c>
      <c r="H1012" s="11">
        <v>42</v>
      </c>
      <c r="I1012" s="12">
        <v>43270</v>
      </c>
      <c r="J1012" s="2">
        <v>10</v>
      </c>
      <c r="K1012" s="11">
        <v>1166331000033</v>
      </c>
      <c r="L1012" s="11" t="s">
        <v>2405</v>
      </c>
      <c r="M1012" s="11" t="s">
        <v>27</v>
      </c>
      <c r="N1012" s="12">
        <v>43229</v>
      </c>
      <c r="O1012" s="12">
        <v>43229</v>
      </c>
      <c r="P1012" s="11">
        <v>10</v>
      </c>
      <c r="Q1012" s="11" t="s">
        <v>227</v>
      </c>
    </row>
    <row r="1013" spans="1:17" ht="13" hidden="1" x14ac:dyDescent="0.15">
      <c r="A1013" s="10">
        <v>43273.663560428242</v>
      </c>
      <c r="B1013" s="11" t="s">
        <v>2406</v>
      </c>
      <c r="C1013" s="11">
        <v>1197</v>
      </c>
      <c r="D1013" s="11" t="s">
        <v>2407</v>
      </c>
      <c r="E1013" s="11">
        <v>9400165965</v>
      </c>
      <c r="F1013" s="11" t="s">
        <v>46</v>
      </c>
      <c r="G1013" s="11" t="s">
        <v>973</v>
      </c>
      <c r="H1013" s="11">
        <v>20</v>
      </c>
      <c r="I1013" s="12">
        <v>43238</v>
      </c>
      <c r="J1013" s="2">
        <v>3</v>
      </c>
      <c r="K1013" s="11">
        <v>1165359005735</v>
      </c>
      <c r="L1013" s="11" t="s">
        <v>2408</v>
      </c>
      <c r="M1013" s="11" t="s">
        <v>27</v>
      </c>
      <c r="N1013" s="12">
        <v>43245</v>
      </c>
      <c r="O1013" s="12">
        <v>43245</v>
      </c>
      <c r="P1013" s="11">
        <v>3</v>
      </c>
      <c r="Q1013" s="11" t="s">
        <v>2406</v>
      </c>
    </row>
    <row r="1014" spans="1:17" ht="13" hidden="1" x14ac:dyDescent="0.15">
      <c r="A1014" s="10">
        <v>43274.492324814812</v>
      </c>
      <c r="B1014" s="11" t="s">
        <v>2409</v>
      </c>
      <c r="C1014" s="11">
        <v>746</v>
      </c>
      <c r="D1014" s="11" t="s">
        <v>2410</v>
      </c>
      <c r="E1014" s="11">
        <v>9895757903</v>
      </c>
      <c r="F1014" s="11" t="s">
        <v>46</v>
      </c>
      <c r="G1014" s="11" t="s">
        <v>1316</v>
      </c>
      <c r="H1014" s="11">
        <v>21</v>
      </c>
      <c r="I1014" s="12">
        <v>43273</v>
      </c>
      <c r="J1014" s="2">
        <v>2</v>
      </c>
      <c r="K1014" s="11">
        <v>1165295010865</v>
      </c>
      <c r="L1014" s="11" t="s">
        <v>2411</v>
      </c>
      <c r="M1014" s="11" t="s">
        <v>27</v>
      </c>
      <c r="N1014" s="12">
        <v>43272</v>
      </c>
      <c r="O1014" s="12">
        <v>43272</v>
      </c>
      <c r="P1014" s="11">
        <v>2</v>
      </c>
      <c r="Q1014" s="11" t="s">
        <v>2409</v>
      </c>
    </row>
    <row r="1015" spans="1:17" ht="13" hidden="1" x14ac:dyDescent="0.15">
      <c r="A1015" s="10">
        <v>43274.543999780093</v>
      </c>
      <c r="B1015" s="11" t="s">
        <v>382</v>
      </c>
      <c r="C1015" s="11">
        <v>1036</v>
      </c>
      <c r="D1015" s="11" t="s">
        <v>2412</v>
      </c>
      <c r="E1015" s="11">
        <v>9387707733</v>
      </c>
      <c r="F1015" s="11" t="s">
        <v>30</v>
      </c>
      <c r="G1015" s="11" t="s">
        <v>384</v>
      </c>
      <c r="H1015" s="11">
        <v>4</v>
      </c>
      <c r="I1015" s="12">
        <v>43256</v>
      </c>
      <c r="J1015" s="2">
        <v>3</v>
      </c>
      <c r="K1015" s="11">
        <v>9122</v>
      </c>
      <c r="L1015" s="11" t="s">
        <v>2413</v>
      </c>
      <c r="M1015" s="11" t="s">
        <v>27</v>
      </c>
      <c r="N1015" s="12">
        <v>43238</v>
      </c>
      <c r="O1015" s="12">
        <v>43238</v>
      </c>
      <c r="P1015" s="11">
        <v>3</v>
      </c>
      <c r="Q1015" s="11" t="s">
        <v>382</v>
      </c>
    </row>
    <row r="1016" spans="1:17" ht="13" hidden="1" x14ac:dyDescent="0.15">
      <c r="A1016" s="10">
        <v>43274.738466770832</v>
      </c>
      <c r="B1016" s="11" t="s">
        <v>227</v>
      </c>
      <c r="C1016" s="11">
        <v>920</v>
      </c>
      <c r="D1016" s="11" t="s">
        <v>2415</v>
      </c>
      <c r="E1016" s="11">
        <v>8137874406</v>
      </c>
      <c r="F1016" s="11" t="s">
        <v>266</v>
      </c>
      <c r="G1016" s="11" t="s">
        <v>157</v>
      </c>
      <c r="H1016" s="11">
        <v>42</v>
      </c>
      <c r="I1016" s="12">
        <v>43253</v>
      </c>
      <c r="J1016" s="2">
        <v>2</v>
      </c>
      <c r="K1016" s="11">
        <v>1166113028959</v>
      </c>
      <c r="L1016" s="11" t="s">
        <v>1799</v>
      </c>
      <c r="M1016" s="11" t="s">
        <v>27</v>
      </c>
      <c r="N1016" s="12">
        <v>43249</v>
      </c>
      <c r="O1016" s="12">
        <v>43249</v>
      </c>
      <c r="P1016" s="11">
        <v>2</v>
      </c>
      <c r="Q1016" s="11" t="s">
        <v>227</v>
      </c>
    </row>
    <row r="1017" spans="1:17" ht="13" hidden="1" x14ac:dyDescent="0.15">
      <c r="A1017" s="10">
        <v>43274.740604074075</v>
      </c>
      <c r="B1017" s="11" t="s">
        <v>227</v>
      </c>
      <c r="C1017" s="11">
        <v>613</v>
      </c>
      <c r="D1017" s="11" t="s">
        <v>2416</v>
      </c>
      <c r="E1017" s="11">
        <v>8137874406</v>
      </c>
      <c r="F1017" s="11" t="s">
        <v>266</v>
      </c>
      <c r="G1017" s="11" t="s">
        <v>157</v>
      </c>
      <c r="H1017" s="11">
        <v>42</v>
      </c>
      <c r="I1017" s="12">
        <v>43196</v>
      </c>
      <c r="J1017" s="2">
        <v>3</v>
      </c>
      <c r="K1017" s="11">
        <v>1167440018242</v>
      </c>
      <c r="L1017" s="11" t="s">
        <v>2417</v>
      </c>
      <c r="M1017" s="11" t="s">
        <v>27</v>
      </c>
      <c r="N1017" s="12">
        <v>43274</v>
      </c>
      <c r="O1017" s="12">
        <v>43274</v>
      </c>
      <c r="P1017" s="11">
        <v>3</v>
      </c>
      <c r="Q1017" s="11" t="s">
        <v>227</v>
      </c>
    </row>
    <row r="1018" spans="1:17" ht="13" hidden="1" x14ac:dyDescent="0.15">
      <c r="A1018" s="10">
        <v>43274.745540509262</v>
      </c>
      <c r="B1018" s="11" t="s">
        <v>227</v>
      </c>
      <c r="C1018" s="11">
        <v>1141</v>
      </c>
      <c r="D1018" s="11" t="s">
        <v>2418</v>
      </c>
      <c r="E1018" s="11">
        <v>8137874406</v>
      </c>
      <c r="F1018" s="11" t="s">
        <v>182</v>
      </c>
      <c r="G1018" s="11" t="s">
        <v>157</v>
      </c>
      <c r="H1018" s="11">
        <v>42</v>
      </c>
      <c r="I1018" s="12">
        <v>43218</v>
      </c>
      <c r="J1018" s="2">
        <v>2</v>
      </c>
      <c r="K1018" s="11">
        <v>1167706012861</v>
      </c>
      <c r="L1018" s="11" t="s">
        <v>2419</v>
      </c>
      <c r="M1018" s="11" t="s">
        <v>27</v>
      </c>
      <c r="N1018" s="12">
        <v>43216</v>
      </c>
      <c r="O1018" s="12">
        <v>43216</v>
      </c>
      <c r="P1018" s="11">
        <v>2</v>
      </c>
      <c r="Q1018" s="11" t="s">
        <v>227</v>
      </c>
    </row>
    <row r="1019" spans="1:17" ht="13" hidden="1" x14ac:dyDescent="0.15">
      <c r="A1019" s="10">
        <v>43274.764372071761</v>
      </c>
      <c r="B1019" s="11" t="s">
        <v>227</v>
      </c>
      <c r="C1019" s="11">
        <v>604</v>
      </c>
      <c r="D1019" s="11" t="s">
        <v>2420</v>
      </c>
      <c r="E1019" s="11">
        <v>8131874406</v>
      </c>
      <c r="F1019" s="11" t="s">
        <v>266</v>
      </c>
      <c r="G1019" s="11" t="s">
        <v>157</v>
      </c>
      <c r="H1019" s="11">
        <v>42</v>
      </c>
      <c r="I1019" s="12">
        <v>43197</v>
      </c>
      <c r="J1019" s="2">
        <v>3</v>
      </c>
      <c r="K1019" s="11">
        <v>1165976000424</v>
      </c>
      <c r="L1019" s="11" t="s">
        <v>872</v>
      </c>
      <c r="M1019" s="11" t="s">
        <v>27</v>
      </c>
      <c r="N1019" s="12">
        <v>43214</v>
      </c>
      <c r="O1019" s="12">
        <v>43214</v>
      </c>
      <c r="P1019" s="11">
        <v>3</v>
      </c>
      <c r="Q1019" s="11" t="s">
        <v>227</v>
      </c>
    </row>
    <row r="1020" spans="1:17" ht="13" hidden="1" x14ac:dyDescent="0.15">
      <c r="A1020" s="10">
        <v>43278.518865231483</v>
      </c>
      <c r="B1020" s="11" t="s">
        <v>227</v>
      </c>
      <c r="C1020" s="11">
        <v>548</v>
      </c>
      <c r="D1020" s="11" t="s">
        <v>2421</v>
      </c>
      <c r="E1020" s="11">
        <v>8137874406</v>
      </c>
      <c r="F1020" s="11" t="s">
        <v>30</v>
      </c>
      <c r="G1020" s="11" t="s">
        <v>2422</v>
      </c>
      <c r="H1020" s="11">
        <v>42</v>
      </c>
      <c r="I1020" s="12">
        <v>43200</v>
      </c>
      <c r="J1020" s="2">
        <v>3</v>
      </c>
      <c r="K1020" s="11">
        <v>6127</v>
      </c>
      <c r="L1020" s="11" t="s">
        <v>773</v>
      </c>
      <c r="M1020" s="11" t="s">
        <v>27</v>
      </c>
      <c r="N1020" s="12">
        <v>43217</v>
      </c>
      <c r="O1020" s="12">
        <v>43217</v>
      </c>
      <c r="P1020" s="11">
        <v>3</v>
      </c>
      <c r="Q1020" s="11" t="s">
        <v>227</v>
      </c>
    </row>
    <row r="1021" spans="1:17" ht="13" hidden="1" x14ac:dyDescent="0.15">
      <c r="A1021" s="10">
        <v>43284.549239513886</v>
      </c>
      <c r="B1021" s="11" t="s">
        <v>2423</v>
      </c>
      <c r="C1021" s="11">
        <v>873</v>
      </c>
      <c r="D1021" s="11" t="s">
        <v>2425</v>
      </c>
      <c r="E1021" s="11">
        <v>9447277418</v>
      </c>
      <c r="F1021" s="11" t="s">
        <v>46</v>
      </c>
      <c r="G1021" s="11" t="s">
        <v>2426</v>
      </c>
      <c r="H1021" s="11">
        <v>20</v>
      </c>
      <c r="I1021" s="12">
        <v>43258</v>
      </c>
      <c r="J1021" s="2">
        <v>3</v>
      </c>
      <c r="K1021" s="11">
        <v>1165318014836</v>
      </c>
      <c r="L1021" s="11" t="s">
        <v>2367</v>
      </c>
      <c r="M1021" s="11" t="s">
        <v>27</v>
      </c>
      <c r="N1021" s="12">
        <v>43276</v>
      </c>
      <c r="O1021" s="12">
        <v>43276</v>
      </c>
      <c r="P1021" s="11">
        <v>3</v>
      </c>
      <c r="Q1021" s="11" t="s">
        <v>2423</v>
      </c>
    </row>
    <row r="1022" spans="1:17" ht="13" hidden="1" x14ac:dyDescent="0.15">
      <c r="A1022" s="10">
        <v>43284.553074594907</v>
      </c>
      <c r="B1022" s="11" t="s">
        <v>2423</v>
      </c>
      <c r="C1022" s="11">
        <v>872</v>
      </c>
      <c r="D1022" s="11" t="s">
        <v>2427</v>
      </c>
      <c r="E1022" s="11">
        <v>9447624744</v>
      </c>
      <c r="F1022" s="11" t="s">
        <v>46</v>
      </c>
      <c r="G1022" s="11" t="s">
        <v>2428</v>
      </c>
      <c r="H1022" s="11">
        <v>20</v>
      </c>
      <c r="I1022" s="12">
        <v>43258</v>
      </c>
      <c r="J1022" s="2">
        <v>3</v>
      </c>
      <c r="K1022" s="11">
        <v>1165317001827</v>
      </c>
      <c r="L1022" s="11" t="s">
        <v>2367</v>
      </c>
      <c r="M1022" s="11" t="s">
        <v>27</v>
      </c>
      <c r="N1022" s="12">
        <v>43276</v>
      </c>
      <c r="O1022" s="12">
        <v>43276</v>
      </c>
      <c r="P1022" s="11">
        <v>3</v>
      </c>
      <c r="Q1022" s="11" t="s">
        <v>2423</v>
      </c>
    </row>
    <row r="1023" spans="1:17" ht="13" hidden="1" x14ac:dyDescent="0.15">
      <c r="A1023" s="10">
        <v>43284.558178935185</v>
      </c>
      <c r="B1023" s="11" t="s">
        <v>2429</v>
      </c>
      <c r="C1023" s="11">
        <v>87</v>
      </c>
      <c r="D1023" s="11" t="s">
        <v>2430</v>
      </c>
      <c r="E1023" s="11">
        <v>9496773735</v>
      </c>
      <c r="F1023" s="11" t="s">
        <v>46</v>
      </c>
      <c r="G1023" s="11" t="s">
        <v>973</v>
      </c>
      <c r="H1023" s="11">
        <v>20</v>
      </c>
      <c r="I1023" s="12">
        <v>43215</v>
      </c>
      <c r="J1023" s="2">
        <v>5</v>
      </c>
      <c r="K1023" s="11">
        <v>1165314022048</v>
      </c>
      <c r="L1023" s="11" t="s">
        <v>1740</v>
      </c>
      <c r="M1023" s="11" t="s">
        <v>27</v>
      </c>
      <c r="N1023" s="12">
        <v>43224</v>
      </c>
      <c r="O1023" s="12">
        <v>43224</v>
      </c>
      <c r="P1023" s="11">
        <v>3</v>
      </c>
      <c r="Q1023" s="11" t="s">
        <v>2429</v>
      </c>
    </row>
    <row r="1024" spans="1:17" ht="13" hidden="1" x14ac:dyDescent="0.15">
      <c r="A1024" s="10">
        <v>43285.526552314812</v>
      </c>
      <c r="B1024" s="11" t="s">
        <v>382</v>
      </c>
      <c r="C1024" s="11">
        <v>1037</v>
      </c>
      <c r="D1024" s="11" t="s">
        <v>2431</v>
      </c>
      <c r="E1024" s="11">
        <v>9387707733</v>
      </c>
      <c r="F1024" s="11" t="s">
        <v>30</v>
      </c>
      <c r="G1024" s="11" t="s">
        <v>384</v>
      </c>
      <c r="H1024" s="11">
        <v>4</v>
      </c>
      <c r="I1024" s="12">
        <v>43225</v>
      </c>
      <c r="J1024" s="2">
        <v>3</v>
      </c>
      <c r="K1024" s="11">
        <v>1156898014822</v>
      </c>
      <c r="L1024" s="11" t="s">
        <v>2432</v>
      </c>
      <c r="M1024" s="11" t="s">
        <v>27</v>
      </c>
      <c r="N1024" s="12">
        <v>43199</v>
      </c>
      <c r="O1024" s="12">
        <v>43199</v>
      </c>
      <c r="P1024" s="11">
        <v>3</v>
      </c>
      <c r="Q1024" s="11" t="s">
        <v>382</v>
      </c>
    </row>
    <row r="1025" spans="1:17" ht="13" hidden="1" x14ac:dyDescent="0.15">
      <c r="A1025" s="10">
        <v>43286.545245081019</v>
      </c>
      <c r="B1025" s="11" t="s">
        <v>382</v>
      </c>
      <c r="C1025" s="11">
        <v>233</v>
      </c>
      <c r="D1025" s="11" t="s">
        <v>2433</v>
      </c>
      <c r="E1025" s="11">
        <v>9387707733</v>
      </c>
      <c r="F1025" s="11" t="s">
        <v>30</v>
      </c>
      <c r="G1025" s="11" t="s">
        <v>384</v>
      </c>
      <c r="H1025" s="11">
        <v>4</v>
      </c>
      <c r="I1025" s="12">
        <v>43285</v>
      </c>
      <c r="J1025" s="2">
        <v>5</v>
      </c>
      <c r="K1025" s="11">
        <v>1156758014719</v>
      </c>
      <c r="L1025" s="11" t="s">
        <v>2434</v>
      </c>
      <c r="M1025" s="11" t="s">
        <v>27</v>
      </c>
      <c r="N1025" s="12">
        <v>43257</v>
      </c>
      <c r="O1025" s="12">
        <v>43257</v>
      </c>
      <c r="P1025" s="11">
        <v>5</v>
      </c>
      <c r="Q1025" s="11" t="s">
        <v>382</v>
      </c>
    </row>
    <row r="1026" spans="1:17" ht="13" hidden="1" x14ac:dyDescent="0.15">
      <c r="A1026" s="10">
        <v>43298.469663240743</v>
      </c>
      <c r="B1026" s="11" t="s">
        <v>1147</v>
      </c>
      <c r="C1026" s="11">
        <v>1011</v>
      </c>
      <c r="D1026" s="11" t="s">
        <v>2435</v>
      </c>
      <c r="E1026" s="11">
        <v>9645233444</v>
      </c>
      <c r="F1026" s="11" t="s">
        <v>30</v>
      </c>
      <c r="G1026" s="11" t="s">
        <v>2436</v>
      </c>
      <c r="H1026" s="11">
        <v>21</v>
      </c>
      <c r="I1026" s="12">
        <v>43225</v>
      </c>
      <c r="J1026" s="2">
        <v>3</v>
      </c>
      <c r="K1026" s="11">
        <v>1156786019763</v>
      </c>
      <c r="L1026" s="11" t="s">
        <v>454</v>
      </c>
      <c r="M1026" s="11" t="s">
        <v>27</v>
      </c>
      <c r="N1026" s="12">
        <v>43225</v>
      </c>
      <c r="O1026" s="12">
        <v>43225</v>
      </c>
      <c r="P1026" s="11">
        <v>3</v>
      </c>
      <c r="Q1026" s="11" t="s">
        <v>1147</v>
      </c>
    </row>
    <row r="1027" spans="1:17" ht="13" hidden="1" x14ac:dyDescent="0.15">
      <c r="A1027" s="10">
        <v>43298.47417346065</v>
      </c>
      <c r="B1027" s="11" t="s">
        <v>1147</v>
      </c>
      <c r="C1027" s="11">
        <v>931</v>
      </c>
      <c r="D1027" s="11" t="s">
        <v>2438</v>
      </c>
      <c r="E1027" s="11">
        <v>8289938304</v>
      </c>
      <c r="F1027" s="11" t="s">
        <v>35</v>
      </c>
      <c r="G1027" s="11" t="s">
        <v>2436</v>
      </c>
      <c r="H1027" s="11">
        <v>21</v>
      </c>
      <c r="I1027" s="12">
        <v>43218</v>
      </c>
      <c r="J1027" s="2">
        <v>25</v>
      </c>
      <c r="K1027" s="11">
        <v>1155762007036</v>
      </c>
      <c r="L1027" s="11" t="s">
        <v>2439</v>
      </c>
      <c r="M1027" s="11" t="s">
        <v>27</v>
      </c>
      <c r="N1027" s="12">
        <v>43249</v>
      </c>
      <c r="O1027" s="12">
        <v>43249</v>
      </c>
      <c r="P1027" s="11">
        <v>25</v>
      </c>
      <c r="Q1027" s="11" t="s">
        <v>1147</v>
      </c>
    </row>
    <row r="1028" spans="1:17" ht="13" hidden="1" x14ac:dyDescent="0.15">
      <c r="A1028" s="10">
        <v>43300.55529984954</v>
      </c>
      <c r="B1028" s="11" t="s">
        <v>1578</v>
      </c>
      <c r="C1028" s="11">
        <v>1263</v>
      </c>
      <c r="D1028" s="11" t="s">
        <v>2440</v>
      </c>
      <c r="E1028" s="11">
        <v>9847030301</v>
      </c>
      <c r="F1028" s="11" t="s">
        <v>182</v>
      </c>
      <c r="G1028" s="11" t="s">
        <v>36</v>
      </c>
      <c r="H1028" s="11">
        <v>20</v>
      </c>
      <c r="I1028" s="12">
        <v>43228</v>
      </c>
      <c r="J1028" s="2">
        <v>3</v>
      </c>
      <c r="K1028" s="11">
        <v>1167096010313</v>
      </c>
      <c r="L1028" s="11" t="s">
        <v>2441</v>
      </c>
      <c r="M1028" s="11" t="s">
        <v>27</v>
      </c>
      <c r="N1028" s="12">
        <v>43227</v>
      </c>
      <c r="O1028" s="12">
        <v>43227</v>
      </c>
      <c r="P1028" s="11">
        <v>3</v>
      </c>
      <c r="Q1028" s="11" t="s">
        <v>1578</v>
      </c>
    </row>
    <row r="1029" spans="1:17" ht="13" hidden="1" x14ac:dyDescent="0.15">
      <c r="A1029" s="10">
        <v>43305.732235856485</v>
      </c>
      <c r="B1029" s="11" t="s">
        <v>2442</v>
      </c>
      <c r="C1029" s="11">
        <v>1283</v>
      </c>
      <c r="D1029" s="11" t="s">
        <v>2443</v>
      </c>
      <c r="E1029" s="11">
        <v>9072626009</v>
      </c>
      <c r="F1029" s="11" t="s">
        <v>1124</v>
      </c>
      <c r="G1029" s="11" t="s">
        <v>2444</v>
      </c>
      <c r="H1029" s="11">
        <v>11</v>
      </c>
      <c r="I1029" s="12">
        <v>43306</v>
      </c>
      <c r="J1029" s="2">
        <v>3</v>
      </c>
      <c r="K1029" s="11">
        <v>1166864026789</v>
      </c>
      <c r="L1029" s="11" t="s">
        <v>2445</v>
      </c>
      <c r="M1029" s="11" t="s">
        <v>27</v>
      </c>
      <c r="N1029" s="12">
        <v>43181</v>
      </c>
      <c r="O1029" s="12">
        <v>43192</v>
      </c>
      <c r="P1029" s="11">
        <v>3</v>
      </c>
      <c r="Q1029" s="11" t="s">
        <v>475</v>
      </c>
    </row>
    <row r="1030" spans="1:17" ht="13" hidden="1" x14ac:dyDescent="0.15">
      <c r="A1030" s="10">
        <v>43305.73912131945</v>
      </c>
      <c r="B1030" s="11" t="s">
        <v>2446</v>
      </c>
      <c r="C1030" s="11">
        <v>1284</v>
      </c>
      <c r="D1030" s="11" t="s">
        <v>2447</v>
      </c>
      <c r="E1030" s="11">
        <v>7594933374</v>
      </c>
      <c r="F1030" s="11" t="s">
        <v>30</v>
      </c>
      <c r="G1030" s="11" t="s">
        <v>2448</v>
      </c>
      <c r="H1030" s="11">
        <v>11</v>
      </c>
      <c r="I1030" s="12">
        <v>43215</v>
      </c>
      <c r="J1030" s="2">
        <v>5</v>
      </c>
      <c r="K1030" s="11">
        <v>1156653009482</v>
      </c>
      <c r="L1030" s="11" t="s">
        <v>2449</v>
      </c>
      <c r="M1030" s="11" t="s">
        <v>27</v>
      </c>
      <c r="N1030" s="12">
        <v>43231</v>
      </c>
      <c r="O1030" s="12">
        <v>43234</v>
      </c>
      <c r="P1030" s="11">
        <v>5</v>
      </c>
      <c r="Q1030" s="11" t="s">
        <v>475</v>
      </c>
    </row>
    <row r="1031" spans="1:17" ht="13" hidden="1" x14ac:dyDescent="0.15">
      <c r="A1031" s="10">
        <v>43305.744130312502</v>
      </c>
      <c r="B1031" s="11" t="s">
        <v>2442</v>
      </c>
      <c r="C1031" s="11">
        <v>1285</v>
      </c>
      <c r="D1031" s="11" t="s">
        <v>2450</v>
      </c>
      <c r="E1031" s="11">
        <v>8138027336</v>
      </c>
      <c r="F1031" s="11" t="s">
        <v>46</v>
      </c>
      <c r="G1031" s="11" t="s">
        <v>2444</v>
      </c>
      <c r="H1031" s="11">
        <v>11</v>
      </c>
      <c r="I1031" s="12">
        <v>43306</v>
      </c>
      <c r="J1031" s="2">
        <v>3</v>
      </c>
      <c r="K1031" s="11">
        <v>1156484002511</v>
      </c>
      <c r="L1031" s="11" t="s">
        <v>2451</v>
      </c>
      <c r="M1031" s="11" t="s">
        <v>27</v>
      </c>
      <c r="N1031" s="12">
        <v>43306</v>
      </c>
      <c r="O1031" s="12">
        <v>43306</v>
      </c>
      <c r="P1031" s="11">
        <v>3</v>
      </c>
      <c r="Q1031" s="11" t="s">
        <v>475</v>
      </c>
    </row>
    <row r="1032" spans="1:17" ht="13" hidden="1" x14ac:dyDescent="0.15">
      <c r="A1032" s="10">
        <v>43306.423779143515</v>
      </c>
      <c r="B1032" s="11" t="s">
        <v>2442</v>
      </c>
      <c r="C1032" s="11">
        <v>1286</v>
      </c>
      <c r="D1032" s="11" t="s">
        <v>2452</v>
      </c>
      <c r="E1032" s="11">
        <v>7594933374</v>
      </c>
      <c r="F1032" s="11" t="s">
        <v>35</v>
      </c>
      <c r="G1032" s="11" t="s">
        <v>2444</v>
      </c>
      <c r="H1032" s="11">
        <v>11</v>
      </c>
      <c r="I1032" s="12">
        <v>43306</v>
      </c>
      <c r="J1032" s="2">
        <v>3</v>
      </c>
      <c r="K1032" s="11">
        <v>1156062002377</v>
      </c>
      <c r="L1032" s="11" t="s">
        <v>2453</v>
      </c>
      <c r="M1032" s="11" t="s">
        <v>27</v>
      </c>
      <c r="N1032" s="12">
        <v>43306</v>
      </c>
      <c r="O1032" s="12">
        <v>43306</v>
      </c>
      <c r="P1032" s="11">
        <v>3</v>
      </c>
      <c r="Q1032" s="11" t="s">
        <v>2454</v>
      </c>
    </row>
    <row r="1033" spans="1:17" ht="13" hidden="1" x14ac:dyDescent="0.15">
      <c r="A1033" s="10">
        <v>43306.434476365743</v>
      </c>
      <c r="B1033" s="11" t="s">
        <v>2442</v>
      </c>
      <c r="C1033" s="11">
        <v>1287</v>
      </c>
      <c r="D1033" s="11" t="s">
        <v>2455</v>
      </c>
      <c r="E1033" s="11">
        <v>7594933374</v>
      </c>
      <c r="F1033" s="11" t="s">
        <v>1124</v>
      </c>
      <c r="G1033" s="11" t="s">
        <v>2444</v>
      </c>
      <c r="H1033" s="11">
        <v>11</v>
      </c>
      <c r="I1033" s="12">
        <v>43306</v>
      </c>
      <c r="J1033" s="2">
        <v>5</v>
      </c>
      <c r="K1033" s="11">
        <v>116688300246</v>
      </c>
      <c r="L1033" s="11" t="s">
        <v>2457</v>
      </c>
      <c r="M1033" s="11" t="s">
        <v>27</v>
      </c>
      <c r="N1033" s="12">
        <v>43306</v>
      </c>
      <c r="O1033" s="12">
        <v>43306</v>
      </c>
      <c r="P1033" s="11">
        <v>5</v>
      </c>
      <c r="Q1033" s="11" t="s">
        <v>475</v>
      </c>
    </row>
    <row r="1034" spans="1:17" ht="13" hidden="1" x14ac:dyDescent="0.15">
      <c r="A1034" s="10">
        <v>43306.442489768524</v>
      </c>
      <c r="B1034" s="11" t="s">
        <v>2454</v>
      </c>
      <c r="C1034" s="11">
        <v>1288</v>
      </c>
      <c r="D1034" s="14" t="s">
        <v>2458</v>
      </c>
      <c r="E1034" s="11">
        <v>9072626009</v>
      </c>
      <c r="F1034" s="11" t="s">
        <v>30</v>
      </c>
      <c r="G1034" s="11" t="s">
        <v>2444</v>
      </c>
      <c r="H1034" s="11">
        <v>11</v>
      </c>
      <c r="I1034" s="12">
        <v>43306</v>
      </c>
      <c r="J1034" s="2">
        <v>5</v>
      </c>
      <c r="K1034" s="11">
        <v>1156908000624</v>
      </c>
      <c r="L1034" s="11" t="s">
        <v>2459</v>
      </c>
      <c r="M1034" s="11" t="s">
        <v>27</v>
      </c>
      <c r="N1034" s="12">
        <v>43306</v>
      </c>
      <c r="O1034" s="12">
        <v>43306</v>
      </c>
      <c r="P1034" s="11">
        <v>5</v>
      </c>
      <c r="Q1034" s="11" t="s">
        <v>475</v>
      </c>
    </row>
    <row r="1035" spans="1:17" ht="13" hidden="1" x14ac:dyDescent="0.15">
      <c r="A1035" s="10">
        <v>43306.448940555551</v>
      </c>
      <c r="B1035" s="11" t="s">
        <v>2454</v>
      </c>
      <c r="C1035" s="11">
        <v>1289</v>
      </c>
      <c r="D1035" s="11" t="s">
        <v>2460</v>
      </c>
      <c r="E1035" s="11">
        <v>9072626009</v>
      </c>
      <c r="F1035" s="11" t="s">
        <v>30</v>
      </c>
      <c r="G1035" s="11" t="s">
        <v>2444</v>
      </c>
      <c r="H1035" s="11">
        <v>11</v>
      </c>
      <c r="I1035" s="12">
        <v>43306</v>
      </c>
      <c r="J1035" s="2">
        <v>3</v>
      </c>
      <c r="K1035" s="11">
        <v>1156618012469</v>
      </c>
      <c r="L1035" s="11" t="s">
        <v>1697</v>
      </c>
      <c r="M1035" s="11" t="s">
        <v>27</v>
      </c>
      <c r="N1035" s="12">
        <v>43306</v>
      </c>
      <c r="O1035" s="12">
        <v>43306</v>
      </c>
      <c r="P1035" s="11">
        <v>3</v>
      </c>
      <c r="Q1035" s="11" t="s">
        <v>2461</v>
      </c>
    </row>
    <row r="1036" spans="1:17" ht="13" hidden="1" x14ac:dyDescent="0.15">
      <c r="A1036" s="10">
        <v>43306.45410667824</v>
      </c>
      <c r="B1036" s="11" t="s">
        <v>475</v>
      </c>
      <c r="C1036" s="11">
        <v>1290</v>
      </c>
      <c r="D1036" s="11" t="s">
        <v>2462</v>
      </c>
      <c r="E1036" s="11">
        <v>9072626009</v>
      </c>
      <c r="F1036" s="11" t="s">
        <v>35</v>
      </c>
      <c r="G1036" s="11" t="s">
        <v>2444</v>
      </c>
      <c r="H1036" s="11">
        <v>11</v>
      </c>
      <c r="I1036" s="12">
        <v>43306</v>
      </c>
      <c r="J1036" s="2">
        <v>3</v>
      </c>
      <c r="K1036" s="11">
        <v>1157364008399</v>
      </c>
      <c r="L1036" s="11" t="s">
        <v>2463</v>
      </c>
      <c r="M1036" s="11" t="s">
        <v>27</v>
      </c>
      <c r="N1036" s="12">
        <v>43306</v>
      </c>
      <c r="O1036" s="12">
        <v>43306</v>
      </c>
      <c r="P1036" s="11">
        <v>3</v>
      </c>
      <c r="Q1036" s="11" t="s">
        <v>2454</v>
      </c>
    </row>
    <row r="1037" spans="1:17" ht="13" hidden="1" x14ac:dyDescent="0.15">
      <c r="A1037" s="10">
        <v>43306.457880277776</v>
      </c>
      <c r="B1037" s="11" t="s">
        <v>2442</v>
      </c>
      <c r="C1037" s="11">
        <v>1291</v>
      </c>
      <c r="D1037" s="11" t="s">
        <v>2464</v>
      </c>
      <c r="E1037" s="11">
        <v>8138027336</v>
      </c>
      <c r="F1037" s="11" t="s">
        <v>35</v>
      </c>
      <c r="G1037" s="11" t="s">
        <v>2444</v>
      </c>
      <c r="H1037" s="11">
        <v>11</v>
      </c>
      <c r="I1037" s="12">
        <v>43306</v>
      </c>
      <c r="J1037" s="2">
        <v>5</v>
      </c>
      <c r="K1037" s="11">
        <v>1155751006312</v>
      </c>
      <c r="L1037" s="11" t="s">
        <v>2465</v>
      </c>
      <c r="M1037" s="11" t="s">
        <v>27</v>
      </c>
      <c r="N1037" s="12">
        <v>43306</v>
      </c>
      <c r="O1037" s="12">
        <v>43306</v>
      </c>
      <c r="P1037" s="11">
        <v>5</v>
      </c>
      <c r="Q1037" s="11" t="s">
        <v>475</v>
      </c>
    </row>
    <row r="1038" spans="1:17" ht="13" hidden="1" x14ac:dyDescent="0.15">
      <c r="A1038" s="10">
        <v>43306.463962615744</v>
      </c>
      <c r="B1038" s="11" t="s">
        <v>475</v>
      </c>
      <c r="C1038" s="11">
        <v>1292</v>
      </c>
      <c r="D1038" s="11" t="s">
        <v>2466</v>
      </c>
      <c r="E1038" s="11">
        <v>9072626009</v>
      </c>
      <c r="F1038" s="11" t="s">
        <v>30</v>
      </c>
      <c r="G1038" s="11" t="s">
        <v>2444</v>
      </c>
      <c r="H1038" s="11">
        <v>11</v>
      </c>
      <c r="I1038" s="12">
        <v>43306</v>
      </c>
      <c r="J1038" s="2">
        <v>3</v>
      </c>
      <c r="K1038" s="11">
        <v>1156579008566</v>
      </c>
      <c r="L1038" s="11" t="s">
        <v>2468</v>
      </c>
      <c r="M1038" s="11" t="s">
        <v>27</v>
      </c>
      <c r="N1038" s="12">
        <v>43306</v>
      </c>
      <c r="O1038" s="12">
        <v>43306</v>
      </c>
      <c r="P1038" s="11">
        <v>3</v>
      </c>
      <c r="Q1038" s="11" t="s">
        <v>2442</v>
      </c>
    </row>
    <row r="1039" spans="1:17" ht="13" hidden="1" x14ac:dyDescent="0.15">
      <c r="A1039" s="10">
        <v>43306.466533009254</v>
      </c>
      <c r="B1039" s="11" t="s">
        <v>475</v>
      </c>
      <c r="C1039" s="11">
        <v>1293</v>
      </c>
      <c r="D1039" s="14" t="s">
        <v>2469</v>
      </c>
      <c r="E1039" s="11">
        <v>9072626009</v>
      </c>
      <c r="F1039" s="11" t="s">
        <v>30</v>
      </c>
      <c r="G1039" s="11" t="s">
        <v>2444</v>
      </c>
      <c r="H1039" s="11">
        <v>11</v>
      </c>
      <c r="I1039" s="12">
        <v>43306</v>
      </c>
      <c r="J1039" s="2">
        <v>5</v>
      </c>
      <c r="K1039" s="11">
        <v>1156906008255</v>
      </c>
      <c r="L1039" s="11" t="s">
        <v>2459</v>
      </c>
      <c r="M1039" s="11" t="s">
        <v>27</v>
      </c>
      <c r="N1039" s="12">
        <v>43306</v>
      </c>
      <c r="O1039" s="12">
        <v>43306</v>
      </c>
      <c r="P1039" s="11">
        <v>5</v>
      </c>
      <c r="Q1039" s="11" t="s">
        <v>2442</v>
      </c>
    </row>
    <row r="1040" spans="1:17" ht="13" hidden="1" x14ac:dyDescent="0.15">
      <c r="A1040" s="10">
        <v>43306.470724386571</v>
      </c>
      <c r="B1040" s="11" t="s">
        <v>475</v>
      </c>
      <c r="C1040" s="11">
        <v>1294</v>
      </c>
      <c r="D1040" s="11" t="s">
        <v>2470</v>
      </c>
      <c r="E1040" s="11">
        <v>7594933374</v>
      </c>
      <c r="F1040" s="11" t="s">
        <v>30</v>
      </c>
      <c r="G1040" s="11" t="s">
        <v>2444</v>
      </c>
      <c r="H1040" s="11">
        <v>11</v>
      </c>
      <c r="I1040" s="12">
        <v>43306</v>
      </c>
      <c r="J1040" s="2">
        <v>3</v>
      </c>
      <c r="K1040" s="11">
        <v>115600029097</v>
      </c>
      <c r="L1040" s="11" t="s">
        <v>2471</v>
      </c>
      <c r="M1040" s="11" t="s">
        <v>27</v>
      </c>
      <c r="N1040" s="12">
        <v>43306</v>
      </c>
      <c r="O1040" s="12">
        <v>43306</v>
      </c>
      <c r="P1040" s="11">
        <v>3</v>
      </c>
      <c r="Q1040" s="11" t="s">
        <v>2454</v>
      </c>
    </row>
    <row r="1041" spans="1:17" ht="13" hidden="1" x14ac:dyDescent="0.15">
      <c r="A1041" s="10">
        <v>43306.476182511571</v>
      </c>
      <c r="B1041" s="11" t="s">
        <v>475</v>
      </c>
      <c r="C1041" s="11">
        <v>1295</v>
      </c>
      <c r="D1041" s="11" t="s">
        <v>2472</v>
      </c>
      <c r="E1041" s="11">
        <v>8138027336</v>
      </c>
      <c r="F1041" s="11" t="s">
        <v>30</v>
      </c>
      <c r="G1041" s="11" t="s">
        <v>2444</v>
      </c>
      <c r="H1041" s="11">
        <v>11</v>
      </c>
      <c r="I1041" s="12">
        <v>43306</v>
      </c>
      <c r="J1041" s="2">
        <v>5</v>
      </c>
      <c r="K1041" s="11">
        <v>115909015048</v>
      </c>
      <c r="L1041" s="11" t="s">
        <v>2459</v>
      </c>
      <c r="M1041" s="11" t="s">
        <v>27</v>
      </c>
      <c r="N1041" s="12">
        <v>43306</v>
      </c>
      <c r="O1041" s="12">
        <v>43306</v>
      </c>
      <c r="P1041" s="11">
        <v>5</v>
      </c>
      <c r="Q1041" s="11" t="s">
        <v>2442</v>
      </c>
    </row>
    <row r="1042" spans="1:17" ht="13" hidden="1" x14ac:dyDescent="0.15">
      <c r="A1042" s="10">
        <v>43306.479087418978</v>
      </c>
      <c r="B1042" s="11" t="s">
        <v>2442</v>
      </c>
      <c r="C1042" s="11">
        <v>1296</v>
      </c>
      <c r="D1042" s="11" t="s">
        <v>2473</v>
      </c>
      <c r="E1042" s="11">
        <v>8138027336</v>
      </c>
      <c r="F1042" s="11" t="s">
        <v>287</v>
      </c>
      <c r="G1042" s="11" t="s">
        <v>2444</v>
      </c>
      <c r="H1042" s="11">
        <v>11</v>
      </c>
      <c r="I1042" s="12">
        <v>43306</v>
      </c>
      <c r="J1042" s="2">
        <v>2</v>
      </c>
      <c r="K1042" s="11">
        <v>1166396007669</v>
      </c>
      <c r="L1042" s="11" t="s">
        <v>2474</v>
      </c>
      <c r="M1042" s="11" t="s">
        <v>27</v>
      </c>
      <c r="N1042" s="12">
        <v>43306</v>
      </c>
      <c r="O1042" s="12">
        <v>43306</v>
      </c>
      <c r="P1042" s="11">
        <v>2</v>
      </c>
      <c r="Q1042" s="11" t="s">
        <v>2454</v>
      </c>
    </row>
    <row r="1043" spans="1:17" ht="13" hidden="1" x14ac:dyDescent="0.15">
      <c r="A1043" s="10">
        <v>43306.482361574075</v>
      </c>
      <c r="B1043" s="11" t="s">
        <v>2454</v>
      </c>
      <c r="C1043" s="11">
        <v>1297</v>
      </c>
      <c r="D1043" s="11" t="s">
        <v>2476</v>
      </c>
      <c r="E1043" s="11">
        <v>9037990003</v>
      </c>
      <c r="F1043" s="11" t="s">
        <v>30</v>
      </c>
      <c r="G1043" s="11" t="s">
        <v>2444</v>
      </c>
      <c r="H1043" s="11">
        <v>11</v>
      </c>
      <c r="I1043" s="12">
        <v>43306</v>
      </c>
      <c r="J1043" s="2">
        <v>5</v>
      </c>
      <c r="K1043" s="11">
        <v>1156646022905</v>
      </c>
      <c r="L1043" s="11" t="s">
        <v>2477</v>
      </c>
      <c r="M1043" s="11" t="s">
        <v>27</v>
      </c>
      <c r="N1043" s="12">
        <v>43306</v>
      </c>
      <c r="O1043" s="12">
        <v>43306</v>
      </c>
      <c r="P1043" s="11">
        <v>5</v>
      </c>
      <c r="Q1043" s="11" t="s">
        <v>475</v>
      </c>
    </row>
    <row r="1044" spans="1:17" ht="13" hidden="1" x14ac:dyDescent="0.15">
      <c r="A1044" s="10">
        <v>43306.488683553238</v>
      </c>
      <c r="B1044" s="11" t="s">
        <v>2442</v>
      </c>
      <c r="C1044" s="11">
        <v>1298</v>
      </c>
      <c r="D1044" s="11" t="s">
        <v>2478</v>
      </c>
      <c r="E1044" s="11">
        <v>8138027336</v>
      </c>
      <c r="F1044" s="11" t="s">
        <v>35</v>
      </c>
      <c r="G1044" s="11" t="s">
        <v>2444</v>
      </c>
      <c r="H1044" s="11">
        <v>11</v>
      </c>
      <c r="I1044" s="12">
        <v>43306</v>
      </c>
      <c r="J1044" s="2">
        <v>5</v>
      </c>
      <c r="K1044" s="11">
        <v>1157159006624</v>
      </c>
      <c r="L1044" s="11" t="s">
        <v>2479</v>
      </c>
      <c r="M1044" s="11" t="s">
        <v>27</v>
      </c>
      <c r="N1044" s="12">
        <v>43306</v>
      </c>
      <c r="O1044" s="12">
        <v>43306</v>
      </c>
      <c r="P1044" s="11">
        <v>5</v>
      </c>
      <c r="Q1044" s="11" t="s">
        <v>2454</v>
      </c>
    </row>
    <row r="1045" spans="1:17" ht="13" hidden="1" x14ac:dyDescent="0.15">
      <c r="A1045" s="10">
        <v>43306.494074305556</v>
      </c>
      <c r="B1045" s="11" t="s">
        <v>176</v>
      </c>
      <c r="C1045" s="11">
        <v>1264</v>
      </c>
      <c r="D1045" s="11" t="s">
        <v>2480</v>
      </c>
      <c r="E1045" s="11">
        <v>9142099977</v>
      </c>
      <c r="F1045" s="11" t="s">
        <v>182</v>
      </c>
      <c r="G1045" s="11" t="s">
        <v>916</v>
      </c>
      <c r="H1045" s="11">
        <v>14</v>
      </c>
      <c r="I1045" s="12">
        <v>43311</v>
      </c>
      <c r="J1045" s="2">
        <v>3</v>
      </c>
      <c r="K1045" s="11">
        <v>1165700018596</v>
      </c>
      <c r="L1045" s="11" t="s">
        <v>1775</v>
      </c>
      <c r="M1045" s="11" t="s">
        <v>27</v>
      </c>
      <c r="N1045" s="12">
        <v>43302</v>
      </c>
      <c r="O1045" s="12">
        <v>43302</v>
      </c>
      <c r="P1045" s="11">
        <v>3</v>
      </c>
      <c r="Q1045" s="11" t="s">
        <v>176</v>
      </c>
    </row>
    <row r="1046" spans="1:17" ht="13" hidden="1" x14ac:dyDescent="0.15">
      <c r="A1046" s="10">
        <v>43306.495522152778</v>
      </c>
      <c r="B1046" s="11" t="s">
        <v>475</v>
      </c>
      <c r="C1046" s="11">
        <v>1299</v>
      </c>
      <c r="D1046" s="11" t="s">
        <v>2481</v>
      </c>
      <c r="E1046" s="11">
        <v>9072626009</v>
      </c>
      <c r="F1046" s="11" t="s">
        <v>1124</v>
      </c>
      <c r="G1046" s="11" t="s">
        <v>2444</v>
      </c>
      <c r="H1046" s="11">
        <v>11</v>
      </c>
      <c r="I1046" s="12">
        <v>43306</v>
      </c>
      <c r="J1046" s="2">
        <v>5</v>
      </c>
      <c r="K1046" s="11">
        <v>1166848020657</v>
      </c>
      <c r="L1046" s="11" t="s">
        <v>2482</v>
      </c>
      <c r="M1046" s="11" t="s">
        <v>27</v>
      </c>
      <c r="N1046" s="12">
        <v>43306</v>
      </c>
      <c r="O1046" s="12">
        <v>43306</v>
      </c>
      <c r="P1046" s="11">
        <v>5</v>
      </c>
      <c r="Q1046" s="11" t="s">
        <v>2454</v>
      </c>
    </row>
    <row r="1047" spans="1:17" ht="13" hidden="1" x14ac:dyDescent="0.15">
      <c r="A1047" s="10">
        <v>43306.497835856484</v>
      </c>
      <c r="B1047" s="11" t="s">
        <v>475</v>
      </c>
      <c r="C1047" s="11">
        <v>1304</v>
      </c>
      <c r="D1047" s="14" t="s">
        <v>2483</v>
      </c>
      <c r="E1047" s="11">
        <v>9037990003</v>
      </c>
      <c r="F1047" s="11" t="s">
        <v>35</v>
      </c>
      <c r="G1047" s="11" t="s">
        <v>2444</v>
      </c>
      <c r="H1047" s="11">
        <v>11</v>
      </c>
      <c r="I1047" s="12">
        <v>43306</v>
      </c>
      <c r="J1047" s="2">
        <v>3</v>
      </c>
      <c r="K1047" s="11">
        <v>1155569023346</v>
      </c>
      <c r="L1047" s="11" t="s">
        <v>1736</v>
      </c>
      <c r="M1047" s="11" t="s">
        <v>27</v>
      </c>
      <c r="N1047" s="12">
        <v>43306</v>
      </c>
      <c r="O1047" s="12">
        <v>43306</v>
      </c>
      <c r="P1047" s="11">
        <v>3</v>
      </c>
      <c r="Q1047" s="11" t="s">
        <v>2454</v>
      </c>
    </row>
    <row r="1048" spans="1:17" ht="13" hidden="1" x14ac:dyDescent="0.15">
      <c r="A1048" s="10">
        <v>43306.502095671298</v>
      </c>
      <c r="B1048" s="11" t="s">
        <v>2442</v>
      </c>
      <c r="C1048" s="11">
        <v>1300</v>
      </c>
      <c r="D1048" s="11" t="s">
        <v>2484</v>
      </c>
      <c r="E1048" s="11">
        <v>9072626009</v>
      </c>
      <c r="F1048" s="11" t="s">
        <v>1124</v>
      </c>
      <c r="G1048" s="11" t="s">
        <v>2444</v>
      </c>
      <c r="H1048" s="11">
        <v>11</v>
      </c>
      <c r="I1048" s="12">
        <v>43306</v>
      </c>
      <c r="J1048" s="2">
        <v>3</v>
      </c>
      <c r="K1048" s="11">
        <v>1167565007484</v>
      </c>
      <c r="L1048" s="11" t="s">
        <v>2486</v>
      </c>
      <c r="M1048" s="11" t="s">
        <v>27</v>
      </c>
      <c r="N1048" s="12">
        <v>43306</v>
      </c>
      <c r="O1048" s="12">
        <v>43306</v>
      </c>
      <c r="P1048" s="11">
        <v>3</v>
      </c>
      <c r="Q1048" s="11" t="s">
        <v>2454</v>
      </c>
    </row>
    <row r="1049" spans="1:17" ht="13" hidden="1" x14ac:dyDescent="0.15">
      <c r="A1049" s="10">
        <v>43306.509318645833</v>
      </c>
      <c r="B1049" s="11" t="s">
        <v>2442</v>
      </c>
      <c r="C1049" s="11">
        <v>1301</v>
      </c>
      <c r="D1049" s="14" t="s">
        <v>2487</v>
      </c>
      <c r="E1049" s="11">
        <v>9072626009</v>
      </c>
      <c r="F1049" s="11" t="s">
        <v>1124</v>
      </c>
      <c r="G1049" s="11" t="s">
        <v>2444</v>
      </c>
      <c r="H1049" s="11">
        <v>11</v>
      </c>
      <c r="I1049" s="12">
        <v>43306</v>
      </c>
      <c r="J1049" s="2">
        <v>3</v>
      </c>
      <c r="K1049" s="11">
        <v>1167017034297</v>
      </c>
      <c r="L1049" s="11" t="s">
        <v>2488</v>
      </c>
      <c r="M1049" s="11" t="s">
        <v>27</v>
      </c>
      <c r="N1049" s="12">
        <v>43306</v>
      </c>
      <c r="O1049" s="12">
        <v>43306</v>
      </c>
      <c r="P1049" s="11">
        <v>3</v>
      </c>
      <c r="Q1049" s="11" t="s">
        <v>2454</v>
      </c>
    </row>
    <row r="1050" spans="1:17" ht="13" hidden="1" x14ac:dyDescent="0.15">
      <c r="A1050" s="10">
        <v>43306.509479629633</v>
      </c>
      <c r="B1050" s="11" t="s">
        <v>176</v>
      </c>
      <c r="C1050" s="11">
        <v>1260</v>
      </c>
      <c r="D1050" s="11" t="s">
        <v>2489</v>
      </c>
      <c r="E1050" s="11">
        <v>9142099977</v>
      </c>
      <c r="F1050" s="11" t="s">
        <v>182</v>
      </c>
      <c r="G1050" s="11" t="s">
        <v>916</v>
      </c>
      <c r="H1050" s="11">
        <v>14</v>
      </c>
      <c r="I1050" s="12">
        <v>43313</v>
      </c>
      <c r="J1050" s="2">
        <v>3</v>
      </c>
      <c r="K1050" s="11">
        <v>1165709017685</v>
      </c>
      <c r="L1050" s="11" t="s">
        <v>2490</v>
      </c>
      <c r="M1050" s="11" t="s">
        <v>27</v>
      </c>
      <c r="N1050" s="12">
        <v>43302</v>
      </c>
      <c r="O1050" s="12">
        <v>43302</v>
      </c>
      <c r="P1050" s="11">
        <v>3</v>
      </c>
      <c r="Q1050" s="11" t="s">
        <v>176</v>
      </c>
    </row>
    <row r="1051" spans="1:17" ht="13" hidden="1" x14ac:dyDescent="0.15">
      <c r="A1051" s="10">
        <v>43306.511963020836</v>
      </c>
      <c r="B1051" s="11" t="s">
        <v>2442</v>
      </c>
      <c r="C1051" s="11">
        <v>1302</v>
      </c>
      <c r="D1051" s="11" t="s">
        <v>2491</v>
      </c>
      <c r="E1051" s="11">
        <v>9072626009</v>
      </c>
      <c r="F1051" s="11" t="s">
        <v>1124</v>
      </c>
      <c r="G1051" s="11" t="s">
        <v>2444</v>
      </c>
      <c r="H1051" s="11">
        <v>11</v>
      </c>
      <c r="I1051" s="12">
        <v>43306</v>
      </c>
      <c r="J1051" s="2">
        <v>2</v>
      </c>
      <c r="K1051" s="11">
        <v>1166980015771</v>
      </c>
      <c r="L1051" s="11" t="s">
        <v>2492</v>
      </c>
      <c r="M1051" s="11" t="s">
        <v>27</v>
      </c>
      <c r="N1051" s="12">
        <v>43306</v>
      </c>
      <c r="O1051" s="12">
        <v>43306</v>
      </c>
      <c r="P1051" s="11">
        <v>2</v>
      </c>
      <c r="Q1051" s="11" t="s">
        <v>475</v>
      </c>
    </row>
    <row r="1052" spans="1:17" ht="13" hidden="1" x14ac:dyDescent="0.15">
      <c r="A1052" s="10">
        <v>43306.551219687499</v>
      </c>
      <c r="B1052" s="11" t="s">
        <v>1132</v>
      </c>
      <c r="C1052" s="11">
        <v>1254</v>
      </c>
      <c r="D1052" s="11" t="s">
        <v>2493</v>
      </c>
      <c r="E1052" s="11">
        <v>9447176606</v>
      </c>
      <c r="F1052" s="11" t="s">
        <v>266</v>
      </c>
      <c r="G1052" s="11" t="s">
        <v>36</v>
      </c>
      <c r="H1052" s="11">
        <v>20</v>
      </c>
      <c r="I1052" s="12">
        <v>43179</v>
      </c>
      <c r="J1052" s="2">
        <v>3</v>
      </c>
      <c r="K1052" s="11">
        <v>1165957003142</v>
      </c>
      <c r="L1052" s="11" t="s">
        <v>1869</v>
      </c>
      <c r="M1052" s="11" t="s">
        <v>27</v>
      </c>
      <c r="N1052" s="12">
        <v>43200</v>
      </c>
      <c r="O1052" s="12">
        <v>43200</v>
      </c>
      <c r="P1052" s="11">
        <v>3</v>
      </c>
      <c r="Q1052" s="11" t="s">
        <v>1132</v>
      </c>
    </row>
    <row r="1053" spans="1:17" ht="13" hidden="1" x14ac:dyDescent="0.15">
      <c r="A1053" s="10">
        <v>43306.566252118057</v>
      </c>
      <c r="B1053" s="11" t="s">
        <v>1132</v>
      </c>
      <c r="C1053" s="11">
        <v>1256</v>
      </c>
      <c r="D1053" s="11" t="s">
        <v>2494</v>
      </c>
      <c r="E1053" s="11">
        <v>9745809030</v>
      </c>
      <c r="F1053" s="11" t="s">
        <v>266</v>
      </c>
      <c r="G1053" s="11" t="s">
        <v>2495</v>
      </c>
      <c r="H1053" s="11">
        <v>20</v>
      </c>
      <c r="I1053" s="12">
        <v>43295</v>
      </c>
      <c r="J1053" s="2">
        <v>5</v>
      </c>
      <c r="K1053" s="11">
        <v>1166321015470</v>
      </c>
      <c r="L1053" s="11" t="s">
        <v>2497</v>
      </c>
      <c r="M1053" s="11" t="s">
        <v>27</v>
      </c>
      <c r="N1053" s="12">
        <v>43241</v>
      </c>
      <c r="O1053" s="12">
        <v>43241</v>
      </c>
      <c r="P1053" s="11">
        <v>5</v>
      </c>
      <c r="Q1053" s="11" t="s">
        <v>1132</v>
      </c>
    </row>
    <row r="1054" spans="1:17" ht="13" hidden="1" x14ac:dyDescent="0.15">
      <c r="A1054" s="10">
        <v>43306.672185023148</v>
      </c>
      <c r="B1054" s="11" t="s">
        <v>475</v>
      </c>
      <c r="C1054" s="11">
        <v>1303</v>
      </c>
      <c r="D1054" s="14" t="s">
        <v>2498</v>
      </c>
      <c r="E1054" s="11">
        <v>9072626009</v>
      </c>
      <c r="F1054" s="11" t="s">
        <v>1124</v>
      </c>
      <c r="G1054" s="11" t="s">
        <v>2444</v>
      </c>
      <c r="H1054" s="11">
        <v>11</v>
      </c>
      <c r="I1054" s="12">
        <v>43306</v>
      </c>
      <c r="J1054" s="2">
        <v>3</v>
      </c>
      <c r="K1054" s="11">
        <v>1166988011507</v>
      </c>
      <c r="L1054" s="11" t="s">
        <v>2499</v>
      </c>
      <c r="M1054" s="11" t="s">
        <v>27</v>
      </c>
      <c r="N1054" s="12">
        <v>43306</v>
      </c>
      <c r="O1054" s="12">
        <v>43306</v>
      </c>
      <c r="P1054" s="11">
        <v>3</v>
      </c>
      <c r="Q1054" s="11" t="s">
        <v>475</v>
      </c>
    </row>
    <row r="1055" spans="1:17" ht="13" hidden="1" x14ac:dyDescent="0.15">
      <c r="A1055" s="10">
        <v>43306.758079027779</v>
      </c>
      <c r="B1055" s="11" t="s">
        <v>65</v>
      </c>
      <c r="C1055" s="11">
        <v>1200</v>
      </c>
      <c r="D1055" s="11" t="s">
        <v>2500</v>
      </c>
      <c r="E1055" s="11">
        <v>9946901109</v>
      </c>
      <c r="F1055" s="11" t="s">
        <v>61</v>
      </c>
      <c r="G1055" s="11" t="s">
        <v>2501</v>
      </c>
      <c r="H1055" s="11">
        <v>42</v>
      </c>
      <c r="I1055" s="12">
        <v>43306</v>
      </c>
      <c r="J1055" s="2">
        <v>3</v>
      </c>
      <c r="K1055" s="11">
        <v>1146191003804</v>
      </c>
      <c r="L1055" s="11" t="s">
        <v>2502</v>
      </c>
      <c r="M1055" s="11" t="s">
        <v>27</v>
      </c>
      <c r="N1055" s="12">
        <v>43306</v>
      </c>
      <c r="O1055" s="12">
        <v>43306</v>
      </c>
      <c r="P1055" s="11">
        <v>3</v>
      </c>
      <c r="Q1055" s="11" t="s">
        <v>65</v>
      </c>
    </row>
    <row r="1056" spans="1:17" ht="13" hidden="1" x14ac:dyDescent="0.15">
      <c r="A1056" s="10">
        <v>43306.767712870365</v>
      </c>
      <c r="B1056" s="11" t="s">
        <v>65</v>
      </c>
      <c r="C1056" s="11">
        <v>1268</v>
      </c>
      <c r="D1056" s="11" t="s">
        <v>2503</v>
      </c>
      <c r="E1056" s="11">
        <v>9946901109</v>
      </c>
      <c r="F1056" s="11" t="s">
        <v>61</v>
      </c>
      <c r="G1056" s="11" t="s">
        <v>2501</v>
      </c>
      <c r="H1056" s="11">
        <v>42</v>
      </c>
      <c r="I1056" s="12">
        <v>43306</v>
      </c>
      <c r="J1056" s="2">
        <v>5</v>
      </c>
      <c r="K1056" s="11">
        <v>1146192001819</v>
      </c>
      <c r="L1056" s="11" t="s">
        <v>2502</v>
      </c>
      <c r="M1056" s="11" t="s">
        <v>27</v>
      </c>
      <c r="N1056" s="12">
        <v>43306</v>
      </c>
      <c r="O1056" s="12">
        <v>43306</v>
      </c>
      <c r="P1056" s="11">
        <v>5</v>
      </c>
      <c r="Q1056" s="11" t="s">
        <v>65</v>
      </c>
    </row>
    <row r="1057" spans="1:17" ht="13" hidden="1" x14ac:dyDescent="0.15">
      <c r="A1057" s="10">
        <v>43308.548625740739</v>
      </c>
      <c r="B1057" s="11" t="s">
        <v>382</v>
      </c>
      <c r="C1057" s="11">
        <v>1222</v>
      </c>
      <c r="D1057" s="11" t="s">
        <v>2504</v>
      </c>
      <c r="E1057" s="11">
        <v>9387707733</v>
      </c>
      <c r="F1057" s="11" t="s">
        <v>266</v>
      </c>
      <c r="G1057" s="11" t="s">
        <v>384</v>
      </c>
      <c r="H1057" s="11">
        <v>4</v>
      </c>
      <c r="I1057" s="12">
        <v>43277</v>
      </c>
      <c r="J1057" s="2">
        <v>5</v>
      </c>
      <c r="K1057" s="11">
        <v>1168209013285</v>
      </c>
      <c r="L1057" s="11" t="s">
        <v>2505</v>
      </c>
      <c r="M1057" s="11" t="s">
        <v>27</v>
      </c>
      <c r="N1057" s="12">
        <v>43298</v>
      </c>
      <c r="O1057" s="12">
        <v>43298</v>
      </c>
      <c r="P1057" s="11">
        <v>5</v>
      </c>
      <c r="Q1057" s="11" t="s">
        <v>382</v>
      </c>
    </row>
    <row r="1058" spans="1:17" ht="13" hidden="1" x14ac:dyDescent="0.15">
      <c r="A1058" s="10">
        <v>43309.434364120374</v>
      </c>
      <c r="B1058" s="11" t="s">
        <v>1132</v>
      </c>
      <c r="C1058" s="11">
        <v>1253</v>
      </c>
      <c r="D1058" s="11" t="s">
        <v>2507</v>
      </c>
      <c r="E1058" s="11">
        <v>9947337988</v>
      </c>
      <c r="F1058" s="11" t="s">
        <v>266</v>
      </c>
      <c r="G1058" s="11" t="s">
        <v>1134</v>
      </c>
      <c r="H1058" s="11">
        <v>20</v>
      </c>
      <c r="I1058" s="12">
        <v>43162</v>
      </c>
      <c r="J1058" s="2">
        <v>3</v>
      </c>
      <c r="K1058" s="11">
        <v>1166012014900</v>
      </c>
      <c r="L1058" s="11" t="s">
        <v>2508</v>
      </c>
      <c r="M1058" s="11" t="s">
        <v>27</v>
      </c>
      <c r="N1058" s="12">
        <v>43161</v>
      </c>
      <c r="O1058" s="12">
        <v>43161</v>
      </c>
      <c r="P1058" s="11">
        <v>3</v>
      </c>
      <c r="Q1058" s="11" t="s">
        <v>1132</v>
      </c>
    </row>
    <row r="1059" spans="1:17" ht="13" hidden="1" x14ac:dyDescent="0.15">
      <c r="A1059" s="10">
        <v>43309.441868379625</v>
      </c>
      <c r="B1059" s="11" t="s">
        <v>382</v>
      </c>
      <c r="C1059" s="11">
        <v>1216</v>
      </c>
      <c r="D1059" s="11" t="s">
        <v>2509</v>
      </c>
      <c r="E1059" s="11">
        <v>9387707733</v>
      </c>
      <c r="F1059" s="11" t="s">
        <v>182</v>
      </c>
      <c r="G1059" s="11" t="s">
        <v>384</v>
      </c>
      <c r="H1059" s="11">
        <v>4</v>
      </c>
      <c r="I1059" s="12">
        <v>43279</v>
      </c>
      <c r="J1059" s="2">
        <v>3</v>
      </c>
      <c r="K1059" s="11">
        <v>1105857009600</v>
      </c>
      <c r="L1059" s="11" t="s">
        <v>2510</v>
      </c>
      <c r="M1059" s="11" t="s">
        <v>27</v>
      </c>
      <c r="N1059" s="12">
        <v>43295</v>
      </c>
      <c r="O1059" s="12">
        <v>43295</v>
      </c>
      <c r="P1059" s="11">
        <v>3</v>
      </c>
      <c r="Q1059" s="11" t="s">
        <v>382</v>
      </c>
    </row>
    <row r="1060" spans="1:17" ht="13" hidden="1" x14ac:dyDescent="0.15">
      <c r="A1060" s="10">
        <v>43309.61950940972</v>
      </c>
      <c r="B1060" s="11" t="s">
        <v>382</v>
      </c>
      <c r="C1060" s="11">
        <v>1215</v>
      </c>
      <c r="D1060" s="11" t="s">
        <v>2511</v>
      </c>
      <c r="E1060" s="11">
        <v>9387707733</v>
      </c>
      <c r="F1060" s="11" t="s">
        <v>182</v>
      </c>
      <c r="G1060" s="11" t="s">
        <v>384</v>
      </c>
      <c r="H1060" s="11">
        <v>4</v>
      </c>
      <c r="I1060" s="12">
        <v>43271</v>
      </c>
      <c r="J1060" s="2">
        <v>5</v>
      </c>
      <c r="K1060" s="11">
        <v>1165854022458</v>
      </c>
      <c r="L1060" s="11" t="s">
        <v>2510</v>
      </c>
      <c r="M1060" s="11" t="s">
        <v>27</v>
      </c>
      <c r="N1060" s="12">
        <v>43295</v>
      </c>
      <c r="O1060" s="12">
        <v>43295</v>
      </c>
      <c r="P1060" s="11">
        <v>5</v>
      </c>
      <c r="Q1060" s="11" t="s">
        <v>382</v>
      </c>
    </row>
    <row r="1061" spans="1:17" ht="13" hidden="1" x14ac:dyDescent="0.15">
      <c r="A1061" s="10">
        <v>43312.433419895839</v>
      </c>
      <c r="B1061" s="11" t="s">
        <v>2512</v>
      </c>
      <c r="C1061" s="11">
        <v>1259</v>
      </c>
      <c r="D1061" s="11" t="s">
        <v>2513</v>
      </c>
      <c r="E1061" s="11">
        <v>9061327111</v>
      </c>
      <c r="F1061" s="11" t="s">
        <v>287</v>
      </c>
      <c r="G1061" s="11" t="s">
        <v>2514</v>
      </c>
      <c r="H1061" s="11">
        <v>18</v>
      </c>
      <c r="I1061" s="12">
        <v>43312</v>
      </c>
      <c r="J1061" s="2">
        <v>3</v>
      </c>
      <c r="K1061" s="11">
        <v>1166415007586</v>
      </c>
      <c r="L1061" s="11" t="s">
        <v>2515</v>
      </c>
      <c r="M1061" s="11" t="s">
        <v>27</v>
      </c>
      <c r="N1061" s="12">
        <v>43311</v>
      </c>
      <c r="O1061" s="12">
        <v>43311</v>
      </c>
      <c r="P1061" s="11">
        <v>3</v>
      </c>
      <c r="Q1061" s="11" t="s">
        <v>2512</v>
      </c>
    </row>
    <row r="1062" spans="1:17" ht="13" hidden="1" x14ac:dyDescent="0.15">
      <c r="A1062" s="10">
        <v>43313.468565844909</v>
      </c>
      <c r="B1062" s="11" t="s">
        <v>382</v>
      </c>
      <c r="C1062" s="11">
        <v>1233</v>
      </c>
      <c r="D1062" s="11" t="s">
        <v>2516</v>
      </c>
      <c r="E1062" s="11">
        <v>9387707733</v>
      </c>
      <c r="F1062" s="11" t="s">
        <v>266</v>
      </c>
      <c r="G1062" s="11" t="s">
        <v>384</v>
      </c>
      <c r="H1062" s="11">
        <v>4</v>
      </c>
      <c r="I1062" s="12">
        <v>43271</v>
      </c>
      <c r="J1062" s="2">
        <v>3</v>
      </c>
      <c r="K1062" s="11">
        <v>1165955023083</v>
      </c>
      <c r="L1062" s="11" t="s">
        <v>378</v>
      </c>
      <c r="M1062" s="11" t="s">
        <v>27</v>
      </c>
      <c r="N1062" s="12">
        <v>43285</v>
      </c>
      <c r="O1062" s="12">
        <v>43285</v>
      </c>
      <c r="P1062" s="11">
        <v>3</v>
      </c>
      <c r="Q1062" s="11" t="s">
        <v>382</v>
      </c>
    </row>
    <row r="1063" spans="1:17" ht="13" hidden="1" x14ac:dyDescent="0.15">
      <c r="A1063" s="10">
        <v>43325.711352824073</v>
      </c>
      <c r="B1063" s="11" t="s">
        <v>2517</v>
      </c>
      <c r="C1063" s="11">
        <v>1305</v>
      </c>
      <c r="D1063" s="11" t="s">
        <v>2518</v>
      </c>
      <c r="E1063" s="11">
        <v>8138027336</v>
      </c>
      <c r="F1063" s="11" t="s">
        <v>1124</v>
      </c>
      <c r="G1063" s="11" t="s">
        <v>2519</v>
      </c>
      <c r="H1063" s="11">
        <v>11</v>
      </c>
      <c r="I1063" s="12">
        <v>43325</v>
      </c>
      <c r="J1063" s="2">
        <v>15</v>
      </c>
      <c r="K1063" s="11">
        <v>1166886015257</v>
      </c>
      <c r="L1063" s="11" t="s">
        <v>1124</v>
      </c>
      <c r="M1063" s="11" t="s">
        <v>27</v>
      </c>
      <c r="N1063" s="12">
        <v>43325</v>
      </c>
      <c r="O1063" s="12">
        <v>43325</v>
      </c>
      <c r="P1063" s="11">
        <v>15</v>
      </c>
      <c r="Q1063" s="11" t="s">
        <v>2454</v>
      </c>
    </row>
    <row r="1064" spans="1:17" ht="13" hidden="1" x14ac:dyDescent="0.15">
      <c r="A1064" s="10">
        <v>43334.481736608795</v>
      </c>
      <c r="B1064" s="11" t="s">
        <v>2521</v>
      </c>
      <c r="C1064" s="11">
        <v>1270</v>
      </c>
      <c r="D1064" s="11" t="s">
        <v>2522</v>
      </c>
      <c r="E1064" s="11">
        <v>9994175414</v>
      </c>
      <c r="F1064" s="11" t="s">
        <v>46</v>
      </c>
      <c r="G1064" s="11" t="s">
        <v>2523</v>
      </c>
      <c r="H1064" s="11">
        <v>68</v>
      </c>
      <c r="I1064" s="12">
        <v>43298</v>
      </c>
      <c r="J1064" s="2">
        <v>100</v>
      </c>
      <c r="K1064" s="11">
        <v>1365060003323</v>
      </c>
      <c r="L1064" s="11">
        <v>6506</v>
      </c>
      <c r="M1064" s="11" t="s">
        <v>27</v>
      </c>
      <c r="N1064" s="12">
        <v>43249</v>
      </c>
      <c r="O1064" s="12">
        <v>43249</v>
      </c>
      <c r="P1064" s="11">
        <v>200</v>
      </c>
      <c r="Q1064" s="11" t="s">
        <v>2521</v>
      </c>
    </row>
    <row r="1065" spans="1:17" ht="13" hidden="1" x14ac:dyDescent="0.15">
      <c r="A1065" s="10">
        <v>43334.627551585647</v>
      </c>
      <c r="B1065" s="11" t="s">
        <v>475</v>
      </c>
      <c r="C1065" s="11">
        <v>1306</v>
      </c>
      <c r="D1065" s="11" t="s">
        <v>2524</v>
      </c>
      <c r="E1065" s="11">
        <v>9072626009</v>
      </c>
      <c r="F1065" s="11" t="s">
        <v>56</v>
      </c>
      <c r="G1065" s="11" t="s">
        <v>2525</v>
      </c>
      <c r="H1065" s="11">
        <v>11</v>
      </c>
      <c r="I1065" s="12">
        <v>43334</v>
      </c>
      <c r="J1065" s="2">
        <v>3</v>
      </c>
      <c r="K1065" s="11">
        <v>1146352025963</v>
      </c>
      <c r="L1065" s="11" t="s">
        <v>2526</v>
      </c>
      <c r="M1065" s="11" t="s">
        <v>27</v>
      </c>
      <c r="N1065" s="12">
        <v>43334</v>
      </c>
      <c r="O1065" s="12">
        <v>43334</v>
      </c>
      <c r="P1065" s="11">
        <v>3</v>
      </c>
      <c r="Q1065" s="11" t="s">
        <v>475</v>
      </c>
    </row>
    <row r="1066" spans="1:17" ht="13" hidden="1" x14ac:dyDescent="0.15">
      <c r="A1066" s="10">
        <v>43334.632222326385</v>
      </c>
      <c r="B1066" s="11" t="s">
        <v>475</v>
      </c>
      <c r="C1066" s="11">
        <v>1307</v>
      </c>
      <c r="D1066" s="11" t="s">
        <v>2527</v>
      </c>
      <c r="E1066" s="11">
        <v>8138027336</v>
      </c>
      <c r="F1066" s="11" t="s">
        <v>30</v>
      </c>
      <c r="G1066" s="11" t="s">
        <v>475</v>
      </c>
      <c r="H1066" s="11">
        <v>11</v>
      </c>
      <c r="I1066" s="12">
        <v>43334</v>
      </c>
      <c r="J1066" s="2">
        <v>5</v>
      </c>
      <c r="K1066" s="11">
        <v>1156652027606</v>
      </c>
      <c r="L1066" s="11" t="s">
        <v>2449</v>
      </c>
      <c r="M1066" s="11" t="s">
        <v>27</v>
      </c>
      <c r="N1066" s="12">
        <v>43334</v>
      </c>
      <c r="O1066" s="12">
        <v>43334</v>
      </c>
      <c r="P1066" s="11">
        <v>5</v>
      </c>
      <c r="Q1066" s="11" t="s">
        <v>475</v>
      </c>
    </row>
    <row r="1067" spans="1:17" ht="13" hidden="1" x14ac:dyDescent="0.15">
      <c r="A1067" s="10">
        <v>43334.634613055554</v>
      </c>
      <c r="B1067" s="11" t="s">
        <v>475</v>
      </c>
      <c r="C1067" s="11">
        <v>1308</v>
      </c>
      <c r="D1067" s="14" t="s">
        <v>2528</v>
      </c>
      <c r="E1067" s="11">
        <v>7594933374</v>
      </c>
      <c r="F1067" s="11" t="s">
        <v>30</v>
      </c>
      <c r="G1067" s="11" t="s">
        <v>2525</v>
      </c>
      <c r="H1067" s="11">
        <v>11</v>
      </c>
      <c r="I1067" s="12">
        <v>43334</v>
      </c>
      <c r="J1067" s="2">
        <v>5</v>
      </c>
      <c r="K1067" s="11">
        <v>1156639022701</v>
      </c>
      <c r="L1067" s="11" t="s">
        <v>2529</v>
      </c>
      <c r="M1067" s="11" t="s">
        <v>27</v>
      </c>
      <c r="N1067" s="12">
        <v>43334</v>
      </c>
      <c r="O1067" s="12">
        <v>43334</v>
      </c>
      <c r="P1067" s="11">
        <v>5</v>
      </c>
      <c r="Q1067" s="11" t="s">
        <v>475</v>
      </c>
    </row>
    <row r="1068" spans="1:17" ht="13" hidden="1" x14ac:dyDescent="0.15">
      <c r="A1068" s="10">
        <v>43334.637274074077</v>
      </c>
      <c r="B1068" s="11" t="s">
        <v>475</v>
      </c>
      <c r="C1068" s="11">
        <v>1309</v>
      </c>
      <c r="D1068" s="11" t="s">
        <v>2530</v>
      </c>
      <c r="E1068" s="11">
        <v>8138027336</v>
      </c>
      <c r="F1068" s="11" t="s">
        <v>30</v>
      </c>
      <c r="G1068" s="11" t="s">
        <v>2525</v>
      </c>
      <c r="H1068" s="11">
        <v>11</v>
      </c>
      <c r="I1068" s="12">
        <v>43334</v>
      </c>
      <c r="J1068" s="2">
        <v>5</v>
      </c>
      <c r="K1068" s="11">
        <v>1156905012314</v>
      </c>
      <c r="L1068" s="11" t="s">
        <v>2531</v>
      </c>
      <c r="M1068" s="11" t="s">
        <v>27</v>
      </c>
      <c r="N1068" s="12">
        <v>43334</v>
      </c>
      <c r="O1068" s="12">
        <v>43334</v>
      </c>
      <c r="P1068" s="11">
        <v>5</v>
      </c>
      <c r="Q1068" s="11" t="s">
        <v>475</v>
      </c>
    </row>
    <row r="1069" spans="1:17" ht="13" hidden="1" x14ac:dyDescent="0.15">
      <c r="A1069" s="10">
        <v>43334.640645277774</v>
      </c>
      <c r="B1069" s="11" t="s">
        <v>475</v>
      </c>
      <c r="C1069" s="11">
        <v>1310</v>
      </c>
      <c r="D1069" s="14" t="s">
        <v>2533</v>
      </c>
      <c r="E1069" s="11">
        <v>7594933374</v>
      </c>
      <c r="F1069" s="11" t="s">
        <v>30</v>
      </c>
      <c r="G1069" s="11" t="s">
        <v>2525</v>
      </c>
      <c r="H1069" s="11">
        <v>11</v>
      </c>
      <c r="I1069" s="12">
        <v>43334</v>
      </c>
      <c r="J1069" s="2">
        <v>3</v>
      </c>
      <c r="K1069" s="11">
        <v>1156796016448</v>
      </c>
      <c r="L1069" s="11" t="s">
        <v>2534</v>
      </c>
      <c r="M1069" s="11" t="s">
        <v>27</v>
      </c>
      <c r="N1069" s="12">
        <v>43334</v>
      </c>
      <c r="O1069" s="12">
        <v>43334</v>
      </c>
      <c r="P1069" s="11">
        <v>3</v>
      </c>
      <c r="Q1069" s="11" t="s">
        <v>475</v>
      </c>
    </row>
    <row r="1070" spans="1:17" ht="13" hidden="1" x14ac:dyDescent="0.15">
      <c r="A1070" s="10">
        <v>43334.64329133102</v>
      </c>
      <c r="B1070" s="11" t="s">
        <v>475</v>
      </c>
      <c r="C1070" s="11">
        <v>1311</v>
      </c>
      <c r="D1070" s="11" t="s">
        <v>2535</v>
      </c>
      <c r="E1070" s="11">
        <v>8138027336</v>
      </c>
      <c r="F1070" s="11" t="s">
        <v>30</v>
      </c>
      <c r="G1070" s="11" t="s">
        <v>2525</v>
      </c>
      <c r="H1070" s="11">
        <v>11</v>
      </c>
      <c r="I1070" s="12">
        <v>43334</v>
      </c>
      <c r="J1070" s="2">
        <v>5</v>
      </c>
      <c r="K1070" s="11">
        <v>1156614033385</v>
      </c>
      <c r="L1070" s="11" t="s">
        <v>2536</v>
      </c>
      <c r="M1070" s="11" t="s">
        <v>27</v>
      </c>
      <c r="N1070" s="12">
        <v>43334</v>
      </c>
      <c r="O1070" s="12">
        <v>43334</v>
      </c>
      <c r="P1070" s="11">
        <v>5</v>
      </c>
      <c r="Q1070" s="11" t="s">
        <v>475</v>
      </c>
    </row>
    <row r="1071" spans="1:17" ht="13" hidden="1" x14ac:dyDescent="0.15">
      <c r="A1071" s="10">
        <v>43334.646108634261</v>
      </c>
      <c r="B1071" s="11" t="s">
        <v>475</v>
      </c>
      <c r="C1071" s="11">
        <v>1312</v>
      </c>
      <c r="D1071" s="11" t="s">
        <v>2537</v>
      </c>
      <c r="E1071" s="11">
        <v>7594933374</v>
      </c>
      <c r="F1071" s="11" t="s">
        <v>30</v>
      </c>
      <c r="G1071" s="11" t="s">
        <v>2525</v>
      </c>
      <c r="H1071" s="11">
        <v>11</v>
      </c>
      <c r="I1071" s="12">
        <v>43334</v>
      </c>
      <c r="J1071" s="2">
        <v>5</v>
      </c>
      <c r="K1071" s="11">
        <v>1156652026445</v>
      </c>
      <c r="L1071" s="11" t="s">
        <v>2538</v>
      </c>
      <c r="M1071" s="11" t="s">
        <v>27</v>
      </c>
      <c r="N1071" s="12">
        <v>43334</v>
      </c>
      <c r="O1071" s="12">
        <v>43334</v>
      </c>
      <c r="P1071" s="11">
        <v>5</v>
      </c>
      <c r="Q1071" s="11" t="s">
        <v>475</v>
      </c>
    </row>
    <row r="1072" spans="1:17" ht="13" hidden="1" x14ac:dyDescent="0.15">
      <c r="A1072" s="10">
        <v>43334.648389050926</v>
      </c>
      <c r="B1072" s="11" t="s">
        <v>475</v>
      </c>
      <c r="C1072" s="11">
        <v>1313</v>
      </c>
      <c r="D1072" s="11" t="s">
        <v>2539</v>
      </c>
      <c r="E1072" s="11">
        <v>8138027336</v>
      </c>
      <c r="F1072" s="11" t="s">
        <v>30</v>
      </c>
      <c r="G1072" s="11" t="s">
        <v>2525</v>
      </c>
      <c r="H1072" s="11">
        <v>11</v>
      </c>
      <c r="I1072" s="12">
        <v>43334</v>
      </c>
      <c r="J1072" s="2">
        <v>3</v>
      </c>
      <c r="K1072" s="11">
        <v>1156638015976</v>
      </c>
      <c r="L1072" s="11" t="s">
        <v>2529</v>
      </c>
      <c r="M1072" s="11" t="s">
        <v>27</v>
      </c>
      <c r="N1072" s="12">
        <v>43334</v>
      </c>
      <c r="O1072" s="12">
        <v>43334</v>
      </c>
      <c r="P1072" s="11">
        <v>3</v>
      </c>
      <c r="Q1072" s="11" t="s">
        <v>475</v>
      </c>
    </row>
    <row r="1073" spans="1:17" ht="13" hidden="1" x14ac:dyDescent="0.15">
      <c r="A1073" s="10">
        <v>43334.652405127315</v>
      </c>
      <c r="B1073" s="11" t="s">
        <v>475</v>
      </c>
      <c r="C1073" s="11">
        <v>1314</v>
      </c>
      <c r="D1073" s="11" t="s">
        <v>2540</v>
      </c>
      <c r="E1073" s="11">
        <v>7594933374</v>
      </c>
      <c r="F1073" s="11" t="s">
        <v>30</v>
      </c>
      <c r="G1073" s="11" t="s">
        <v>2525</v>
      </c>
      <c r="H1073" s="11">
        <v>11</v>
      </c>
      <c r="I1073" s="12">
        <v>43334</v>
      </c>
      <c r="J1073" s="2">
        <v>5</v>
      </c>
      <c r="K1073" s="11">
        <v>1156448030212</v>
      </c>
      <c r="L1073" s="11" t="s">
        <v>2541</v>
      </c>
      <c r="M1073" s="11" t="s">
        <v>27</v>
      </c>
      <c r="N1073" s="12">
        <v>43334</v>
      </c>
      <c r="O1073" s="12">
        <v>43334</v>
      </c>
      <c r="P1073" s="11">
        <v>5</v>
      </c>
      <c r="Q1073" s="11" t="s">
        <v>475</v>
      </c>
    </row>
    <row r="1074" spans="1:17" ht="13" hidden="1" x14ac:dyDescent="0.15">
      <c r="A1074" s="10">
        <v>43334.654966655093</v>
      </c>
      <c r="B1074" s="11" t="s">
        <v>475</v>
      </c>
      <c r="C1074" s="11">
        <v>1315</v>
      </c>
      <c r="D1074" s="11" t="s">
        <v>2543</v>
      </c>
      <c r="E1074" s="11">
        <v>8138027336</v>
      </c>
      <c r="F1074" s="11" t="s">
        <v>30</v>
      </c>
      <c r="G1074" s="11" t="s">
        <v>2525</v>
      </c>
      <c r="H1074" s="11">
        <v>11</v>
      </c>
      <c r="I1074" s="12">
        <v>43334</v>
      </c>
      <c r="J1074" s="2">
        <v>15</v>
      </c>
      <c r="K1074" s="11">
        <v>1156844023996</v>
      </c>
      <c r="L1074" s="11" t="s">
        <v>2544</v>
      </c>
      <c r="M1074" s="11" t="s">
        <v>27</v>
      </c>
      <c r="N1074" s="12">
        <v>43334</v>
      </c>
      <c r="O1074" s="12">
        <v>43334</v>
      </c>
      <c r="P1074" s="11">
        <v>15</v>
      </c>
      <c r="Q1074" s="11" t="s">
        <v>475</v>
      </c>
    </row>
    <row r="1075" spans="1:17" ht="13" hidden="1" x14ac:dyDescent="0.15">
      <c r="A1075" s="10">
        <v>43334.659505451389</v>
      </c>
      <c r="B1075" s="11" t="s">
        <v>475</v>
      </c>
      <c r="C1075" s="11">
        <v>1316</v>
      </c>
      <c r="D1075" s="11" t="s">
        <v>2545</v>
      </c>
      <c r="E1075" s="11">
        <v>638</v>
      </c>
      <c r="F1075" s="11" t="s">
        <v>30</v>
      </c>
      <c r="G1075" s="11" t="s">
        <v>2525</v>
      </c>
      <c r="H1075" s="11">
        <v>11</v>
      </c>
      <c r="I1075" s="12">
        <v>43334</v>
      </c>
      <c r="J1075" s="2">
        <v>5</v>
      </c>
      <c r="K1075" s="11">
        <v>638</v>
      </c>
      <c r="L1075" s="11" t="s">
        <v>122</v>
      </c>
      <c r="M1075" s="11" t="s">
        <v>27</v>
      </c>
      <c r="N1075" s="12">
        <v>43334</v>
      </c>
      <c r="O1075" s="12">
        <v>43334</v>
      </c>
      <c r="P1075" s="11">
        <v>5</v>
      </c>
      <c r="Q1075" s="11" t="s">
        <v>475</v>
      </c>
    </row>
    <row r="1076" spans="1:17" ht="13" hidden="1" x14ac:dyDescent="0.15">
      <c r="A1076" s="10">
        <v>43337.616442766201</v>
      </c>
      <c r="B1076" s="11" t="s">
        <v>1321</v>
      </c>
      <c r="C1076" s="11">
        <v>1271</v>
      </c>
      <c r="D1076" s="11" t="s">
        <v>2546</v>
      </c>
      <c r="E1076" s="11">
        <v>9994175414</v>
      </c>
      <c r="F1076" s="11" t="s">
        <v>56</v>
      </c>
      <c r="G1076" s="11" t="s">
        <v>2523</v>
      </c>
      <c r="H1076" s="11">
        <v>68</v>
      </c>
      <c r="I1076" s="12">
        <v>43236</v>
      </c>
      <c r="J1076" s="2">
        <v>3</v>
      </c>
      <c r="K1076" s="11">
        <v>1146364006585</v>
      </c>
      <c r="L1076" s="11">
        <v>4636</v>
      </c>
      <c r="M1076" s="11" t="s">
        <v>27</v>
      </c>
      <c r="N1076" s="12">
        <v>43196</v>
      </c>
      <c r="O1076" s="12">
        <v>43196</v>
      </c>
      <c r="P1076" s="11">
        <v>3</v>
      </c>
      <c r="Q1076" s="11" t="s">
        <v>1321</v>
      </c>
    </row>
    <row r="1077" spans="1:17" ht="13" hidden="1" x14ac:dyDescent="0.15">
      <c r="A1077" s="10">
        <v>43341.643088495373</v>
      </c>
      <c r="B1077" s="11" t="s">
        <v>475</v>
      </c>
      <c r="C1077" s="11">
        <v>1317</v>
      </c>
      <c r="D1077" s="11" t="s">
        <v>2547</v>
      </c>
      <c r="E1077" s="11">
        <v>9072626009</v>
      </c>
      <c r="F1077" s="11" t="s">
        <v>35</v>
      </c>
      <c r="G1077" s="11" t="s">
        <v>2525</v>
      </c>
      <c r="H1077" s="11">
        <v>11</v>
      </c>
      <c r="I1077" s="12">
        <v>43341</v>
      </c>
      <c r="J1077" s="2">
        <v>3</v>
      </c>
      <c r="K1077" s="11">
        <v>1156029034769</v>
      </c>
      <c r="L1077" s="11" t="s">
        <v>2548</v>
      </c>
      <c r="M1077" s="11" t="s">
        <v>27</v>
      </c>
      <c r="N1077" s="12">
        <v>43341</v>
      </c>
      <c r="O1077" s="12">
        <v>43341</v>
      </c>
      <c r="P1077" s="11">
        <v>3</v>
      </c>
      <c r="Q1077" s="11" t="s">
        <v>475</v>
      </c>
    </row>
    <row r="1078" spans="1:17" ht="13" hidden="1" x14ac:dyDescent="0.15">
      <c r="A1078" s="10">
        <v>43341.64596407408</v>
      </c>
      <c r="B1078" s="11" t="s">
        <v>2454</v>
      </c>
      <c r="C1078" s="11">
        <v>1318</v>
      </c>
      <c r="D1078" s="14" t="s">
        <v>2549</v>
      </c>
      <c r="E1078" s="11">
        <v>8138027336</v>
      </c>
      <c r="F1078" s="11" t="s">
        <v>30</v>
      </c>
      <c r="G1078" s="11" t="s">
        <v>2525</v>
      </c>
      <c r="H1078" s="11">
        <v>11</v>
      </c>
      <c r="I1078" s="12">
        <v>43341</v>
      </c>
      <c r="J1078" s="2">
        <v>3</v>
      </c>
      <c r="K1078" s="11">
        <v>1156633022830</v>
      </c>
      <c r="L1078" s="11" t="s">
        <v>2550</v>
      </c>
      <c r="M1078" s="11" t="s">
        <v>27</v>
      </c>
      <c r="N1078" s="12">
        <v>43341</v>
      </c>
      <c r="O1078" s="12">
        <v>43341</v>
      </c>
      <c r="P1078" s="11">
        <v>3</v>
      </c>
      <c r="Q1078" s="11" t="s">
        <v>475</v>
      </c>
    </row>
    <row r="1079" spans="1:17" ht="13" hidden="1" x14ac:dyDescent="0.15">
      <c r="A1079" s="10">
        <v>43341.648322789348</v>
      </c>
      <c r="B1079" s="11" t="s">
        <v>475</v>
      </c>
      <c r="C1079" s="11">
        <v>1319</v>
      </c>
      <c r="D1079" s="11" t="s">
        <v>2551</v>
      </c>
      <c r="E1079" s="11">
        <v>7594933374</v>
      </c>
      <c r="F1079" s="11" t="s">
        <v>35</v>
      </c>
      <c r="G1079" s="11" t="s">
        <v>2525</v>
      </c>
      <c r="H1079" s="11">
        <v>11</v>
      </c>
      <c r="I1079" s="12">
        <v>43341</v>
      </c>
      <c r="J1079" s="2">
        <v>5</v>
      </c>
      <c r="K1079" s="11">
        <v>26303</v>
      </c>
      <c r="L1079" s="11" t="s">
        <v>2553</v>
      </c>
      <c r="M1079" s="11" t="s">
        <v>27</v>
      </c>
      <c r="N1079" s="12">
        <v>43341</v>
      </c>
      <c r="O1079" s="12">
        <v>43341</v>
      </c>
      <c r="P1079" s="11">
        <v>5</v>
      </c>
      <c r="Q1079" s="11" t="s">
        <v>475</v>
      </c>
    </row>
    <row r="1080" spans="1:17" ht="13" hidden="1" x14ac:dyDescent="0.15">
      <c r="A1080" s="10">
        <v>43341.650398495374</v>
      </c>
      <c r="B1080" s="11" t="s">
        <v>475</v>
      </c>
      <c r="C1080" s="11">
        <v>1320</v>
      </c>
      <c r="D1080" s="11" t="s">
        <v>2554</v>
      </c>
      <c r="E1080" s="11">
        <v>7594933374</v>
      </c>
      <c r="F1080" s="11" t="s">
        <v>73</v>
      </c>
      <c r="G1080" s="11" t="s">
        <v>2525</v>
      </c>
      <c r="H1080" s="11">
        <v>11</v>
      </c>
      <c r="I1080" s="12">
        <v>43341</v>
      </c>
      <c r="J1080" s="2">
        <v>5</v>
      </c>
      <c r="K1080" s="11">
        <v>1145803015522</v>
      </c>
      <c r="L1080" s="11" t="s">
        <v>1320</v>
      </c>
      <c r="M1080" s="11" t="s">
        <v>27</v>
      </c>
      <c r="N1080" s="12">
        <v>43341</v>
      </c>
      <c r="O1080" s="12">
        <v>43341</v>
      </c>
      <c r="P1080" s="11">
        <v>5</v>
      </c>
      <c r="Q1080" s="11" t="s">
        <v>475</v>
      </c>
    </row>
    <row r="1081" spans="1:17" ht="13" hidden="1" x14ac:dyDescent="0.15">
      <c r="A1081" s="10">
        <v>43341.653481238427</v>
      </c>
      <c r="B1081" s="11" t="s">
        <v>475</v>
      </c>
      <c r="C1081" s="11">
        <v>1321</v>
      </c>
      <c r="D1081" s="11" t="s">
        <v>2555</v>
      </c>
      <c r="E1081" s="11">
        <v>7594933374</v>
      </c>
      <c r="F1081" s="11" t="s">
        <v>35</v>
      </c>
      <c r="G1081" s="11" t="s">
        <v>2525</v>
      </c>
      <c r="H1081" s="11">
        <v>11</v>
      </c>
      <c r="I1081" s="12">
        <v>43341</v>
      </c>
      <c r="J1081" s="2">
        <v>5</v>
      </c>
      <c r="K1081" s="11">
        <v>1156043031499</v>
      </c>
      <c r="L1081" s="11" t="s">
        <v>2556</v>
      </c>
      <c r="M1081" s="11" t="s">
        <v>27</v>
      </c>
      <c r="N1081" s="12">
        <v>43341</v>
      </c>
      <c r="O1081" s="12">
        <v>43341</v>
      </c>
      <c r="P1081" s="11">
        <v>5</v>
      </c>
      <c r="Q1081" s="11" t="s">
        <v>475</v>
      </c>
    </row>
    <row r="1082" spans="1:17" ht="13" hidden="1" x14ac:dyDescent="0.15">
      <c r="A1082" s="10">
        <v>43344.883240763884</v>
      </c>
      <c r="B1082" s="11" t="s">
        <v>2557</v>
      </c>
      <c r="C1082" s="11">
        <v>884</v>
      </c>
      <c r="D1082" s="11" t="s">
        <v>2558</v>
      </c>
      <c r="E1082" s="11">
        <v>9895192550</v>
      </c>
      <c r="F1082" s="11" t="s">
        <v>46</v>
      </c>
      <c r="G1082" s="11" t="s">
        <v>2559</v>
      </c>
      <c r="H1082" s="11">
        <v>69</v>
      </c>
      <c r="I1082" s="12">
        <v>43344</v>
      </c>
      <c r="J1082" s="2">
        <v>3</v>
      </c>
      <c r="K1082" s="11">
        <v>1165338042666</v>
      </c>
      <c r="L1082" s="11" t="s">
        <v>1555</v>
      </c>
      <c r="M1082" s="11" t="s">
        <v>27</v>
      </c>
      <c r="N1082" s="12">
        <v>43344</v>
      </c>
      <c r="O1082" s="12">
        <v>43344</v>
      </c>
      <c r="P1082" s="11">
        <v>3</v>
      </c>
      <c r="Q1082" s="11" t="s">
        <v>2557</v>
      </c>
    </row>
    <row r="1083" spans="1:17" ht="13" hidden="1" x14ac:dyDescent="0.15">
      <c r="A1083" s="10">
        <v>43354.680365185181</v>
      </c>
      <c r="B1083" s="11" t="s">
        <v>1622</v>
      </c>
      <c r="C1083" s="11">
        <v>879428371765</v>
      </c>
      <c r="D1083" s="11" t="s">
        <v>1623</v>
      </c>
      <c r="E1083" s="11">
        <v>9995429398</v>
      </c>
      <c r="F1083" s="11" t="s">
        <v>35</v>
      </c>
      <c r="G1083" s="11" t="s">
        <v>2560</v>
      </c>
      <c r="H1083" s="11">
        <v>24</v>
      </c>
      <c r="I1083" s="12">
        <v>43235</v>
      </c>
      <c r="J1083" s="2">
        <v>2</v>
      </c>
      <c r="K1083" s="11">
        <v>1155734008104</v>
      </c>
      <c r="L1083" s="11" t="s">
        <v>2561</v>
      </c>
      <c r="M1083" s="11" t="s">
        <v>27</v>
      </c>
      <c r="N1083" s="12">
        <v>43229</v>
      </c>
      <c r="O1083" s="12">
        <v>43229</v>
      </c>
      <c r="P1083" s="11">
        <v>2</v>
      </c>
      <c r="Q1083" s="11" t="s">
        <v>1622</v>
      </c>
    </row>
    <row r="1084" spans="1:17" ht="13" hidden="1" x14ac:dyDescent="0.15">
      <c r="A1084" s="10">
        <v>43360.560399942129</v>
      </c>
      <c r="B1084" s="11" t="s">
        <v>2562</v>
      </c>
      <c r="C1084" s="11">
        <v>1257</v>
      </c>
      <c r="D1084" s="11" t="s">
        <v>2563</v>
      </c>
      <c r="E1084" s="11">
        <v>9567870175</v>
      </c>
      <c r="F1084" s="11" t="s">
        <v>30</v>
      </c>
      <c r="G1084" s="11" t="s">
        <v>2564</v>
      </c>
      <c r="H1084" s="11">
        <v>49</v>
      </c>
      <c r="I1084" s="12">
        <v>43360</v>
      </c>
      <c r="J1084" s="2">
        <v>3</v>
      </c>
      <c r="K1084" s="11">
        <v>1156967018097</v>
      </c>
      <c r="L1084" s="11" t="s">
        <v>2565</v>
      </c>
      <c r="M1084" s="11" t="s">
        <v>27</v>
      </c>
      <c r="N1084" s="12">
        <v>43242</v>
      </c>
      <c r="O1084" s="12">
        <v>43242</v>
      </c>
      <c r="P1084" s="11">
        <v>3</v>
      </c>
      <c r="Q1084" s="11" t="s">
        <v>2566</v>
      </c>
    </row>
    <row r="1085" spans="1:17" ht="13" hidden="1" x14ac:dyDescent="0.15">
      <c r="A1085" s="10">
        <v>43360.638221331013</v>
      </c>
      <c r="B1085" s="11" t="s">
        <v>2566</v>
      </c>
      <c r="C1085" s="11">
        <v>340</v>
      </c>
      <c r="D1085" s="11" t="s">
        <v>801</v>
      </c>
      <c r="E1085" s="11">
        <v>9567870175</v>
      </c>
      <c r="F1085" s="11" t="s">
        <v>287</v>
      </c>
      <c r="G1085" s="11" t="s">
        <v>2564</v>
      </c>
      <c r="H1085" s="11">
        <v>49</v>
      </c>
      <c r="I1085" s="12">
        <v>43360</v>
      </c>
      <c r="J1085" s="2">
        <v>5</v>
      </c>
      <c r="K1085" s="11">
        <v>1166483027197</v>
      </c>
      <c r="L1085" s="11" t="s">
        <v>2568</v>
      </c>
      <c r="M1085" s="11" t="s">
        <v>27</v>
      </c>
      <c r="N1085" s="12">
        <v>43108</v>
      </c>
      <c r="O1085" s="12">
        <v>43108</v>
      </c>
      <c r="P1085" s="11">
        <v>5</v>
      </c>
      <c r="Q1085" s="11" t="s">
        <v>2566</v>
      </c>
    </row>
    <row r="1086" spans="1:17" ht="13" hidden="1" x14ac:dyDescent="0.15">
      <c r="A1086" s="10">
        <v>43374.490944328703</v>
      </c>
      <c r="B1086" s="11" t="s">
        <v>2569</v>
      </c>
      <c r="C1086" s="11">
        <v>1849</v>
      </c>
      <c r="D1086" s="11" t="s">
        <v>2570</v>
      </c>
      <c r="E1086" s="11">
        <v>8129337929</v>
      </c>
      <c r="F1086" s="11" t="s">
        <v>182</v>
      </c>
      <c r="G1086" s="11" t="s">
        <v>2571</v>
      </c>
      <c r="H1086" s="11">
        <v>3</v>
      </c>
      <c r="I1086" s="12">
        <v>43245</v>
      </c>
      <c r="J1086" s="2">
        <v>2</v>
      </c>
      <c r="K1086" s="11">
        <v>1165686010989</v>
      </c>
      <c r="L1086" s="11" t="s">
        <v>2572</v>
      </c>
      <c r="M1086" s="11" t="s">
        <v>27</v>
      </c>
      <c r="N1086" s="12">
        <v>43363</v>
      </c>
      <c r="O1086" s="12">
        <v>43363</v>
      </c>
      <c r="P1086" s="11">
        <v>2</v>
      </c>
      <c r="Q1086" s="11" t="s">
        <v>2569</v>
      </c>
    </row>
    <row r="1087" spans="1:17" ht="13" hidden="1" x14ac:dyDescent="0.15">
      <c r="A1087" s="10">
        <v>43386.422776701387</v>
      </c>
      <c r="B1087" s="11" t="s">
        <v>382</v>
      </c>
      <c r="C1087" s="11">
        <v>1251</v>
      </c>
      <c r="D1087" s="11" t="s">
        <v>2573</v>
      </c>
      <c r="E1087" s="11">
        <v>9387707733</v>
      </c>
      <c r="F1087" s="11" t="s">
        <v>182</v>
      </c>
      <c r="G1087" s="11" t="s">
        <v>2033</v>
      </c>
      <c r="H1087" s="11">
        <v>4</v>
      </c>
      <c r="I1087" s="12">
        <v>43383</v>
      </c>
      <c r="J1087" s="11">
        <v>3</v>
      </c>
      <c r="K1087" s="11">
        <v>1165833034910</v>
      </c>
      <c r="L1087" s="11" t="s">
        <v>2574</v>
      </c>
      <c r="M1087" s="11" t="s">
        <v>27</v>
      </c>
      <c r="N1087" s="12">
        <v>43377</v>
      </c>
      <c r="O1087" s="12">
        <v>43377</v>
      </c>
      <c r="P1087" s="11">
        <v>3</v>
      </c>
      <c r="Q1087" s="11" t="s">
        <v>382</v>
      </c>
    </row>
    <row r="1088" spans="1:17" ht="13" hidden="1" x14ac:dyDescent="0.15">
      <c r="A1088" s="10">
        <v>43409.693669224536</v>
      </c>
      <c r="B1088" s="11" t="s">
        <v>227</v>
      </c>
      <c r="C1088" s="11">
        <v>1142</v>
      </c>
      <c r="D1088" s="11" t="s">
        <v>2575</v>
      </c>
      <c r="E1088" s="11">
        <v>8137874406</v>
      </c>
      <c r="F1088" s="11" t="s">
        <v>266</v>
      </c>
      <c r="G1088" s="11" t="s">
        <v>157</v>
      </c>
      <c r="H1088" s="11">
        <v>42</v>
      </c>
      <c r="I1088" s="12">
        <v>43251</v>
      </c>
      <c r="J1088" s="11">
        <v>2</v>
      </c>
      <c r="K1088" s="11">
        <v>1165984008733</v>
      </c>
      <c r="L1088" s="11" t="s">
        <v>1474</v>
      </c>
      <c r="M1088" s="11" t="s">
        <v>27</v>
      </c>
      <c r="N1088" s="12">
        <v>43403</v>
      </c>
      <c r="O1088" s="12">
        <v>43403</v>
      </c>
      <c r="P1088" s="11">
        <v>2</v>
      </c>
      <c r="Q1088" s="11" t="s">
        <v>227</v>
      </c>
    </row>
    <row r="1089" spans="10:10" ht="13" hidden="1" x14ac:dyDescent="0.15">
      <c r="J1089" s="21"/>
    </row>
    <row r="1090" spans="10:10" ht="13" hidden="1" x14ac:dyDescent="0.15">
      <c r="J1090" s="21"/>
    </row>
    <row r="1091" spans="10:10" ht="13" hidden="1" x14ac:dyDescent="0.15">
      <c r="J1091" s="21"/>
    </row>
    <row r="1092" spans="10:10" ht="13" hidden="1" x14ac:dyDescent="0.15">
      <c r="J1092" s="21"/>
    </row>
    <row r="1093" spans="10:10" ht="13" hidden="1" x14ac:dyDescent="0.15">
      <c r="J1093" s="21"/>
    </row>
    <row r="1094" spans="10:10" ht="13" hidden="1" x14ac:dyDescent="0.15">
      <c r="J1094" s="21"/>
    </row>
    <row r="1095" spans="10:10" ht="13" hidden="1" x14ac:dyDescent="0.15">
      <c r="J1095" s="21"/>
    </row>
    <row r="1096" spans="10:10" ht="13" hidden="1" x14ac:dyDescent="0.15">
      <c r="J1096" s="21"/>
    </row>
    <row r="1097" spans="10:10" ht="13" hidden="1" x14ac:dyDescent="0.15">
      <c r="J1097" s="21"/>
    </row>
    <row r="1098" spans="10:10" ht="13" hidden="1" x14ac:dyDescent="0.15">
      <c r="J1098" s="21"/>
    </row>
    <row r="1099" spans="10:10" ht="13" hidden="1" x14ac:dyDescent="0.15">
      <c r="J1099" s="21"/>
    </row>
    <row r="1100" spans="10:10" ht="13" hidden="1" x14ac:dyDescent="0.15">
      <c r="J1100" s="21"/>
    </row>
    <row r="1101" spans="10:10" ht="13" hidden="1" x14ac:dyDescent="0.15">
      <c r="J1101" s="21"/>
    </row>
    <row r="1102" spans="10:10" ht="13" hidden="1" x14ac:dyDescent="0.15">
      <c r="J1102" s="21"/>
    </row>
    <row r="1103" spans="10:10" ht="13" hidden="1" x14ac:dyDescent="0.15">
      <c r="J1103" s="21"/>
    </row>
    <row r="1104" spans="10:10" ht="13" hidden="1" x14ac:dyDescent="0.15">
      <c r="J1104" s="21"/>
    </row>
    <row r="1105" spans="10:10" ht="13" hidden="1" x14ac:dyDescent="0.15">
      <c r="J1105" s="21"/>
    </row>
    <row r="1106" spans="10:10" ht="13" hidden="1" x14ac:dyDescent="0.15">
      <c r="J1106" s="21"/>
    </row>
    <row r="1107" spans="10:10" ht="13" hidden="1" x14ac:dyDescent="0.15">
      <c r="J1107" s="21"/>
    </row>
    <row r="1108" spans="10:10" ht="13" hidden="1" x14ac:dyDescent="0.15">
      <c r="J1108" s="21"/>
    </row>
    <row r="1109" spans="10:10" ht="13" hidden="1" x14ac:dyDescent="0.15">
      <c r="J1109" s="21"/>
    </row>
    <row r="1110" spans="10:10" ht="13" hidden="1" x14ac:dyDescent="0.15">
      <c r="J1110" s="21"/>
    </row>
    <row r="1111" spans="10:10" ht="13" hidden="1" x14ac:dyDescent="0.15">
      <c r="J1111" s="21"/>
    </row>
    <row r="1112" spans="10:10" ht="13" hidden="1" x14ac:dyDescent="0.15">
      <c r="J1112" s="21"/>
    </row>
    <row r="1113" spans="10:10" ht="13" hidden="1" x14ac:dyDescent="0.15">
      <c r="J1113" s="21"/>
    </row>
    <row r="1114" spans="10:10" ht="13" hidden="1" x14ac:dyDescent="0.15">
      <c r="J1114" s="21"/>
    </row>
    <row r="1115" spans="10:10" ht="13" hidden="1" x14ac:dyDescent="0.15">
      <c r="J1115" s="21"/>
    </row>
    <row r="1116" spans="10:10" ht="13" hidden="1" x14ac:dyDescent="0.15">
      <c r="J1116" s="21"/>
    </row>
    <row r="1117" spans="10:10" ht="13" hidden="1" x14ac:dyDescent="0.15">
      <c r="J1117" s="21"/>
    </row>
    <row r="1118" spans="10:10" ht="13" hidden="1" x14ac:dyDescent="0.15">
      <c r="J1118" s="21"/>
    </row>
    <row r="1119" spans="10:10" ht="13" hidden="1" x14ac:dyDescent="0.15">
      <c r="J1119" s="21"/>
    </row>
    <row r="1120" spans="10:10" ht="13" hidden="1" x14ac:dyDescent="0.15">
      <c r="J1120" s="21"/>
    </row>
    <row r="1121" spans="10:10" ht="13" hidden="1" x14ac:dyDescent="0.15">
      <c r="J1121" s="21"/>
    </row>
    <row r="1122" spans="10:10" ht="13" hidden="1" x14ac:dyDescent="0.15">
      <c r="J1122" s="21"/>
    </row>
    <row r="1123" spans="10:10" ht="13" hidden="1" x14ac:dyDescent="0.15">
      <c r="J1123" s="21"/>
    </row>
    <row r="1124" spans="10:10" ht="13" hidden="1" x14ac:dyDescent="0.15">
      <c r="J1124" s="21"/>
    </row>
    <row r="1125" spans="10:10" ht="13" hidden="1" x14ac:dyDescent="0.15">
      <c r="J1125" s="21"/>
    </row>
    <row r="1126" spans="10:10" ht="13" hidden="1" x14ac:dyDescent="0.15">
      <c r="J1126" s="21"/>
    </row>
    <row r="1127" spans="10:10" ht="13" hidden="1" x14ac:dyDescent="0.15">
      <c r="J1127" s="21"/>
    </row>
    <row r="1128" spans="10:10" ht="13" hidden="1" x14ac:dyDescent="0.15">
      <c r="J1128" s="21"/>
    </row>
    <row r="1129" spans="10:10" ht="13" hidden="1" x14ac:dyDescent="0.15">
      <c r="J1129" s="21"/>
    </row>
    <row r="1130" spans="10:10" ht="13" hidden="1" x14ac:dyDescent="0.15">
      <c r="J1130" s="21"/>
    </row>
    <row r="1131" spans="10:10" ht="13" hidden="1" x14ac:dyDescent="0.15">
      <c r="J1131" s="21"/>
    </row>
    <row r="1132" spans="10:10" ht="13" hidden="1" x14ac:dyDescent="0.15">
      <c r="J1132" s="21"/>
    </row>
    <row r="1133" spans="10:10" ht="13" hidden="1" x14ac:dyDescent="0.15">
      <c r="J1133" s="21"/>
    </row>
    <row r="1134" spans="10:10" ht="13" hidden="1" x14ac:dyDescent="0.15">
      <c r="J1134" s="21"/>
    </row>
    <row r="1135" spans="10:10" ht="13" hidden="1" x14ac:dyDescent="0.15">
      <c r="J1135" s="21"/>
    </row>
    <row r="1136" spans="10:10" ht="13" hidden="1" x14ac:dyDescent="0.15">
      <c r="J1136" s="21"/>
    </row>
    <row r="1137" spans="10:10" ht="13" hidden="1" x14ac:dyDescent="0.15">
      <c r="J1137" s="21"/>
    </row>
    <row r="1138" spans="10:10" ht="13" hidden="1" x14ac:dyDescent="0.15">
      <c r="J1138" s="21"/>
    </row>
    <row r="1139" spans="10:10" ht="13" hidden="1" x14ac:dyDescent="0.15">
      <c r="J1139" s="21"/>
    </row>
    <row r="1140" spans="10:10" ht="13" hidden="1" x14ac:dyDescent="0.15">
      <c r="J1140" s="21"/>
    </row>
    <row r="1141" spans="10:10" ht="13" hidden="1" x14ac:dyDescent="0.15">
      <c r="J1141" s="21"/>
    </row>
    <row r="1142" spans="10:10" ht="13" hidden="1" x14ac:dyDescent="0.15">
      <c r="J1142" s="21"/>
    </row>
    <row r="1143" spans="10:10" ht="13" hidden="1" x14ac:dyDescent="0.15">
      <c r="J1143" s="21"/>
    </row>
    <row r="1144" spans="10:10" ht="13" hidden="1" x14ac:dyDescent="0.15">
      <c r="J1144" s="21"/>
    </row>
    <row r="1145" spans="10:10" ht="13" hidden="1" x14ac:dyDescent="0.15">
      <c r="J1145" s="21"/>
    </row>
    <row r="1146" spans="10:10" ht="13" hidden="1" x14ac:dyDescent="0.15">
      <c r="J1146" s="21"/>
    </row>
    <row r="1147" spans="10:10" ht="13" hidden="1" x14ac:dyDescent="0.15">
      <c r="J1147" s="21"/>
    </row>
    <row r="1148" spans="10:10" ht="13" hidden="1" x14ac:dyDescent="0.15">
      <c r="J1148" s="21"/>
    </row>
    <row r="1149" spans="10:10" ht="13" hidden="1" x14ac:dyDescent="0.15">
      <c r="J1149" s="21"/>
    </row>
    <row r="1150" spans="10:10" ht="13" hidden="1" x14ac:dyDescent="0.15">
      <c r="J1150" s="21"/>
    </row>
    <row r="1151" spans="10:10" ht="13" hidden="1" x14ac:dyDescent="0.15">
      <c r="J1151" s="21"/>
    </row>
    <row r="1152" spans="10:10" ht="13" hidden="1" x14ac:dyDescent="0.15">
      <c r="J1152" s="21"/>
    </row>
    <row r="1153" spans="10:10" ht="13" hidden="1" x14ac:dyDescent="0.15">
      <c r="J1153" s="21"/>
    </row>
    <row r="1154" spans="10:10" ht="13" hidden="1" x14ac:dyDescent="0.15">
      <c r="J1154" s="21"/>
    </row>
    <row r="1155" spans="10:10" ht="13" hidden="1" x14ac:dyDescent="0.15">
      <c r="J1155" s="21"/>
    </row>
    <row r="1156" spans="10:10" ht="13" hidden="1" x14ac:dyDescent="0.15">
      <c r="J1156" s="21"/>
    </row>
    <row r="1157" spans="10:10" ht="13" hidden="1" x14ac:dyDescent="0.15">
      <c r="J1157" s="21"/>
    </row>
    <row r="1158" spans="10:10" ht="13" hidden="1" x14ac:dyDescent="0.15">
      <c r="J1158" s="21"/>
    </row>
    <row r="1159" spans="10:10" ht="13" hidden="1" x14ac:dyDescent="0.15">
      <c r="J1159" s="21"/>
    </row>
    <row r="1160" spans="10:10" ht="13" hidden="1" x14ac:dyDescent="0.15">
      <c r="J1160" s="21"/>
    </row>
    <row r="1161" spans="10:10" ht="13" hidden="1" x14ac:dyDescent="0.15">
      <c r="J1161" s="21"/>
    </row>
    <row r="1162" spans="10:10" ht="13" hidden="1" x14ac:dyDescent="0.15">
      <c r="J1162" s="21"/>
    </row>
    <row r="1163" spans="10:10" ht="13" hidden="1" x14ac:dyDescent="0.15">
      <c r="J1163" s="21"/>
    </row>
    <row r="1164" spans="10:10" ht="13" hidden="1" x14ac:dyDescent="0.15">
      <c r="J1164" s="21"/>
    </row>
    <row r="1165" spans="10:10" ht="13" hidden="1" x14ac:dyDescent="0.15">
      <c r="J1165" s="21"/>
    </row>
    <row r="1166" spans="10:10" ht="13" hidden="1" x14ac:dyDescent="0.15">
      <c r="J1166" s="21"/>
    </row>
    <row r="1167" spans="10:10" ht="13" hidden="1" x14ac:dyDescent="0.15">
      <c r="J1167" s="21"/>
    </row>
    <row r="1168" spans="10:10" ht="13" hidden="1" x14ac:dyDescent="0.15">
      <c r="J1168" s="21"/>
    </row>
    <row r="1169" spans="10:10" ht="13" hidden="1" x14ac:dyDescent="0.15">
      <c r="J1169" s="21"/>
    </row>
    <row r="1170" spans="10:10" ht="13" hidden="1" x14ac:dyDescent="0.15">
      <c r="J1170" s="21"/>
    </row>
    <row r="1171" spans="10:10" ht="13" hidden="1" x14ac:dyDescent="0.15">
      <c r="J1171" s="21"/>
    </row>
    <row r="1172" spans="10:10" ht="13" hidden="1" x14ac:dyDescent="0.15">
      <c r="J1172" s="21"/>
    </row>
    <row r="1173" spans="10:10" ht="13" hidden="1" x14ac:dyDescent="0.15">
      <c r="J1173" s="21"/>
    </row>
    <row r="1174" spans="10:10" ht="13" hidden="1" x14ac:dyDescent="0.15">
      <c r="J1174" s="21"/>
    </row>
    <row r="1175" spans="10:10" ht="13" hidden="1" x14ac:dyDescent="0.15">
      <c r="J1175" s="21"/>
    </row>
    <row r="1176" spans="10:10" ht="13" hidden="1" x14ac:dyDescent="0.15">
      <c r="J1176" s="21"/>
    </row>
    <row r="1177" spans="10:10" ht="13" hidden="1" x14ac:dyDescent="0.15">
      <c r="J1177" s="21"/>
    </row>
    <row r="1178" spans="10:10" ht="13" hidden="1" x14ac:dyDescent="0.15">
      <c r="J1178" s="21"/>
    </row>
    <row r="1179" spans="10:10" ht="13" hidden="1" x14ac:dyDescent="0.15">
      <c r="J1179" s="21"/>
    </row>
    <row r="1180" spans="10:10" ht="13" hidden="1" x14ac:dyDescent="0.15">
      <c r="J1180" s="21"/>
    </row>
    <row r="1181" spans="10:10" ht="13" hidden="1" x14ac:dyDescent="0.15">
      <c r="J1181" s="21"/>
    </row>
    <row r="1182" spans="10:10" ht="13" hidden="1" x14ac:dyDescent="0.15">
      <c r="J1182" s="21"/>
    </row>
    <row r="1183" spans="10:10" ht="13" hidden="1" x14ac:dyDescent="0.15">
      <c r="J1183" s="21"/>
    </row>
    <row r="1184" spans="10:10" ht="13" hidden="1" x14ac:dyDescent="0.15">
      <c r="J1184" s="21"/>
    </row>
    <row r="1185" spans="10:10" ht="13" hidden="1" x14ac:dyDescent="0.15">
      <c r="J1185" s="21"/>
    </row>
    <row r="1186" spans="10:10" ht="13" hidden="1" x14ac:dyDescent="0.15">
      <c r="J1186" s="21"/>
    </row>
    <row r="1187" spans="10:10" ht="13" hidden="1" x14ac:dyDescent="0.15">
      <c r="J1187" s="21"/>
    </row>
    <row r="1188" spans="10:10" ht="13" hidden="1" x14ac:dyDescent="0.15">
      <c r="J1188" s="21"/>
    </row>
    <row r="1189" spans="10:10" ht="13" hidden="1" x14ac:dyDescent="0.15">
      <c r="J1189" s="21"/>
    </row>
  </sheetData>
  <autoFilter ref="A1:V1189" xr:uid="{00000000-0009-0000-0000-000000000000}">
    <filterColumn colId="5">
      <filters>
        <filter val="Thiruvananthapuram"/>
      </filters>
    </filterColumn>
  </autoFilter>
  <hyperlinks>
    <hyperlink ref="B236" r:id="rId1" xr:uid="{00000000-0004-0000-0000-000000000000}"/>
    <hyperlink ref="B587" r:id="rId2" xr:uid="{00000000-0004-0000-0000-000001000000}"/>
    <hyperlink ref="B733" r:id="rId3" xr:uid="{00000000-0004-0000-0000-000002000000}"/>
    <hyperlink ref="D740" r:id="rId4" xr:uid="{00000000-0004-0000-0000-000003000000}"/>
    <hyperlink ref="D925" r:id="rId5" xr:uid="{00000000-0004-0000-0000-000004000000}"/>
    <hyperlink ref="D931" r:id="rId6" xr:uid="{00000000-0004-0000-0000-000005000000}"/>
    <hyperlink ref="D985" r:id="rId7" xr:uid="{00000000-0004-0000-0000-000006000000}"/>
    <hyperlink ref="D1034" r:id="rId8" xr:uid="{00000000-0004-0000-0000-000007000000}"/>
    <hyperlink ref="D1039" r:id="rId9" xr:uid="{00000000-0004-0000-0000-000008000000}"/>
    <hyperlink ref="D1047" r:id="rId10" xr:uid="{00000000-0004-0000-0000-000009000000}"/>
    <hyperlink ref="D1049" r:id="rId11" xr:uid="{00000000-0004-0000-0000-00000A000000}"/>
    <hyperlink ref="D1054" r:id="rId12" xr:uid="{00000000-0004-0000-0000-00000B000000}"/>
    <hyperlink ref="D1067" r:id="rId13" xr:uid="{00000000-0004-0000-0000-00000C000000}"/>
    <hyperlink ref="D1069" r:id="rId14" xr:uid="{00000000-0004-0000-0000-00000D000000}"/>
    <hyperlink ref="D1078" r:id="rId15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599"/>
    <outlinePr summaryBelow="0" summaryRight="0"/>
  </sheetPr>
  <dimension ref="A1:R2000"/>
  <sheetViews>
    <sheetView workbookViewId="0"/>
  </sheetViews>
  <sheetFormatPr baseColWidth="10" defaultColWidth="14.5" defaultRowHeight="15.75" customHeight="1" x14ac:dyDescent="0.15"/>
  <cols>
    <col min="2" max="2" width="19.1640625" customWidth="1"/>
    <col min="3" max="3" width="31.33203125" customWidth="1"/>
    <col min="4" max="4" width="23.33203125" customWidth="1"/>
    <col min="5" max="5" width="23.1640625" customWidth="1"/>
    <col min="7" max="7" width="25" customWidth="1"/>
    <col min="8" max="8" width="23.1640625" customWidth="1"/>
    <col min="9" max="9" width="19.83203125" customWidth="1"/>
    <col min="10" max="10" width="22" customWidth="1"/>
    <col min="11" max="11" width="19.5" customWidth="1"/>
    <col min="17" max="17" width="34.33203125" customWidth="1"/>
    <col min="18" max="18" width="32.6640625" customWidth="1"/>
  </cols>
  <sheetData>
    <row r="1" spans="1:18" ht="15.75" customHeight="1" x14ac:dyDescent="0.15">
      <c r="A1" t="str">
        <f ca="1">IFERROR(__xludf.DUMMYFUNCTION("QUERY('Form Responses 1'!A:Q,"""",-1)"),"Timestamp")</f>
        <v>Timestamp</v>
      </c>
      <c r="B1" s="1" t="str">
        <f ca="1">IFERROR(__xludf.DUMMYFUNCTION("""COMPUTED_VALUE"""),"Email address ഇമെയിൽ അഡ്രസ് ")</f>
        <v xml:space="preserve">Email address ഇമെയിൽ അഡ്രസ് </v>
      </c>
      <c r="C1" s="1" t="str">
        <f ca="1">IFERROR(__xludf.DUMMYFUNCTION("""COMPUTED_VALUE"""),"Application Number allotted by ANERT(Digits Only)അനെർട്ടിൽ നിന്നു ലഭിച്ച ആപ്പിളിക്കേഷൻ നമ്പർ (സംഖ്യ മാത്രം )")</f>
        <v>Application Number allotted by ANERT(Digits Only)അനെർട്ടിൽ നിന്നു ലഭിച്ച ആപ്പിളിക്കേഷൻ നമ്പർ (സംഖ്യ മാത്രം )</v>
      </c>
      <c r="D1" s="1" t="str">
        <f ca="1">IFERROR(__xludf.DUMMYFUNCTION("""COMPUTED_VALUE"""),"Name of the beneficiary(It should be same as in application)പേര്,അപ്ലിക്കേഷൻ -ൽ ഉള്ളതു പോലെ ")</f>
        <v xml:space="preserve">Name of the beneficiary(It should be same as in application)പേര്,അപ്ലിക്കേഷൻ -ൽ ഉള്ളതു പോലെ </v>
      </c>
      <c r="E1" s="1" t="str">
        <f ca="1">IFERROR(__xludf.DUMMYFUNCTION("""COMPUTED_VALUE"""),"Mobile number of the beneficiary(Registration number will be send to this mobile number)മൊബൈൽ നമ്പർ ")</f>
        <v xml:space="preserve">Mobile number of the beneficiary(Registration number will be send to this mobile number)മൊബൈൽ നമ്പർ </v>
      </c>
      <c r="F1" t="str">
        <f ca="1">IFERROR(__xludf.DUMMYFUNCTION("""COMPUTED_VALUE"""),"District ജില്ലാ ")</f>
        <v xml:space="preserve">District ജില്ലാ </v>
      </c>
      <c r="G1" s="1" t="str">
        <f ca="1">IFERROR(__xludf.DUMMYFUNCTION("""COMPUTED_VALUE"""),"Name of the Agency Selected by the Beneficiary തിരഞ്ഞടുത്ത ഏജൻസിയുടെ പേര്")</f>
        <v>Name of the Agency Selected by the Beneficiary തിരഞ്ഞടുത്ത ഏജൻസിയുടെ പേര്</v>
      </c>
      <c r="H1" s="1" t="str">
        <f ca="1">IFERROR(__xludf.DUMMYFUNCTION("""COMPUTED_VALUE"""),"Empanelment No.of the agency Selected by the Beneficiary തിരഞ്ഞടുത്ത ഏജൻസിയുടെ എംപാനൽമെൻറ് നമ്പർ ")</f>
        <v xml:space="preserve">Empanelment No.of the agency Selected by the Beneficiary തിരഞ്ഞടുത്ത ഏജൻസിയുടെ എംപാനൽമെൻറ് നമ്പർ </v>
      </c>
      <c r="I1" s="1" t="str">
        <f ca="1">IFERROR(__xludf.DUMMYFUNCTION("""COMPUTED_VALUE"""),"Date of execution of work order &amp; Purchase agreement between Beneficiary &amp; Agency വർക്ക് ഓർഡർ തിയതി ")</f>
        <v xml:space="preserve">Date of execution of work order &amp; Purchase agreement between Beneficiary &amp; Agency വർക്ക് ഓർഡർ തിയതി </v>
      </c>
      <c r="J1" s="1" t="str">
        <f ca="1">IFERROR(__xludf.DUMMYFUNCTION("""COMPUTED_VALUE"""),"Capacity of the system Ordered in kW(Less than or Equal to Feasibility Granted by KSEBL) കപ്പാസിറ്റി -സൗരോർജനിലയം,KSEBL നിന്നു ലഭിച്ച അനുമയിൽ    നിന്നു കൂടാൻ പാടില്ല")</f>
        <v>Capacity of the system Ordered in kW(Less than or Equal to Feasibility Granted by KSEBL) കപ്പാസിറ്റി -സൗരോർജനിലയം,KSEBL നിന്നു ലഭിച്ച അനുമയിൽ    നിന്നു കൂടാൻ പാടില്ല</v>
      </c>
      <c r="K1" s="1" t="str">
        <f ca="1">IFERROR(__xludf.DUMMYFUNCTION("""COMPUTED_VALUE"""),"Consumer Number കൺസ്യൂമർ നമ്പർ")</f>
        <v>Consumer Number കൺസ്യൂമർ നമ്പർ</v>
      </c>
      <c r="L1" s="1" t="str">
        <f ca="1">IFERROR(__xludf.DUMMYFUNCTION("""COMPUTED_VALUE"""),"Electrical Section ഇലക്ട്രിക്കൽ സെക്ഷൻ ")</f>
        <v xml:space="preserve">Electrical Section ഇലക്ട്രിക്കൽ സെക്ഷൻ </v>
      </c>
      <c r="M1" t="str">
        <f ca="1">IFERROR(__xludf.DUMMYFUNCTION("""COMPUTED_VALUE"""),"Declaration by the applicant. I have selected the agency based on my choice. My site has been inspected by me a the agency and found feasible for the installation of the Solar Power plant proposed by me . I have also executed a purchase agreement with the"&amp;" agency in this regard.If any dispute arises regarding implementation ,repair and maintenance or warrantee,that will be sorted out between me and the agency . Officials from ANERT,representatives of ANERT or any officials from Govt. agency will be allowed"&amp;" to inspect the installation whenever required under prior intimation. I have received application number from ANERT and this application for registration number is made ad placing work order with the empanelled agency mentioned above.")</f>
        <v>Declaration by the applicant. I have selected the agency based on my choice. My site has been inspected by me a the agency and found feasible for the installation of the Solar Power plant proposed by me . I have also executed a purchase agreement with the agency in this regard.If any dispute arises regarding implementation ,repair and maintenance or warrantee,that will be sorted out between me and the agency . Officials from ANERT,representatives of ANERT or any officials from Govt. agency will be allowed to inspect the installation whenever required under prior intimation. I have received application number from ANERT and this application for registration number is made ad placing work order with the empanelled agency mentioned above.</v>
      </c>
      <c r="N1" s="1" t="str">
        <f ca="1">IFERROR(__xludf.DUMMYFUNCTION("""COMPUTED_VALUE"""),"Date of receiving feasibility report from KSEBL/electrical utility")</f>
        <v>Date of receiving feasibility report from KSEBL/electrical utility</v>
      </c>
      <c r="O1" s="1" t="str">
        <f ca="1">IFERROR(__xludf.DUMMYFUNCTION("""COMPUTED_VALUE"""),"Date of receiving feasibility report from KSEBL/electrical utility")</f>
        <v>Date of receiving feasibility report from KSEBL/electrical utility</v>
      </c>
      <c r="P1" s="1" t="str">
        <f ca="1">IFERROR(__xludf.DUMMYFUNCTION("""COMPUTED_VALUE"""),"Capacity allowed by KSEBL/Electrical utility         ( Number only)")</f>
        <v>Capacity allowed by KSEBL/Electrical utility         ( Number only)</v>
      </c>
      <c r="Q1" t="str">
        <f ca="1">IFERROR(__xludf.DUMMYFUNCTION("""COMPUTED_VALUE"""),"Email Address")</f>
        <v>Email Address</v>
      </c>
      <c r="R1" s="2" t="s">
        <v>0</v>
      </c>
    </row>
    <row r="2" spans="1:18" ht="15.75" customHeight="1" x14ac:dyDescent="0.15">
      <c r="A2" s="3">
        <f ca="1">IFERROR(__xludf.DUMMYFUNCTION("""COMPUTED_VALUE"""),43144.6221837962)</f>
        <v>43144.6221837962</v>
      </c>
      <c r="B2" t="str">
        <f ca="1">IFERROR(__xludf.DUMMYFUNCTION("""COMPUTED_VALUE"""),"info@wattsun.in")</f>
        <v>info@wattsun.in</v>
      </c>
      <c r="C2">
        <f ca="1">IFERROR(__xludf.DUMMYFUNCTION("""COMPUTED_VALUE"""),224)</f>
        <v>224</v>
      </c>
      <c r="D2" t="str">
        <f ca="1">IFERROR(__xludf.DUMMYFUNCTION("""COMPUTED_VALUE"""),"Mathew T J")</f>
        <v>Mathew T J</v>
      </c>
      <c r="E2">
        <f ca="1">IFERROR(__xludf.DUMMYFUNCTION("""COMPUTED_VALUE"""),9072666513)</f>
        <v>9072666513</v>
      </c>
      <c r="F2" t="str">
        <f ca="1">IFERROR(__xludf.DUMMYFUNCTION("""COMPUTED_VALUE"""),"Thiruvananthapuram")</f>
        <v>Thiruvananthapuram</v>
      </c>
      <c r="G2" t="str">
        <f ca="1">IFERROR(__xludf.DUMMYFUNCTION("""COMPUTED_VALUE"""),"Wattsun Energy India Pvt Ltd")</f>
        <v>Wattsun Energy India Pvt Ltd</v>
      </c>
      <c r="H2">
        <f ca="1">IFERROR(__xludf.DUMMYFUNCTION("""COMPUTED_VALUE"""),54)</f>
        <v>54</v>
      </c>
      <c r="I2" s="4">
        <f ca="1">IFERROR(__xludf.DUMMYFUNCTION("""COMPUTED_VALUE"""),43144)</f>
        <v>43144</v>
      </c>
      <c r="J2">
        <f ca="1">IFERROR(__xludf.DUMMYFUNCTION("""COMPUTED_VALUE"""),5)</f>
        <v>5</v>
      </c>
      <c r="K2">
        <f ca="1">IFERROR(__xludf.DUMMYFUNCTION("""COMPUTED_VALUE"""),1145196016735)</f>
        <v>1145196016735</v>
      </c>
      <c r="L2" t="str">
        <f ca="1">IFERROR(__xludf.DUMMYFUNCTION("""COMPUTED_VALUE"""),"Sreekariyam")</f>
        <v>Sreekariyam</v>
      </c>
      <c r="M2" t="str">
        <f ca="1">IFERROR(__xludf.DUMMYFUNCTION("""COMPUTED_VALUE"""),"I Accept")</f>
        <v>I Accept</v>
      </c>
      <c r="N2" s="4">
        <f ca="1">IFERROR(__xludf.DUMMYFUNCTION("""COMPUTED_VALUE"""),43128)</f>
        <v>43128</v>
      </c>
      <c r="O2" s="4">
        <f ca="1">IFERROR(__xludf.DUMMYFUNCTION("""COMPUTED_VALUE"""),43128)</f>
        <v>43128</v>
      </c>
      <c r="P2">
        <f ca="1">IFERROR(__xludf.DUMMYFUNCTION("""COMPUTED_VALUE"""),5)</f>
        <v>5</v>
      </c>
      <c r="Q2" t="str">
        <f ca="1">IFERROR(__xludf.DUMMYFUNCTION("""COMPUTED_VALUE"""),"info@wattsun.in")</f>
        <v>info@wattsun.in</v>
      </c>
      <c r="R2" s="2" t="s">
        <v>1</v>
      </c>
    </row>
    <row r="3" spans="1:18" ht="15.75" customHeight="1" x14ac:dyDescent="0.15">
      <c r="A3" s="3">
        <f ca="1">IFERROR(__xludf.DUMMYFUNCTION("""COMPUTED_VALUE"""),43145.6792093055)</f>
        <v>43145.679209305497</v>
      </c>
      <c r="B3" t="str">
        <f ca="1">IFERROR(__xludf.DUMMYFUNCTION("""COMPUTED_VALUE"""),"managerbethany@gmail.com")</f>
        <v>managerbethany@gmail.com</v>
      </c>
      <c r="C3">
        <f ca="1">IFERROR(__xludf.DUMMYFUNCTION("""COMPUTED_VALUE"""),48)</f>
        <v>48</v>
      </c>
      <c r="D3" t="str">
        <f ca="1">IFERROR(__xludf.DUMMYFUNCTION("""COMPUTED_VALUE"""),"Fr. Solaman")</f>
        <v>Fr. Solaman</v>
      </c>
      <c r="E3">
        <f ca="1">IFERROR(__xludf.DUMMYFUNCTION("""COMPUTED_VALUE"""),9747236535)</f>
        <v>9747236535</v>
      </c>
      <c r="F3" t="str">
        <f ca="1">IFERROR(__xludf.DUMMYFUNCTION("""COMPUTED_VALUE"""),"Thrissur")</f>
        <v>Thrissur</v>
      </c>
      <c r="G3" t="str">
        <f ca="1">IFERROR(__xludf.DUMMYFUNCTION("""COMPUTED_VALUE"""),"Reecco Energy India Pvt Ltd, Thodupuzha")</f>
        <v>Reecco Energy India Pvt Ltd, Thodupuzha</v>
      </c>
      <c r="H3">
        <f ca="1">IFERROR(__xludf.DUMMYFUNCTION("""COMPUTED_VALUE"""),47)</f>
        <v>47</v>
      </c>
      <c r="I3" s="4">
        <f ca="1">IFERROR(__xludf.DUMMYFUNCTION("""COMPUTED_VALUE"""),43145)</f>
        <v>43145</v>
      </c>
      <c r="J3">
        <f ca="1">IFERROR(__xludf.DUMMYFUNCTION("""COMPUTED_VALUE"""),30)</f>
        <v>30</v>
      </c>
      <c r="K3">
        <f ca="1">IFERROR(__xludf.DUMMYFUNCTION("""COMPUTED_VALUE"""),1157004001604)</f>
        <v>1157004001604</v>
      </c>
      <c r="L3" t="str">
        <f ca="1">IFERROR(__xludf.DUMMYFUNCTION("""COMPUTED_VALUE"""),"Kunnamkulam Section 1")</f>
        <v>Kunnamkulam Section 1</v>
      </c>
      <c r="M3" t="str">
        <f ca="1">IFERROR(__xludf.DUMMYFUNCTION("""COMPUTED_VALUE"""),"I Accept")</f>
        <v>I Accept</v>
      </c>
      <c r="N3" s="4">
        <f ca="1">IFERROR(__xludf.DUMMYFUNCTION("""COMPUTED_VALUE"""),42894)</f>
        <v>42894</v>
      </c>
      <c r="O3" s="4">
        <f ca="1">IFERROR(__xludf.DUMMYFUNCTION("""COMPUTED_VALUE"""),42894)</f>
        <v>42894</v>
      </c>
      <c r="P3">
        <f ca="1">IFERROR(__xludf.DUMMYFUNCTION("""COMPUTED_VALUE"""),30)</f>
        <v>30</v>
      </c>
      <c r="Q3" t="str">
        <f ca="1">IFERROR(__xludf.DUMMYFUNCTION("""COMPUTED_VALUE"""),"managerbethany@gmail.com")</f>
        <v>managerbethany@gmail.com</v>
      </c>
      <c r="R3" s="2" t="s">
        <v>2</v>
      </c>
    </row>
    <row r="4" spans="1:18" ht="15.75" customHeight="1" x14ac:dyDescent="0.15">
      <c r="A4" s="3">
        <f ca="1">IFERROR(__xludf.DUMMYFUNCTION("""COMPUTED_VALUE"""),43147.4365885069)</f>
        <v>43147.436588506898</v>
      </c>
      <c r="B4" t="str">
        <f ca="1">IFERROR(__xludf.DUMMYFUNCTION("""COMPUTED_VALUE"""),"vichuvenu_18@yahoo.co.in")</f>
        <v>vichuvenu_18@yahoo.co.in</v>
      </c>
      <c r="C4">
        <f ca="1">IFERROR(__xludf.DUMMYFUNCTION("""COMPUTED_VALUE"""),112)</f>
        <v>112</v>
      </c>
      <c r="D4" t="str">
        <f ca="1">IFERROR(__xludf.DUMMYFUNCTION("""COMPUTED_VALUE"""),"P K VENU")</f>
        <v>P K VENU</v>
      </c>
      <c r="E4">
        <f ca="1">IFERROR(__xludf.DUMMYFUNCTION("""COMPUTED_VALUE"""),9895722122)</f>
        <v>9895722122</v>
      </c>
      <c r="F4" t="str">
        <f ca="1">IFERROR(__xludf.DUMMYFUNCTION("""COMPUTED_VALUE"""),"Ernakulam")</f>
        <v>Ernakulam</v>
      </c>
      <c r="G4" t="str">
        <f ca="1">IFERROR(__xludf.DUMMYFUNCTION("""COMPUTED_VALUE"""),"TATA POWER SOLAR SYSTEMS LTD")</f>
        <v>TATA POWER SOLAR SYSTEMS LTD</v>
      </c>
      <c r="H4">
        <f ca="1">IFERROR(__xludf.DUMMYFUNCTION("""COMPUTED_VALUE"""),20)</f>
        <v>20</v>
      </c>
      <c r="I4" s="4">
        <f ca="1">IFERROR(__xludf.DUMMYFUNCTION("""COMPUTED_VALUE"""),43144)</f>
        <v>43144</v>
      </c>
      <c r="J4">
        <f ca="1">IFERROR(__xludf.DUMMYFUNCTION("""COMPUTED_VALUE"""),3)</f>
        <v>3</v>
      </c>
      <c r="K4">
        <f ca="1">IFERROR(__xludf.DUMMYFUNCTION("""COMPUTED_VALUE"""),1155448015779)</f>
        <v>1155448015779</v>
      </c>
      <c r="L4" t="str">
        <f ca="1">IFERROR(__xludf.DUMMYFUNCTION("""COMPUTED_VALUE"""),"EDAPPALLY")</f>
        <v>EDAPPALLY</v>
      </c>
      <c r="M4" t="str">
        <f ca="1">IFERROR(__xludf.DUMMYFUNCTION("""COMPUTED_VALUE"""),"I Accept")</f>
        <v>I Accept</v>
      </c>
      <c r="N4" s="4">
        <f ca="1">IFERROR(__xludf.DUMMYFUNCTION("""COMPUTED_VALUE"""),43147)</f>
        <v>43147</v>
      </c>
      <c r="O4" s="4">
        <f ca="1">IFERROR(__xludf.DUMMYFUNCTION("""COMPUTED_VALUE"""),43147)</f>
        <v>43147</v>
      </c>
      <c r="P4">
        <f ca="1">IFERROR(__xludf.DUMMYFUNCTION("""COMPUTED_VALUE"""),5.6)</f>
        <v>5.6</v>
      </c>
      <c r="Q4" t="str">
        <f ca="1">IFERROR(__xludf.DUMMYFUNCTION("""COMPUTED_VALUE"""),"vichuvenu_18@yahoo.co.in")</f>
        <v>vichuvenu_18@yahoo.co.in</v>
      </c>
      <c r="R4" s="2" t="s">
        <v>3</v>
      </c>
    </row>
    <row r="5" spans="1:18" ht="15.75" customHeight="1" x14ac:dyDescent="0.15">
      <c r="A5" s="3">
        <f ca="1">IFERROR(__xludf.DUMMYFUNCTION("""COMPUTED_VALUE"""),43147.928516956)</f>
        <v>43147.928516956003</v>
      </c>
      <c r="B5" t="str">
        <f ca="1">IFERROR(__xludf.DUMMYFUNCTION("""COMPUTED_VALUE"""),"bmurali1503@gmail.com ")</f>
        <v xml:space="preserve">bmurali1503@gmail.com </v>
      </c>
      <c r="C5">
        <f ca="1">IFERROR(__xludf.DUMMYFUNCTION("""COMPUTED_VALUE"""),164)</f>
        <v>164</v>
      </c>
      <c r="D5" t="str">
        <f ca="1">IFERROR(__xludf.DUMMYFUNCTION("""COMPUTED_VALUE"""),"P.K MURALI")</f>
        <v>P.K MURALI</v>
      </c>
      <c r="E5">
        <f ca="1">IFERROR(__xludf.DUMMYFUNCTION("""COMPUTED_VALUE"""),9447102009)</f>
        <v>9447102009</v>
      </c>
      <c r="F5" t="str">
        <f ca="1">IFERROR(__xludf.DUMMYFUNCTION("""COMPUTED_VALUE"""),"Alappuzha")</f>
        <v>Alappuzha</v>
      </c>
      <c r="G5" t="str">
        <f ca="1">IFERROR(__xludf.DUMMYFUNCTION("""COMPUTED_VALUE"""),"TECHNO GUARD INDUSTRIES")</f>
        <v>TECHNO GUARD INDUSTRIES</v>
      </c>
      <c r="H5">
        <f ca="1">IFERROR(__xludf.DUMMYFUNCTION("""COMPUTED_VALUE"""),56)</f>
        <v>56</v>
      </c>
      <c r="I5" s="4">
        <f ca="1">IFERROR(__xludf.DUMMYFUNCTION("""COMPUTED_VALUE"""),43146)</f>
        <v>43146</v>
      </c>
      <c r="J5">
        <f ca="1">IFERROR(__xludf.DUMMYFUNCTION("""COMPUTED_VALUE"""),3)</f>
        <v>3</v>
      </c>
      <c r="K5">
        <f ca="1">IFERROR(__xludf.DUMMYFUNCTION("""COMPUTED_VALUE"""),1155183003530)</f>
        <v>1155183003530</v>
      </c>
      <c r="L5" t="str">
        <f ca="1">IFERROR(__xludf.DUMMYFUNCTION("""COMPUTED_VALUE"""),"ARTHUNKAL(5518)")</f>
        <v>ARTHUNKAL(5518)</v>
      </c>
      <c r="M5" t="str">
        <f ca="1">IFERROR(__xludf.DUMMYFUNCTION("""COMPUTED_VALUE"""),"I Accept")</f>
        <v>I Accept</v>
      </c>
      <c r="N5" s="4">
        <f ca="1">IFERROR(__xludf.DUMMYFUNCTION("""COMPUTED_VALUE"""),43139)</f>
        <v>43139</v>
      </c>
      <c r="O5" s="4">
        <f ca="1">IFERROR(__xludf.DUMMYFUNCTION("""COMPUTED_VALUE"""),43139)</f>
        <v>43139</v>
      </c>
      <c r="P5">
        <f ca="1">IFERROR(__xludf.DUMMYFUNCTION("""COMPUTED_VALUE"""),3)</f>
        <v>3</v>
      </c>
      <c r="Q5" t="str">
        <f ca="1">IFERROR(__xludf.DUMMYFUNCTION("""COMPUTED_VALUE"""),"bmurali1503@gmail.com")</f>
        <v>bmurali1503@gmail.com</v>
      </c>
      <c r="R5" s="2" t="s">
        <v>4</v>
      </c>
    </row>
    <row r="6" spans="1:18" ht="15.75" customHeight="1" x14ac:dyDescent="0.15">
      <c r="A6" s="3">
        <f ca="1">IFERROR(__xludf.DUMMYFUNCTION("""COMPUTED_VALUE"""),43148.4399988194)</f>
        <v>43148.439998819398</v>
      </c>
      <c r="B6" t="str">
        <f ca="1">IFERROR(__xludf.DUMMYFUNCTION("""COMPUTED_VALUE"""),"jeev.sahadevan@gmail.com")</f>
        <v>jeev.sahadevan@gmail.com</v>
      </c>
      <c r="C6">
        <f ca="1">IFERROR(__xludf.DUMMYFUNCTION("""COMPUTED_VALUE"""),140)</f>
        <v>140</v>
      </c>
      <c r="D6" t="str">
        <f ca="1">IFERROR(__xludf.DUMMYFUNCTION("""COMPUTED_VALUE"""),"Mr.SAHADEVAN.N")</f>
        <v>Mr.SAHADEVAN.N</v>
      </c>
      <c r="E6">
        <f ca="1">IFERROR(__xludf.DUMMYFUNCTION("""COMPUTED_VALUE"""),992361412260)</f>
        <v>992361412260</v>
      </c>
      <c r="F6" t="str">
        <f ca="1">IFERROR(__xludf.DUMMYFUNCTION("""COMPUTED_VALUE"""),"Palakkad")</f>
        <v>Palakkad</v>
      </c>
      <c r="G6" t="str">
        <f ca="1">IFERROR(__xludf.DUMMYFUNCTION("""COMPUTED_VALUE"""),"IGA TECH INDUSTRIAL ELECTRONICS Pvt.Ltd.")</f>
        <v>IGA TECH INDUSTRIAL ELECTRONICS Pvt.Ltd.</v>
      </c>
      <c r="H6">
        <f ca="1">IFERROR(__xludf.DUMMYFUNCTION("""COMPUTED_VALUE"""),53)</f>
        <v>53</v>
      </c>
      <c r="I6" s="4">
        <f ca="1">IFERROR(__xludf.DUMMYFUNCTION("""COMPUTED_VALUE"""),43148)</f>
        <v>43148</v>
      </c>
      <c r="J6">
        <f ca="1">IFERROR(__xludf.DUMMYFUNCTION("""COMPUTED_VALUE"""),5)</f>
        <v>5</v>
      </c>
      <c r="K6">
        <f ca="1">IFERROR(__xludf.DUMMYFUNCTION("""COMPUTED_VALUE"""),116800003332)</f>
        <v>116800003332</v>
      </c>
      <c r="L6" t="str">
        <f ca="1">IFERROR(__xludf.DUMMYFUNCTION("""COMPUTED_VALUE"""),"VADAVANNUR ELECTRICAL SECTION")</f>
        <v>VADAVANNUR ELECTRICAL SECTION</v>
      </c>
      <c r="M6" t="str">
        <f ca="1">IFERROR(__xludf.DUMMYFUNCTION("""COMPUTED_VALUE"""),"I Accept")</f>
        <v>I Accept</v>
      </c>
      <c r="N6" s="4">
        <f ca="1">IFERROR(__xludf.DUMMYFUNCTION("""COMPUTED_VALUE"""),43127)</f>
        <v>43127</v>
      </c>
      <c r="O6" s="4">
        <f ca="1">IFERROR(__xludf.DUMMYFUNCTION("""COMPUTED_VALUE"""),43127)</f>
        <v>43127</v>
      </c>
      <c r="P6">
        <f ca="1">IFERROR(__xludf.DUMMYFUNCTION("""COMPUTED_VALUE"""),13.5)</f>
        <v>13.5</v>
      </c>
      <c r="Q6" t="str">
        <f ca="1">IFERROR(__xludf.DUMMYFUNCTION("""COMPUTED_VALUE"""),"igatechsales@gmail.com")</f>
        <v>igatechsales@gmail.com</v>
      </c>
      <c r="R6" s="2" t="s">
        <v>63</v>
      </c>
    </row>
    <row r="7" spans="1:18" ht="15.75" customHeight="1" x14ac:dyDescent="0.15">
      <c r="A7" s="3">
        <f ca="1">IFERROR(__xludf.DUMMYFUNCTION("""COMPUTED_VALUE"""),43148.4697948148)</f>
        <v>43148.469794814802</v>
      </c>
      <c r="B7" t="str">
        <f ca="1">IFERROR(__xludf.DUMMYFUNCTION("""COMPUTED_VALUE"""),"lakshararayan@gmail.com")</f>
        <v>lakshararayan@gmail.com</v>
      </c>
      <c r="C7">
        <f ca="1">IFERROR(__xludf.DUMMYFUNCTION("""COMPUTED_VALUE"""),8)</f>
        <v>8</v>
      </c>
      <c r="D7" t="str">
        <f ca="1">IFERROR(__xludf.DUMMYFUNCTION("""COMPUTED_VALUE"""),"M.SAMBAN")</f>
        <v>M.SAMBAN</v>
      </c>
      <c r="E7">
        <f ca="1">IFERROR(__xludf.DUMMYFUNCTION("""COMPUTED_VALUE"""),7034322221)</f>
        <v>7034322221</v>
      </c>
      <c r="F7" t="str">
        <f ca="1">IFERROR(__xludf.DUMMYFUNCTION("""COMPUTED_VALUE"""),"Thiruvananthapuram")</f>
        <v>Thiruvananthapuram</v>
      </c>
      <c r="G7" t="str">
        <f ca="1">IFERROR(__xludf.DUMMYFUNCTION("""COMPUTED_VALUE"""),"RENERGY SYSTEMS INDIA Pvt Ltd")</f>
        <v>RENERGY SYSTEMS INDIA Pvt Ltd</v>
      </c>
      <c r="H7">
        <f ca="1">IFERROR(__xludf.DUMMYFUNCTION("""COMPUTED_VALUE"""),38)</f>
        <v>38</v>
      </c>
      <c r="I7" s="4">
        <f ca="1">IFERROR(__xludf.DUMMYFUNCTION("""COMPUTED_VALUE"""),43148)</f>
        <v>43148</v>
      </c>
      <c r="J7">
        <f ca="1">IFERROR(__xludf.DUMMYFUNCTION("""COMPUTED_VALUE"""),3)</f>
        <v>3</v>
      </c>
      <c r="K7">
        <f ca="1">IFERROR(__xludf.DUMMYFUNCTION("""COMPUTED_VALUE"""),1145253016766)</f>
        <v>1145253016766</v>
      </c>
      <c r="L7" t="str">
        <f ca="1">IFERROR(__xludf.DUMMYFUNCTION("""COMPUTED_VALUE"""),"varkala")</f>
        <v>varkala</v>
      </c>
      <c r="M7" t="str">
        <f ca="1">IFERROR(__xludf.DUMMYFUNCTION("""COMPUTED_VALUE"""),"I Accept")</f>
        <v>I Accept</v>
      </c>
      <c r="N7" s="4">
        <f ca="1">IFERROR(__xludf.DUMMYFUNCTION("""COMPUTED_VALUE"""),43146)</f>
        <v>43146</v>
      </c>
      <c r="O7" s="4">
        <f ca="1">IFERROR(__xludf.DUMMYFUNCTION("""COMPUTED_VALUE"""),43146)</f>
        <v>43146</v>
      </c>
      <c r="P7">
        <f ca="1">IFERROR(__xludf.DUMMYFUNCTION("""COMPUTED_VALUE"""),3)</f>
        <v>3</v>
      </c>
      <c r="Q7" t="str">
        <f ca="1">IFERROR(__xludf.DUMMYFUNCTION("""COMPUTED_VALUE"""),"lakshararayan@gmail.com")</f>
        <v>lakshararayan@gmail.com</v>
      </c>
      <c r="R7" s="2" t="s">
        <v>92</v>
      </c>
    </row>
    <row r="8" spans="1:18" ht="15.75" customHeight="1" x14ac:dyDescent="0.15">
      <c r="A8" s="3">
        <f ca="1">IFERROR(__xludf.DUMMYFUNCTION("""COMPUTED_VALUE"""),43148.6112785648)</f>
        <v>43148.6112785648</v>
      </c>
      <c r="B8" t="str">
        <f ca="1">IFERROR(__xludf.DUMMYFUNCTION("""COMPUTED_VALUE"""),"er.vjcyriac@gmail.com")</f>
        <v>er.vjcyriac@gmail.com</v>
      </c>
      <c r="C8">
        <f ca="1">IFERROR(__xludf.DUMMYFUNCTION("""COMPUTED_VALUE"""),64)</f>
        <v>64</v>
      </c>
      <c r="D8" t="str">
        <f ca="1">IFERROR(__xludf.DUMMYFUNCTION("""COMPUTED_VALUE"""),"V J Cyriac")</f>
        <v>V J Cyriac</v>
      </c>
      <c r="E8">
        <f ca="1">IFERROR(__xludf.DUMMYFUNCTION("""COMPUTED_VALUE"""),9747947173)</f>
        <v>9747947173</v>
      </c>
      <c r="F8" t="str">
        <f ca="1">IFERROR(__xludf.DUMMYFUNCTION("""COMPUTED_VALUE"""),"Kottayam")</f>
        <v>Kottayam</v>
      </c>
      <c r="G8" t="str">
        <f ca="1">IFERROR(__xludf.DUMMYFUNCTION("""COMPUTED_VALUE"""),"Nordic(India)Solutions Pvt Ltd.")</f>
        <v>Nordic(India)Solutions Pvt Ltd.</v>
      </c>
      <c r="H8">
        <f ca="1">IFERROR(__xludf.DUMMYFUNCTION("""COMPUTED_VALUE"""),8)</f>
        <v>8</v>
      </c>
      <c r="I8" s="4">
        <f ca="1">IFERROR(__xludf.DUMMYFUNCTION("""COMPUTED_VALUE"""),43141)</f>
        <v>43141</v>
      </c>
      <c r="J8">
        <f ca="1">IFERROR(__xludf.DUMMYFUNCTION("""COMPUTED_VALUE"""),2)</f>
        <v>2</v>
      </c>
      <c r="K8">
        <f ca="1">IFERROR(__xludf.DUMMYFUNCTION("""COMPUTED_VALUE"""),1156288003016)</f>
        <v>1156288003016</v>
      </c>
      <c r="L8" t="str">
        <f ca="1">IFERROR(__xludf.DUMMYFUNCTION("""COMPUTED_VALUE"""),"Marangattupilly")</f>
        <v>Marangattupilly</v>
      </c>
      <c r="M8" t="str">
        <f ca="1">IFERROR(__xludf.DUMMYFUNCTION("""COMPUTED_VALUE"""),"I Accept")</f>
        <v>I Accept</v>
      </c>
      <c r="N8" s="4">
        <f ca="1">IFERROR(__xludf.DUMMYFUNCTION("""COMPUTED_VALUE"""),43076)</f>
        <v>43076</v>
      </c>
      <c r="O8" s="4">
        <f ca="1">IFERROR(__xludf.DUMMYFUNCTION("""COMPUTED_VALUE"""),43076)</f>
        <v>43076</v>
      </c>
      <c r="P8">
        <f ca="1">IFERROR(__xludf.DUMMYFUNCTION("""COMPUTED_VALUE"""),2)</f>
        <v>2</v>
      </c>
      <c r="Q8" t="str">
        <f ca="1">IFERROR(__xludf.DUMMYFUNCTION("""COMPUTED_VALUE"""),"er.vjcyriac@gmail.com")</f>
        <v>er.vjcyriac@gmail.com</v>
      </c>
      <c r="R8" s="2" t="s">
        <v>116</v>
      </c>
    </row>
    <row r="9" spans="1:18" ht="15.75" customHeight="1" x14ac:dyDescent="0.15">
      <c r="A9" s="3">
        <f ca="1">IFERROR(__xludf.DUMMYFUNCTION("""COMPUTED_VALUE"""),43149.6613428125)</f>
        <v>43149.661342812498</v>
      </c>
      <c r="B9" t="str">
        <f ca="1">IFERROR(__xludf.DUMMYFUNCTION("""COMPUTED_VALUE"""),"mathew4235@gmail.com")</f>
        <v>mathew4235@gmail.com</v>
      </c>
      <c r="C9">
        <f ca="1">IFERROR(__xludf.DUMMYFUNCTION("""COMPUTED_VALUE"""),96)</f>
        <v>96</v>
      </c>
      <c r="D9" t="str">
        <f ca="1">IFERROR(__xludf.DUMMYFUNCTION("""COMPUTED_VALUE"""),"Mathew Philip, Puthenparambil,Kadapra.P.O,Kumbanadu, Thiruvalla, Pathanamthitta, Pin.689547, ")</f>
        <v xml:space="preserve">Mathew Philip, Puthenparambil,Kadapra.P.O,Kumbanadu, Thiruvalla, Pathanamthitta, Pin.689547, </v>
      </c>
      <c r="E9">
        <f ca="1">IFERROR(__xludf.DUMMYFUNCTION("""COMPUTED_VALUE"""),9447202939)</f>
        <v>9447202939</v>
      </c>
      <c r="F9" t="str">
        <f ca="1">IFERROR(__xludf.DUMMYFUNCTION("""COMPUTED_VALUE"""),"Pathanamthitta")</f>
        <v>Pathanamthitta</v>
      </c>
      <c r="G9" t="str">
        <f ca="1">IFERROR(__xludf.DUMMYFUNCTION("""COMPUTED_VALUE"""),"Solgen Energy Pvt Ltd")</f>
        <v>Solgen Energy Pvt Ltd</v>
      </c>
      <c r="H9">
        <f ca="1">IFERROR(__xludf.DUMMYFUNCTION("""COMPUTED_VALUE"""),42)</f>
        <v>42</v>
      </c>
      <c r="I9" s="4">
        <f ca="1">IFERROR(__xludf.DUMMYFUNCTION("""COMPUTED_VALUE"""),43149)</f>
        <v>43149</v>
      </c>
      <c r="J9">
        <f ca="1">IFERROR(__xludf.DUMMYFUNCTION("""COMPUTED_VALUE"""),3)</f>
        <v>3</v>
      </c>
      <c r="K9">
        <f ca="1">IFERROR(__xludf.DUMMYFUNCTION("""COMPUTED_VALUE"""),1146199011897)</f>
        <v>1146199011897</v>
      </c>
      <c r="L9" t="str">
        <f ca="1">IFERROR(__xludf.DUMMYFUNCTION("""COMPUTED_VALUE"""),"Kumbanadu (4619)")</f>
        <v>Kumbanadu (4619)</v>
      </c>
      <c r="M9" t="str">
        <f ca="1">IFERROR(__xludf.DUMMYFUNCTION("""COMPUTED_VALUE"""),"I Accept")</f>
        <v>I Accept</v>
      </c>
      <c r="N9" s="4">
        <f ca="1">IFERROR(__xludf.DUMMYFUNCTION("""COMPUTED_VALUE"""),43136)</f>
        <v>43136</v>
      </c>
      <c r="O9" s="4">
        <f ca="1">IFERROR(__xludf.DUMMYFUNCTION("""COMPUTED_VALUE"""),43136)</f>
        <v>43136</v>
      </c>
      <c r="P9">
        <f ca="1">IFERROR(__xludf.DUMMYFUNCTION("""COMPUTED_VALUE"""),3)</f>
        <v>3</v>
      </c>
      <c r="Q9" t="str">
        <f ca="1">IFERROR(__xludf.DUMMYFUNCTION("""COMPUTED_VALUE"""),"warmncoolplr@gmail.com")</f>
        <v>warmncoolplr@gmail.com</v>
      </c>
      <c r="R9" s="2" t="s">
        <v>141</v>
      </c>
    </row>
    <row r="10" spans="1:18" ht="15.75" customHeight="1" x14ac:dyDescent="0.15">
      <c r="A10" s="3">
        <f ca="1">IFERROR(__xludf.DUMMYFUNCTION("""COMPUTED_VALUE"""),43149.8019767592)</f>
        <v>43149.801976759198</v>
      </c>
      <c r="B10" t="str">
        <f ca="1">IFERROR(__xludf.DUMMYFUNCTION("""COMPUTED_VALUE"""),"chithra287@gmail.com")</f>
        <v>chithra287@gmail.com</v>
      </c>
      <c r="C10">
        <f ca="1">IFERROR(__xludf.DUMMYFUNCTION("""COMPUTED_VALUE"""),2)</f>
        <v>2</v>
      </c>
      <c r="D10" t="str">
        <f ca="1">IFERROR(__xludf.DUMMYFUNCTION("""COMPUTED_VALUE"""),"Hariharan Pillai G D")</f>
        <v>Hariharan Pillai G D</v>
      </c>
      <c r="E10">
        <f ca="1">IFERROR(__xludf.DUMMYFUNCTION("""COMPUTED_VALUE"""),9447876655)</f>
        <v>9447876655</v>
      </c>
      <c r="F10" t="str">
        <f ca="1">IFERROR(__xludf.DUMMYFUNCTION("""COMPUTED_VALUE"""),"Alappuzha")</f>
        <v>Alappuzha</v>
      </c>
      <c r="G10" t="str">
        <f ca="1">IFERROR(__xludf.DUMMYFUNCTION("""COMPUTED_VALUE"""),"TATA POWER SOLAR SYSTEMS LTD")</f>
        <v>TATA POWER SOLAR SYSTEMS LTD</v>
      </c>
      <c r="H10">
        <f ca="1">IFERROR(__xludf.DUMMYFUNCTION("""COMPUTED_VALUE"""),20)</f>
        <v>20</v>
      </c>
      <c r="I10" s="4">
        <f ca="1">IFERROR(__xludf.DUMMYFUNCTION("""COMPUTED_VALUE"""),43139)</f>
        <v>43139</v>
      </c>
      <c r="J10">
        <f ca="1">IFERROR(__xludf.DUMMYFUNCTION("""COMPUTED_VALUE"""),3)</f>
        <v>3</v>
      </c>
      <c r="K10">
        <f ca="1">IFERROR(__xludf.DUMMYFUNCTION("""COMPUTED_VALUE"""),1155242000737)</f>
        <v>1155242000737</v>
      </c>
      <c r="L10" t="str">
        <f ca="1">IFERROR(__xludf.DUMMYFUNCTION("""COMPUTED_VALUE"""),"55240180208101150")</f>
        <v>55240180208101150</v>
      </c>
      <c r="M10" t="str">
        <f ca="1">IFERROR(__xludf.DUMMYFUNCTION("""COMPUTED_VALUE"""),"I Accept")</f>
        <v>I Accept</v>
      </c>
      <c r="N10" s="4">
        <f ca="1">IFERROR(__xludf.DUMMYFUNCTION("""COMPUTED_VALUE"""),43133)</f>
        <v>43133</v>
      </c>
      <c r="O10" s="4">
        <f ca="1">IFERROR(__xludf.DUMMYFUNCTION("""COMPUTED_VALUE"""),43133)</f>
        <v>43133</v>
      </c>
      <c r="P10">
        <f ca="1">IFERROR(__xludf.DUMMYFUNCTION("""COMPUTED_VALUE"""),3)</f>
        <v>3</v>
      </c>
      <c r="Q10" t="str">
        <f ca="1">IFERROR(__xludf.DUMMYFUNCTION("""COMPUTED_VALUE"""),"chithra287@gmail.com")</f>
        <v>chithra287@gmail.com</v>
      </c>
      <c r="R10" s="2" t="s">
        <v>161</v>
      </c>
    </row>
    <row r="11" spans="1:18" ht="15.75" customHeight="1" x14ac:dyDescent="0.15">
      <c r="A11" s="3">
        <f ca="1">IFERROR(__xludf.DUMMYFUNCTION("""COMPUTED_VALUE"""),43150.6303422801)</f>
        <v>43150.630342280099</v>
      </c>
      <c r="B11" t="str">
        <f ca="1">IFERROR(__xludf.DUMMYFUNCTION("""COMPUTED_VALUE"""),"info@wattsun.in")</f>
        <v>info@wattsun.in</v>
      </c>
      <c r="C11">
        <f ca="1">IFERROR(__xludf.DUMMYFUNCTION("""COMPUTED_VALUE"""),17)</f>
        <v>17</v>
      </c>
      <c r="D11" t="str">
        <f ca="1">IFERROR(__xludf.DUMMYFUNCTION("""COMPUTED_VALUE"""),"N . Viswakumar")</f>
        <v>N . Viswakumar</v>
      </c>
      <c r="E11">
        <f ca="1">IFERROR(__xludf.DUMMYFUNCTION("""COMPUTED_VALUE"""),9072666513)</f>
        <v>9072666513</v>
      </c>
      <c r="F11" t="str">
        <f ca="1">IFERROR(__xludf.DUMMYFUNCTION("""COMPUTED_VALUE"""),"Ernakulam")</f>
        <v>Ernakulam</v>
      </c>
      <c r="G11" t="str">
        <f ca="1">IFERROR(__xludf.DUMMYFUNCTION("""COMPUTED_VALUE"""),"Wattsun Energy India Private Limited ")</f>
        <v xml:space="preserve">Wattsun Energy India Private Limited </v>
      </c>
      <c r="H11">
        <f ca="1">IFERROR(__xludf.DUMMYFUNCTION("""COMPUTED_VALUE"""),54)</f>
        <v>54</v>
      </c>
      <c r="I11" s="4">
        <f ca="1">IFERROR(__xludf.DUMMYFUNCTION("""COMPUTED_VALUE"""),43150)</f>
        <v>43150</v>
      </c>
      <c r="J11">
        <f ca="1">IFERROR(__xludf.DUMMYFUNCTION("""COMPUTED_VALUE"""),3)</f>
        <v>3</v>
      </c>
      <c r="K11">
        <f ca="1">IFERROR(__xludf.DUMMYFUNCTION("""COMPUTED_VALUE"""),1155488008515)</f>
        <v>1155488008515</v>
      </c>
      <c r="L11" t="str">
        <f ca="1">IFERROR(__xludf.DUMMYFUNCTION("""COMPUTED_VALUE"""),"Thripunithura")</f>
        <v>Thripunithura</v>
      </c>
      <c r="M11" t="str">
        <f ca="1">IFERROR(__xludf.DUMMYFUNCTION("""COMPUTED_VALUE"""),"I Accept")</f>
        <v>I Accept</v>
      </c>
      <c r="N11" s="4">
        <f ca="1">IFERROR(__xludf.DUMMYFUNCTION("""COMPUTED_VALUE"""),43089)</f>
        <v>43089</v>
      </c>
      <c r="O11" s="4">
        <f ca="1">IFERROR(__xludf.DUMMYFUNCTION("""COMPUTED_VALUE"""),43089)</f>
        <v>43089</v>
      </c>
      <c r="P11">
        <f ca="1">IFERROR(__xludf.DUMMYFUNCTION("""COMPUTED_VALUE"""),3)</f>
        <v>3</v>
      </c>
      <c r="Q11" t="str">
        <f ca="1">IFERROR(__xludf.DUMMYFUNCTION("""COMPUTED_VALUE"""),"info@wattsun.in")</f>
        <v>info@wattsun.in</v>
      </c>
      <c r="R11" s="2" t="s">
        <v>188</v>
      </c>
    </row>
    <row r="12" spans="1:18" ht="15.75" customHeight="1" x14ac:dyDescent="0.15">
      <c r="A12" s="3">
        <f ca="1">IFERROR(__xludf.DUMMYFUNCTION("""COMPUTED_VALUE"""),43150.6483291898)</f>
        <v>43150.648329189797</v>
      </c>
      <c r="B12" t="str">
        <f ca="1">IFERROR(__xludf.DUMMYFUNCTION("""COMPUTED_VALUE"""),"info@wattsun.in")</f>
        <v>info@wattsun.in</v>
      </c>
      <c r="C12">
        <f ca="1">IFERROR(__xludf.DUMMYFUNCTION("""COMPUTED_VALUE"""),86)</f>
        <v>86</v>
      </c>
      <c r="D12" t="str">
        <f ca="1">IFERROR(__xludf.DUMMYFUNCTION("""COMPUTED_VALUE"""),"Kuruvila Philip")</f>
        <v>Kuruvila Philip</v>
      </c>
      <c r="E12">
        <f ca="1">IFERROR(__xludf.DUMMYFUNCTION("""COMPUTED_VALUE"""),9072666513)</f>
        <v>9072666513</v>
      </c>
      <c r="F12" t="str">
        <f ca="1">IFERROR(__xludf.DUMMYFUNCTION("""COMPUTED_VALUE"""),"Kollam")</f>
        <v>Kollam</v>
      </c>
      <c r="G12" t="str">
        <f ca="1">IFERROR(__xludf.DUMMYFUNCTION("""COMPUTED_VALUE"""),"Wattsun Energy India   Private Limited")</f>
        <v>Wattsun Energy India   Private Limited</v>
      </c>
      <c r="H12">
        <f ca="1">IFERROR(__xludf.DUMMYFUNCTION("""COMPUTED_VALUE"""),54)</f>
        <v>54</v>
      </c>
      <c r="I12" s="4">
        <f ca="1">IFERROR(__xludf.DUMMYFUNCTION("""COMPUTED_VALUE"""),43150)</f>
        <v>43150</v>
      </c>
      <c r="J12">
        <f ca="1">IFERROR(__xludf.DUMMYFUNCTION("""COMPUTED_VALUE"""),10)</f>
        <v>10</v>
      </c>
      <c r="K12">
        <f ca="1">IFERROR(__xludf.DUMMYFUNCTION("""COMPUTED_VALUE"""),1146838007226)</f>
        <v>1146838007226</v>
      </c>
      <c r="L12" t="str">
        <f ca="1">IFERROR(__xludf.DUMMYFUNCTION("""COMPUTED_VALUE"""),"Kottarakkara East")</f>
        <v>Kottarakkara East</v>
      </c>
      <c r="M12" t="str">
        <f ca="1">IFERROR(__xludf.DUMMYFUNCTION("""COMPUTED_VALUE"""),"I Accept")</f>
        <v>I Accept</v>
      </c>
      <c r="N12" s="4">
        <f ca="1">IFERROR(__xludf.DUMMYFUNCTION("""COMPUTED_VALUE"""),43087)</f>
        <v>43087</v>
      </c>
      <c r="O12" s="4">
        <f ca="1">IFERROR(__xludf.DUMMYFUNCTION("""COMPUTED_VALUE"""),43087)</f>
        <v>43087</v>
      </c>
      <c r="P12">
        <f ca="1">IFERROR(__xludf.DUMMYFUNCTION("""COMPUTED_VALUE"""),10)</f>
        <v>10</v>
      </c>
      <c r="Q12" t="str">
        <f ca="1">IFERROR(__xludf.DUMMYFUNCTION("""COMPUTED_VALUE"""),"info@wattsun.in")</f>
        <v>info@wattsun.in</v>
      </c>
      <c r="R12" s="2" t="s">
        <v>204</v>
      </c>
    </row>
    <row r="13" spans="1:18" ht="15.75" customHeight="1" x14ac:dyDescent="0.15">
      <c r="A13" s="3">
        <f ca="1">IFERROR(__xludf.DUMMYFUNCTION("""COMPUTED_VALUE"""),43150.7268734606)</f>
        <v>43150.726873460597</v>
      </c>
      <c r="B13" t="str">
        <f ca="1">IFERROR(__xludf.DUMMYFUNCTION("""COMPUTED_VALUE"""),"drcsjmds@gmail.com")</f>
        <v>drcsjmds@gmail.com</v>
      </c>
      <c r="C13">
        <f ca="1">IFERROR(__xludf.DUMMYFUNCTION("""COMPUTED_VALUE"""),1)</f>
        <v>1</v>
      </c>
      <c r="D13" t="str">
        <f ca="1">IFERROR(__xludf.DUMMYFUNCTION("""COMPUTED_VALUE"""),"C S JAYAPALAN")</f>
        <v>C S JAYAPALAN</v>
      </c>
      <c r="E13">
        <f ca="1">IFERROR(__xludf.DUMMYFUNCTION("""COMPUTED_VALUE"""),9446093449)</f>
        <v>9446093449</v>
      </c>
      <c r="F13" t="str">
        <f ca="1">IFERROR(__xludf.DUMMYFUNCTION("""COMPUTED_VALUE"""),"Kollam")</f>
        <v>Kollam</v>
      </c>
      <c r="G13" t="str">
        <f ca="1">IFERROR(__xludf.DUMMYFUNCTION("""COMPUTED_VALUE"""),"TATA POWER SOLAR SYSTEMS LTD")</f>
        <v>TATA POWER SOLAR SYSTEMS LTD</v>
      </c>
      <c r="H13">
        <f ca="1">IFERROR(__xludf.DUMMYFUNCTION("""COMPUTED_VALUE"""),20)</f>
        <v>20</v>
      </c>
      <c r="I13" s="4">
        <f ca="1">IFERROR(__xludf.DUMMYFUNCTION("""COMPUTED_VALUE"""),43142)</f>
        <v>43142</v>
      </c>
      <c r="J13">
        <f ca="1">IFERROR(__xludf.DUMMYFUNCTION("""COMPUTED_VALUE"""),5)</f>
        <v>5</v>
      </c>
      <c r="K13">
        <f ca="1">IFERROR(__xludf.DUMMYFUNCTION("""COMPUTED_VALUE"""),1145760001188)</f>
        <v>1145760001188</v>
      </c>
      <c r="L13" t="str">
        <f ca="1">IFERROR(__xludf.DUMMYFUNCTION("""COMPUTED_VALUE"""),"PARAVOOR")</f>
        <v>PARAVOOR</v>
      </c>
      <c r="M13" t="str">
        <f ca="1">IFERROR(__xludf.DUMMYFUNCTION("""COMPUTED_VALUE"""),"I Accept")</f>
        <v>I Accept</v>
      </c>
      <c r="N13" s="4">
        <f ca="1">IFERROR(__xludf.DUMMYFUNCTION("""COMPUTED_VALUE"""),43095)</f>
        <v>43095</v>
      </c>
      <c r="O13" s="4">
        <f ca="1">IFERROR(__xludf.DUMMYFUNCTION("""COMPUTED_VALUE"""),43095)</f>
        <v>43095</v>
      </c>
      <c r="P13">
        <f ca="1">IFERROR(__xludf.DUMMYFUNCTION("""COMPUTED_VALUE"""),5)</f>
        <v>5</v>
      </c>
      <c r="Q13" t="str">
        <f ca="1">IFERROR(__xludf.DUMMYFUNCTION("""COMPUTED_VALUE"""),"drcsjmds@gmail.com")</f>
        <v>drcsjmds@gmail.com</v>
      </c>
      <c r="R13" s="2" t="s">
        <v>222</v>
      </c>
    </row>
    <row r="14" spans="1:18" ht="15.75" customHeight="1" x14ac:dyDescent="0.15">
      <c r="A14" s="3">
        <f ca="1">IFERROR(__xludf.DUMMYFUNCTION("""COMPUTED_VALUE"""),43150.7432819675)</f>
        <v>43150.743281967501</v>
      </c>
      <c r="B14" t="str">
        <f ca="1">IFERROR(__xludf.DUMMYFUNCTION("""COMPUTED_VALUE"""),"raju_kuruvilla@hotmail.com")</f>
        <v>raju_kuruvilla@hotmail.com</v>
      </c>
      <c r="C14">
        <f ca="1">IFERROR(__xludf.DUMMYFUNCTION("""COMPUTED_VALUE"""),38)</f>
        <v>38</v>
      </c>
      <c r="D14" t="str">
        <f ca="1">IFERROR(__xludf.DUMMYFUNCTION("""COMPUTED_VALUE"""),"RAJU KURUVILLA")</f>
        <v>RAJU KURUVILLA</v>
      </c>
      <c r="E14">
        <f ca="1">IFERROR(__xludf.DUMMYFUNCTION("""COMPUTED_VALUE"""),8594093224)</f>
        <v>8594093224</v>
      </c>
      <c r="F14" t="str">
        <f ca="1">IFERROR(__xludf.DUMMYFUNCTION("""COMPUTED_VALUE"""),"Ernakulam")</f>
        <v>Ernakulam</v>
      </c>
      <c r="G14" t="str">
        <f ca="1">IFERROR(__xludf.DUMMYFUNCTION("""COMPUTED_VALUE"""),"ENARKA INDIA PVT LTD")</f>
        <v>ENARKA INDIA PVT LTD</v>
      </c>
      <c r="H14">
        <f ca="1">IFERROR(__xludf.DUMMYFUNCTION("""COMPUTED_VALUE"""),17)</f>
        <v>17</v>
      </c>
      <c r="I14" s="4">
        <f ca="1">IFERROR(__xludf.DUMMYFUNCTION("""COMPUTED_VALUE"""),43147)</f>
        <v>43147</v>
      </c>
      <c r="J14">
        <f ca="1">IFERROR(__xludf.DUMMYFUNCTION("""COMPUTED_VALUE"""),5)</f>
        <v>5</v>
      </c>
      <c r="K14">
        <f ca="1">IFERROR(__xludf.DUMMYFUNCTION("""COMPUTED_VALUE"""),1155984018884)</f>
        <v>1155984018884</v>
      </c>
      <c r="L14" t="str">
        <f ca="1">IFERROR(__xludf.DUMMYFUNCTION("""COMPUTED_VALUE"""),"KOOTHATTUKULAM")</f>
        <v>KOOTHATTUKULAM</v>
      </c>
      <c r="M14" t="str">
        <f ca="1">IFERROR(__xludf.DUMMYFUNCTION("""COMPUTED_VALUE"""),"I Accept")</f>
        <v>I Accept</v>
      </c>
      <c r="N14" s="4">
        <f ca="1">IFERROR(__xludf.DUMMYFUNCTION("""COMPUTED_VALUE"""),43145)</f>
        <v>43145</v>
      </c>
      <c r="O14" s="4">
        <f ca="1">IFERROR(__xludf.DUMMYFUNCTION("""COMPUTED_VALUE"""),43145)</f>
        <v>43145</v>
      </c>
      <c r="P14">
        <f ca="1">IFERROR(__xludf.DUMMYFUNCTION("""COMPUTED_VALUE"""),5)</f>
        <v>5</v>
      </c>
      <c r="Q14" t="str">
        <f ca="1">IFERROR(__xludf.DUMMYFUNCTION("""COMPUTED_VALUE"""),"jinurd@gmail.com")</f>
        <v>jinurd@gmail.com</v>
      </c>
      <c r="R14" s="2" t="s">
        <v>233</v>
      </c>
    </row>
    <row r="15" spans="1:18" ht="15.75" customHeight="1" x14ac:dyDescent="0.15">
      <c r="A15" s="3">
        <f ca="1">IFERROR(__xludf.DUMMYFUNCTION("""COMPUTED_VALUE"""),43151.2974589236)</f>
        <v>43151.297458923596</v>
      </c>
      <c r="B15" t="str">
        <f ca="1">IFERROR(__xludf.DUMMYFUNCTION("""COMPUTED_VALUE"""),"sree@greenturncw.com")</f>
        <v>sree@greenturncw.com</v>
      </c>
      <c r="C15">
        <f ca="1">IFERROR(__xludf.DUMMYFUNCTION("""COMPUTED_VALUE"""),102)</f>
        <v>102</v>
      </c>
      <c r="D15" t="str">
        <f ca="1">IFERROR(__xludf.DUMMYFUNCTION("""COMPUTED_VALUE"""),"Ajay")</f>
        <v>Ajay</v>
      </c>
      <c r="E15">
        <f ca="1">IFERROR(__xludf.DUMMYFUNCTION("""COMPUTED_VALUE"""),9400731759)</f>
        <v>9400731759</v>
      </c>
      <c r="F15" t="str">
        <f ca="1">IFERROR(__xludf.DUMMYFUNCTION("""COMPUTED_VALUE"""),"Palakkad")</f>
        <v>Palakkad</v>
      </c>
      <c r="G15" t="str">
        <f ca="1">IFERROR(__xludf.DUMMYFUNCTION("""COMPUTED_VALUE"""),"RAIDCO KERALA Ltd")</f>
        <v>RAIDCO KERALA Ltd</v>
      </c>
      <c r="H15">
        <f ca="1">IFERROR(__xludf.DUMMYFUNCTION("""COMPUTED_VALUE"""),69)</f>
        <v>69</v>
      </c>
      <c r="I15" s="4">
        <f ca="1">IFERROR(__xludf.DUMMYFUNCTION("""COMPUTED_VALUE"""),43151)</f>
        <v>43151</v>
      </c>
      <c r="J15">
        <f ca="1">IFERROR(__xludf.DUMMYFUNCTION("""COMPUTED_VALUE"""),2)</f>
        <v>2</v>
      </c>
      <c r="K15">
        <f ca="1">IFERROR(__xludf.DUMMYFUNCTION("""COMPUTED_VALUE"""),1167257004741)</f>
        <v>1167257004741</v>
      </c>
      <c r="L15" t="str">
        <f ca="1">IFERROR(__xludf.DUMMYFUNCTION("""COMPUTED_VALUE"""),"malampuzha")</f>
        <v>malampuzha</v>
      </c>
      <c r="M15" t="str">
        <f ca="1">IFERROR(__xludf.DUMMYFUNCTION("""COMPUTED_VALUE"""),"I Accept")</f>
        <v>I Accept</v>
      </c>
      <c r="N15" s="4">
        <f ca="1">IFERROR(__xludf.DUMMYFUNCTION("""COMPUTED_VALUE"""),42873)</f>
        <v>42873</v>
      </c>
      <c r="O15" s="4">
        <f ca="1">IFERROR(__xludf.DUMMYFUNCTION("""COMPUTED_VALUE"""),42873)</f>
        <v>42873</v>
      </c>
      <c r="P15">
        <f ca="1">IFERROR(__xludf.DUMMYFUNCTION("""COMPUTED_VALUE"""),2)</f>
        <v>2</v>
      </c>
      <c r="Q15" t="str">
        <f ca="1">IFERROR(__xludf.DUMMYFUNCTION("""COMPUTED_VALUE"""),"sreenathmpz@gmail.com")</f>
        <v>sreenathmpz@gmail.com</v>
      </c>
      <c r="R15" s="2" t="s">
        <v>250</v>
      </c>
    </row>
    <row r="16" spans="1:18" ht="15.75" customHeight="1" x14ac:dyDescent="0.15">
      <c r="A16" s="3">
        <f ca="1">IFERROR(__xludf.DUMMYFUNCTION("""COMPUTED_VALUE"""),43151.3196204513)</f>
        <v>43151.319620451301</v>
      </c>
      <c r="B16" t="str">
        <f ca="1">IFERROR(__xludf.DUMMYFUNCTION("""COMPUTED_VALUE"""),"sreenathmpz@gmail.com")</f>
        <v>sreenathmpz@gmail.com</v>
      </c>
      <c r="C16">
        <f ca="1">IFERROR(__xludf.DUMMYFUNCTION("""COMPUTED_VALUE"""),100)</f>
        <v>100</v>
      </c>
      <c r="D16" t="str">
        <f ca="1">IFERROR(__xludf.DUMMYFUNCTION("""COMPUTED_VALUE"""),"P.C. Alayamma")</f>
        <v>P.C. Alayamma</v>
      </c>
      <c r="E16">
        <f ca="1">IFERROR(__xludf.DUMMYFUNCTION("""COMPUTED_VALUE"""),9744444806)</f>
        <v>9744444806</v>
      </c>
      <c r="F16" t="str">
        <f ca="1">IFERROR(__xludf.DUMMYFUNCTION("""COMPUTED_VALUE"""),"Palakkad")</f>
        <v>Palakkad</v>
      </c>
      <c r="G16" t="str">
        <f ca="1">IFERROR(__xludf.DUMMYFUNCTION("""COMPUTED_VALUE"""),"RAIDCO KERALA Ltd")</f>
        <v>RAIDCO KERALA Ltd</v>
      </c>
      <c r="H16">
        <f ca="1">IFERROR(__xludf.DUMMYFUNCTION("""COMPUTED_VALUE"""),69)</f>
        <v>69</v>
      </c>
      <c r="I16" s="4">
        <f ca="1">IFERROR(__xludf.DUMMYFUNCTION("""COMPUTED_VALUE"""),43151)</f>
        <v>43151</v>
      </c>
      <c r="J16">
        <f ca="1">IFERROR(__xludf.DUMMYFUNCTION("""COMPUTED_VALUE"""),5)</f>
        <v>5</v>
      </c>
      <c r="K16">
        <f ca="1">IFERROR(__xludf.DUMMYFUNCTION("""COMPUTED_VALUE"""),1167250000631)</f>
        <v>1167250000631</v>
      </c>
      <c r="L16" t="str">
        <f ca="1">IFERROR(__xludf.DUMMYFUNCTION("""COMPUTED_VALUE"""),"malampuzha")</f>
        <v>malampuzha</v>
      </c>
      <c r="M16" t="str">
        <f ca="1">IFERROR(__xludf.DUMMYFUNCTION("""COMPUTED_VALUE"""),"I Accept")</f>
        <v>I Accept</v>
      </c>
      <c r="N16" s="4">
        <f ca="1">IFERROR(__xludf.DUMMYFUNCTION("""COMPUTED_VALUE"""),42844)</f>
        <v>42844</v>
      </c>
      <c r="O16" s="4">
        <f ca="1">IFERROR(__xludf.DUMMYFUNCTION("""COMPUTED_VALUE"""),42844)</f>
        <v>42844</v>
      </c>
      <c r="P16">
        <f ca="1">IFERROR(__xludf.DUMMYFUNCTION("""COMPUTED_VALUE"""),5)</f>
        <v>5</v>
      </c>
      <c r="Q16" t="str">
        <f ca="1">IFERROR(__xludf.DUMMYFUNCTION("""COMPUTED_VALUE"""),"eljopanangadan@gmail.com")</f>
        <v>eljopanangadan@gmail.com</v>
      </c>
      <c r="R16" s="2" t="s">
        <v>271</v>
      </c>
    </row>
    <row r="17" spans="1:18" ht="15.75" customHeight="1" x14ac:dyDescent="0.15">
      <c r="A17" s="3">
        <f ca="1">IFERROR(__xludf.DUMMYFUNCTION("""COMPUTED_VALUE"""),43151.3315194213)</f>
        <v>43151.331519421299</v>
      </c>
      <c r="B17" t="str">
        <f ca="1">IFERROR(__xludf.DUMMYFUNCTION("""COMPUTED_VALUE"""),"sree@greenturncw.com")</f>
        <v>sree@greenturncw.com</v>
      </c>
      <c r="C17">
        <f ca="1">IFERROR(__xludf.DUMMYFUNCTION("""COMPUTED_VALUE"""),101)</f>
        <v>101</v>
      </c>
      <c r="D17" t="str">
        <f ca="1">IFERROR(__xludf.DUMMYFUNCTION("""COMPUTED_VALUE"""),"P.K. Sebastian")</f>
        <v>P.K. Sebastian</v>
      </c>
      <c r="E17">
        <f ca="1">IFERROR(__xludf.DUMMYFUNCTION("""COMPUTED_VALUE"""),9447775266)</f>
        <v>9447775266</v>
      </c>
      <c r="F17" t="str">
        <f ca="1">IFERROR(__xludf.DUMMYFUNCTION("""COMPUTED_VALUE"""),"Palakkad")</f>
        <v>Palakkad</v>
      </c>
      <c r="G17" t="str">
        <f ca="1">IFERROR(__xludf.DUMMYFUNCTION("""COMPUTED_VALUE"""),"RAIDCO KERALA Ltd")</f>
        <v>RAIDCO KERALA Ltd</v>
      </c>
      <c r="H17">
        <f ca="1">IFERROR(__xludf.DUMMYFUNCTION("""COMPUTED_VALUE"""),69)</f>
        <v>69</v>
      </c>
      <c r="I17" s="4">
        <f ca="1">IFERROR(__xludf.DUMMYFUNCTION("""COMPUTED_VALUE"""),43151)</f>
        <v>43151</v>
      </c>
      <c r="J17">
        <f ca="1">IFERROR(__xludf.DUMMYFUNCTION("""COMPUTED_VALUE"""),5)</f>
        <v>5</v>
      </c>
      <c r="K17">
        <f ca="1">IFERROR(__xludf.DUMMYFUNCTION("""COMPUTED_VALUE"""),1167251001479)</f>
        <v>1167251001479</v>
      </c>
      <c r="L17" t="str">
        <f ca="1">IFERROR(__xludf.DUMMYFUNCTION("""COMPUTED_VALUE"""),"malampuzha")</f>
        <v>malampuzha</v>
      </c>
      <c r="M17" t="str">
        <f ca="1">IFERROR(__xludf.DUMMYFUNCTION("""COMPUTED_VALUE"""),"I Accept")</f>
        <v>I Accept</v>
      </c>
      <c r="N17" s="4">
        <f ca="1">IFERROR(__xludf.DUMMYFUNCTION("""COMPUTED_VALUE"""),42843)</f>
        <v>42843</v>
      </c>
      <c r="O17" s="4">
        <f ca="1">IFERROR(__xludf.DUMMYFUNCTION("""COMPUTED_VALUE"""),42843)</f>
        <v>42843</v>
      </c>
      <c r="P17">
        <f ca="1">IFERROR(__xludf.DUMMYFUNCTION("""COMPUTED_VALUE"""),5)</f>
        <v>5</v>
      </c>
      <c r="Q17" t="str">
        <f ca="1">IFERROR(__xludf.DUMMYFUNCTION("""COMPUTED_VALUE"""),"pksnijo@gmail.com")</f>
        <v>pksnijo@gmail.com</v>
      </c>
      <c r="R17" s="2" t="s">
        <v>292</v>
      </c>
    </row>
    <row r="18" spans="1:18" ht="15.75" customHeight="1" x14ac:dyDescent="0.15">
      <c r="A18" s="3">
        <f ca="1">IFERROR(__xludf.DUMMYFUNCTION("""COMPUTED_VALUE"""),43151.4920223842)</f>
        <v>43151.492022384198</v>
      </c>
      <c r="B18" t="str">
        <f ca="1">IFERROR(__xludf.DUMMYFUNCTION("""COMPUTED_VALUE"""),"cgnayar@gmail.com")</f>
        <v>cgnayar@gmail.com</v>
      </c>
      <c r="C18">
        <f ca="1">IFERROR(__xludf.DUMMYFUNCTION("""COMPUTED_VALUE"""),22)</f>
        <v>22</v>
      </c>
      <c r="D18" t="str">
        <f ca="1">IFERROR(__xludf.DUMMYFUNCTION("""COMPUTED_VALUE"""),"Vijayalakshmi Amma")</f>
        <v>Vijayalakshmi Amma</v>
      </c>
      <c r="E18">
        <f ca="1">IFERROR(__xludf.DUMMYFUNCTION("""COMPUTED_VALUE"""),9447619895)</f>
        <v>9447619895</v>
      </c>
      <c r="F18" t="str">
        <f ca="1">IFERROR(__xludf.DUMMYFUNCTION("""COMPUTED_VALUE"""),"Palakkad")</f>
        <v>Palakkad</v>
      </c>
      <c r="G18" t="str">
        <f ca="1">IFERROR(__xludf.DUMMYFUNCTION("""COMPUTED_VALUE"""),"RAIDCO Kerala Ltd")</f>
        <v>RAIDCO Kerala Ltd</v>
      </c>
      <c r="H18">
        <f ca="1">IFERROR(__xludf.DUMMYFUNCTION("""COMPUTED_VALUE"""),69)</f>
        <v>69</v>
      </c>
      <c r="I18" s="4">
        <f ca="1">IFERROR(__xludf.DUMMYFUNCTION("""COMPUTED_VALUE"""),43151)</f>
        <v>43151</v>
      </c>
      <c r="J18">
        <f ca="1">IFERROR(__xludf.DUMMYFUNCTION("""COMPUTED_VALUE"""),3)</f>
        <v>3</v>
      </c>
      <c r="K18">
        <f ca="1">IFERROR(__xludf.DUMMYFUNCTION("""COMPUTED_VALUE"""),1165059003220)</f>
        <v>1165059003220</v>
      </c>
      <c r="L18" t="str">
        <f ca="1">IFERROR(__xludf.DUMMYFUNCTION("""COMPUTED_VALUE"""),"Koduvayur")</f>
        <v>Koduvayur</v>
      </c>
      <c r="M18" t="str">
        <f ca="1">IFERROR(__xludf.DUMMYFUNCTION("""COMPUTED_VALUE"""),"I Accept")</f>
        <v>I Accept</v>
      </c>
      <c r="N18" s="4">
        <f ca="1">IFERROR(__xludf.DUMMYFUNCTION("""COMPUTED_VALUE"""),43091)</f>
        <v>43091</v>
      </c>
      <c r="O18" s="4">
        <f ca="1">IFERROR(__xludf.DUMMYFUNCTION("""COMPUTED_VALUE"""),43091)</f>
        <v>43091</v>
      </c>
      <c r="P18">
        <f ca="1">IFERROR(__xludf.DUMMYFUNCTION("""COMPUTED_VALUE"""),3)</f>
        <v>3</v>
      </c>
      <c r="Q18" t="str">
        <f ca="1">IFERROR(__xludf.DUMMYFUNCTION("""COMPUTED_VALUE"""),"cgnayar@gmail.com")</f>
        <v>cgnayar@gmail.com</v>
      </c>
      <c r="R18" s="2" t="s">
        <v>307</v>
      </c>
    </row>
    <row r="19" spans="1:18" ht="15.75" customHeight="1" x14ac:dyDescent="0.15">
      <c r="A19" s="3">
        <f ca="1">IFERROR(__xludf.DUMMYFUNCTION("""COMPUTED_VALUE"""),43151.5031242245)</f>
        <v>43151.503124224502</v>
      </c>
      <c r="B19" t="str">
        <f ca="1">IFERROR(__xludf.DUMMYFUNCTION("""COMPUTED_VALUE"""),"vivekkuthanazhi@gmail.com")</f>
        <v>vivekkuthanazhi@gmail.com</v>
      </c>
      <c r="C19">
        <f ca="1">IFERROR(__xludf.DUMMYFUNCTION("""COMPUTED_VALUE"""),204)</f>
        <v>204</v>
      </c>
      <c r="D19" t="str">
        <f ca="1">IFERROR(__xludf.DUMMYFUNCTION("""COMPUTED_VALUE"""),"Padmanabhan C")</f>
        <v>Padmanabhan C</v>
      </c>
      <c r="E19">
        <f ca="1">IFERROR(__xludf.DUMMYFUNCTION("""COMPUTED_VALUE"""),9447619894)</f>
        <v>9447619894</v>
      </c>
      <c r="F19" t="str">
        <f ca="1">IFERROR(__xludf.DUMMYFUNCTION("""COMPUTED_VALUE"""),"Palakkad")</f>
        <v>Palakkad</v>
      </c>
      <c r="G19" t="str">
        <f ca="1">IFERROR(__xludf.DUMMYFUNCTION("""COMPUTED_VALUE"""),"RAIDCO Kerala Ltd")</f>
        <v>RAIDCO Kerala Ltd</v>
      </c>
      <c r="H19">
        <f ca="1">IFERROR(__xludf.DUMMYFUNCTION("""COMPUTED_VALUE"""),69)</f>
        <v>69</v>
      </c>
      <c r="I19" s="4">
        <f ca="1">IFERROR(__xludf.DUMMYFUNCTION("""COMPUTED_VALUE"""),43151)</f>
        <v>43151</v>
      </c>
      <c r="J19">
        <f ca="1">IFERROR(__xludf.DUMMYFUNCTION("""COMPUTED_VALUE"""),3)</f>
        <v>3</v>
      </c>
      <c r="K19">
        <f ca="1">IFERROR(__xludf.DUMMYFUNCTION("""COMPUTED_VALUE"""),1165059004710)</f>
        <v>1165059004710</v>
      </c>
      <c r="L19" t="str">
        <f ca="1">IFERROR(__xludf.DUMMYFUNCTION("""COMPUTED_VALUE"""),"Koduvayur")</f>
        <v>Koduvayur</v>
      </c>
      <c r="M19" t="str">
        <f ca="1">IFERROR(__xludf.DUMMYFUNCTION("""COMPUTED_VALUE"""),"I Accept")</f>
        <v>I Accept</v>
      </c>
      <c r="N19" s="4">
        <f ca="1">IFERROR(__xludf.DUMMYFUNCTION("""COMPUTED_VALUE"""),43151)</f>
        <v>43151</v>
      </c>
      <c r="O19" s="4">
        <f ca="1">IFERROR(__xludf.DUMMYFUNCTION("""COMPUTED_VALUE"""),43151)</f>
        <v>43151</v>
      </c>
      <c r="P19">
        <f ca="1">IFERROR(__xludf.DUMMYFUNCTION("""COMPUTED_VALUE"""),3)</f>
        <v>3</v>
      </c>
      <c r="Q19" t="str">
        <f ca="1">IFERROR(__xludf.DUMMYFUNCTION("""COMPUTED_VALUE"""),"vivekkuthanazhi@gmail.com")</f>
        <v>vivekkuthanazhi@gmail.com</v>
      </c>
      <c r="R19" s="2" t="s">
        <v>328</v>
      </c>
    </row>
    <row r="20" spans="1:18" ht="15.75" customHeight="1" x14ac:dyDescent="0.15">
      <c r="A20" s="3">
        <f ca="1">IFERROR(__xludf.DUMMYFUNCTION("""COMPUTED_VALUE"""),43151.5057003356)</f>
        <v>43151.505700335598</v>
      </c>
      <c r="B20" t="str">
        <f ca="1">IFERROR(__xludf.DUMMYFUNCTION("""COMPUTED_VALUE"""),"info@wattsun.in")</f>
        <v>info@wattsun.in</v>
      </c>
      <c r="C20">
        <f ca="1">IFERROR(__xludf.DUMMYFUNCTION("""COMPUTED_VALUE"""),61)</f>
        <v>61</v>
      </c>
      <c r="D20" t="str">
        <f ca="1">IFERROR(__xludf.DUMMYFUNCTION("""COMPUTED_VALUE"""),"RADHA NAGARAJAN")</f>
        <v>RADHA NAGARAJAN</v>
      </c>
      <c r="E20">
        <f ca="1">IFERROR(__xludf.DUMMYFUNCTION("""COMPUTED_VALUE"""),9072666513)</f>
        <v>9072666513</v>
      </c>
      <c r="F20" t="str">
        <f ca="1">IFERROR(__xludf.DUMMYFUNCTION("""COMPUTED_VALUE"""),"Thiruvananthapuram")</f>
        <v>Thiruvananthapuram</v>
      </c>
      <c r="G20" t="str">
        <f ca="1">IFERROR(__xludf.DUMMYFUNCTION("""COMPUTED_VALUE"""),"Wattsun Energy India Private Limited")</f>
        <v>Wattsun Energy India Private Limited</v>
      </c>
      <c r="H20">
        <f ca="1">IFERROR(__xludf.DUMMYFUNCTION("""COMPUTED_VALUE"""),54)</f>
        <v>54</v>
      </c>
      <c r="I20" s="4">
        <f ca="1">IFERROR(__xludf.DUMMYFUNCTION("""COMPUTED_VALUE"""),43151)</f>
        <v>43151</v>
      </c>
      <c r="J20">
        <f ca="1">IFERROR(__xludf.DUMMYFUNCTION("""COMPUTED_VALUE"""),3)</f>
        <v>3</v>
      </c>
      <c r="K20">
        <f ca="1">IFERROR(__xludf.DUMMYFUNCTION("""COMPUTED_VALUE"""),1145073000014)</f>
        <v>1145073000014</v>
      </c>
      <c r="L20" t="str">
        <f ca="1">IFERROR(__xludf.DUMMYFUNCTION("""COMPUTED_VALUE"""),"VELLAYAMBALAM")</f>
        <v>VELLAYAMBALAM</v>
      </c>
      <c r="M20" t="str">
        <f ca="1">IFERROR(__xludf.DUMMYFUNCTION("""COMPUTED_VALUE"""),"I Accept")</f>
        <v>I Accept</v>
      </c>
      <c r="N20" s="4">
        <f ca="1">IFERROR(__xludf.DUMMYFUNCTION("""COMPUTED_VALUE"""),43124)</f>
        <v>43124</v>
      </c>
      <c r="O20" s="4">
        <f ca="1">IFERROR(__xludf.DUMMYFUNCTION("""COMPUTED_VALUE"""),43124)</f>
        <v>43124</v>
      </c>
      <c r="P20">
        <f ca="1">IFERROR(__xludf.DUMMYFUNCTION("""COMPUTED_VALUE"""),3)</f>
        <v>3</v>
      </c>
      <c r="Q20" t="str">
        <f ca="1">IFERROR(__xludf.DUMMYFUNCTION("""COMPUTED_VALUE"""),"info@wattsun.in")</f>
        <v>info@wattsun.in</v>
      </c>
      <c r="R20" s="2" t="s">
        <v>342</v>
      </c>
    </row>
    <row r="21" spans="1:18" ht="15.75" customHeight="1" x14ac:dyDescent="0.15">
      <c r="A21" s="3">
        <f ca="1">IFERROR(__xludf.DUMMYFUNCTION("""COMPUTED_VALUE"""),43151.5294360416)</f>
        <v>43151.529436041601</v>
      </c>
      <c r="B21" t="str">
        <f ca="1">IFERROR(__xludf.DUMMYFUNCTION("""COMPUTED_VALUE"""),"vpasprasad@yahoo.com")</f>
        <v>vpasprasad@yahoo.com</v>
      </c>
      <c r="C21">
        <f ca="1">IFERROR(__xludf.DUMMYFUNCTION("""COMPUTED_VALUE"""),108)</f>
        <v>108</v>
      </c>
      <c r="D21" t="str">
        <f ca="1">IFERROR(__xludf.DUMMYFUNCTION("""COMPUTED_VALUE"""),"M.U.PANKAJAM")</f>
        <v>M.U.PANKAJAM</v>
      </c>
      <c r="E21">
        <f ca="1">IFERROR(__xludf.DUMMYFUNCTION("""COMPUTED_VALUE"""),9544484845)</f>
        <v>9544484845</v>
      </c>
      <c r="F21" t="str">
        <f ca="1">IFERROR(__xludf.DUMMYFUNCTION("""COMPUTED_VALUE"""),"Ernakulam")</f>
        <v>Ernakulam</v>
      </c>
      <c r="G21" t="str">
        <f ca="1">IFERROR(__xludf.DUMMYFUNCTION("""COMPUTED_VALUE"""),"POWERONE MICROSYSTEMS Pvt.ltd")</f>
        <v>POWERONE MICROSYSTEMS Pvt.ltd</v>
      </c>
      <c r="H21">
        <f ca="1">IFERROR(__xludf.DUMMYFUNCTION("""COMPUTED_VALUE"""),7)</f>
        <v>7</v>
      </c>
      <c r="I21" s="4">
        <f ca="1">IFERROR(__xludf.DUMMYFUNCTION("""COMPUTED_VALUE"""),43151)</f>
        <v>43151</v>
      </c>
      <c r="J21">
        <f ca="1">IFERROR(__xludf.DUMMYFUNCTION("""COMPUTED_VALUE"""),5)</f>
        <v>5</v>
      </c>
      <c r="K21">
        <f ca="1">IFERROR(__xludf.DUMMYFUNCTION("""COMPUTED_VALUE"""),1156081008188)</f>
        <v>1156081008188</v>
      </c>
      <c r="L21" t="str">
        <f ca="1">IFERROR(__xludf.DUMMYFUNCTION("""COMPUTED_VALUE"""),"MOOTHAKUNNAM")</f>
        <v>MOOTHAKUNNAM</v>
      </c>
      <c r="M21" t="str">
        <f ca="1">IFERROR(__xludf.DUMMYFUNCTION("""COMPUTED_VALUE"""),"I Accept")</f>
        <v>I Accept</v>
      </c>
      <c r="N21" s="4">
        <f ca="1">IFERROR(__xludf.DUMMYFUNCTION("""COMPUTED_VALUE"""),43110)</f>
        <v>43110</v>
      </c>
      <c r="O21" s="4">
        <f ca="1">IFERROR(__xludf.DUMMYFUNCTION("""COMPUTED_VALUE"""),43110)</f>
        <v>43110</v>
      </c>
      <c r="P21">
        <f ca="1">IFERROR(__xludf.DUMMYFUNCTION("""COMPUTED_VALUE"""),5)</f>
        <v>5</v>
      </c>
      <c r="Q21" t="str">
        <f ca="1">IFERROR(__xludf.DUMMYFUNCTION("""COMPUTED_VALUE"""),"vpasprasad@yahoo.com")</f>
        <v>vpasprasad@yahoo.com</v>
      </c>
      <c r="R21" s="2" t="s">
        <v>357</v>
      </c>
    </row>
    <row r="22" spans="1:18" ht="15.75" customHeight="1" x14ac:dyDescent="0.15">
      <c r="A22" s="3">
        <f ca="1">IFERROR(__xludf.DUMMYFUNCTION("""COMPUTED_VALUE"""),43151.5433076504)</f>
        <v>43151.543307650398</v>
      </c>
      <c r="B22" t="str">
        <f ca="1">IFERROR(__xludf.DUMMYFUNCTION("""COMPUTED_VALUE"""),"dilip.sasikumar@outlook.com")</f>
        <v>dilip.sasikumar@outlook.com</v>
      </c>
      <c r="C22">
        <f ca="1">IFERROR(__xludf.DUMMYFUNCTION("""COMPUTED_VALUE"""),1426)</f>
        <v>1426</v>
      </c>
      <c r="D22" t="str">
        <f ca="1">IFERROR(__xludf.DUMMYFUNCTION("""COMPUTED_VALUE"""),"SASIKUMAR K P")</f>
        <v>SASIKUMAR K P</v>
      </c>
      <c r="E22">
        <f ca="1">IFERROR(__xludf.DUMMYFUNCTION("""COMPUTED_VALUE"""),9567738985)</f>
        <v>9567738985</v>
      </c>
      <c r="F22" t="str">
        <f ca="1">IFERROR(__xludf.DUMMYFUNCTION("""COMPUTED_VALUE"""),"Palakkad")</f>
        <v>Palakkad</v>
      </c>
      <c r="G22" t="str">
        <f ca="1">IFERROR(__xludf.DUMMYFUNCTION("""COMPUTED_VALUE"""),"RENEWABLE ENRGY SOLUTIONS PVT LTD")</f>
        <v>RENEWABLE ENRGY SOLUTIONS PVT LTD</v>
      </c>
      <c r="H22">
        <f ca="1">IFERROR(__xludf.DUMMYFUNCTION("""COMPUTED_VALUE"""),64)</f>
        <v>64</v>
      </c>
      <c r="I22" s="4">
        <f ca="1">IFERROR(__xludf.DUMMYFUNCTION("""COMPUTED_VALUE"""),43157)</f>
        <v>43157</v>
      </c>
      <c r="J22">
        <f ca="1">IFERROR(__xludf.DUMMYFUNCTION("""COMPUTED_VALUE"""),2)</f>
        <v>2</v>
      </c>
      <c r="K22">
        <f ca="1">IFERROR(__xludf.DUMMYFUNCTION("""COMPUTED_VALUE"""),1165306012035)</f>
        <v>1165306012035</v>
      </c>
      <c r="L22" t="str">
        <f ca="1">IFERROR(__xludf.DUMMYFUNCTION("""COMPUTED_VALUE"""),"ELAPULLY")</f>
        <v>ELAPULLY</v>
      </c>
      <c r="M22" t="str">
        <f ca="1">IFERROR(__xludf.DUMMYFUNCTION("""COMPUTED_VALUE"""),"I Accept")</f>
        <v>I Accept</v>
      </c>
      <c r="N22" s="4">
        <f ca="1">IFERROR(__xludf.DUMMYFUNCTION("""COMPUTED_VALUE"""),43143)</f>
        <v>43143</v>
      </c>
      <c r="O22" s="4">
        <f ca="1">IFERROR(__xludf.DUMMYFUNCTION("""COMPUTED_VALUE"""),43143)</f>
        <v>43143</v>
      </c>
      <c r="P22">
        <f ca="1">IFERROR(__xludf.DUMMYFUNCTION("""COMPUTED_VALUE"""),30)</f>
        <v>30</v>
      </c>
      <c r="Q22" t="str">
        <f ca="1">IFERROR(__xludf.DUMMYFUNCTION("""COMPUTED_VALUE"""),"dilip.sasikumar@outlook.com")</f>
        <v>dilip.sasikumar@outlook.com</v>
      </c>
      <c r="R22" s="2" t="s">
        <v>376</v>
      </c>
    </row>
    <row r="23" spans="1:18" ht="15.75" customHeight="1" x14ac:dyDescent="0.15">
      <c r="A23" s="3">
        <f ca="1">IFERROR(__xludf.DUMMYFUNCTION("""COMPUTED_VALUE"""),43151.627504537)</f>
        <v>43151.627504536998</v>
      </c>
      <c r="B23" t="str">
        <f ca="1">IFERROR(__xludf.DUMMYFUNCTION("""COMPUTED_VALUE"""),"mathewajster@gmail.com")</f>
        <v>mathewajster@gmail.com</v>
      </c>
      <c r="C23">
        <f ca="1">IFERROR(__xludf.DUMMYFUNCTION("""COMPUTED_VALUE"""),113)</f>
        <v>113</v>
      </c>
      <c r="D23" t="str">
        <f ca="1">IFERROR(__xludf.DUMMYFUNCTION("""COMPUTED_VALUE"""),"Mathew A J")</f>
        <v>Mathew A J</v>
      </c>
      <c r="E23">
        <f ca="1">IFERROR(__xludf.DUMMYFUNCTION("""COMPUTED_VALUE"""),9961889520)</f>
        <v>9961889520</v>
      </c>
      <c r="F23" t="str">
        <f ca="1">IFERROR(__xludf.DUMMYFUNCTION("""COMPUTED_VALUE"""),"Ernakulam")</f>
        <v>Ernakulam</v>
      </c>
      <c r="G23" t="str">
        <f ca="1">IFERROR(__xludf.DUMMYFUNCTION("""COMPUTED_VALUE"""),"TATA POWER SOLAR SYSTEMS LTD")</f>
        <v>TATA POWER SOLAR SYSTEMS LTD</v>
      </c>
      <c r="H23">
        <f ca="1">IFERROR(__xludf.DUMMYFUNCTION("""COMPUTED_VALUE"""),20)</f>
        <v>20</v>
      </c>
      <c r="I23" s="4">
        <f ca="1">IFERROR(__xludf.DUMMYFUNCTION("""COMPUTED_VALUE"""),43150)</f>
        <v>43150</v>
      </c>
      <c r="J23">
        <f ca="1">IFERROR(__xludf.DUMMYFUNCTION("""COMPUTED_VALUE"""),3)</f>
        <v>3</v>
      </c>
      <c r="K23">
        <f ca="1">IFERROR(__xludf.DUMMYFUNCTION("""COMPUTED_VALUE"""),155580005336)</f>
        <v>155580005336</v>
      </c>
      <c r="L23" t="str">
        <f ca="1">IFERROR(__xludf.DUMMYFUNCTION("""COMPUTED_VALUE"""),"Thevakkal")</f>
        <v>Thevakkal</v>
      </c>
      <c r="M23" t="str">
        <f ca="1">IFERROR(__xludf.DUMMYFUNCTION("""COMPUTED_VALUE"""),"I Accept")</f>
        <v>I Accept</v>
      </c>
      <c r="N23" s="4">
        <f ca="1">IFERROR(__xludf.DUMMYFUNCTION("""COMPUTED_VALUE"""),43089)</f>
        <v>43089</v>
      </c>
      <c r="O23" s="4">
        <f ca="1">IFERROR(__xludf.DUMMYFUNCTION("""COMPUTED_VALUE"""),43117)</f>
        <v>43117</v>
      </c>
      <c r="P23">
        <f ca="1">IFERROR(__xludf.DUMMYFUNCTION("""COMPUTED_VALUE"""),3)</f>
        <v>3</v>
      </c>
      <c r="Q23" t="str">
        <f ca="1">IFERROR(__xludf.DUMMYFUNCTION("""COMPUTED_VALUE"""),"mathewajster@gmail.com")</f>
        <v>mathewajster@gmail.com</v>
      </c>
      <c r="R23" s="2" t="s">
        <v>392</v>
      </c>
    </row>
    <row r="24" spans="1:18" ht="15.75" customHeight="1" x14ac:dyDescent="0.15">
      <c r="A24" s="3">
        <f ca="1">IFERROR(__xludf.DUMMYFUNCTION("""COMPUTED_VALUE"""),43152.4103569097)</f>
        <v>43152.410356909699</v>
      </c>
      <c r="B24" t="str">
        <f ca="1">IFERROR(__xludf.DUMMYFUNCTION("""COMPUTED_VALUE"""),"krishnagopalgopi@gmail.com")</f>
        <v>krishnagopalgopi@gmail.com</v>
      </c>
      <c r="C24">
        <f ca="1">IFERROR(__xludf.DUMMYFUNCTION("""COMPUTED_VALUE"""),161)</f>
        <v>161</v>
      </c>
      <c r="D24" t="str">
        <f ca="1">IFERROR(__xludf.DUMMYFUNCTION("""COMPUTED_VALUE"""),"S Sreekala")</f>
        <v>S Sreekala</v>
      </c>
      <c r="E24">
        <f ca="1">IFERROR(__xludf.DUMMYFUNCTION("""COMPUTED_VALUE"""),944700162)</f>
        <v>944700162</v>
      </c>
      <c r="F24" t="str">
        <f ca="1">IFERROR(__xludf.DUMMYFUNCTION("""COMPUTED_VALUE"""),"Alappuzha")</f>
        <v>Alappuzha</v>
      </c>
      <c r="G24" t="str">
        <f ca="1">IFERROR(__xludf.DUMMYFUNCTION("""COMPUTED_VALUE"""),"TATA POWER SOLAR SYSTEMS LTD")</f>
        <v>TATA POWER SOLAR SYSTEMS LTD</v>
      </c>
      <c r="H24">
        <f ca="1">IFERROR(__xludf.DUMMYFUNCTION("""COMPUTED_VALUE"""),20)</f>
        <v>20</v>
      </c>
      <c r="I24" s="4">
        <f ca="1">IFERROR(__xludf.DUMMYFUNCTION("""COMPUTED_VALUE"""),43138)</f>
        <v>43138</v>
      </c>
      <c r="J24">
        <f ca="1">IFERROR(__xludf.DUMMYFUNCTION("""COMPUTED_VALUE"""),3)</f>
        <v>3</v>
      </c>
      <c r="K24">
        <f ca="1">IFERROR(__xludf.DUMMYFUNCTION("""COMPUTED_VALUE"""),1155030003710)</f>
        <v>1155030003710</v>
      </c>
      <c r="L24" t="str">
        <f ca="1">IFERROR(__xludf.DUMMYFUNCTION("""COMPUTED_VALUE"""),"5503")</f>
        <v>5503</v>
      </c>
      <c r="M24" t="str">
        <f ca="1">IFERROR(__xludf.DUMMYFUNCTION("""COMPUTED_VALUE"""),"I Accept")</f>
        <v>I Accept</v>
      </c>
      <c r="N24" s="4">
        <f ca="1">IFERROR(__xludf.DUMMYFUNCTION("""COMPUTED_VALUE"""),43143)</f>
        <v>43143</v>
      </c>
      <c r="O24" s="4">
        <f ca="1">IFERROR(__xludf.DUMMYFUNCTION("""COMPUTED_VALUE"""),43143)</f>
        <v>43143</v>
      </c>
      <c r="P24">
        <f ca="1">IFERROR(__xludf.DUMMYFUNCTION("""COMPUTED_VALUE"""),3)</f>
        <v>3</v>
      </c>
      <c r="Q24" t="str">
        <f ca="1">IFERROR(__xludf.DUMMYFUNCTION("""COMPUTED_VALUE"""),"krishnagopalgopi@gmail.com")</f>
        <v>krishnagopalgopi@gmail.com</v>
      </c>
      <c r="R24" s="2" t="s">
        <v>412</v>
      </c>
    </row>
    <row r="25" spans="1:18" ht="15.75" customHeight="1" x14ac:dyDescent="0.15">
      <c r="A25" s="3">
        <f ca="1">IFERROR(__xludf.DUMMYFUNCTION("""COMPUTED_VALUE"""),43152.4146262847)</f>
        <v>43152.414626284699</v>
      </c>
      <c r="B25" t="str">
        <f ca="1">IFERROR(__xludf.DUMMYFUNCTION("""COMPUTED_VALUE"""),"salukurian@hotmail.com")</f>
        <v>salukurian@hotmail.com</v>
      </c>
      <c r="C25">
        <f ca="1">IFERROR(__xludf.DUMMYFUNCTION("""COMPUTED_VALUE"""),125)</f>
        <v>125</v>
      </c>
      <c r="D25" t="str">
        <f ca="1">IFERROR(__xludf.DUMMYFUNCTION("""COMPUTED_VALUE"""),"Salu Tomy Kurian")</f>
        <v>Salu Tomy Kurian</v>
      </c>
      <c r="E25">
        <f ca="1">IFERROR(__xludf.DUMMYFUNCTION("""COMPUTED_VALUE"""),9742926990)</f>
        <v>9742926990</v>
      </c>
      <c r="F25" t="str">
        <f ca="1">IFERROR(__xludf.DUMMYFUNCTION("""COMPUTED_VALUE"""),"Alappuzha")</f>
        <v>Alappuzha</v>
      </c>
      <c r="G25" t="str">
        <f ca="1">IFERROR(__xludf.DUMMYFUNCTION("""COMPUTED_VALUE"""),"TATA POWER SOLAR SYSTEMS LTD")</f>
        <v>TATA POWER SOLAR SYSTEMS LTD</v>
      </c>
      <c r="H25">
        <f ca="1">IFERROR(__xludf.DUMMYFUNCTION("""COMPUTED_VALUE"""),20)</f>
        <v>20</v>
      </c>
      <c r="I25" s="4">
        <f ca="1">IFERROR(__xludf.DUMMYFUNCTION("""COMPUTED_VALUE"""),43147)</f>
        <v>43147</v>
      </c>
      <c r="J25">
        <f ca="1">IFERROR(__xludf.DUMMYFUNCTION("""COMPUTED_VALUE"""),3)</f>
        <v>3</v>
      </c>
      <c r="K25">
        <f ca="1">IFERROR(__xludf.DUMMYFUNCTION("""COMPUTED_VALUE"""),1157045027224)</f>
        <v>1157045027224</v>
      </c>
      <c r="L25" t="str">
        <f ca="1">IFERROR(__xludf.DUMMYFUNCTION("""COMPUTED_VALUE"""),"5704")</f>
        <v>5704</v>
      </c>
      <c r="M25" t="str">
        <f ca="1">IFERROR(__xludf.DUMMYFUNCTION("""COMPUTED_VALUE"""),"I Accept")</f>
        <v>I Accept</v>
      </c>
      <c r="N25" s="4">
        <f ca="1">IFERROR(__xludf.DUMMYFUNCTION("""COMPUTED_VALUE"""),43138)</f>
        <v>43138</v>
      </c>
      <c r="O25" s="4">
        <f ca="1">IFERROR(__xludf.DUMMYFUNCTION("""COMPUTED_VALUE"""),43138)</f>
        <v>43138</v>
      </c>
      <c r="P25">
        <f ca="1">IFERROR(__xludf.DUMMYFUNCTION("""COMPUTED_VALUE"""),3)</f>
        <v>3</v>
      </c>
      <c r="Q25" t="str">
        <f ca="1">IFERROR(__xludf.DUMMYFUNCTION("""COMPUTED_VALUE"""),"salukurian@hotmail.com")</f>
        <v>salukurian@hotmail.com</v>
      </c>
      <c r="R25" s="2" t="s">
        <v>442</v>
      </c>
    </row>
    <row r="26" spans="1:18" ht="15.75" customHeight="1" x14ac:dyDescent="0.15">
      <c r="A26" s="3">
        <f ca="1">IFERROR(__xludf.DUMMYFUNCTION("""COMPUTED_VALUE"""),43152.432462743)</f>
        <v>43152.432462743003</v>
      </c>
      <c r="B26" t="str">
        <f ca="1">IFERROR(__xludf.DUMMYFUNCTION("""COMPUTED_VALUE"""),"rksmissionsarada@yahoo.in")</f>
        <v>rksmissionsarada@yahoo.in</v>
      </c>
      <c r="C26">
        <f ca="1">IFERROR(__xludf.DUMMYFUNCTION("""COMPUTED_VALUE"""),15)</f>
        <v>15</v>
      </c>
      <c r="D26" t="str">
        <f ca="1">IFERROR(__xludf.DUMMYFUNCTION("""COMPUTED_VALUE"""),"The secretary,Pravrajika chetanaprana,Ramakrishana sarada mission,Thycaud,TVM-695014")</f>
        <v>The secretary,Pravrajika chetanaprana,Ramakrishana sarada mission,Thycaud,TVM-695014</v>
      </c>
      <c r="E26">
        <f ca="1">IFERROR(__xludf.DUMMYFUNCTION("""COMPUTED_VALUE"""),9496176957)</f>
        <v>9496176957</v>
      </c>
      <c r="F26" t="str">
        <f ca="1">IFERROR(__xludf.DUMMYFUNCTION("""COMPUTED_VALUE"""),"Thiruvananthapuram")</f>
        <v>Thiruvananthapuram</v>
      </c>
      <c r="G26" t="str">
        <f ca="1">IFERROR(__xludf.DUMMYFUNCTION("""COMPUTED_VALUE"""),"KELTRON")</f>
        <v>KELTRON</v>
      </c>
      <c r="H26">
        <f ca="1">IFERROR(__xludf.DUMMYFUNCTION("""COMPUTED_VALUE"""),3)</f>
        <v>3</v>
      </c>
      <c r="I26" s="4">
        <f ca="1">IFERROR(__xludf.DUMMYFUNCTION("""COMPUTED_VALUE"""),43152)</f>
        <v>43152</v>
      </c>
      <c r="J26">
        <f ca="1">IFERROR(__xludf.DUMMYFUNCTION("""COMPUTED_VALUE"""),20)</f>
        <v>20</v>
      </c>
      <c r="K26">
        <f ca="1">IFERROR(__xludf.DUMMYFUNCTION("""COMPUTED_VALUE"""),1145058000675)</f>
        <v>1145058000675</v>
      </c>
      <c r="L26" t="str">
        <f ca="1">IFERROR(__xludf.DUMMYFUNCTION("""COMPUTED_VALUE"""),"Thycaud")</f>
        <v>Thycaud</v>
      </c>
      <c r="M26" t="str">
        <f ca="1">IFERROR(__xludf.DUMMYFUNCTION("""COMPUTED_VALUE"""),"I Accept")</f>
        <v>I Accept</v>
      </c>
      <c r="N26" s="4">
        <f ca="1">IFERROR(__xludf.DUMMYFUNCTION("""COMPUTED_VALUE"""),43152)</f>
        <v>43152</v>
      </c>
      <c r="O26" s="4">
        <f ca="1">IFERROR(__xludf.DUMMYFUNCTION("""COMPUTED_VALUE"""),43152)</f>
        <v>43152</v>
      </c>
      <c r="P26">
        <f ca="1">IFERROR(__xludf.DUMMYFUNCTION("""COMPUTED_VALUE"""),20)</f>
        <v>20</v>
      </c>
      <c r="Q26" t="str">
        <f ca="1">IFERROR(__xludf.DUMMYFUNCTION("""COMPUTED_VALUE"""),"kecsolar2017@gmail.com")</f>
        <v>kecsolar2017@gmail.com</v>
      </c>
      <c r="R26" s="2" t="s">
        <v>463</v>
      </c>
    </row>
    <row r="27" spans="1:18" ht="15.75" customHeight="1" x14ac:dyDescent="0.15">
      <c r="A27" s="3">
        <f ca="1">IFERROR(__xludf.DUMMYFUNCTION("""COMPUTED_VALUE"""),43152.4575650462)</f>
        <v>43152.457565046199</v>
      </c>
      <c r="B27" t="str">
        <f ca="1">IFERROR(__xludf.DUMMYFUNCTION("""COMPUTED_VALUE"""),"sales@dyuthirenewables.in")</f>
        <v>sales@dyuthirenewables.in</v>
      </c>
      <c r="C27">
        <f ca="1">IFERROR(__xludf.DUMMYFUNCTION("""COMPUTED_VALUE"""),194)</f>
        <v>194</v>
      </c>
      <c r="D27" t="str">
        <f ca="1">IFERROR(__xludf.DUMMYFUNCTION("""COMPUTED_VALUE"""),"Venugopal S")</f>
        <v>Venugopal S</v>
      </c>
      <c r="E27">
        <f ca="1">IFERROR(__xludf.DUMMYFUNCTION("""COMPUTED_VALUE"""),9961494942)</f>
        <v>9961494942</v>
      </c>
      <c r="F27" t="str">
        <f ca="1">IFERROR(__xludf.DUMMYFUNCTION("""COMPUTED_VALUE"""),"Ernakulam")</f>
        <v>Ernakulam</v>
      </c>
      <c r="G27" t="str">
        <f ca="1">IFERROR(__xludf.DUMMYFUNCTION("""COMPUTED_VALUE"""),"Renewable Energy Solutions P Ltd")</f>
        <v>Renewable Energy Solutions P Ltd</v>
      </c>
      <c r="H27">
        <f ca="1">IFERROR(__xludf.DUMMYFUNCTION("""COMPUTED_VALUE"""),64)</f>
        <v>64</v>
      </c>
      <c r="I27" s="4">
        <f ca="1">IFERROR(__xludf.DUMMYFUNCTION("""COMPUTED_VALUE"""),43152)</f>
        <v>43152</v>
      </c>
      <c r="J27">
        <f ca="1">IFERROR(__xludf.DUMMYFUNCTION("""COMPUTED_VALUE"""),5)</f>
        <v>5</v>
      </c>
      <c r="K27">
        <f ca="1">IFERROR(__xludf.DUMMYFUNCTION("""COMPUTED_VALUE"""),1155442000070)</f>
        <v>1155442000070</v>
      </c>
      <c r="L27" t="str">
        <f ca="1">IFERROR(__xludf.DUMMYFUNCTION("""COMPUTED_VALUE"""),"5544")</f>
        <v>5544</v>
      </c>
      <c r="M27" t="str">
        <f ca="1">IFERROR(__xludf.DUMMYFUNCTION("""COMPUTED_VALUE"""),"I Accept")</f>
        <v>I Accept</v>
      </c>
      <c r="N27" s="4">
        <f ca="1">IFERROR(__xludf.DUMMYFUNCTION("""COMPUTED_VALUE"""),43145)</f>
        <v>43145</v>
      </c>
      <c r="O27" s="4">
        <f ca="1">IFERROR(__xludf.DUMMYFUNCTION("""COMPUTED_VALUE"""),43145)</f>
        <v>43145</v>
      </c>
      <c r="P27">
        <f ca="1">IFERROR(__xludf.DUMMYFUNCTION("""COMPUTED_VALUE"""),5)</f>
        <v>5</v>
      </c>
      <c r="Q27" t="str">
        <f ca="1">IFERROR(__xludf.DUMMYFUNCTION("""COMPUTED_VALUE"""),"venugopals001@bharatpetroleum.in")</f>
        <v>venugopals001@bharatpetroleum.in</v>
      </c>
      <c r="R27" s="2" t="s">
        <v>483</v>
      </c>
    </row>
    <row r="28" spans="1:18" ht="15.75" customHeight="1" x14ac:dyDescent="0.15">
      <c r="A28" s="3">
        <f ca="1">IFERROR(__xludf.DUMMYFUNCTION("""COMPUTED_VALUE"""),43152.4648160648)</f>
        <v>43152.464816064799</v>
      </c>
      <c r="B28" t="str">
        <f ca="1">IFERROR(__xludf.DUMMYFUNCTION("""COMPUTED_VALUE"""),"sales@dyuthirenewables.in")</f>
        <v>sales@dyuthirenewables.in</v>
      </c>
      <c r="C28">
        <f ca="1">IFERROR(__xludf.DUMMYFUNCTION("""COMPUTED_VALUE"""),221)</f>
        <v>221</v>
      </c>
      <c r="D28" t="str">
        <f ca="1">IFERROR(__xludf.DUMMYFUNCTION("""COMPUTED_VALUE"""),"PRABHA SHENOY V")</f>
        <v>PRABHA SHENOY V</v>
      </c>
      <c r="E28">
        <f ca="1">IFERROR(__xludf.DUMMYFUNCTION("""COMPUTED_VALUE"""),9447736694)</f>
        <v>9447736694</v>
      </c>
      <c r="F28" t="str">
        <f ca="1">IFERROR(__xludf.DUMMYFUNCTION("""COMPUTED_VALUE"""),"Ernakulam")</f>
        <v>Ernakulam</v>
      </c>
      <c r="G28" t="str">
        <f ca="1">IFERROR(__xludf.DUMMYFUNCTION("""COMPUTED_VALUE"""),"Renewable Energy Solutions P Ltd")</f>
        <v>Renewable Energy Solutions P Ltd</v>
      </c>
      <c r="H28">
        <f ca="1">IFERROR(__xludf.DUMMYFUNCTION("""COMPUTED_VALUE"""),64)</f>
        <v>64</v>
      </c>
      <c r="I28" s="4">
        <f ca="1">IFERROR(__xludf.DUMMYFUNCTION("""COMPUTED_VALUE"""),43152)</f>
        <v>43152</v>
      </c>
      <c r="J28">
        <f ca="1">IFERROR(__xludf.DUMMYFUNCTION("""COMPUTED_VALUE"""),2)</f>
        <v>2</v>
      </c>
      <c r="K28">
        <f ca="1">IFERROR(__xludf.DUMMYFUNCTION("""COMPUTED_VALUE"""),1155442006739)</f>
        <v>1155442006739</v>
      </c>
      <c r="L28" t="str">
        <f ca="1">IFERROR(__xludf.DUMMYFUNCTION("""COMPUTED_VALUE"""),"5544")</f>
        <v>5544</v>
      </c>
      <c r="M28" t="str">
        <f ca="1">IFERROR(__xludf.DUMMYFUNCTION("""COMPUTED_VALUE"""),"I Accept")</f>
        <v>I Accept</v>
      </c>
      <c r="N28" s="4">
        <f ca="1">IFERROR(__xludf.DUMMYFUNCTION("""COMPUTED_VALUE"""),43139)</f>
        <v>43139</v>
      </c>
      <c r="O28" s="4">
        <f ca="1">IFERROR(__xludf.DUMMYFUNCTION("""COMPUTED_VALUE"""),43139)</f>
        <v>43139</v>
      </c>
      <c r="P28">
        <f ca="1">IFERROR(__xludf.DUMMYFUNCTION("""COMPUTED_VALUE"""),2)</f>
        <v>2</v>
      </c>
      <c r="Q28" t="str">
        <f ca="1">IFERROR(__xludf.DUMMYFUNCTION("""COMPUTED_VALUE"""),"prabhabaliga@gmail.com")</f>
        <v>prabhabaliga@gmail.com</v>
      </c>
      <c r="R28" s="2" t="s">
        <v>498</v>
      </c>
    </row>
    <row r="29" spans="1:18" ht="15.75" customHeight="1" x14ac:dyDescent="0.15">
      <c r="A29" s="3">
        <f ca="1">IFERROR(__xludf.DUMMYFUNCTION("""COMPUTED_VALUE"""),43152.4759020486)</f>
        <v>43152.475902048602</v>
      </c>
      <c r="B29" t="str">
        <f ca="1">IFERROR(__xludf.DUMMYFUNCTION("""COMPUTED_VALUE"""),"sales@dyuthirenewables.in")</f>
        <v>sales@dyuthirenewables.in</v>
      </c>
      <c r="C29">
        <f ca="1">IFERROR(__xludf.DUMMYFUNCTION("""COMPUTED_VALUE"""),25)</f>
        <v>25</v>
      </c>
      <c r="D29" t="str">
        <f ca="1">IFERROR(__xludf.DUMMYFUNCTION("""COMPUTED_VALUE"""),"VENUGOPAL E. B.")</f>
        <v>VENUGOPAL E. B.</v>
      </c>
      <c r="E29">
        <f ca="1">IFERROR(__xludf.DUMMYFUNCTION("""COMPUTED_VALUE"""),8129055844)</f>
        <v>8129055844</v>
      </c>
      <c r="F29" t="str">
        <f ca="1">IFERROR(__xludf.DUMMYFUNCTION("""COMPUTED_VALUE"""),"Ernakulam")</f>
        <v>Ernakulam</v>
      </c>
      <c r="G29" t="str">
        <f ca="1">IFERROR(__xludf.DUMMYFUNCTION("""COMPUTED_VALUE"""),"Renewable Energy Solutions P Ltd")</f>
        <v>Renewable Energy Solutions P Ltd</v>
      </c>
      <c r="H29">
        <f ca="1">IFERROR(__xludf.DUMMYFUNCTION("""COMPUTED_VALUE"""),64)</f>
        <v>64</v>
      </c>
      <c r="I29" s="4">
        <f ca="1">IFERROR(__xludf.DUMMYFUNCTION("""COMPUTED_VALUE"""),43152)</f>
        <v>43152</v>
      </c>
      <c r="J29">
        <f ca="1">IFERROR(__xludf.DUMMYFUNCTION("""COMPUTED_VALUE"""),3)</f>
        <v>3</v>
      </c>
      <c r="K29">
        <f ca="1">IFERROR(__xludf.DUMMYFUNCTION("""COMPUTED_VALUE"""),1155522009203)</f>
        <v>1155522009203</v>
      </c>
      <c r="L29" t="str">
        <f ca="1">IFERROR(__xludf.DUMMYFUNCTION("""COMPUTED_VALUE"""),"5552")</f>
        <v>5552</v>
      </c>
      <c r="M29" t="str">
        <f ca="1">IFERROR(__xludf.DUMMYFUNCTION("""COMPUTED_VALUE"""),"I Accept")</f>
        <v>I Accept</v>
      </c>
      <c r="N29" s="4">
        <f ca="1">IFERROR(__xludf.DUMMYFUNCTION("""COMPUTED_VALUE"""),43129)</f>
        <v>43129</v>
      </c>
      <c r="O29" s="4">
        <f ca="1">IFERROR(__xludf.DUMMYFUNCTION("""COMPUTED_VALUE"""),43129)</f>
        <v>43129</v>
      </c>
      <c r="P29">
        <f ca="1">IFERROR(__xludf.DUMMYFUNCTION("""COMPUTED_VALUE"""),3)</f>
        <v>3</v>
      </c>
      <c r="Q29" t="str">
        <f ca="1">IFERROR(__xludf.DUMMYFUNCTION("""COMPUTED_VALUE"""),"venugopaleb@gmail.com")</f>
        <v>venugopaleb@gmail.com</v>
      </c>
      <c r="R29" s="2" t="s">
        <v>506</v>
      </c>
    </row>
    <row r="30" spans="1:18" ht="15.75" customHeight="1" x14ac:dyDescent="0.15">
      <c r="A30" s="3">
        <f ca="1">IFERROR(__xludf.DUMMYFUNCTION("""COMPUTED_VALUE"""),43152.5788070833)</f>
        <v>43152.5788070833</v>
      </c>
      <c r="B30" t="str">
        <f ca="1">IFERROR(__xludf.DUMMYFUNCTION("""COMPUTED_VALUE"""),"mohanakumarkayamkulam@gmail.com")</f>
        <v>mohanakumarkayamkulam@gmail.com</v>
      </c>
      <c r="C30">
        <f ca="1">IFERROR(__xludf.DUMMYFUNCTION("""COMPUTED_VALUE"""),251)</f>
        <v>251</v>
      </c>
      <c r="D30" t="str">
        <f ca="1">IFERROR(__xludf.DUMMYFUNCTION("""COMPUTED_VALUE"""),"Mohana Kumar Narayana Pillai")</f>
        <v>Mohana Kumar Narayana Pillai</v>
      </c>
      <c r="E30">
        <f ca="1">IFERROR(__xludf.DUMMYFUNCTION("""COMPUTED_VALUE"""),9562233099)</f>
        <v>9562233099</v>
      </c>
      <c r="F30" t="str">
        <f ca="1">IFERROR(__xludf.DUMMYFUNCTION("""COMPUTED_VALUE"""),"Alappuzha")</f>
        <v>Alappuzha</v>
      </c>
      <c r="G30" t="str">
        <f ca="1">IFERROR(__xludf.DUMMYFUNCTION("""COMPUTED_VALUE"""),"Reecco Energy India Pvt. Ltd")</f>
        <v>Reecco Energy India Pvt. Ltd</v>
      </c>
      <c r="H30">
        <f ca="1">IFERROR(__xludf.DUMMYFUNCTION("""COMPUTED_VALUE"""),47)</f>
        <v>47</v>
      </c>
      <c r="I30" s="4">
        <f ca="1">IFERROR(__xludf.DUMMYFUNCTION("""COMPUTED_VALUE"""),43152)</f>
        <v>43152</v>
      </c>
      <c r="J30">
        <f ca="1">IFERROR(__xludf.DUMMYFUNCTION("""COMPUTED_VALUE"""),3)</f>
        <v>3</v>
      </c>
      <c r="K30">
        <f ca="1">IFERROR(__xludf.DUMMYFUNCTION("""COMPUTED_VALUE"""),1155312020638)</f>
        <v>1155312020638</v>
      </c>
      <c r="L30" t="str">
        <f ca="1">IFERROR(__xludf.DUMMYFUNCTION("""COMPUTED_VALUE"""),"Kayamkulam East")</f>
        <v>Kayamkulam East</v>
      </c>
      <c r="M30" t="str">
        <f ca="1">IFERROR(__xludf.DUMMYFUNCTION("""COMPUTED_VALUE"""),"I Accept")</f>
        <v>I Accept</v>
      </c>
      <c r="N30" s="4">
        <f ca="1">IFERROR(__xludf.DUMMYFUNCTION("""COMPUTED_VALUE"""),43068)</f>
        <v>43068</v>
      </c>
      <c r="O30" s="4">
        <f ca="1">IFERROR(__xludf.DUMMYFUNCTION("""COMPUTED_VALUE"""),43068)</f>
        <v>43068</v>
      </c>
      <c r="P30">
        <f ca="1">IFERROR(__xludf.DUMMYFUNCTION("""COMPUTED_VALUE"""),3)</f>
        <v>3</v>
      </c>
      <c r="Q30" t="str">
        <f ca="1">IFERROR(__xludf.DUMMYFUNCTION("""COMPUTED_VALUE"""),"mohanakumarkayamkulam@gmail.com")</f>
        <v>mohanakumarkayamkulam@gmail.com</v>
      </c>
      <c r="R30" s="2" t="s">
        <v>519</v>
      </c>
    </row>
    <row r="31" spans="1:18" ht="15.75" customHeight="1" x14ac:dyDescent="0.15">
      <c r="A31" s="3">
        <f ca="1">IFERROR(__xludf.DUMMYFUNCTION("""COMPUTED_VALUE"""),43152.6299080902)</f>
        <v>43152.629908090203</v>
      </c>
      <c r="B31" t="str">
        <f ca="1">IFERROR(__xludf.DUMMYFUNCTION("""COMPUTED_VALUE"""),"dilip.sasikumar@outlook.com")</f>
        <v>dilip.sasikumar@outlook.com</v>
      </c>
      <c r="C31">
        <f ca="1">IFERROR(__xludf.DUMMYFUNCTION("""COMPUTED_VALUE"""),130)</f>
        <v>130</v>
      </c>
      <c r="D31" t="str">
        <f ca="1">IFERROR(__xludf.DUMMYFUNCTION("""COMPUTED_VALUE"""),"SASIKUMAR K P")</f>
        <v>SASIKUMAR K P</v>
      </c>
      <c r="E31">
        <f ca="1">IFERROR(__xludf.DUMMYFUNCTION("""COMPUTED_VALUE"""),9567738985)</f>
        <v>9567738985</v>
      </c>
      <c r="F31" t="str">
        <f ca="1">IFERROR(__xludf.DUMMYFUNCTION("""COMPUTED_VALUE"""),"Palakkad")</f>
        <v>Palakkad</v>
      </c>
      <c r="G31" t="str">
        <f ca="1">IFERROR(__xludf.DUMMYFUNCTION("""COMPUTED_VALUE"""),"RENEWABLE ENERGY SOLUTIONS PVT LTD.")</f>
        <v>RENEWABLE ENERGY SOLUTIONS PVT LTD.</v>
      </c>
      <c r="H31">
        <f ca="1">IFERROR(__xludf.DUMMYFUNCTION("""COMPUTED_VALUE"""),64)</f>
        <v>64</v>
      </c>
      <c r="I31" s="4">
        <f ca="1">IFERROR(__xludf.DUMMYFUNCTION("""COMPUTED_VALUE"""),43152)</f>
        <v>43152</v>
      </c>
      <c r="J31">
        <f ca="1">IFERROR(__xludf.DUMMYFUNCTION("""COMPUTED_VALUE"""),2)</f>
        <v>2</v>
      </c>
      <c r="K31">
        <f ca="1">IFERROR(__xludf.DUMMYFUNCTION("""COMPUTED_VALUE"""),1165306012035)</f>
        <v>1165306012035</v>
      </c>
      <c r="L31" t="str">
        <f ca="1">IFERROR(__xludf.DUMMYFUNCTION("""COMPUTED_VALUE"""),"ELAPULLY")</f>
        <v>ELAPULLY</v>
      </c>
      <c r="M31" t="str">
        <f ca="1">IFERROR(__xludf.DUMMYFUNCTION("""COMPUTED_VALUE"""),"I Accept")</f>
        <v>I Accept</v>
      </c>
      <c r="N31" s="4">
        <f ca="1">IFERROR(__xludf.DUMMYFUNCTION("""COMPUTED_VALUE"""),43143)</f>
        <v>43143</v>
      </c>
      <c r="O31" s="4">
        <f ca="1">IFERROR(__xludf.DUMMYFUNCTION("""COMPUTED_VALUE"""),43143)</f>
        <v>43143</v>
      </c>
      <c r="P31">
        <f ca="1">IFERROR(__xludf.DUMMYFUNCTION("""COMPUTED_VALUE"""),30)</f>
        <v>30</v>
      </c>
      <c r="Q31" t="str">
        <f ca="1">IFERROR(__xludf.DUMMYFUNCTION("""COMPUTED_VALUE"""),"dilip.sasikumar@outlook.com")</f>
        <v>dilip.sasikumar@outlook.com</v>
      </c>
      <c r="R31" s="2" t="s">
        <v>530</v>
      </c>
    </row>
    <row r="32" spans="1:18" ht="15.75" customHeight="1" x14ac:dyDescent="0.15">
      <c r="A32" s="3">
        <f ca="1">IFERROR(__xludf.DUMMYFUNCTION("""COMPUTED_VALUE"""),43152.6551046643)</f>
        <v>43152.6551046643</v>
      </c>
      <c r="B32" t="str">
        <f ca="1">IFERROR(__xludf.DUMMYFUNCTION("""COMPUTED_VALUE"""),"asmadhavan.warrier@gmail.com")</f>
        <v>asmadhavan.warrier@gmail.com</v>
      </c>
      <c r="C32">
        <f ca="1">IFERROR(__xludf.DUMMYFUNCTION("""COMPUTED_VALUE"""),231)</f>
        <v>231</v>
      </c>
      <c r="D32" t="str">
        <f ca="1">IFERROR(__xludf.DUMMYFUNCTION("""COMPUTED_VALUE"""),"Warrier Foundation")</f>
        <v>Warrier Foundation</v>
      </c>
      <c r="E32">
        <f ca="1">IFERROR(__xludf.DUMMYFUNCTION("""COMPUTED_VALUE"""),9820050071)</f>
        <v>9820050071</v>
      </c>
      <c r="F32" t="str">
        <f ca="1">IFERROR(__xludf.DUMMYFUNCTION("""COMPUTED_VALUE"""),"Palakkad")</f>
        <v>Palakkad</v>
      </c>
      <c r="G32" t="str">
        <f ca="1">IFERROR(__xludf.DUMMYFUNCTION("""COMPUTED_VALUE"""),"RAIDCO Kerala Ltd")</f>
        <v>RAIDCO Kerala Ltd</v>
      </c>
      <c r="H32">
        <f ca="1">IFERROR(__xludf.DUMMYFUNCTION("""COMPUTED_VALUE"""),69)</f>
        <v>69</v>
      </c>
      <c r="I32" s="4">
        <f ca="1">IFERROR(__xludf.DUMMYFUNCTION("""COMPUTED_VALUE"""),43152)</f>
        <v>43152</v>
      </c>
      <c r="J32">
        <f ca="1">IFERROR(__xludf.DUMMYFUNCTION("""COMPUTED_VALUE"""),30)</f>
        <v>30</v>
      </c>
      <c r="K32">
        <f ca="1">IFERROR(__xludf.DUMMYFUNCTION("""COMPUTED_VALUE"""),1167850009493)</f>
        <v>1167850009493</v>
      </c>
      <c r="L32" t="str">
        <f ca="1">IFERROR(__xludf.DUMMYFUNCTION("""COMPUTED_VALUE"""),"Kottathara")</f>
        <v>Kottathara</v>
      </c>
      <c r="M32" t="str">
        <f ca="1">IFERROR(__xludf.DUMMYFUNCTION("""COMPUTED_VALUE"""),"I Accept")</f>
        <v>I Accept</v>
      </c>
      <c r="N32" s="4">
        <f ca="1">IFERROR(__xludf.DUMMYFUNCTION("""COMPUTED_VALUE"""),43152)</f>
        <v>43152</v>
      </c>
      <c r="O32" s="4">
        <f ca="1">IFERROR(__xludf.DUMMYFUNCTION("""COMPUTED_VALUE"""),43152)</f>
        <v>43152</v>
      </c>
      <c r="P32">
        <f ca="1">IFERROR(__xludf.DUMMYFUNCTION("""COMPUTED_VALUE"""),30)</f>
        <v>30</v>
      </c>
      <c r="Q32" t="str">
        <f ca="1">IFERROR(__xludf.DUMMYFUNCTION("""COMPUTED_VALUE"""),"vivukkuttan@gmail.com")</f>
        <v>vivukkuttan@gmail.com</v>
      </c>
      <c r="R32" s="2" t="s">
        <v>547</v>
      </c>
    </row>
    <row r="33" spans="1:18" ht="15.75" customHeight="1" x14ac:dyDescent="0.15">
      <c r="A33" s="3">
        <f ca="1">IFERROR(__xludf.DUMMYFUNCTION("""COMPUTED_VALUE"""),43152.6832826388)</f>
        <v>43152.683282638798</v>
      </c>
      <c r="B33" t="str">
        <f ca="1">IFERROR(__xludf.DUMMYFUNCTION("""COMPUTED_VALUE"""),"silverwoodsekm@gmail.com")</f>
        <v>silverwoodsekm@gmail.com</v>
      </c>
      <c r="C33">
        <f ca="1">IFERROR(__xludf.DUMMYFUNCTION("""COMPUTED_VALUE"""),113)</f>
        <v>113</v>
      </c>
      <c r="D33" t="str">
        <f ca="1">IFERROR(__xludf.DUMMYFUNCTION("""COMPUTED_VALUE"""),"MATHEW A J")</f>
        <v>MATHEW A J</v>
      </c>
      <c r="E33">
        <f ca="1">IFERROR(__xludf.DUMMYFUNCTION("""COMPUTED_VALUE"""),9526992221)</f>
        <v>9526992221</v>
      </c>
      <c r="F33" t="str">
        <f ca="1">IFERROR(__xludf.DUMMYFUNCTION("""COMPUTED_VALUE"""),"Ernakulam")</f>
        <v>Ernakulam</v>
      </c>
      <c r="G33" t="str">
        <f ca="1">IFERROR(__xludf.DUMMYFUNCTION("""COMPUTED_VALUE"""),"TATA POWER SOLAR SYSTEMS LTD")</f>
        <v>TATA POWER SOLAR SYSTEMS LTD</v>
      </c>
      <c r="H33">
        <f ca="1">IFERROR(__xludf.DUMMYFUNCTION("""COMPUTED_VALUE"""),20)</f>
        <v>20</v>
      </c>
      <c r="I33" s="4">
        <f ca="1">IFERROR(__xludf.DUMMYFUNCTION("""COMPUTED_VALUE"""),43150)</f>
        <v>43150</v>
      </c>
      <c r="J33">
        <f ca="1">IFERROR(__xludf.DUMMYFUNCTION("""COMPUTED_VALUE"""),3)</f>
        <v>3</v>
      </c>
      <c r="K33">
        <f ca="1">IFERROR(__xludf.DUMMYFUNCTION("""COMPUTED_VALUE"""),1155580005336)</f>
        <v>1155580005336</v>
      </c>
      <c r="L33" t="str">
        <f ca="1">IFERROR(__xludf.DUMMYFUNCTION("""COMPUTED_VALUE"""),"THEVAKKAL")</f>
        <v>THEVAKKAL</v>
      </c>
      <c r="M33" t="str">
        <f ca="1">IFERROR(__xludf.DUMMYFUNCTION("""COMPUTED_VALUE"""),"I Accept")</f>
        <v>I Accept</v>
      </c>
      <c r="N33" s="4">
        <f ca="1">IFERROR(__xludf.DUMMYFUNCTION("""COMPUTED_VALUE"""),43089)</f>
        <v>43089</v>
      </c>
      <c r="O33" s="4">
        <f ca="1">IFERROR(__xludf.DUMMYFUNCTION("""COMPUTED_VALUE"""),43089)</f>
        <v>43089</v>
      </c>
      <c r="P33">
        <f ca="1">IFERROR(__xludf.DUMMYFUNCTION("""COMPUTED_VALUE"""),3)</f>
        <v>3</v>
      </c>
      <c r="Q33" t="str">
        <f ca="1">IFERROR(__xludf.DUMMYFUNCTION("""COMPUTED_VALUE"""),"silverwoodsekm@gmail.com")</f>
        <v>silverwoodsekm@gmail.com</v>
      </c>
      <c r="R33" s="2" t="s">
        <v>578</v>
      </c>
    </row>
    <row r="34" spans="1:18" ht="15.75" customHeight="1" x14ac:dyDescent="0.15">
      <c r="A34" s="3">
        <f ca="1">IFERROR(__xludf.DUMMYFUNCTION("""COMPUTED_VALUE"""),43152.689448206)</f>
        <v>43152.689448206002</v>
      </c>
      <c r="B34" t="str">
        <f ca="1">IFERROR(__xludf.DUMMYFUNCTION("""COMPUTED_VALUE"""),"silverwoodsekm@gmail.com")</f>
        <v>silverwoodsekm@gmail.com</v>
      </c>
      <c r="C34">
        <f ca="1">IFERROR(__xludf.DUMMYFUNCTION("""COMPUTED_VALUE"""),131)</f>
        <v>131</v>
      </c>
      <c r="D34" t="str">
        <f ca="1">IFERROR(__xludf.DUMMYFUNCTION("""COMPUTED_VALUE"""),"JAMES MATHEW")</f>
        <v>JAMES MATHEW</v>
      </c>
      <c r="E34">
        <f ca="1">IFERROR(__xludf.DUMMYFUNCTION("""COMPUTED_VALUE"""),9526991119)</f>
        <v>9526991119</v>
      </c>
      <c r="F34" t="str">
        <f ca="1">IFERROR(__xludf.DUMMYFUNCTION("""COMPUTED_VALUE"""),"Ernakulam")</f>
        <v>Ernakulam</v>
      </c>
      <c r="G34" t="str">
        <f ca="1">IFERROR(__xludf.DUMMYFUNCTION("""COMPUTED_VALUE"""),"TATA POWER SOLAR SYSTEMS LTD")</f>
        <v>TATA POWER SOLAR SYSTEMS LTD</v>
      </c>
      <c r="H34">
        <f ca="1">IFERROR(__xludf.DUMMYFUNCTION("""COMPUTED_VALUE"""),20)</f>
        <v>20</v>
      </c>
      <c r="I34" s="4">
        <f ca="1">IFERROR(__xludf.DUMMYFUNCTION("""COMPUTED_VALUE"""),43146)</f>
        <v>43146</v>
      </c>
      <c r="J34">
        <f ca="1">IFERROR(__xludf.DUMMYFUNCTION("""COMPUTED_VALUE"""),5)</f>
        <v>5</v>
      </c>
      <c r="K34">
        <f ca="1">IFERROR(__xludf.DUMMYFUNCTION("""COMPUTED_VALUE"""),1155717002613)</f>
        <v>1155717002613</v>
      </c>
      <c r="L34" t="str">
        <f ca="1">IFERROR(__xludf.DUMMYFUNCTION("""COMPUTED_VALUE"""),"Chegamanad,PBVR[5571]")</f>
        <v>Chegamanad,PBVR[5571]</v>
      </c>
      <c r="M34" t="str">
        <f ca="1">IFERROR(__xludf.DUMMYFUNCTION("""COMPUTED_VALUE"""),"I Accept")</f>
        <v>I Accept</v>
      </c>
      <c r="N34" s="4">
        <f ca="1">IFERROR(__xludf.DUMMYFUNCTION("""COMPUTED_VALUE"""),43147)</f>
        <v>43147</v>
      </c>
      <c r="O34" s="4">
        <f ca="1">IFERROR(__xludf.DUMMYFUNCTION("""COMPUTED_VALUE"""),43147)</f>
        <v>43147</v>
      </c>
      <c r="P34">
        <f ca="1">IFERROR(__xludf.DUMMYFUNCTION("""COMPUTED_VALUE"""),5)</f>
        <v>5</v>
      </c>
      <c r="Q34" t="str">
        <f ca="1">IFERROR(__xludf.DUMMYFUNCTION("""COMPUTED_VALUE"""),"silverwoodsekm@gmail.com")</f>
        <v>silverwoodsekm@gmail.com</v>
      </c>
      <c r="R34" s="2" t="s">
        <v>590</v>
      </c>
    </row>
    <row r="35" spans="1:18" ht="15.75" customHeight="1" x14ac:dyDescent="0.15">
      <c r="A35" s="3">
        <f ca="1">IFERROR(__xludf.DUMMYFUNCTION("""COMPUTED_VALUE"""),43152.695205625)</f>
        <v>43152.695205625001</v>
      </c>
      <c r="B35" t="str">
        <f ca="1">IFERROR(__xludf.DUMMYFUNCTION("""COMPUTED_VALUE"""),"silverwoodsekm@gmail.com")</f>
        <v>silverwoodsekm@gmail.com</v>
      </c>
      <c r="C35">
        <f ca="1">IFERROR(__xludf.DUMMYFUNCTION("""COMPUTED_VALUE"""),90)</f>
        <v>90</v>
      </c>
      <c r="D35" t="str">
        <f ca="1">IFERROR(__xludf.DUMMYFUNCTION("""COMPUTED_VALUE"""),"JAYAN MATHEW")</f>
        <v>JAYAN MATHEW</v>
      </c>
      <c r="E35">
        <f ca="1">IFERROR(__xludf.DUMMYFUNCTION("""COMPUTED_VALUE"""),9526992221)</f>
        <v>9526992221</v>
      </c>
      <c r="F35" t="str">
        <f ca="1">IFERROR(__xludf.DUMMYFUNCTION("""COMPUTED_VALUE"""),"Ernakulam")</f>
        <v>Ernakulam</v>
      </c>
      <c r="G35" t="str">
        <f ca="1">IFERROR(__xludf.DUMMYFUNCTION("""COMPUTED_VALUE"""),"TATA POWER SOLAR SYSTEMS LTD")</f>
        <v>TATA POWER SOLAR SYSTEMS LTD</v>
      </c>
      <c r="H35">
        <f ca="1">IFERROR(__xludf.DUMMYFUNCTION("""COMPUTED_VALUE"""),20)</f>
        <v>20</v>
      </c>
      <c r="I35" s="4">
        <f ca="1">IFERROR(__xludf.DUMMYFUNCTION("""COMPUTED_VALUE"""),43151)</f>
        <v>43151</v>
      </c>
      <c r="J35">
        <f ca="1">IFERROR(__xludf.DUMMYFUNCTION("""COMPUTED_VALUE"""),5)</f>
        <v>5</v>
      </c>
      <c r="K35">
        <f ca="1">IFERROR(__xludf.DUMMYFUNCTION("""COMPUTED_VALUE"""),1155642013934)</f>
        <v>1155642013934</v>
      </c>
      <c r="L35" t="str">
        <f ca="1">IFERROR(__xludf.DUMMYFUNCTION("""COMPUTED_VALUE"""),"FORT KOCHI")</f>
        <v>FORT KOCHI</v>
      </c>
      <c r="M35" t="str">
        <f ca="1">IFERROR(__xludf.DUMMYFUNCTION("""COMPUTED_VALUE"""),"I Accept")</f>
        <v>I Accept</v>
      </c>
      <c r="N35" s="4">
        <f ca="1">IFERROR(__xludf.DUMMYFUNCTION("""COMPUTED_VALUE"""),43151)</f>
        <v>43151</v>
      </c>
      <c r="O35" s="4">
        <f ca="1">IFERROR(__xludf.DUMMYFUNCTION("""COMPUTED_VALUE"""),43151)</f>
        <v>43151</v>
      </c>
      <c r="P35">
        <f ca="1">IFERROR(__xludf.DUMMYFUNCTION("""COMPUTED_VALUE"""),5)</f>
        <v>5</v>
      </c>
      <c r="Q35" t="str">
        <f ca="1">IFERROR(__xludf.DUMMYFUNCTION("""COMPUTED_VALUE"""),"silverwoodsekm@gmail.com")</f>
        <v>silverwoodsekm@gmail.com</v>
      </c>
      <c r="R35" s="2" t="s">
        <v>604</v>
      </c>
    </row>
    <row r="36" spans="1:18" ht="15.75" customHeight="1" x14ac:dyDescent="0.15">
      <c r="A36" s="3">
        <f ca="1">IFERROR(__xludf.DUMMYFUNCTION("""COMPUTED_VALUE"""),43152.6979309838)</f>
        <v>43152.697930983799</v>
      </c>
      <c r="B36" t="str">
        <f ca="1">IFERROR(__xludf.DUMMYFUNCTION("""COMPUTED_VALUE"""),"silverwoodsekm@gmail.com")</f>
        <v>silverwoodsekm@gmail.com</v>
      </c>
      <c r="C36">
        <f ca="1">IFERROR(__xludf.DUMMYFUNCTION("""COMPUTED_VALUE"""),199)</f>
        <v>199</v>
      </c>
      <c r="D36" t="str">
        <f ca="1">IFERROR(__xludf.DUMMYFUNCTION("""COMPUTED_VALUE"""),"SURESH KUMAR D")</f>
        <v>SURESH KUMAR D</v>
      </c>
      <c r="E36">
        <f ca="1">IFERROR(__xludf.DUMMYFUNCTION("""COMPUTED_VALUE"""),9526992221)</f>
        <v>9526992221</v>
      </c>
      <c r="F36" t="str">
        <f ca="1">IFERROR(__xludf.DUMMYFUNCTION("""COMPUTED_VALUE"""),"Ernakulam")</f>
        <v>Ernakulam</v>
      </c>
      <c r="G36" t="str">
        <f ca="1">IFERROR(__xludf.DUMMYFUNCTION("""COMPUTED_VALUE"""),"TATA POWER SOLAR SYSTEMS LTD")</f>
        <v>TATA POWER SOLAR SYSTEMS LTD</v>
      </c>
      <c r="H36">
        <f ca="1">IFERROR(__xludf.DUMMYFUNCTION("""COMPUTED_VALUE"""),20)</f>
        <v>20</v>
      </c>
      <c r="I36" s="4">
        <f ca="1">IFERROR(__xludf.DUMMYFUNCTION("""COMPUTED_VALUE"""),43151)</f>
        <v>43151</v>
      </c>
      <c r="J36">
        <f ca="1">IFERROR(__xludf.DUMMYFUNCTION("""COMPUTED_VALUE"""),3)</f>
        <v>3</v>
      </c>
      <c r="K36">
        <f ca="1">IFERROR(__xludf.DUMMYFUNCTION("""COMPUTED_VALUE"""),1157322013602)</f>
        <v>1157322013602</v>
      </c>
      <c r="L36" t="str">
        <f ca="1">IFERROR(__xludf.DUMMYFUNCTION("""COMPUTED_VALUE"""),"vennala")</f>
        <v>vennala</v>
      </c>
      <c r="M36" t="str">
        <f ca="1">IFERROR(__xludf.DUMMYFUNCTION("""COMPUTED_VALUE"""),"I Accept")</f>
        <v>I Accept</v>
      </c>
      <c r="N36" s="4">
        <f ca="1">IFERROR(__xludf.DUMMYFUNCTION("""COMPUTED_VALUE"""),43151)</f>
        <v>43151</v>
      </c>
      <c r="O36" s="4">
        <f ca="1">IFERROR(__xludf.DUMMYFUNCTION("""COMPUTED_VALUE"""),43151)</f>
        <v>43151</v>
      </c>
      <c r="P36">
        <f ca="1">IFERROR(__xludf.DUMMYFUNCTION("""COMPUTED_VALUE"""),3)</f>
        <v>3</v>
      </c>
      <c r="Q36" t="str">
        <f ca="1">IFERROR(__xludf.DUMMYFUNCTION("""COMPUTED_VALUE"""),"silverwoodsekm@gmail.com")</f>
        <v>silverwoodsekm@gmail.com</v>
      </c>
      <c r="R36" s="2" t="s">
        <v>629</v>
      </c>
    </row>
    <row r="37" spans="1:18" ht="15.75" customHeight="1" x14ac:dyDescent="0.15">
      <c r="A37" s="3">
        <f ca="1">IFERROR(__xludf.DUMMYFUNCTION("""COMPUTED_VALUE"""),43152.7972095486)</f>
        <v>43152.797209548597</v>
      </c>
      <c r="B37" t="str">
        <f ca="1">IFERROR(__xludf.DUMMYFUNCTION("""COMPUTED_VALUE"""),"akhilalezz@gmail.com")</f>
        <v>akhilalezz@gmail.com</v>
      </c>
      <c r="C37">
        <f ca="1">IFERROR(__xludf.DUMMYFUNCTION("""COMPUTED_VALUE"""),265)</f>
        <v>265</v>
      </c>
      <c r="D37" t="str">
        <f ca="1">IFERROR(__xludf.DUMMYFUNCTION("""COMPUTED_VALUE"""),"Lily KOshy")</f>
        <v>Lily KOshy</v>
      </c>
      <c r="E37">
        <f ca="1">IFERROR(__xludf.DUMMYFUNCTION("""COMPUTED_VALUE"""),7907009190)</f>
        <v>7907009190</v>
      </c>
      <c r="F37" t="str">
        <f ca="1">IFERROR(__xludf.DUMMYFUNCTION("""COMPUTED_VALUE"""),"Alappuzha")</f>
        <v>Alappuzha</v>
      </c>
      <c r="G37" t="str">
        <f ca="1">IFERROR(__xludf.DUMMYFUNCTION("""COMPUTED_VALUE"""),"Solgen Energy Pvt Ltd")</f>
        <v>Solgen Energy Pvt Ltd</v>
      </c>
      <c r="H37">
        <f ca="1">IFERROR(__xludf.DUMMYFUNCTION("""COMPUTED_VALUE"""),42)</f>
        <v>42</v>
      </c>
      <c r="I37" s="4">
        <f ca="1">IFERROR(__xludf.DUMMYFUNCTION("""COMPUTED_VALUE"""),43152)</f>
        <v>43152</v>
      </c>
      <c r="J37">
        <f ca="1">IFERROR(__xludf.DUMMYFUNCTION("""COMPUTED_VALUE"""),5)</f>
        <v>5</v>
      </c>
      <c r="K37">
        <f ca="1">IFERROR(__xludf.DUMMYFUNCTION("""COMPUTED_VALUE"""),1155021012360)</f>
        <v>1155021012360</v>
      </c>
      <c r="L37" t="str">
        <f ca="1">IFERROR(__xludf.DUMMYFUNCTION("""COMPUTED_VALUE"""),"Alappuzha Town")</f>
        <v>Alappuzha Town</v>
      </c>
      <c r="M37" t="str">
        <f ca="1">IFERROR(__xludf.DUMMYFUNCTION("""COMPUTED_VALUE"""),"I Accept")</f>
        <v>I Accept</v>
      </c>
      <c r="N37" s="4">
        <f ca="1">IFERROR(__xludf.DUMMYFUNCTION("""COMPUTED_VALUE"""),43000)</f>
        <v>43000</v>
      </c>
      <c r="O37" s="4">
        <f ca="1">IFERROR(__xludf.DUMMYFUNCTION("""COMPUTED_VALUE"""),43180)</f>
        <v>43180</v>
      </c>
      <c r="P37">
        <f ca="1">IFERROR(__xludf.DUMMYFUNCTION("""COMPUTED_VALUE"""),5)</f>
        <v>5</v>
      </c>
      <c r="Q37" t="str">
        <f ca="1">IFERROR(__xludf.DUMMYFUNCTION("""COMPUTED_VALUE"""),"akhilalezz@gmail.com")</f>
        <v>akhilalezz@gmail.com</v>
      </c>
      <c r="R37" s="2" t="s">
        <v>651</v>
      </c>
    </row>
    <row r="38" spans="1:18" ht="15.75" customHeight="1" x14ac:dyDescent="0.15">
      <c r="A38" s="3">
        <f ca="1">IFERROR(__xludf.DUMMYFUNCTION("""COMPUTED_VALUE"""),43152.801853206)</f>
        <v>43152.801853206001</v>
      </c>
      <c r="B38" t="str">
        <f ca="1">IFERROR(__xludf.DUMMYFUNCTION("""COMPUTED_VALUE"""),"akhilalezz@gmail.com")</f>
        <v>akhilalezz@gmail.com</v>
      </c>
      <c r="C38">
        <f ca="1">IFERROR(__xludf.DUMMYFUNCTION("""COMPUTED_VALUE"""),268)</f>
        <v>268</v>
      </c>
      <c r="D38" t="str">
        <f ca="1">IFERROR(__xludf.DUMMYFUNCTION("""COMPUTED_VALUE"""),"SIJU RAJAPPAN")</f>
        <v>SIJU RAJAPPAN</v>
      </c>
      <c r="E38">
        <f ca="1">IFERROR(__xludf.DUMMYFUNCTION("""COMPUTED_VALUE"""),7907009190)</f>
        <v>7907009190</v>
      </c>
      <c r="F38" t="str">
        <f ca="1">IFERROR(__xludf.DUMMYFUNCTION("""COMPUTED_VALUE"""),"Alappuzha")</f>
        <v>Alappuzha</v>
      </c>
      <c r="G38" t="str">
        <f ca="1">IFERROR(__xludf.DUMMYFUNCTION("""COMPUTED_VALUE"""),"Solgen Energy Pvt Ltd")</f>
        <v>Solgen Energy Pvt Ltd</v>
      </c>
      <c r="H38">
        <f ca="1">IFERROR(__xludf.DUMMYFUNCTION("""COMPUTED_VALUE"""),42)</f>
        <v>42</v>
      </c>
      <c r="I38" s="4">
        <f ca="1">IFERROR(__xludf.DUMMYFUNCTION("""COMPUTED_VALUE"""),43152)</f>
        <v>43152</v>
      </c>
      <c r="J38">
        <f ca="1">IFERROR(__xludf.DUMMYFUNCTION("""COMPUTED_VALUE"""),5)</f>
        <v>5</v>
      </c>
      <c r="K38">
        <f ca="1">IFERROR(__xludf.DUMMYFUNCTION("""COMPUTED_VALUE"""),1155035025004)</f>
        <v>1155035025004</v>
      </c>
      <c r="L38" t="str">
        <f ca="1">IFERROR(__xludf.DUMMYFUNCTION("""COMPUTED_VALUE"""),"ALAPPUZHA SOUTH")</f>
        <v>ALAPPUZHA SOUTH</v>
      </c>
      <c r="M38" t="str">
        <f ca="1">IFERROR(__xludf.DUMMYFUNCTION("""COMPUTED_VALUE"""),"I Accept")</f>
        <v>I Accept</v>
      </c>
      <c r="N38" s="4">
        <f ca="1">IFERROR(__xludf.DUMMYFUNCTION("""COMPUTED_VALUE"""),43133)</f>
        <v>43133</v>
      </c>
      <c r="O38" s="4">
        <f ca="1">IFERROR(__xludf.DUMMYFUNCTION("""COMPUTED_VALUE"""),43133)</f>
        <v>43133</v>
      </c>
      <c r="P38">
        <f ca="1">IFERROR(__xludf.DUMMYFUNCTION("""COMPUTED_VALUE"""),5)</f>
        <v>5</v>
      </c>
      <c r="Q38" t="str">
        <f ca="1">IFERROR(__xludf.DUMMYFUNCTION("""COMPUTED_VALUE"""),"akhilalezz@gmail.com")</f>
        <v>akhilalezz@gmail.com</v>
      </c>
      <c r="R38" s="2" t="s">
        <v>668</v>
      </c>
    </row>
    <row r="39" spans="1:18" ht="15.75" customHeight="1" x14ac:dyDescent="0.15">
      <c r="A39" s="3">
        <f ca="1">IFERROR(__xludf.DUMMYFUNCTION("""COMPUTED_VALUE"""),43152.806572118)</f>
        <v>43152.806572118003</v>
      </c>
      <c r="B39" t="str">
        <f ca="1">IFERROR(__xludf.DUMMYFUNCTION("""COMPUTED_VALUE"""),"akhilalezz@gmail.com")</f>
        <v>akhilalezz@gmail.com</v>
      </c>
      <c r="C39">
        <f ca="1">IFERROR(__xludf.DUMMYFUNCTION("""COMPUTED_VALUE"""),266)</f>
        <v>266</v>
      </c>
      <c r="D39" t="str">
        <f ca="1">IFERROR(__xludf.DUMMYFUNCTION("""COMPUTED_VALUE"""),"RAJASREE S")</f>
        <v>RAJASREE S</v>
      </c>
      <c r="E39">
        <f ca="1">IFERROR(__xludf.DUMMYFUNCTION("""COMPUTED_VALUE"""),7907009190)</f>
        <v>7907009190</v>
      </c>
      <c r="F39" t="str">
        <f ca="1">IFERROR(__xludf.DUMMYFUNCTION("""COMPUTED_VALUE"""),"Alappuzha")</f>
        <v>Alappuzha</v>
      </c>
      <c r="G39" t="str">
        <f ca="1">IFERROR(__xludf.DUMMYFUNCTION("""COMPUTED_VALUE"""),"SOLGEN ENERGY PVT LTD")</f>
        <v>SOLGEN ENERGY PVT LTD</v>
      </c>
      <c r="H39">
        <f ca="1">IFERROR(__xludf.DUMMYFUNCTION("""COMPUTED_VALUE"""),42)</f>
        <v>42</v>
      </c>
      <c r="I39" s="4">
        <f ca="1">IFERROR(__xludf.DUMMYFUNCTION("""COMPUTED_VALUE"""),43152)</f>
        <v>43152</v>
      </c>
      <c r="J39">
        <f ca="1">IFERROR(__xludf.DUMMYFUNCTION("""COMPUTED_VALUE"""),2)</f>
        <v>2</v>
      </c>
      <c r="K39">
        <f ca="1">IFERROR(__xludf.DUMMYFUNCTION("""COMPUTED_VALUE"""),1155055010510)</f>
        <v>1155055010510</v>
      </c>
      <c r="L39" t="str">
        <f ca="1">IFERROR(__xludf.DUMMYFUNCTION("""COMPUTED_VALUE"""),"AMBALAPPUZHA")</f>
        <v>AMBALAPPUZHA</v>
      </c>
      <c r="M39" t="str">
        <f ca="1">IFERROR(__xludf.DUMMYFUNCTION("""COMPUTED_VALUE"""),"I Accept")</f>
        <v>I Accept</v>
      </c>
      <c r="N39" s="4">
        <f ca="1">IFERROR(__xludf.DUMMYFUNCTION("""COMPUTED_VALUE"""),43150)</f>
        <v>43150</v>
      </c>
      <c r="O39" s="4">
        <f ca="1">IFERROR(__xludf.DUMMYFUNCTION("""COMPUTED_VALUE"""),43150)</f>
        <v>43150</v>
      </c>
      <c r="P39">
        <f ca="1">IFERROR(__xludf.DUMMYFUNCTION("""COMPUTED_VALUE"""),2)</f>
        <v>2</v>
      </c>
      <c r="Q39" t="str">
        <f ca="1">IFERROR(__xludf.DUMMYFUNCTION("""COMPUTED_VALUE"""),"akhilalezz@gmail.com")</f>
        <v>akhilalezz@gmail.com</v>
      </c>
      <c r="R39" s="2" t="s">
        <v>679</v>
      </c>
    </row>
    <row r="40" spans="1:18" ht="15.75" customHeight="1" x14ac:dyDescent="0.15">
      <c r="A40" s="3">
        <f ca="1">IFERROR(__xludf.DUMMYFUNCTION("""COMPUTED_VALUE"""),43152.8093252083)</f>
        <v>43152.809325208298</v>
      </c>
      <c r="B40" t="str">
        <f ca="1">IFERROR(__xludf.DUMMYFUNCTION("""COMPUTED_VALUE"""),"akhilalezz@gmail.com")</f>
        <v>akhilalezz@gmail.com</v>
      </c>
      <c r="C40">
        <f ca="1">IFERROR(__xludf.DUMMYFUNCTION("""COMPUTED_VALUE"""),269)</f>
        <v>269</v>
      </c>
      <c r="D40" t="str">
        <f ca="1">IFERROR(__xludf.DUMMYFUNCTION("""COMPUTED_VALUE"""),"BOBAN K V")</f>
        <v>BOBAN K V</v>
      </c>
      <c r="E40">
        <f ca="1">IFERROR(__xludf.DUMMYFUNCTION("""COMPUTED_VALUE"""),7907009190)</f>
        <v>7907009190</v>
      </c>
      <c r="F40" t="str">
        <f ca="1">IFERROR(__xludf.DUMMYFUNCTION("""COMPUTED_VALUE"""),"Alappuzha")</f>
        <v>Alappuzha</v>
      </c>
      <c r="G40" t="str">
        <f ca="1">IFERROR(__xludf.DUMMYFUNCTION("""COMPUTED_VALUE"""),"SOLGEN ENERGY PVT LTD")</f>
        <v>SOLGEN ENERGY PVT LTD</v>
      </c>
      <c r="H40">
        <f ca="1">IFERROR(__xludf.DUMMYFUNCTION("""COMPUTED_VALUE"""),42)</f>
        <v>42</v>
      </c>
      <c r="I40" s="4">
        <f ca="1">IFERROR(__xludf.DUMMYFUNCTION("""COMPUTED_VALUE"""),43152)</f>
        <v>43152</v>
      </c>
      <c r="J40">
        <f ca="1">IFERROR(__xludf.DUMMYFUNCTION("""COMPUTED_VALUE"""),3)</f>
        <v>3</v>
      </c>
      <c r="K40">
        <f ca="1">IFERROR(__xludf.DUMMYFUNCTION("""COMPUTED_VALUE"""),1155011021836)</f>
        <v>1155011021836</v>
      </c>
      <c r="L40" t="str">
        <f ca="1">IFERROR(__xludf.DUMMYFUNCTION("""COMPUTED_VALUE"""),"ALAPPUZHA TOWN")</f>
        <v>ALAPPUZHA TOWN</v>
      </c>
      <c r="M40" t="str">
        <f ca="1">IFERROR(__xludf.DUMMYFUNCTION("""COMPUTED_VALUE"""),"I Accept")</f>
        <v>I Accept</v>
      </c>
      <c r="N40" s="4">
        <f ca="1">IFERROR(__xludf.DUMMYFUNCTION("""COMPUTED_VALUE"""),43146)</f>
        <v>43146</v>
      </c>
      <c r="O40" s="4">
        <f ca="1">IFERROR(__xludf.DUMMYFUNCTION("""COMPUTED_VALUE"""),43146)</f>
        <v>43146</v>
      </c>
      <c r="P40">
        <f ca="1">IFERROR(__xludf.DUMMYFUNCTION("""COMPUTED_VALUE"""),3)</f>
        <v>3</v>
      </c>
      <c r="Q40" t="str">
        <f ca="1">IFERROR(__xludf.DUMMYFUNCTION("""COMPUTED_VALUE"""),"akhilalezz@gmail.com")</f>
        <v>akhilalezz@gmail.com</v>
      </c>
      <c r="R40" s="2" t="s">
        <v>701</v>
      </c>
    </row>
    <row r="41" spans="1:18" ht="15.75" customHeight="1" x14ac:dyDescent="0.15">
      <c r="A41" s="3">
        <f ca="1">IFERROR(__xludf.DUMMYFUNCTION("""COMPUTED_VALUE"""),43152.9190393287)</f>
        <v>43152.919039328699</v>
      </c>
      <c r="B41" t="str">
        <f ca="1">IFERROR(__xludf.DUMMYFUNCTION("""COMPUTED_VALUE"""),"sibu_sreedharan@yahoo.in")</f>
        <v>sibu_sreedharan@yahoo.in</v>
      </c>
      <c r="C41">
        <f ca="1">IFERROR(__xludf.DUMMYFUNCTION("""COMPUTED_VALUE"""),88)</f>
        <v>88</v>
      </c>
      <c r="D41" t="str">
        <f ca="1">IFERROR(__xludf.DUMMYFUNCTION("""COMPUTED_VALUE"""),"SIBU M S")</f>
        <v>SIBU M S</v>
      </c>
      <c r="E41">
        <f ca="1">IFERROR(__xludf.DUMMYFUNCTION("""COMPUTED_VALUE"""),9446340921)</f>
        <v>9446340921</v>
      </c>
      <c r="F41" t="str">
        <f ca="1">IFERROR(__xludf.DUMMYFUNCTION("""COMPUTED_VALUE"""),"Thiruvananthapuram")</f>
        <v>Thiruvananthapuram</v>
      </c>
      <c r="G41" t="str">
        <f ca="1">IFERROR(__xludf.DUMMYFUNCTION("""COMPUTED_VALUE"""),"TATA POWER SOLAR SYSTEMS LTD")</f>
        <v>TATA POWER SOLAR SYSTEMS LTD</v>
      </c>
      <c r="H41">
        <f ca="1">IFERROR(__xludf.DUMMYFUNCTION("""COMPUTED_VALUE"""),20)</f>
        <v>20</v>
      </c>
      <c r="I41" s="4">
        <f ca="1">IFERROR(__xludf.DUMMYFUNCTION("""COMPUTED_VALUE"""),43146)</f>
        <v>43146</v>
      </c>
      <c r="J41">
        <f ca="1">IFERROR(__xludf.DUMMYFUNCTION("""COMPUTED_VALUE"""),3)</f>
        <v>3</v>
      </c>
      <c r="K41">
        <f ca="1">IFERROR(__xludf.DUMMYFUNCTION("""COMPUTED_VALUE"""),1145149015233)</f>
        <v>1145149015233</v>
      </c>
      <c r="L41" t="str">
        <f ca="1">IFERROR(__xludf.DUMMYFUNCTION("""COMPUTED_VALUE"""),"Pettah,4514")</f>
        <v>Pettah,4514</v>
      </c>
      <c r="M41" t="str">
        <f ca="1">IFERROR(__xludf.DUMMYFUNCTION("""COMPUTED_VALUE"""),"I Accept")</f>
        <v>I Accept</v>
      </c>
      <c r="N41" s="4">
        <f ca="1">IFERROR(__xludf.DUMMYFUNCTION("""COMPUTED_VALUE"""),43145)</f>
        <v>43145</v>
      </c>
      <c r="O41" s="4">
        <f ca="1">IFERROR(__xludf.DUMMYFUNCTION("""COMPUTED_VALUE"""),43145)</f>
        <v>43145</v>
      </c>
      <c r="P41">
        <f ca="1">IFERROR(__xludf.DUMMYFUNCTION("""COMPUTED_VALUE"""),3)</f>
        <v>3</v>
      </c>
      <c r="Q41" t="str">
        <f ca="1">IFERROR(__xludf.DUMMYFUNCTION("""COMPUTED_VALUE"""),"sibu_sreedharan@yahoo.in")</f>
        <v>sibu_sreedharan@yahoo.in</v>
      </c>
      <c r="R41" s="2" t="s">
        <v>717</v>
      </c>
    </row>
    <row r="42" spans="1:18" ht="15.75" customHeight="1" x14ac:dyDescent="0.15">
      <c r="A42" s="3">
        <f ca="1">IFERROR(__xludf.DUMMYFUNCTION("""COMPUTED_VALUE"""),43152.9375051851)</f>
        <v>43152.937505185102</v>
      </c>
      <c r="B42" t="str">
        <f ca="1">IFERROR(__xludf.DUMMYFUNCTION("""COMPUTED_VALUE"""),"sales@dyuthirenewabes.in")</f>
        <v>sales@dyuthirenewabes.in</v>
      </c>
      <c r="C42">
        <f ca="1">IFERROR(__xludf.DUMMYFUNCTION("""COMPUTED_VALUE"""),76)</f>
        <v>76</v>
      </c>
      <c r="D42" t="str">
        <f ca="1">IFERROR(__xludf.DUMMYFUNCTION("""COMPUTED_VALUE"""),"K P RAVI VARMA")</f>
        <v>K P RAVI VARMA</v>
      </c>
      <c r="E42">
        <f ca="1">IFERROR(__xludf.DUMMYFUNCTION("""COMPUTED_VALUE"""),9496310978)</f>
        <v>9496310978</v>
      </c>
      <c r="F42" t="str">
        <f ca="1">IFERROR(__xludf.DUMMYFUNCTION("""COMPUTED_VALUE"""),"Ernakulam")</f>
        <v>Ernakulam</v>
      </c>
      <c r="G42" t="str">
        <f ca="1">IFERROR(__xludf.DUMMYFUNCTION("""COMPUTED_VALUE"""),"Renewable Energy Solutions P Ltd")</f>
        <v>Renewable Energy Solutions P Ltd</v>
      </c>
      <c r="H42">
        <f ca="1">IFERROR(__xludf.DUMMYFUNCTION("""COMPUTED_VALUE"""),64)</f>
        <v>64</v>
      </c>
      <c r="I42" s="4">
        <f ca="1">IFERROR(__xludf.DUMMYFUNCTION("""COMPUTED_VALUE"""),43153)</f>
        <v>43153</v>
      </c>
      <c r="J42">
        <f ca="1">IFERROR(__xludf.DUMMYFUNCTION("""COMPUTED_VALUE"""),5)</f>
        <v>5</v>
      </c>
      <c r="K42">
        <f ca="1">IFERROR(__xludf.DUMMYFUNCTION("""COMPUTED_VALUE"""),1155481007591)</f>
        <v>1155481007591</v>
      </c>
      <c r="L42" t="str">
        <f ca="1">IFERROR(__xludf.DUMMYFUNCTION("""COMPUTED_VALUE"""),"5548")</f>
        <v>5548</v>
      </c>
      <c r="M42" t="str">
        <f ca="1">IFERROR(__xludf.DUMMYFUNCTION("""COMPUTED_VALUE"""),"I Accept")</f>
        <v>I Accept</v>
      </c>
      <c r="N42" s="4">
        <f ca="1">IFERROR(__xludf.DUMMYFUNCTION("""COMPUTED_VALUE"""),43143)</f>
        <v>43143</v>
      </c>
      <c r="O42" s="4">
        <f ca="1">IFERROR(__xludf.DUMMYFUNCTION("""COMPUTED_VALUE"""),43143)</f>
        <v>43143</v>
      </c>
      <c r="P42">
        <f ca="1">IFERROR(__xludf.DUMMYFUNCTION("""COMPUTED_VALUE"""),5)</f>
        <v>5</v>
      </c>
      <c r="Q42" t="str">
        <f ca="1">IFERROR(__xludf.DUMMYFUNCTION("""COMPUTED_VALUE"""),"muralikalithody@gmail.com")</f>
        <v>muralikalithody@gmail.com</v>
      </c>
      <c r="R42" s="2" t="s">
        <v>734</v>
      </c>
    </row>
    <row r="43" spans="1:18" ht="15.75" customHeight="1" x14ac:dyDescent="0.15">
      <c r="A43" s="3">
        <f ca="1">IFERROR(__xludf.DUMMYFUNCTION("""COMPUTED_VALUE"""),43153.4742573958)</f>
        <v>43153.474257395799</v>
      </c>
      <c r="B43" t="str">
        <f ca="1">IFERROR(__xludf.DUMMYFUNCTION("""COMPUTED_VALUE"""),"girijanair1958@gmail.com")</f>
        <v>girijanair1958@gmail.com</v>
      </c>
      <c r="C43">
        <f ca="1">IFERROR(__xludf.DUMMYFUNCTION("""COMPUTED_VALUE"""),120)</f>
        <v>120</v>
      </c>
      <c r="D43" t="str">
        <f ca="1">IFERROR(__xludf.DUMMYFUNCTION("""COMPUTED_VALUE"""),"S.G.NAIR")</f>
        <v>S.G.NAIR</v>
      </c>
      <c r="E43">
        <f ca="1">IFERROR(__xludf.DUMMYFUNCTION("""COMPUTED_VALUE"""),9349263691)</f>
        <v>9349263691</v>
      </c>
      <c r="F43" t="str">
        <f ca="1">IFERROR(__xludf.DUMMYFUNCTION("""COMPUTED_VALUE"""),"Ernakulam")</f>
        <v>Ernakulam</v>
      </c>
      <c r="G43" t="str">
        <f ca="1">IFERROR(__xludf.DUMMYFUNCTION("""COMPUTED_VALUE"""),"Kraftwork Solar Pvt. Ltd.")</f>
        <v>Kraftwork Solar Pvt. Ltd.</v>
      </c>
      <c r="H43">
        <f ca="1">IFERROR(__xludf.DUMMYFUNCTION("""COMPUTED_VALUE"""),26)</f>
        <v>26</v>
      </c>
      <c r="I43" s="4">
        <f ca="1">IFERROR(__xludf.DUMMYFUNCTION("""COMPUTED_VALUE"""),43147)</f>
        <v>43147</v>
      </c>
      <c r="J43">
        <f ca="1">IFERROR(__xludf.DUMMYFUNCTION("""COMPUTED_VALUE"""),5)</f>
        <v>5</v>
      </c>
      <c r="K43">
        <f ca="1">IFERROR(__xludf.DUMMYFUNCTION("""COMPUTED_VALUE"""),1155686011349)</f>
        <v>1155686011349</v>
      </c>
      <c r="L43" t="str">
        <f ca="1">IFERROR(__xludf.DUMMYFUNCTION("""COMPUTED_VALUE"""),"Aluva North")</f>
        <v>Aluva North</v>
      </c>
      <c r="M43" t="str">
        <f ca="1">IFERROR(__xludf.DUMMYFUNCTION("""COMPUTED_VALUE"""),"I Accept")</f>
        <v>I Accept</v>
      </c>
      <c r="N43" s="4">
        <f ca="1">IFERROR(__xludf.DUMMYFUNCTION("""COMPUTED_VALUE"""),43112)</f>
        <v>43112</v>
      </c>
      <c r="O43" s="4">
        <f ca="1">IFERROR(__xludf.DUMMYFUNCTION("""COMPUTED_VALUE"""),43112)</f>
        <v>43112</v>
      </c>
      <c r="P43">
        <f ca="1">IFERROR(__xludf.DUMMYFUNCTION("""COMPUTED_VALUE"""),5)</f>
        <v>5</v>
      </c>
      <c r="Q43" t="str">
        <f ca="1">IFERROR(__xludf.DUMMYFUNCTION("""COMPUTED_VALUE"""),"girijanair1958@gmail.com")</f>
        <v>girijanair1958@gmail.com</v>
      </c>
      <c r="R43" s="2" t="s">
        <v>753</v>
      </c>
    </row>
    <row r="44" spans="1:18" ht="15.75" customHeight="1" x14ac:dyDescent="0.15">
      <c r="A44" s="3">
        <f ca="1">IFERROR(__xludf.DUMMYFUNCTION("""COMPUTED_VALUE"""),43153.5294264583)</f>
        <v>43153.529426458299</v>
      </c>
      <c r="B44" t="str">
        <f ca="1">IFERROR(__xludf.DUMMYFUNCTION("""COMPUTED_VALUE"""),"drginil@gmail.com")</f>
        <v>drginil@gmail.com</v>
      </c>
      <c r="C44">
        <f ca="1">IFERROR(__xludf.DUMMYFUNCTION("""COMPUTED_VALUE"""),85)</f>
        <v>85</v>
      </c>
      <c r="D44" t="str">
        <f ca="1">IFERROR(__xludf.DUMMYFUNCTION("""COMPUTED_VALUE"""),"DR.GINIL KUMAR POOLERI")</f>
        <v>DR.GINIL KUMAR POOLERI</v>
      </c>
      <c r="E44">
        <f ca="1">IFERROR(__xludf.DUMMYFUNCTION("""COMPUTED_VALUE"""),9895071039)</f>
        <v>9895071039</v>
      </c>
      <c r="F44" t="str">
        <f ca="1">IFERROR(__xludf.DUMMYFUNCTION("""COMPUTED_VALUE"""),"Ernakulam")</f>
        <v>Ernakulam</v>
      </c>
      <c r="G44" t="str">
        <f ca="1">IFERROR(__xludf.DUMMYFUNCTION("""COMPUTED_VALUE"""),"TECHNO GUARD INDUSTRIES")</f>
        <v>TECHNO GUARD INDUSTRIES</v>
      </c>
      <c r="H44">
        <f ca="1">IFERROR(__xludf.DUMMYFUNCTION("""COMPUTED_VALUE"""),56)</f>
        <v>56</v>
      </c>
      <c r="I44" s="4">
        <f ca="1">IFERROR(__xludf.DUMMYFUNCTION("""COMPUTED_VALUE"""),43153)</f>
        <v>43153</v>
      </c>
      <c r="J44">
        <f ca="1">IFERROR(__xludf.DUMMYFUNCTION("""COMPUTED_VALUE"""),3)</f>
        <v>3</v>
      </c>
      <c r="K44">
        <f ca="1">IFERROR(__xludf.DUMMYFUNCTION("""COMPUTED_VALUE"""),1157396011050)</f>
        <v>1157396011050</v>
      </c>
      <c r="L44" t="str">
        <f ca="1">IFERROR(__xludf.DUMMYFUNCTION("""COMPUTED_VALUE"""),"CHERANELLORE")</f>
        <v>CHERANELLORE</v>
      </c>
      <c r="M44" t="str">
        <f ca="1">IFERROR(__xludf.DUMMYFUNCTION("""COMPUTED_VALUE"""),"I Accept")</f>
        <v>I Accept</v>
      </c>
      <c r="N44" s="4">
        <f ca="1">IFERROR(__xludf.DUMMYFUNCTION("""COMPUTED_VALUE"""),43153)</f>
        <v>43153</v>
      </c>
      <c r="O44" s="4">
        <f ca="1">IFERROR(__xludf.DUMMYFUNCTION("""COMPUTED_VALUE"""),43153)</f>
        <v>43153</v>
      </c>
      <c r="P44">
        <f ca="1">IFERROR(__xludf.DUMMYFUNCTION("""COMPUTED_VALUE"""),3)</f>
        <v>3</v>
      </c>
      <c r="Q44" t="str">
        <f ca="1">IFERROR(__xludf.DUMMYFUNCTION("""COMPUTED_VALUE"""),"drginil@gmail.com")</f>
        <v>drginil@gmail.com</v>
      </c>
      <c r="R44" s="2" t="s">
        <v>769</v>
      </c>
    </row>
    <row r="45" spans="1:18" ht="15.75" customHeight="1" x14ac:dyDescent="0.15">
      <c r="A45" s="3">
        <f ca="1">IFERROR(__xludf.DUMMYFUNCTION("""COMPUTED_VALUE"""),43153.5872420138)</f>
        <v>43153.587242013797</v>
      </c>
      <c r="B45" t="str">
        <f ca="1">IFERROR(__xludf.DUMMYFUNCTION("""COMPUTED_VALUE"""),"info@wattsun.in")</f>
        <v>info@wattsun.in</v>
      </c>
      <c r="C45">
        <f ca="1">IFERROR(__xludf.DUMMYFUNCTION("""COMPUTED_VALUE"""),169)</f>
        <v>169</v>
      </c>
      <c r="D45" t="str">
        <f ca="1">IFERROR(__xludf.DUMMYFUNCTION("""COMPUTED_VALUE"""),"Arun K Nrayan")</f>
        <v>Arun K Nrayan</v>
      </c>
      <c r="E45">
        <f ca="1">IFERROR(__xludf.DUMMYFUNCTION("""COMPUTED_VALUE"""),9072666513)</f>
        <v>9072666513</v>
      </c>
      <c r="F45" t="str">
        <f ca="1">IFERROR(__xludf.DUMMYFUNCTION("""COMPUTED_VALUE"""),"Thiruvananthapuram")</f>
        <v>Thiruvananthapuram</v>
      </c>
      <c r="G45" t="str">
        <f ca="1">IFERROR(__xludf.DUMMYFUNCTION("""COMPUTED_VALUE"""),"Wattsun Energy India Pvt Ltd")</f>
        <v>Wattsun Energy India Pvt Ltd</v>
      </c>
      <c r="H45">
        <f ca="1">IFERROR(__xludf.DUMMYFUNCTION("""COMPUTED_VALUE"""),54)</f>
        <v>54</v>
      </c>
      <c r="I45" s="4">
        <f ca="1">IFERROR(__xludf.DUMMYFUNCTION("""COMPUTED_VALUE"""),43153)</f>
        <v>43153</v>
      </c>
      <c r="J45">
        <f ca="1">IFERROR(__xludf.DUMMYFUNCTION("""COMPUTED_VALUE"""),5)</f>
        <v>5</v>
      </c>
      <c r="K45">
        <f ca="1">IFERROR(__xludf.DUMMYFUNCTION("""COMPUTED_VALUE"""),1145192018469)</f>
        <v>1145192018469</v>
      </c>
      <c r="L45" t="str">
        <f ca="1">IFERROR(__xludf.DUMMYFUNCTION("""COMPUTED_VALUE"""),"Sreekariyam")</f>
        <v>Sreekariyam</v>
      </c>
      <c r="M45" t="str">
        <f ca="1">IFERROR(__xludf.DUMMYFUNCTION("""COMPUTED_VALUE"""),"I Accept")</f>
        <v>I Accept</v>
      </c>
      <c r="N45" s="4">
        <f ca="1">IFERROR(__xludf.DUMMYFUNCTION("""COMPUTED_VALUE"""),43121)</f>
        <v>43121</v>
      </c>
      <c r="O45" s="4">
        <f ca="1">IFERROR(__xludf.DUMMYFUNCTION("""COMPUTED_VALUE"""),43121)</f>
        <v>43121</v>
      </c>
      <c r="P45">
        <f ca="1">IFERROR(__xludf.DUMMYFUNCTION("""COMPUTED_VALUE"""),5)</f>
        <v>5</v>
      </c>
      <c r="Q45" t="str">
        <f ca="1">IFERROR(__xludf.DUMMYFUNCTION("""COMPUTED_VALUE"""),"info@wattsun.in")</f>
        <v>info@wattsun.in</v>
      </c>
      <c r="R45" s="2" t="s">
        <v>785</v>
      </c>
    </row>
    <row r="46" spans="1:18" ht="15.75" customHeight="1" x14ac:dyDescent="0.15">
      <c r="A46" s="3">
        <f ca="1">IFERROR(__xludf.DUMMYFUNCTION("""COMPUTED_VALUE"""),43153.6573674999)</f>
        <v>43153.657367499902</v>
      </c>
      <c r="B46" t="str">
        <f ca="1">IFERROR(__xludf.DUMMYFUNCTION("""COMPUTED_VALUE"""),"nestromarketing@gmail.com")</f>
        <v>nestromarketing@gmail.com</v>
      </c>
      <c r="C46">
        <f ca="1">IFERROR(__xludf.DUMMYFUNCTION("""COMPUTED_VALUE"""),43)</f>
        <v>43</v>
      </c>
      <c r="D46" t="str">
        <f ca="1">IFERROR(__xludf.DUMMYFUNCTION("""COMPUTED_VALUE"""),"Harikrishnan. G.")</f>
        <v>Harikrishnan. G.</v>
      </c>
      <c r="E46">
        <f ca="1">IFERROR(__xludf.DUMMYFUNCTION("""COMPUTED_VALUE"""),735681771)</f>
        <v>735681771</v>
      </c>
      <c r="F46" t="str">
        <f ca="1">IFERROR(__xludf.DUMMYFUNCTION("""COMPUTED_VALUE"""),"Palakkad")</f>
        <v>Palakkad</v>
      </c>
      <c r="G46" t="str">
        <f ca="1">IFERROR(__xludf.DUMMYFUNCTION("""COMPUTED_VALUE"""),"Nestro Marketing LLP")</f>
        <v>Nestro Marketing LLP</v>
      </c>
      <c r="H46">
        <f ca="1">IFERROR(__xludf.DUMMYFUNCTION("""COMPUTED_VALUE"""),14)</f>
        <v>14</v>
      </c>
      <c r="I46" s="4">
        <f ca="1">IFERROR(__xludf.DUMMYFUNCTION("""COMPUTED_VALUE"""),43153)</f>
        <v>43153</v>
      </c>
      <c r="J46">
        <f ca="1">IFERROR(__xludf.DUMMYFUNCTION("""COMPUTED_VALUE"""),2)</f>
        <v>2</v>
      </c>
      <c r="K46">
        <f ca="1">IFERROR(__xludf.DUMMYFUNCTION("""COMPUTED_VALUE"""),1165412035468)</f>
        <v>1165412035468</v>
      </c>
      <c r="L46" t="str">
        <f ca="1">IFERROR(__xludf.DUMMYFUNCTION("""COMPUTED_VALUE"""),"Cherpulassery")</f>
        <v>Cherpulassery</v>
      </c>
      <c r="M46" t="str">
        <f ca="1">IFERROR(__xludf.DUMMYFUNCTION("""COMPUTED_VALUE"""),"I Accept")</f>
        <v>I Accept</v>
      </c>
      <c r="N46" s="4">
        <f ca="1">IFERROR(__xludf.DUMMYFUNCTION("""COMPUTED_VALUE"""),43109)</f>
        <v>43109</v>
      </c>
      <c r="O46" s="4">
        <f ca="1">IFERROR(__xludf.DUMMYFUNCTION("""COMPUTED_VALUE"""),43109)</f>
        <v>43109</v>
      </c>
      <c r="P46">
        <f ca="1">IFERROR(__xludf.DUMMYFUNCTION("""COMPUTED_VALUE"""),2)</f>
        <v>2</v>
      </c>
      <c r="Q46" t="str">
        <f ca="1">IFERROR(__xludf.DUMMYFUNCTION("""COMPUTED_VALUE"""),"nestromarketing@gmail.com")</f>
        <v>nestromarketing@gmail.com</v>
      </c>
      <c r="R46" s="2" t="s">
        <v>799</v>
      </c>
    </row>
    <row r="47" spans="1:18" ht="15.75" customHeight="1" x14ac:dyDescent="0.15">
      <c r="A47" s="3">
        <f ca="1">IFERROR(__xludf.DUMMYFUNCTION("""COMPUTED_VALUE"""),43154.316357118)</f>
        <v>43154.316357117998</v>
      </c>
      <c r="B47" t="str">
        <f ca="1">IFERROR(__xludf.DUMMYFUNCTION("""COMPUTED_VALUE"""),"abdullahpv1962@gmail.com")</f>
        <v>abdullahpv1962@gmail.com</v>
      </c>
      <c r="C47">
        <f ca="1">IFERROR(__xludf.DUMMYFUNCTION("""COMPUTED_VALUE"""),116)</f>
        <v>116</v>
      </c>
      <c r="D47" t="str">
        <f ca="1">IFERROR(__xludf.DUMMYFUNCTION("""COMPUTED_VALUE"""),"kahdeeja Abdullah")</f>
        <v>kahdeeja Abdullah</v>
      </c>
      <c r="E47">
        <f ca="1">IFERROR(__xludf.DUMMYFUNCTION("""COMPUTED_VALUE"""),7012771089)</f>
        <v>7012771089</v>
      </c>
      <c r="F47" t="str">
        <f ca="1">IFERROR(__xludf.DUMMYFUNCTION("""COMPUTED_VALUE"""),"Malappuram")</f>
        <v>Malappuram</v>
      </c>
      <c r="G47" t="str">
        <f ca="1">IFERROR(__xludf.DUMMYFUNCTION("""COMPUTED_VALUE"""),"TECHNOGUARD INDUSTRIES")</f>
        <v>TECHNOGUARD INDUSTRIES</v>
      </c>
      <c r="H47">
        <f ca="1">IFERROR(__xludf.DUMMYFUNCTION("""COMPUTED_VALUE"""),56)</f>
        <v>56</v>
      </c>
      <c r="I47" s="4">
        <f ca="1">IFERROR(__xludf.DUMMYFUNCTION("""COMPUTED_VALUE"""),43153)</f>
        <v>43153</v>
      </c>
      <c r="J47">
        <f ca="1">IFERROR(__xludf.DUMMYFUNCTION("""COMPUTED_VALUE"""),3)</f>
        <v>3</v>
      </c>
      <c r="K47">
        <f ca="1">IFERROR(__xludf.DUMMYFUNCTION("""COMPUTED_VALUE"""),1165851017666)</f>
        <v>1165851017666</v>
      </c>
      <c r="L47" t="str">
        <f ca="1">IFERROR(__xludf.DUMMYFUNCTION("""COMPUTED_VALUE"""),"CHANGARAMKULAM")</f>
        <v>CHANGARAMKULAM</v>
      </c>
      <c r="M47" t="str">
        <f ca="1">IFERROR(__xludf.DUMMYFUNCTION("""COMPUTED_VALUE"""),"I Accept")</f>
        <v>I Accept</v>
      </c>
      <c r="N47" s="4">
        <f ca="1">IFERROR(__xludf.DUMMYFUNCTION("""COMPUTED_VALUE"""),43153)</f>
        <v>43153</v>
      </c>
      <c r="O47" s="4">
        <f ca="1">IFERROR(__xludf.DUMMYFUNCTION("""COMPUTED_VALUE"""),43153)</f>
        <v>43153</v>
      </c>
      <c r="P47">
        <f ca="1">IFERROR(__xludf.DUMMYFUNCTION("""COMPUTED_VALUE"""),3)</f>
        <v>3</v>
      </c>
      <c r="Q47" t="str">
        <f ca="1">IFERROR(__xludf.DUMMYFUNCTION("""COMPUTED_VALUE"""),"abdullahpv1962@gmail.com")</f>
        <v>abdullahpv1962@gmail.com</v>
      </c>
      <c r="R47" s="2" t="s">
        <v>813</v>
      </c>
    </row>
    <row r="48" spans="1:18" ht="15.75" customHeight="1" x14ac:dyDescent="0.15">
      <c r="A48" s="3">
        <f ca="1">IFERROR(__xludf.DUMMYFUNCTION("""COMPUTED_VALUE"""),43154.5169509259)</f>
        <v>43154.516950925899</v>
      </c>
      <c r="B48" t="str">
        <f ca="1">IFERROR(__xludf.DUMMYFUNCTION("""COMPUTED_VALUE"""),"suncitycustomercare@gmail.com")</f>
        <v>suncitycustomercare@gmail.com</v>
      </c>
      <c r="C48">
        <f ca="1">IFERROR(__xludf.DUMMYFUNCTION("""COMPUTED_VALUE"""),118)</f>
        <v>118</v>
      </c>
      <c r="D48" t="str">
        <f ca="1">IFERROR(__xludf.DUMMYFUNCTION("""COMPUTED_VALUE"""),"rajendran p k")</f>
        <v>rajendran p k</v>
      </c>
      <c r="E48">
        <f ca="1">IFERROR(__xludf.DUMMYFUNCTION("""COMPUTED_VALUE"""),9497722244)</f>
        <v>9497722244</v>
      </c>
      <c r="F48" t="str">
        <f ca="1">IFERROR(__xludf.DUMMYFUNCTION("""COMPUTED_VALUE"""),"Thrissur")</f>
        <v>Thrissur</v>
      </c>
      <c r="G48" t="str">
        <f ca="1">IFERROR(__xludf.DUMMYFUNCTION("""COMPUTED_VALUE"""),"TATA POWER SOLAR SYSTEMS LTD")</f>
        <v>TATA POWER SOLAR SYSTEMS LTD</v>
      </c>
      <c r="H48">
        <f ca="1">IFERROR(__xludf.DUMMYFUNCTION("""COMPUTED_VALUE"""),20)</f>
        <v>20</v>
      </c>
      <c r="I48" s="4">
        <f ca="1">IFERROR(__xludf.DUMMYFUNCTION("""COMPUTED_VALUE"""),43152)</f>
        <v>43152</v>
      </c>
      <c r="J48">
        <f ca="1">IFERROR(__xludf.DUMMYFUNCTION("""COMPUTED_VALUE"""),3)</f>
        <v>3</v>
      </c>
      <c r="K48">
        <f ca="1">IFERROR(__xludf.DUMMYFUNCTION("""COMPUTED_VALUE"""),1156765007517)</f>
        <v>1156765007517</v>
      </c>
      <c r="L48" t="str">
        <f ca="1">IFERROR(__xludf.DUMMYFUNCTION("""COMPUTED_VALUE"""),"pattikad")</f>
        <v>pattikad</v>
      </c>
      <c r="M48" t="str">
        <f ca="1">IFERROR(__xludf.DUMMYFUNCTION("""COMPUTED_VALUE"""),"I Accept")</f>
        <v>I Accept</v>
      </c>
      <c r="N48" s="4">
        <f ca="1">IFERROR(__xludf.DUMMYFUNCTION("""COMPUTED_VALUE"""),43151)</f>
        <v>43151</v>
      </c>
      <c r="O48" s="4">
        <f ca="1">IFERROR(__xludf.DUMMYFUNCTION("""COMPUTED_VALUE"""),43151)</f>
        <v>43151</v>
      </c>
      <c r="P48">
        <f ca="1">IFERROR(__xludf.DUMMYFUNCTION("""COMPUTED_VALUE"""),3)</f>
        <v>3</v>
      </c>
      <c r="Q48" t="str">
        <f ca="1">IFERROR(__xludf.DUMMYFUNCTION("""COMPUTED_VALUE"""),"suncitycustomercare@gmail.com")</f>
        <v>suncitycustomercare@gmail.com</v>
      </c>
      <c r="R48" s="2" t="s">
        <v>820</v>
      </c>
    </row>
    <row r="49" spans="1:18" ht="15.75" customHeight="1" x14ac:dyDescent="0.15">
      <c r="A49" s="3">
        <f ca="1">IFERROR(__xludf.DUMMYFUNCTION("""COMPUTED_VALUE"""),43154.5624324999)</f>
        <v>43154.562432499901</v>
      </c>
      <c r="B49" t="str">
        <f ca="1">IFERROR(__xludf.DUMMYFUNCTION("""COMPUTED_VALUE"""),"sudhinanbrarath@gmail.com")</f>
        <v>sudhinanbrarath@gmail.com</v>
      </c>
      <c r="C49">
        <f ca="1">IFERROR(__xludf.DUMMYFUNCTION("""COMPUTED_VALUE"""),39)</f>
        <v>39</v>
      </c>
      <c r="D49" t="str">
        <f ca="1">IFERROR(__xludf.DUMMYFUNCTION("""COMPUTED_VALUE"""),"BRARATH RAMAN SUDHINAN")</f>
        <v>BRARATH RAMAN SUDHINAN</v>
      </c>
      <c r="E49">
        <f ca="1">IFERROR(__xludf.DUMMYFUNCTION("""COMPUTED_VALUE"""),9172762671)</f>
        <v>9172762671</v>
      </c>
      <c r="F49" t="str">
        <f ca="1">IFERROR(__xludf.DUMMYFUNCTION("""COMPUTED_VALUE"""),"Thrissur")</f>
        <v>Thrissur</v>
      </c>
      <c r="G49" t="str">
        <f ca="1">IFERROR(__xludf.DUMMYFUNCTION("""COMPUTED_VALUE"""),"TATA POWER SOLAR SYSTEMS LTD")</f>
        <v>TATA POWER SOLAR SYSTEMS LTD</v>
      </c>
      <c r="H49">
        <f ca="1">IFERROR(__xludf.DUMMYFUNCTION("""COMPUTED_VALUE"""),20)</f>
        <v>20</v>
      </c>
      <c r="I49" s="4">
        <f ca="1">IFERROR(__xludf.DUMMYFUNCTION("""COMPUTED_VALUE"""),43152)</f>
        <v>43152</v>
      </c>
      <c r="J49">
        <f ca="1">IFERROR(__xludf.DUMMYFUNCTION("""COMPUTED_VALUE"""),3)</f>
        <v>3</v>
      </c>
      <c r="K49">
        <f ca="1">IFERROR(__xludf.DUMMYFUNCTION("""COMPUTED_VALUE"""),1156622018914)</f>
        <v>1156622018914</v>
      </c>
      <c r="L49" t="str">
        <f ca="1">IFERROR(__xludf.DUMMYFUNCTION("""COMPUTED_VALUE"""),"PERINJANAM")</f>
        <v>PERINJANAM</v>
      </c>
      <c r="M49" t="str">
        <f ca="1">IFERROR(__xludf.DUMMYFUNCTION("""COMPUTED_VALUE"""),"I Accept")</f>
        <v>I Accept</v>
      </c>
      <c r="N49" s="4">
        <f ca="1">IFERROR(__xludf.DUMMYFUNCTION("""COMPUTED_VALUE"""),43138)</f>
        <v>43138</v>
      </c>
      <c r="O49" s="4">
        <f ca="1">IFERROR(__xludf.DUMMYFUNCTION("""COMPUTED_VALUE"""),43138)</f>
        <v>43138</v>
      </c>
      <c r="P49">
        <f ca="1">IFERROR(__xludf.DUMMYFUNCTION("""COMPUTED_VALUE"""),3)</f>
        <v>3</v>
      </c>
      <c r="Q49" t="str">
        <f ca="1">IFERROR(__xludf.DUMMYFUNCTION("""COMPUTED_VALUE"""),"suncitycustomercare@gmail.com")</f>
        <v>suncitycustomercare@gmail.com</v>
      </c>
      <c r="R49" s="2" t="s">
        <v>832</v>
      </c>
    </row>
    <row r="50" spans="1:18" ht="15.75" customHeight="1" x14ac:dyDescent="0.15">
      <c r="A50" s="3">
        <f ca="1">IFERROR(__xludf.DUMMYFUNCTION("""COMPUTED_VALUE"""),43154.6233369328)</f>
        <v>43154.623336932797</v>
      </c>
      <c r="B50" t="str">
        <f ca="1">IFERROR(__xludf.DUMMYFUNCTION("""COMPUTED_VALUE"""),"arun8943674152@gmail.com")</f>
        <v>arun8943674152@gmail.com</v>
      </c>
      <c r="C50">
        <f ca="1">IFERROR(__xludf.DUMMYFUNCTION("""COMPUTED_VALUE"""),166)</f>
        <v>166</v>
      </c>
      <c r="D50" t="str">
        <f ca="1">IFERROR(__xludf.DUMMYFUNCTION("""COMPUTED_VALUE"""),"Brother Thomas")</f>
        <v>Brother Thomas</v>
      </c>
      <c r="E50">
        <f ca="1">IFERROR(__xludf.DUMMYFUNCTION("""COMPUTED_VALUE"""),8943674152)</f>
        <v>8943674152</v>
      </c>
      <c r="F50" t="str">
        <f ca="1">IFERROR(__xludf.DUMMYFUNCTION("""COMPUTED_VALUE"""),"Thrissur")</f>
        <v>Thrissur</v>
      </c>
      <c r="G50" t="str">
        <f ca="1">IFERROR(__xludf.DUMMYFUNCTION("""COMPUTED_VALUE"""),"Solgen Energy Pvt Ltd")</f>
        <v>Solgen Energy Pvt Ltd</v>
      </c>
      <c r="H50">
        <f ca="1">IFERROR(__xludf.DUMMYFUNCTION("""COMPUTED_VALUE"""),42)</f>
        <v>42</v>
      </c>
      <c r="I50" s="4">
        <f ca="1">IFERROR(__xludf.DUMMYFUNCTION("""COMPUTED_VALUE"""),43155)</f>
        <v>43155</v>
      </c>
      <c r="J50">
        <f ca="1">IFERROR(__xludf.DUMMYFUNCTION("""COMPUTED_VALUE"""),5)</f>
        <v>5</v>
      </c>
      <c r="K50">
        <f ca="1">IFERROR(__xludf.DUMMYFUNCTION("""COMPUTED_VALUE"""),1156715007915)</f>
        <v>1156715007915</v>
      </c>
      <c r="L50" t="str">
        <f ca="1">IFERROR(__xludf.DUMMYFUNCTION("""COMPUTED_VALUE"""),"Kuriachira")</f>
        <v>Kuriachira</v>
      </c>
      <c r="M50" t="str">
        <f ca="1">IFERROR(__xludf.DUMMYFUNCTION("""COMPUTED_VALUE"""),"I Accept")</f>
        <v>I Accept</v>
      </c>
      <c r="N50" s="4">
        <f ca="1">IFERROR(__xludf.DUMMYFUNCTION("""COMPUTED_VALUE"""),43118)</f>
        <v>43118</v>
      </c>
      <c r="O50" s="4">
        <f ca="1">IFERROR(__xludf.DUMMYFUNCTION("""COMPUTED_VALUE"""),43118)</f>
        <v>43118</v>
      </c>
      <c r="P50">
        <f ca="1">IFERROR(__xludf.DUMMYFUNCTION("""COMPUTED_VALUE"""),5)</f>
        <v>5</v>
      </c>
      <c r="Q50" t="str">
        <f ca="1">IFERROR(__xludf.DUMMYFUNCTION("""COMPUTED_VALUE"""),"arun8943674152@gmail.com")</f>
        <v>arun8943674152@gmail.com</v>
      </c>
      <c r="R50" s="2" t="s">
        <v>847</v>
      </c>
    </row>
    <row r="51" spans="1:18" ht="15.75" customHeight="1" x14ac:dyDescent="0.15">
      <c r="A51" s="3">
        <f ca="1">IFERROR(__xludf.DUMMYFUNCTION("""COMPUTED_VALUE"""),43154.625863912)</f>
        <v>43154.625863911999</v>
      </c>
      <c r="B51" t="str">
        <f ca="1">IFERROR(__xludf.DUMMYFUNCTION("""COMPUTED_VALUE"""),"principalohss11054@ymail.com")</f>
        <v>principalohss11054@ymail.com</v>
      </c>
      <c r="C51">
        <f ca="1">IFERROR(__xludf.DUMMYFUNCTION("""COMPUTED_VALUE"""),32)</f>
        <v>32</v>
      </c>
      <c r="D51" t="str">
        <f ca="1">IFERROR(__xludf.DUMMYFUNCTION("""COMPUTED_VALUE"""),"The Principal, Oriental Higher Secondary School, Tirurangadi -676306, Malappuram DT")</f>
        <v>The Principal, Oriental Higher Secondary School, Tirurangadi -676306, Malappuram DT</v>
      </c>
      <c r="E51">
        <f ca="1">IFERROR(__xludf.DUMMYFUNCTION("""COMPUTED_VALUE"""),8136855666)</f>
        <v>8136855666</v>
      </c>
      <c r="F51" t="str">
        <f ca="1">IFERROR(__xludf.DUMMYFUNCTION("""COMPUTED_VALUE"""),"Malappuram")</f>
        <v>Malappuram</v>
      </c>
      <c r="G51" t="str">
        <f ca="1">IFERROR(__xludf.DUMMYFUNCTION("""COMPUTED_VALUE"""),"KELTRON")</f>
        <v>KELTRON</v>
      </c>
      <c r="H51">
        <f ca="1">IFERROR(__xludf.DUMMYFUNCTION("""COMPUTED_VALUE"""),3)</f>
        <v>3</v>
      </c>
      <c r="I51" s="4">
        <f ca="1">IFERROR(__xludf.DUMMYFUNCTION("""COMPUTED_VALUE"""),43157)</f>
        <v>43157</v>
      </c>
      <c r="J51">
        <f ca="1">IFERROR(__xludf.DUMMYFUNCTION("""COMPUTED_VALUE"""),10)</f>
        <v>10</v>
      </c>
      <c r="K51">
        <f ca="1">IFERROR(__xludf.DUMMYFUNCTION("""COMPUTED_VALUE"""),1165781000010)</f>
        <v>1165781000010</v>
      </c>
      <c r="L51" t="str">
        <f ca="1">IFERROR(__xludf.DUMMYFUNCTION("""COMPUTED_VALUE"""),"Tirurangadi")</f>
        <v>Tirurangadi</v>
      </c>
      <c r="M51" t="str">
        <f ca="1">IFERROR(__xludf.DUMMYFUNCTION("""COMPUTED_VALUE"""),"I Accept")</f>
        <v>I Accept</v>
      </c>
      <c r="N51" s="4">
        <f ca="1">IFERROR(__xludf.DUMMYFUNCTION("""COMPUTED_VALUE"""),43157)</f>
        <v>43157</v>
      </c>
      <c r="O51" s="4">
        <f ca="1">IFERROR(__xludf.DUMMYFUNCTION("""COMPUTED_VALUE"""),43157)</f>
        <v>43157</v>
      </c>
      <c r="P51">
        <f ca="1">IFERROR(__xludf.DUMMYFUNCTION("""COMPUTED_VALUE"""),10)</f>
        <v>10</v>
      </c>
      <c r="Q51" t="str">
        <f ca="1">IFERROR(__xludf.DUMMYFUNCTION("""COMPUTED_VALUE"""),"kecsolar2017@gmail.com")</f>
        <v>kecsolar2017@gmail.com</v>
      </c>
      <c r="R51" s="2" t="s">
        <v>860</v>
      </c>
    </row>
    <row r="52" spans="1:18" ht="15.75" customHeight="1" x14ac:dyDescent="0.15">
      <c r="A52" s="3">
        <f ca="1">IFERROR(__xludf.DUMMYFUNCTION("""COMPUTED_VALUE"""),43154.6465235879)</f>
        <v>43154.6465235879</v>
      </c>
      <c r="B52" t="str">
        <f ca="1">IFERROR(__xludf.DUMMYFUNCTION("""COMPUTED_VALUE"""),"arun8943674152@gmail.com")</f>
        <v>arun8943674152@gmail.com</v>
      </c>
      <c r="C52">
        <f ca="1">IFERROR(__xludf.DUMMYFUNCTION("""COMPUTED_VALUE"""),67)</f>
        <v>67</v>
      </c>
      <c r="D52" t="str">
        <f ca="1">IFERROR(__xludf.DUMMYFUNCTION("""COMPUTED_VALUE"""),"Theyyamma Paul")</f>
        <v>Theyyamma Paul</v>
      </c>
      <c r="E52">
        <f ca="1">IFERROR(__xludf.DUMMYFUNCTION("""COMPUTED_VALUE"""),8943674152)</f>
        <v>8943674152</v>
      </c>
      <c r="F52" t="str">
        <f ca="1">IFERROR(__xludf.DUMMYFUNCTION("""COMPUTED_VALUE"""),"Thrissur")</f>
        <v>Thrissur</v>
      </c>
      <c r="G52" t="str">
        <f ca="1">IFERROR(__xludf.DUMMYFUNCTION("""COMPUTED_VALUE"""),"solgen Energy Pvt Ltd")</f>
        <v>solgen Energy Pvt Ltd</v>
      </c>
      <c r="H52">
        <f ca="1">IFERROR(__xludf.DUMMYFUNCTION("""COMPUTED_VALUE"""),42)</f>
        <v>42</v>
      </c>
      <c r="I52" s="4">
        <f ca="1">IFERROR(__xludf.DUMMYFUNCTION("""COMPUTED_VALUE"""),43154)</f>
        <v>43154</v>
      </c>
      <c r="J52">
        <f ca="1">IFERROR(__xludf.DUMMYFUNCTION("""COMPUTED_VALUE"""),10)</f>
        <v>10</v>
      </c>
      <c r="K52">
        <f ca="1">IFERROR(__xludf.DUMMYFUNCTION("""COMPUTED_VALUE"""),2125)</f>
        <v>2125</v>
      </c>
      <c r="L52" t="str">
        <f ca="1">IFERROR(__xludf.DUMMYFUNCTION("""COMPUTED_VALUE"""),"TCED")</f>
        <v>TCED</v>
      </c>
      <c r="M52" t="str">
        <f ca="1">IFERROR(__xludf.DUMMYFUNCTION("""COMPUTED_VALUE"""),"I Accept")</f>
        <v>I Accept</v>
      </c>
      <c r="N52" s="4">
        <f ca="1">IFERROR(__xludf.DUMMYFUNCTION("""COMPUTED_VALUE"""),43150)</f>
        <v>43150</v>
      </c>
      <c r="O52" s="4">
        <f ca="1">IFERROR(__xludf.DUMMYFUNCTION("""COMPUTED_VALUE"""),43150)</f>
        <v>43150</v>
      </c>
      <c r="P52">
        <f ca="1">IFERROR(__xludf.DUMMYFUNCTION("""COMPUTED_VALUE"""),10)</f>
        <v>10</v>
      </c>
      <c r="Q52" t="str">
        <f ca="1">IFERROR(__xludf.DUMMYFUNCTION("""COMPUTED_VALUE"""),"arun8943674152@gmail.com")</f>
        <v>arun8943674152@gmail.com</v>
      </c>
      <c r="R52" s="2" t="s">
        <v>871</v>
      </c>
    </row>
    <row r="53" spans="1:18" ht="15.75" customHeight="1" x14ac:dyDescent="0.15">
      <c r="A53" s="3">
        <f ca="1">IFERROR(__xludf.DUMMYFUNCTION("""COMPUTED_VALUE"""),43154.650785324)</f>
        <v>43154.650785323996</v>
      </c>
      <c r="B53" t="str">
        <f ca="1">IFERROR(__xludf.DUMMYFUNCTION("""COMPUTED_VALUE"""),"arun8943674152@gmail.com")</f>
        <v>arun8943674152@gmail.com</v>
      </c>
      <c r="C53">
        <f ca="1">IFERROR(__xludf.DUMMYFUNCTION("""COMPUTED_VALUE"""),66)</f>
        <v>66</v>
      </c>
      <c r="D53" t="str">
        <f ca="1">IFERROR(__xludf.DUMMYFUNCTION("""COMPUTED_VALUE"""),"Mary george")</f>
        <v>Mary george</v>
      </c>
      <c r="E53">
        <f ca="1">IFERROR(__xludf.DUMMYFUNCTION("""COMPUTED_VALUE"""),8943674152)</f>
        <v>8943674152</v>
      </c>
      <c r="F53" t="str">
        <f ca="1">IFERROR(__xludf.DUMMYFUNCTION("""COMPUTED_VALUE"""),"Thrissur")</f>
        <v>Thrissur</v>
      </c>
      <c r="G53" t="str">
        <f ca="1">IFERROR(__xludf.DUMMYFUNCTION("""COMPUTED_VALUE"""),"Solgen Energy Pvt Ltd")</f>
        <v>Solgen Energy Pvt Ltd</v>
      </c>
      <c r="H53">
        <f ca="1">IFERROR(__xludf.DUMMYFUNCTION("""COMPUTED_VALUE"""),42)</f>
        <v>42</v>
      </c>
      <c r="I53" s="4">
        <f ca="1">IFERROR(__xludf.DUMMYFUNCTION("""COMPUTED_VALUE"""),43155)</f>
        <v>43155</v>
      </c>
      <c r="J53">
        <f ca="1">IFERROR(__xludf.DUMMYFUNCTION("""COMPUTED_VALUE"""),10)</f>
        <v>10</v>
      </c>
      <c r="K53">
        <f ca="1">IFERROR(__xludf.DUMMYFUNCTION("""COMPUTED_VALUE"""),1156855009783)</f>
        <v>1156855009783</v>
      </c>
      <c r="L53" t="str">
        <f ca="1">IFERROR(__xludf.DUMMYFUNCTION("""COMPUTED_VALUE"""),"muthuvara")</f>
        <v>muthuvara</v>
      </c>
      <c r="M53" t="str">
        <f ca="1">IFERROR(__xludf.DUMMYFUNCTION("""COMPUTED_VALUE"""),"I Accept")</f>
        <v>I Accept</v>
      </c>
      <c r="N53" s="4">
        <f ca="1">IFERROR(__xludf.DUMMYFUNCTION("""COMPUTED_VALUE"""),43147)</f>
        <v>43147</v>
      </c>
      <c r="O53" s="4">
        <f ca="1">IFERROR(__xludf.DUMMYFUNCTION("""COMPUTED_VALUE"""),43147)</f>
        <v>43147</v>
      </c>
      <c r="P53">
        <f ca="1">IFERROR(__xludf.DUMMYFUNCTION("""COMPUTED_VALUE"""),10)</f>
        <v>10</v>
      </c>
      <c r="Q53" t="str">
        <f ca="1">IFERROR(__xludf.DUMMYFUNCTION("""COMPUTED_VALUE"""),"arun8943674152@gmail.com")</f>
        <v>arun8943674152@gmail.com</v>
      </c>
      <c r="R53" s="2" t="s">
        <v>896</v>
      </c>
    </row>
    <row r="54" spans="1:18" ht="15.75" customHeight="1" x14ac:dyDescent="0.15">
      <c r="A54" s="3">
        <f ca="1">IFERROR(__xludf.DUMMYFUNCTION("""COMPUTED_VALUE"""),43154.6786729166)</f>
        <v>43154.678672916598</v>
      </c>
      <c r="B54" t="str">
        <f ca="1">IFERROR(__xludf.DUMMYFUNCTION("""COMPUTED_VALUE"""),"suncitycustomercare@gmail.com")</f>
        <v>suncitycustomercare@gmail.com</v>
      </c>
      <c r="C54">
        <f ca="1">IFERROR(__xludf.DUMMYFUNCTION("""COMPUTED_VALUE"""),9)</f>
        <v>9</v>
      </c>
      <c r="D54" t="str">
        <f ca="1">IFERROR(__xludf.DUMMYFUNCTION("""COMPUTED_VALUE"""),"CHANDRASEKHARAN K. B.")</f>
        <v>CHANDRASEKHARAN K. B.</v>
      </c>
      <c r="E54">
        <f ca="1">IFERROR(__xludf.DUMMYFUNCTION("""COMPUTED_VALUE"""),9496060845)</f>
        <v>9496060845</v>
      </c>
      <c r="F54" t="str">
        <f ca="1">IFERROR(__xludf.DUMMYFUNCTION("""COMPUTED_VALUE"""),"Thrissur")</f>
        <v>Thrissur</v>
      </c>
      <c r="G54" t="str">
        <f ca="1">IFERROR(__xludf.DUMMYFUNCTION("""COMPUTED_VALUE"""),"TATA POWER SOLAR SYSTEMS LTD")</f>
        <v>TATA POWER SOLAR SYSTEMS LTD</v>
      </c>
      <c r="H54">
        <f ca="1">IFERROR(__xludf.DUMMYFUNCTION("""COMPUTED_VALUE"""),20)</f>
        <v>20</v>
      </c>
      <c r="I54" s="4">
        <f ca="1">IFERROR(__xludf.DUMMYFUNCTION("""COMPUTED_VALUE"""),43147)</f>
        <v>43147</v>
      </c>
      <c r="J54">
        <f ca="1">IFERROR(__xludf.DUMMYFUNCTION("""COMPUTED_VALUE"""),3)</f>
        <v>3</v>
      </c>
      <c r="K54">
        <f ca="1">IFERROR(__xludf.DUMMYFUNCTION("""COMPUTED_VALUE"""),1156718008235)</f>
        <v>1156718008235</v>
      </c>
      <c r="L54" t="str">
        <f ca="1">IFERROR(__xludf.DUMMYFUNCTION("""COMPUTED_VALUE"""),"KURIACHIRA")</f>
        <v>KURIACHIRA</v>
      </c>
      <c r="M54" t="str">
        <f ca="1">IFERROR(__xludf.DUMMYFUNCTION("""COMPUTED_VALUE"""),"I Accept")</f>
        <v>I Accept</v>
      </c>
      <c r="N54" s="4">
        <f ca="1">IFERROR(__xludf.DUMMYFUNCTION("""COMPUTED_VALUE"""),43145)</f>
        <v>43145</v>
      </c>
      <c r="O54" s="4">
        <f ca="1">IFERROR(__xludf.DUMMYFUNCTION("""COMPUTED_VALUE"""),43145)</f>
        <v>43145</v>
      </c>
      <c r="P54">
        <f ca="1">IFERROR(__xludf.DUMMYFUNCTION("""COMPUTED_VALUE"""),3)</f>
        <v>3</v>
      </c>
      <c r="Q54" t="str">
        <f ca="1">IFERROR(__xludf.DUMMYFUNCTION("""COMPUTED_VALUE"""),"suncitycustomercare@gmail.com")</f>
        <v>suncitycustomercare@gmail.com</v>
      </c>
      <c r="R54" s="2" t="s">
        <v>915</v>
      </c>
    </row>
    <row r="55" spans="1:18" ht="15.75" customHeight="1" x14ac:dyDescent="0.15">
      <c r="A55" s="3">
        <f ca="1">IFERROR(__xludf.DUMMYFUNCTION("""COMPUTED_VALUE"""),43154.6883422222)</f>
        <v>43154.688342222202</v>
      </c>
      <c r="B55" t="str">
        <f ca="1">IFERROR(__xludf.DUMMYFUNCTION("""COMPUTED_VALUE"""),"elsolpowersolutions@gmail.com")</f>
        <v>elsolpowersolutions@gmail.com</v>
      </c>
      <c r="C55">
        <f ca="1">IFERROR(__xludf.DUMMYFUNCTION("""COMPUTED_VALUE"""),203)</f>
        <v>203</v>
      </c>
      <c r="D55" t="str">
        <f ca="1">IFERROR(__xludf.DUMMYFUNCTION("""COMPUTED_VALUE"""),"SUJATHA")</f>
        <v>SUJATHA</v>
      </c>
      <c r="E55">
        <f ca="1">IFERROR(__xludf.DUMMYFUNCTION("""COMPUTED_VALUE"""),8078213924)</f>
        <v>8078213924</v>
      </c>
      <c r="F55" t="str">
        <f ca="1">IFERROR(__xludf.DUMMYFUNCTION("""COMPUTED_VALUE"""),"Kottayam")</f>
        <v>Kottayam</v>
      </c>
      <c r="G55" t="str">
        <f ca="1">IFERROR(__xludf.DUMMYFUNCTION("""COMPUTED_VALUE"""),"RENERGY SYSTEMS INDIA PVT LTD")</f>
        <v>RENERGY SYSTEMS INDIA PVT LTD</v>
      </c>
      <c r="H55">
        <f ca="1">IFERROR(__xludf.DUMMYFUNCTION("""COMPUTED_VALUE"""),38)</f>
        <v>38</v>
      </c>
      <c r="I55" s="4">
        <f ca="1">IFERROR(__xludf.DUMMYFUNCTION("""COMPUTED_VALUE"""),43154)</f>
        <v>43154</v>
      </c>
      <c r="J55">
        <f ca="1">IFERROR(__xludf.DUMMYFUNCTION("""COMPUTED_VALUE"""),10)</f>
        <v>10</v>
      </c>
      <c r="K55">
        <f ca="1">IFERROR(__xludf.DUMMYFUNCTION("""COMPUTED_VALUE"""),1155308013048)</f>
        <v>1155308013048</v>
      </c>
      <c r="L55" t="str">
        <f ca="1">IFERROR(__xludf.DUMMYFUNCTION("""COMPUTED_VALUE"""),"CHEPPAD")</f>
        <v>CHEPPAD</v>
      </c>
      <c r="M55" t="str">
        <f ca="1">IFERROR(__xludf.DUMMYFUNCTION("""COMPUTED_VALUE"""),"I Accept")</f>
        <v>I Accept</v>
      </c>
      <c r="N55" s="4">
        <f ca="1">IFERROR(__xludf.DUMMYFUNCTION("""COMPUTED_VALUE"""),43127)</f>
        <v>43127</v>
      </c>
      <c r="O55" s="4">
        <f ca="1">IFERROR(__xludf.DUMMYFUNCTION("""COMPUTED_VALUE"""),43127)</f>
        <v>43127</v>
      </c>
      <c r="P55">
        <f ca="1">IFERROR(__xludf.DUMMYFUNCTION("""COMPUTED_VALUE"""),10)</f>
        <v>10</v>
      </c>
      <c r="Q55" t="str">
        <f ca="1">IFERROR(__xludf.DUMMYFUNCTION("""COMPUTED_VALUE"""),"elsolpowersolutions@gmail.com")</f>
        <v>elsolpowersolutions@gmail.com</v>
      </c>
      <c r="R55" s="2" t="s">
        <v>941</v>
      </c>
    </row>
    <row r="56" spans="1:18" ht="15.75" customHeight="1" x14ac:dyDescent="0.15">
      <c r="A56" s="3">
        <f ca="1">IFERROR(__xludf.DUMMYFUNCTION("""COMPUTED_VALUE"""),43154.6891964583)</f>
        <v>43154.689196458297</v>
      </c>
      <c r="B56" t="str">
        <f ca="1">IFERROR(__xludf.DUMMYFUNCTION("""COMPUTED_VALUE"""),"johntsimon29@gmail.com ")</f>
        <v xml:space="preserve">johntsimon29@gmail.com </v>
      </c>
      <c r="C56">
        <f ca="1">IFERROR(__xludf.DUMMYFUNCTION("""COMPUTED_VALUE"""),10)</f>
        <v>10</v>
      </c>
      <c r="D56" t="str">
        <f ca="1">IFERROR(__xludf.DUMMYFUNCTION("""COMPUTED_VALUE"""),"JOHN T SIMON")</f>
        <v>JOHN T SIMON</v>
      </c>
      <c r="E56">
        <f ca="1">IFERROR(__xludf.DUMMYFUNCTION("""COMPUTED_VALUE"""),9946717694)</f>
        <v>9946717694</v>
      </c>
      <c r="F56" t="str">
        <f ca="1">IFERROR(__xludf.DUMMYFUNCTION("""COMPUTED_VALUE"""),"Thrissur")</f>
        <v>Thrissur</v>
      </c>
      <c r="G56" t="str">
        <f ca="1">IFERROR(__xludf.DUMMYFUNCTION("""COMPUTED_VALUE"""),"TATA POWER SOLAR SYSTEMS LTD")</f>
        <v>TATA POWER SOLAR SYSTEMS LTD</v>
      </c>
      <c r="H56">
        <f ca="1">IFERROR(__xludf.DUMMYFUNCTION("""COMPUTED_VALUE"""),20)</f>
        <v>20</v>
      </c>
      <c r="I56" s="4">
        <f ca="1">IFERROR(__xludf.DUMMYFUNCTION("""COMPUTED_VALUE"""),43152)</f>
        <v>43152</v>
      </c>
      <c r="J56">
        <f ca="1">IFERROR(__xludf.DUMMYFUNCTION("""COMPUTED_VALUE"""),3)</f>
        <v>3</v>
      </c>
      <c r="K56">
        <f ca="1">IFERROR(__xludf.DUMMYFUNCTION("""COMPUTED_VALUE"""),1156903012873)</f>
        <v>1156903012873</v>
      </c>
      <c r="L56" t="str">
        <f ca="1">IFERROR(__xludf.DUMMYFUNCTION("""COMPUTED_VALUE"""),"VENGIDANGE")</f>
        <v>VENGIDANGE</v>
      </c>
      <c r="M56" t="str">
        <f ca="1">IFERROR(__xludf.DUMMYFUNCTION("""COMPUTED_VALUE"""),"I Accept")</f>
        <v>I Accept</v>
      </c>
      <c r="N56" s="4">
        <f ca="1">IFERROR(__xludf.DUMMYFUNCTION("""COMPUTED_VALUE"""),42967)</f>
        <v>42967</v>
      </c>
      <c r="O56" s="4">
        <f ca="1">IFERROR(__xludf.DUMMYFUNCTION("""COMPUTED_VALUE"""),42967)</f>
        <v>42967</v>
      </c>
      <c r="P56">
        <f ca="1">IFERROR(__xludf.DUMMYFUNCTION("""COMPUTED_VALUE"""),3)</f>
        <v>3</v>
      </c>
      <c r="Q56" t="str">
        <f ca="1">IFERROR(__xludf.DUMMYFUNCTION("""COMPUTED_VALUE"""),"suncitycustomercare@gmail.com")</f>
        <v>suncitycustomercare@gmail.com</v>
      </c>
      <c r="R56" s="2" t="s">
        <v>961</v>
      </c>
    </row>
    <row r="57" spans="1:18" ht="15.75" customHeight="1" x14ac:dyDescent="0.15">
      <c r="A57" s="3">
        <f ca="1">IFERROR(__xludf.DUMMYFUNCTION("""COMPUTED_VALUE"""),43154.7113275578)</f>
        <v>43154.711327557801</v>
      </c>
      <c r="B57" t="str">
        <f ca="1">IFERROR(__xludf.DUMMYFUNCTION("""COMPUTED_VALUE"""),"emailgreenol@gmail.com")</f>
        <v>emailgreenol@gmail.com</v>
      </c>
      <c r="C57">
        <f ca="1">IFERROR(__xludf.DUMMYFUNCTION("""COMPUTED_VALUE"""),328)</f>
        <v>328</v>
      </c>
      <c r="D57" t="str">
        <f ca="1">IFERROR(__xludf.DUMMYFUNCTION("""COMPUTED_VALUE"""),"Sukumaran")</f>
        <v>Sukumaran</v>
      </c>
      <c r="E57">
        <f ca="1">IFERROR(__xludf.DUMMYFUNCTION("""COMPUTED_VALUE"""),8086904242)</f>
        <v>8086904242</v>
      </c>
      <c r="F57" t="str">
        <f ca="1">IFERROR(__xludf.DUMMYFUNCTION("""COMPUTED_VALUE"""),"Thrissur")</f>
        <v>Thrissur</v>
      </c>
      <c r="G57" t="str">
        <f ca="1">IFERROR(__xludf.DUMMYFUNCTION("""COMPUTED_VALUE"""),"FERT")</f>
        <v>FERT</v>
      </c>
      <c r="H57">
        <f ca="1">IFERROR(__xludf.DUMMYFUNCTION("""COMPUTED_VALUE"""),27)</f>
        <v>27</v>
      </c>
      <c r="I57" s="4">
        <f ca="1">IFERROR(__xludf.DUMMYFUNCTION("""COMPUTED_VALUE"""),43154)</f>
        <v>43154</v>
      </c>
      <c r="J57">
        <f ca="1">IFERROR(__xludf.DUMMYFUNCTION("""COMPUTED_VALUE"""),3)</f>
        <v>3</v>
      </c>
      <c r="K57">
        <f ca="1">IFERROR(__xludf.DUMMYFUNCTION("""COMPUTED_VALUE"""),1156425001065)</f>
        <v>1156425001065</v>
      </c>
      <c r="L57" t="str">
        <f ca="1">IFERROR(__xludf.DUMMYFUNCTION("""COMPUTED_VALUE"""),"Chirakkal")</f>
        <v>Chirakkal</v>
      </c>
      <c r="M57" t="str">
        <f ca="1">IFERROR(__xludf.DUMMYFUNCTION("""COMPUTED_VALUE"""),"I Accept")</f>
        <v>I Accept</v>
      </c>
      <c r="N57" s="4">
        <f ca="1">IFERROR(__xludf.DUMMYFUNCTION("""COMPUTED_VALUE"""),43150)</f>
        <v>43150</v>
      </c>
      <c r="O57" s="4">
        <f ca="1">IFERROR(__xludf.DUMMYFUNCTION("""COMPUTED_VALUE"""),43150)</f>
        <v>43150</v>
      </c>
      <c r="P57">
        <f ca="1">IFERROR(__xludf.DUMMYFUNCTION("""COMPUTED_VALUE"""),3)</f>
        <v>3</v>
      </c>
      <c r="Q57" t="str">
        <f ca="1">IFERROR(__xludf.DUMMYFUNCTION("""COMPUTED_VALUE"""),"emailgreenol@gmail.com")</f>
        <v>emailgreenol@gmail.com</v>
      </c>
      <c r="R57" s="2" t="s">
        <v>978</v>
      </c>
    </row>
    <row r="58" spans="1:18" ht="15.75" customHeight="1" x14ac:dyDescent="0.15">
      <c r="A58" s="3">
        <f ca="1">IFERROR(__xludf.DUMMYFUNCTION("""COMPUTED_VALUE"""),43154.7874155555)</f>
        <v>43154.787415555496</v>
      </c>
      <c r="B58" t="str">
        <f ca="1">IFERROR(__xludf.DUMMYFUNCTION("""COMPUTED_VALUE"""),"johnsonjamesjjc@gmail.com")</f>
        <v>johnsonjamesjjc@gmail.com</v>
      </c>
      <c r="C58">
        <f ca="1">IFERROR(__xludf.DUMMYFUNCTION("""COMPUTED_VALUE"""),330)</f>
        <v>330</v>
      </c>
      <c r="D58" t="str">
        <f ca="1">IFERROR(__xludf.DUMMYFUNCTION("""COMPUTED_VALUE"""),"lija johnson")</f>
        <v>lija johnson</v>
      </c>
      <c r="E58">
        <f ca="1">IFERROR(__xludf.DUMMYFUNCTION("""COMPUTED_VALUE"""),701262151)</f>
        <v>701262151</v>
      </c>
      <c r="F58" t="str">
        <f ca="1">IFERROR(__xludf.DUMMYFUNCTION("""COMPUTED_VALUE"""),"Thrissur")</f>
        <v>Thrissur</v>
      </c>
      <c r="G58" t="str">
        <f ca="1">IFERROR(__xludf.DUMMYFUNCTION("""COMPUTED_VALUE"""),"TECHNOGUARDE INDUSTRIES")</f>
        <v>TECHNOGUARDE INDUSTRIES</v>
      </c>
      <c r="H58">
        <f ca="1">IFERROR(__xludf.DUMMYFUNCTION("""COMPUTED_VALUE"""),56)</f>
        <v>56</v>
      </c>
      <c r="I58" s="4">
        <f ca="1">IFERROR(__xludf.DUMMYFUNCTION("""COMPUTED_VALUE"""),43154)</f>
        <v>43154</v>
      </c>
      <c r="J58">
        <f ca="1">IFERROR(__xludf.DUMMYFUNCTION("""COMPUTED_VALUE"""),2)</f>
        <v>2</v>
      </c>
      <c r="K58">
        <f ca="1">IFERROR(__xludf.DUMMYFUNCTION("""COMPUTED_VALUE"""),1156854005342)</f>
        <v>1156854005342</v>
      </c>
      <c r="L58" t="str">
        <f ca="1">IFERROR(__xludf.DUMMYFUNCTION("""COMPUTED_VALUE"""),"MUTHUVARA")</f>
        <v>MUTHUVARA</v>
      </c>
      <c r="M58" t="str">
        <f ca="1">IFERROR(__xludf.DUMMYFUNCTION("""COMPUTED_VALUE"""),"I Accept")</f>
        <v>I Accept</v>
      </c>
      <c r="N58" s="4">
        <f ca="1">IFERROR(__xludf.DUMMYFUNCTION("""COMPUTED_VALUE"""),43153)</f>
        <v>43153</v>
      </c>
      <c r="O58" s="4">
        <f ca="1">IFERROR(__xludf.DUMMYFUNCTION("""COMPUTED_VALUE"""),43153)</f>
        <v>43153</v>
      </c>
      <c r="P58">
        <f ca="1">IFERROR(__xludf.DUMMYFUNCTION("""COMPUTED_VALUE"""),2)</f>
        <v>2</v>
      </c>
      <c r="Q58" t="str">
        <f ca="1">IFERROR(__xludf.DUMMYFUNCTION("""COMPUTED_VALUE"""),"johnsonjamesjjc@gmail.com")</f>
        <v>johnsonjamesjjc@gmail.com</v>
      </c>
      <c r="R58" s="2" t="s">
        <v>996</v>
      </c>
    </row>
    <row r="59" spans="1:18" ht="13" x14ac:dyDescent="0.15">
      <c r="A59" s="3">
        <f ca="1">IFERROR(__xludf.DUMMYFUNCTION("""COMPUTED_VALUE"""),43155.5050474652)</f>
        <v>43155.505047465202</v>
      </c>
      <c r="B59" t="str">
        <f ca="1">IFERROR(__xludf.DUMMYFUNCTION("""COMPUTED_VALUE"""),"elsolpowersolutions@gmail.com")</f>
        <v>elsolpowersolutions@gmail.com</v>
      </c>
      <c r="C59">
        <f ca="1">IFERROR(__xludf.DUMMYFUNCTION("""COMPUTED_VALUE"""),188)</f>
        <v>188</v>
      </c>
      <c r="D59" t="str">
        <f ca="1">IFERROR(__xludf.DUMMYFUNCTION("""COMPUTED_VALUE"""),"PRADEEPKUMAR K K")</f>
        <v>PRADEEPKUMAR K K</v>
      </c>
      <c r="E59">
        <f ca="1">IFERROR(__xludf.DUMMYFUNCTION("""COMPUTED_VALUE"""),8078213924)</f>
        <v>8078213924</v>
      </c>
      <c r="F59" t="str">
        <f ca="1">IFERROR(__xludf.DUMMYFUNCTION("""COMPUTED_VALUE"""),"Kottayam")</f>
        <v>Kottayam</v>
      </c>
      <c r="G59" t="str">
        <f ca="1">IFERROR(__xludf.DUMMYFUNCTION("""COMPUTED_VALUE"""),"RENERGY SYSTEMS INDIA PVT LTD")</f>
        <v>RENERGY SYSTEMS INDIA PVT LTD</v>
      </c>
      <c r="H59">
        <f ca="1">IFERROR(__xludf.DUMMYFUNCTION("""COMPUTED_VALUE"""),38)</f>
        <v>38</v>
      </c>
      <c r="I59" s="4">
        <f ca="1">IFERROR(__xludf.DUMMYFUNCTION("""COMPUTED_VALUE"""),43124)</f>
        <v>43124</v>
      </c>
      <c r="J59">
        <f ca="1">IFERROR(__xludf.DUMMYFUNCTION("""COMPUTED_VALUE"""),3)</f>
        <v>3</v>
      </c>
      <c r="K59">
        <f ca="1">IFERROR(__xludf.DUMMYFUNCTION("""COMPUTED_VALUE"""),1146498008145)</f>
        <v>1146498008145</v>
      </c>
      <c r="L59" t="str">
        <f ca="1">IFERROR(__xludf.DUMMYFUNCTION("""COMPUTED_VALUE"""),"kuravilangad ")</f>
        <v xml:space="preserve">kuravilangad </v>
      </c>
      <c r="M59" t="str">
        <f ca="1">IFERROR(__xludf.DUMMYFUNCTION("""COMPUTED_VALUE"""),"I Accept")</f>
        <v>I Accept</v>
      </c>
      <c r="N59" s="4">
        <f ca="1">IFERROR(__xludf.DUMMYFUNCTION("""COMPUTED_VALUE"""),43141)</f>
        <v>43141</v>
      </c>
      <c r="O59" s="4">
        <f ca="1">IFERROR(__xludf.DUMMYFUNCTION("""COMPUTED_VALUE"""),43141)</f>
        <v>43141</v>
      </c>
      <c r="P59">
        <f ca="1">IFERROR(__xludf.DUMMYFUNCTION("""COMPUTED_VALUE"""),3)</f>
        <v>3</v>
      </c>
      <c r="Q59" t="str">
        <f ca="1">IFERROR(__xludf.DUMMYFUNCTION("""COMPUTED_VALUE"""),"elsolpowersolutions@gmail.com")</f>
        <v>elsolpowersolutions@gmail.com</v>
      </c>
      <c r="R59" s="2" t="s">
        <v>1017</v>
      </c>
    </row>
    <row r="60" spans="1:18" ht="13" x14ac:dyDescent="0.15">
      <c r="A60" s="3">
        <f ca="1">IFERROR(__xludf.DUMMYFUNCTION("""COMPUTED_VALUE"""),43155.5198874537)</f>
        <v>43155.519887453702</v>
      </c>
      <c r="B60" t="str">
        <f ca="1">IFERROR(__xludf.DUMMYFUNCTION("""COMPUTED_VALUE"""),"elsolpowersolutions@gmail.com")</f>
        <v>elsolpowersolutions@gmail.com</v>
      </c>
      <c r="C60">
        <f ca="1">IFERROR(__xludf.DUMMYFUNCTION("""COMPUTED_VALUE"""),155)</f>
        <v>155</v>
      </c>
      <c r="D60" t="str">
        <f ca="1">IFERROR(__xludf.DUMMYFUNCTION("""COMPUTED_VALUE"""),"SAJEEVAN NJALIYIL GEORGE")</f>
        <v>SAJEEVAN NJALIYIL GEORGE</v>
      </c>
      <c r="E60">
        <f ca="1">IFERROR(__xludf.DUMMYFUNCTION("""COMPUTED_VALUE"""),8078213924)</f>
        <v>8078213924</v>
      </c>
      <c r="F60" t="str">
        <f ca="1">IFERROR(__xludf.DUMMYFUNCTION("""COMPUTED_VALUE"""),"Pathanamthitta")</f>
        <v>Pathanamthitta</v>
      </c>
      <c r="G60" t="str">
        <f ca="1">IFERROR(__xludf.DUMMYFUNCTION("""COMPUTED_VALUE"""),"RENERGY SYSTEMS INDIA PVT LTD")</f>
        <v>RENERGY SYSTEMS INDIA PVT LTD</v>
      </c>
      <c r="H60">
        <f ca="1">IFERROR(__xludf.DUMMYFUNCTION("""COMPUTED_VALUE"""),38)</f>
        <v>38</v>
      </c>
      <c r="I60" s="4">
        <f ca="1">IFERROR(__xludf.DUMMYFUNCTION("""COMPUTED_VALUE"""),43155)</f>
        <v>43155</v>
      </c>
      <c r="J60">
        <f ca="1">IFERROR(__xludf.DUMMYFUNCTION("""COMPUTED_VALUE"""),3)</f>
        <v>3</v>
      </c>
      <c r="K60">
        <f ca="1">IFERROR(__xludf.DUMMYFUNCTION("""COMPUTED_VALUE"""),1146170020618)</f>
        <v>1146170020618</v>
      </c>
      <c r="L60" t="str">
        <f ca="1">IFERROR(__xludf.DUMMYFUNCTION("""COMPUTED_VALUE"""),"THIRUVALLA")</f>
        <v>THIRUVALLA</v>
      </c>
      <c r="M60" t="str">
        <f ca="1">IFERROR(__xludf.DUMMYFUNCTION("""COMPUTED_VALUE"""),"I Accept")</f>
        <v>I Accept</v>
      </c>
      <c r="N60" s="4">
        <f ca="1">IFERROR(__xludf.DUMMYFUNCTION("""COMPUTED_VALUE"""),43119)</f>
        <v>43119</v>
      </c>
      <c r="O60" s="4">
        <f ca="1">IFERROR(__xludf.DUMMYFUNCTION("""COMPUTED_VALUE"""),43119)</f>
        <v>43119</v>
      </c>
      <c r="P60">
        <f ca="1">IFERROR(__xludf.DUMMYFUNCTION("""COMPUTED_VALUE"""),3)</f>
        <v>3</v>
      </c>
      <c r="Q60" t="str">
        <f ca="1">IFERROR(__xludf.DUMMYFUNCTION("""COMPUTED_VALUE"""),"elsolpowersolutions@gmail.com")</f>
        <v>elsolpowersolutions@gmail.com</v>
      </c>
      <c r="R60" s="2" t="s">
        <v>1041</v>
      </c>
    </row>
    <row r="61" spans="1:18" ht="13" x14ac:dyDescent="0.15">
      <c r="A61" s="3">
        <f ca="1">IFERROR(__xludf.DUMMYFUNCTION("""COMPUTED_VALUE"""),43155.5248648495)</f>
        <v>43155.524864849504</v>
      </c>
      <c r="B61" t="str">
        <f ca="1">IFERROR(__xludf.DUMMYFUNCTION("""COMPUTED_VALUE"""),"elsolpowersolutions@gmail.com")</f>
        <v>elsolpowersolutions@gmail.com</v>
      </c>
      <c r="C61">
        <f ca="1">IFERROR(__xludf.DUMMYFUNCTION("""COMPUTED_VALUE"""),160)</f>
        <v>160</v>
      </c>
      <c r="D61" t="str">
        <f ca="1">IFERROR(__xludf.DUMMYFUNCTION("""COMPUTED_VALUE"""),"TOMY JOSEPH")</f>
        <v>TOMY JOSEPH</v>
      </c>
      <c r="E61">
        <f ca="1">IFERROR(__xludf.DUMMYFUNCTION("""COMPUTED_VALUE"""),8078213924)</f>
        <v>8078213924</v>
      </c>
      <c r="F61" t="str">
        <f ca="1">IFERROR(__xludf.DUMMYFUNCTION("""COMPUTED_VALUE"""),"Kottayam")</f>
        <v>Kottayam</v>
      </c>
      <c r="G61" t="str">
        <f ca="1">IFERROR(__xludf.DUMMYFUNCTION("""COMPUTED_VALUE"""),"RENERGY SYSTEMS INDIA PVT LTD")</f>
        <v>RENERGY SYSTEMS INDIA PVT LTD</v>
      </c>
      <c r="H61">
        <f ca="1">IFERROR(__xludf.DUMMYFUNCTION("""COMPUTED_VALUE"""),38)</f>
        <v>38</v>
      </c>
      <c r="I61" s="4">
        <f ca="1">IFERROR(__xludf.DUMMYFUNCTION("""COMPUTED_VALUE"""),43155)</f>
        <v>43155</v>
      </c>
      <c r="J61">
        <f ca="1">IFERROR(__xludf.DUMMYFUNCTION("""COMPUTED_VALUE"""),3)</f>
        <v>3</v>
      </c>
      <c r="K61">
        <f ca="1">IFERROR(__xludf.DUMMYFUNCTION("""COMPUTED_VALUE"""),1146365026859)</f>
        <v>1146365026859</v>
      </c>
      <c r="L61" t="str">
        <f ca="1">IFERROR(__xludf.DUMMYFUNCTION("""COMPUTED_VALUE"""),"1146365026859")</f>
        <v>1146365026859</v>
      </c>
      <c r="M61" t="str">
        <f ca="1">IFERROR(__xludf.DUMMYFUNCTION("""COMPUTED_VALUE"""),"I Accept")</f>
        <v>I Accept</v>
      </c>
      <c r="N61" s="4">
        <f ca="1">IFERROR(__xludf.DUMMYFUNCTION("""COMPUTED_VALUE"""),43153)</f>
        <v>43153</v>
      </c>
      <c r="O61" s="4">
        <f ca="1">IFERROR(__xludf.DUMMYFUNCTION("""COMPUTED_VALUE"""),43153)</f>
        <v>43153</v>
      </c>
      <c r="P61">
        <f ca="1">IFERROR(__xludf.DUMMYFUNCTION("""COMPUTED_VALUE"""),3)</f>
        <v>3</v>
      </c>
      <c r="Q61" t="str">
        <f ca="1">IFERROR(__xludf.DUMMYFUNCTION("""COMPUTED_VALUE"""),"elsolpowersolutions@gmail.com")</f>
        <v>elsolpowersolutions@gmail.com</v>
      </c>
      <c r="R61" s="2" t="s">
        <v>1069</v>
      </c>
    </row>
    <row r="62" spans="1:18" ht="13" x14ac:dyDescent="0.15">
      <c r="A62" s="3">
        <f ca="1">IFERROR(__xludf.DUMMYFUNCTION("""COMPUTED_VALUE"""),43155.5591320949)</f>
        <v>43155.559132094902</v>
      </c>
      <c r="B62" t="str">
        <f ca="1">IFERROR(__xludf.DUMMYFUNCTION("""COMPUTED_VALUE"""),"jose.dilip@gmail.com")</f>
        <v>jose.dilip@gmail.com</v>
      </c>
      <c r="C62">
        <f ca="1">IFERROR(__xludf.DUMMYFUNCTION("""COMPUTED_VALUE"""),53)</f>
        <v>53</v>
      </c>
      <c r="D62" t="str">
        <f ca="1">IFERROR(__xludf.DUMMYFUNCTION("""COMPUTED_VALUE"""),"A P SELVIN")</f>
        <v>A P SELVIN</v>
      </c>
      <c r="E62">
        <f ca="1">IFERROR(__xludf.DUMMYFUNCTION("""COMPUTED_VALUE"""),8137874406)</f>
        <v>8137874406</v>
      </c>
      <c r="F62" t="str">
        <f ca="1">IFERROR(__xludf.DUMMYFUNCTION("""COMPUTED_VALUE"""),"Ernakulam")</f>
        <v>Ernakulam</v>
      </c>
      <c r="G62" t="str">
        <f ca="1">IFERROR(__xludf.DUMMYFUNCTION("""COMPUTED_VALUE"""),"SOLGEN ENERGY PVT LTD")</f>
        <v>SOLGEN ENERGY PVT LTD</v>
      </c>
      <c r="H62">
        <f ca="1">IFERROR(__xludf.DUMMYFUNCTION("""COMPUTED_VALUE"""),42)</f>
        <v>42</v>
      </c>
      <c r="I62" s="4">
        <f ca="1">IFERROR(__xludf.DUMMYFUNCTION("""COMPUTED_VALUE"""),43147)</f>
        <v>43147</v>
      </c>
      <c r="J62">
        <f ca="1">IFERROR(__xludf.DUMMYFUNCTION("""COMPUTED_VALUE"""),25)</f>
        <v>25</v>
      </c>
      <c r="K62">
        <f ca="1">IFERROR(__xludf.DUMMYFUNCTION("""COMPUTED_VALUE"""),1155980017477)</f>
        <v>1155980017477</v>
      </c>
      <c r="L62" t="str">
        <f ca="1">IFERROR(__xludf.DUMMYFUNCTION("""COMPUTED_VALUE"""),"KOOTHATTUKULAM")</f>
        <v>KOOTHATTUKULAM</v>
      </c>
      <c r="M62" t="str">
        <f ca="1">IFERROR(__xludf.DUMMYFUNCTION("""COMPUTED_VALUE"""),"I Accept")</f>
        <v>I Accept</v>
      </c>
      <c r="N62" s="4">
        <f ca="1">IFERROR(__xludf.DUMMYFUNCTION("""COMPUTED_VALUE"""),43148)</f>
        <v>43148</v>
      </c>
      <c r="O62" s="4">
        <f ca="1">IFERROR(__xludf.DUMMYFUNCTION("""COMPUTED_VALUE"""),43148)</f>
        <v>43148</v>
      </c>
      <c r="P62">
        <f ca="1">IFERROR(__xludf.DUMMYFUNCTION("""COMPUTED_VALUE"""),25)</f>
        <v>25</v>
      </c>
      <c r="Q62" t="str">
        <f ca="1">IFERROR(__xludf.DUMMYFUNCTION("""COMPUTED_VALUE"""),"jose.dilip@gmail.com")</f>
        <v>jose.dilip@gmail.com</v>
      </c>
      <c r="R62" s="2" t="s">
        <v>1092</v>
      </c>
    </row>
    <row r="63" spans="1:18" ht="13" x14ac:dyDescent="0.15">
      <c r="A63" s="3">
        <f ca="1">IFERROR(__xludf.DUMMYFUNCTION("""COMPUTED_VALUE"""),43155.567417743)</f>
        <v>43155.567417742997</v>
      </c>
      <c r="B63" t="str">
        <f ca="1">IFERROR(__xludf.DUMMYFUNCTION("""COMPUTED_VALUE"""),"jose.dilip@gmail.com")</f>
        <v>jose.dilip@gmail.com</v>
      </c>
      <c r="C63">
        <f ca="1">IFERROR(__xludf.DUMMYFUNCTION("""COMPUTED_VALUE"""),52)</f>
        <v>52</v>
      </c>
      <c r="D63" t="str">
        <f ca="1">IFERROR(__xludf.DUMMYFUNCTION("""COMPUTED_VALUE"""),"K J GEORGE")</f>
        <v>K J GEORGE</v>
      </c>
      <c r="E63">
        <f ca="1">IFERROR(__xludf.DUMMYFUNCTION("""COMPUTED_VALUE"""),8137874406)</f>
        <v>8137874406</v>
      </c>
      <c r="F63" t="str">
        <f ca="1">IFERROR(__xludf.DUMMYFUNCTION("""COMPUTED_VALUE"""),"Ernakulam")</f>
        <v>Ernakulam</v>
      </c>
      <c r="G63" t="str">
        <f ca="1">IFERROR(__xludf.DUMMYFUNCTION("""COMPUTED_VALUE"""),"SOLGEN ENERGY PVT LTD")</f>
        <v>SOLGEN ENERGY PVT LTD</v>
      </c>
      <c r="H63">
        <f ca="1">IFERROR(__xludf.DUMMYFUNCTION("""COMPUTED_VALUE"""),42)</f>
        <v>42</v>
      </c>
      <c r="I63" s="4">
        <f ca="1">IFERROR(__xludf.DUMMYFUNCTION("""COMPUTED_VALUE"""),43147)</f>
        <v>43147</v>
      </c>
      <c r="J63">
        <f ca="1">IFERROR(__xludf.DUMMYFUNCTION("""COMPUTED_VALUE"""),3)</f>
        <v>3</v>
      </c>
      <c r="K63">
        <f ca="1">IFERROR(__xludf.DUMMYFUNCTION("""COMPUTED_VALUE"""),1155987008672)</f>
        <v>1155987008672</v>
      </c>
      <c r="L63" t="str">
        <f ca="1">IFERROR(__xludf.DUMMYFUNCTION("""COMPUTED_VALUE"""),"KOOTHATTUKULAM")</f>
        <v>KOOTHATTUKULAM</v>
      </c>
      <c r="M63" t="str">
        <f ca="1">IFERROR(__xludf.DUMMYFUNCTION("""COMPUTED_VALUE"""),"I Accept")</f>
        <v>I Accept</v>
      </c>
      <c r="N63" s="4">
        <f ca="1">IFERROR(__xludf.DUMMYFUNCTION("""COMPUTED_VALUE"""),43152)</f>
        <v>43152</v>
      </c>
      <c r="O63" s="4">
        <f ca="1">IFERROR(__xludf.DUMMYFUNCTION("""COMPUTED_VALUE"""),43152)</f>
        <v>43152</v>
      </c>
      <c r="P63">
        <f ca="1">IFERROR(__xludf.DUMMYFUNCTION("""COMPUTED_VALUE"""),3)</f>
        <v>3</v>
      </c>
      <c r="Q63" t="str">
        <f ca="1">IFERROR(__xludf.DUMMYFUNCTION("""COMPUTED_VALUE"""),"jose.dilip@gmail.com")</f>
        <v>jose.dilip@gmail.com</v>
      </c>
      <c r="R63" s="2" t="s">
        <v>1115</v>
      </c>
    </row>
    <row r="64" spans="1:18" ht="13" x14ac:dyDescent="0.15">
      <c r="A64" s="3">
        <f ca="1">IFERROR(__xludf.DUMMYFUNCTION("""COMPUTED_VALUE"""),43155.5738972106)</f>
        <v>43155.573897210597</v>
      </c>
      <c r="B64" t="str">
        <f ca="1">IFERROR(__xludf.DUMMYFUNCTION("""COMPUTED_VALUE"""),"jose.dilip@gmail.com")</f>
        <v>jose.dilip@gmail.com</v>
      </c>
      <c r="C64">
        <f ca="1">IFERROR(__xludf.DUMMYFUNCTION("""COMPUTED_VALUE"""),54)</f>
        <v>54</v>
      </c>
      <c r="D64" t="str">
        <f ca="1">IFERROR(__xludf.DUMMYFUNCTION("""COMPUTED_VALUE"""),"NARAYANAN NAMBOOTHIRI")</f>
        <v>NARAYANAN NAMBOOTHIRI</v>
      </c>
      <c r="E64">
        <f ca="1">IFERROR(__xludf.DUMMYFUNCTION("""COMPUTED_VALUE"""),8137874406)</f>
        <v>8137874406</v>
      </c>
      <c r="F64" t="str">
        <f ca="1">IFERROR(__xludf.DUMMYFUNCTION("""COMPUTED_VALUE"""),"Ernakulam")</f>
        <v>Ernakulam</v>
      </c>
      <c r="G64" t="str">
        <f ca="1">IFERROR(__xludf.DUMMYFUNCTION("""COMPUTED_VALUE"""),"SOLGEN ENERGY PVT LTD")</f>
        <v>SOLGEN ENERGY PVT LTD</v>
      </c>
      <c r="H64">
        <f ca="1">IFERROR(__xludf.DUMMYFUNCTION("""COMPUTED_VALUE"""),42)</f>
        <v>42</v>
      </c>
      <c r="I64" s="4">
        <f ca="1">IFERROR(__xludf.DUMMYFUNCTION("""COMPUTED_VALUE"""),43147)</f>
        <v>43147</v>
      </c>
      <c r="J64">
        <f ca="1">IFERROR(__xludf.DUMMYFUNCTION("""COMPUTED_VALUE"""),3)</f>
        <v>3</v>
      </c>
      <c r="K64">
        <f ca="1">IFERROR(__xludf.DUMMYFUNCTION("""COMPUTED_VALUE"""),1155986013954)</f>
        <v>1155986013954</v>
      </c>
      <c r="L64" t="str">
        <f ca="1">IFERROR(__xludf.DUMMYFUNCTION("""COMPUTED_VALUE"""),"KOOTHATTUKULAM")</f>
        <v>KOOTHATTUKULAM</v>
      </c>
      <c r="M64" t="str">
        <f ca="1">IFERROR(__xludf.DUMMYFUNCTION("""COMPUTED_VALUE"""),"I Accept")</f>
        <v>I Accept</v>
      </c>
      <c r="N64" s="4">
        <f ca="1">IFERROR(__xludf.DUMMYFUNCTION("""COMPUTED_VALUE"""),43153)</f>
        <v>43153</v>
      </c>
      <c r="O64" s="4">
        <f ca="1">IFERROR(__xludf.DUMMYFUNCTION("""COMPUTED_VALUE"""),43153)</f>
        <v>43153</v>
      </c>
      <c r="P64">
        <f ca="1">IFERROR(__xludf.DUMMYFUNCTION("""COMPUTED_VALUE"""),3)</f>
        <v>3</v>
      </c>
      <c r="Q64" t="str">
        <f ca="1">IFERROR(__xludf.DUMMYFUNCTION("""COMPUTED_VALUE"""),"jose.dilip@gmail.com")</f>
        <v>jose.dilip@gmail.com</v>
      </c>
      <c r="R64" s="2" t="s">
        <v>1139</v>
      </c>
    </row>
    <row r="65" spans="1:18" ht="13" x14ac:dyDescent="0.15">
      <c r="A65" s="3">
        <f ca="1">IFERROR(__xludf.DUMMYFUNCTION("""COMPUTED_VALUE"""),43155.622865625)</f>
        <v>43155.622865625002</v>
      </c>
      <c r="B65" t="str">
        <f ca="1">IFERROR(__xludf.DUMMYFUNCTION("""COMPUTED_VALUE"""),"thrissur.dist@gmail.com")</f>
        <v>thrissur.dist@gmail.com</v>
      </c>
      <c r="C65">
        <f ca="1">IFERROR(__xludf.DUMMYFUNCTION("""COMPUTED_VALUE"""),98)</f>
        <v>98</v>
      </c>
      <c r="D65" t="str">
        <f ca="1">IFERROR(__xludf.DUMMYFUNCTION("""COMPUTED_VALUE"""),"JAYARAJAN . P.C")</f>
        <v>JAYARAJAN . P.C</v>
      </c>
      <c r="E65">
        <f ca="1">IFERROR(__xludf.DUMMYFUNCTION("""COMPUTED_VALUE"""),9072666503)</f>
        <v>9072666503</v>
      </c>
      <c r="F65" t="str">
        <f ca="1">IFERROR(__xludf.DUMMYFUNCTION("""COMPUTED_VALUE"""),"Thrissur")</f>
        <v>Thrissur</v>
      </c>
      <c r="G65" t="str">
        <f ca="1">IFERROR(__xludf.DUMMYFUNCTION("""COMPUTED_VALUE"""),"M/S WATTSUN ENERGY INDIA (PVT) LTD")</f>
        <v>M/S WATTSUN ENERGY INDIA (PVT) LTD</v>
      </c>
      <c r="H65">
        <f ca="1">IFERROR(__xludf.DUMMYFUNCTION("""COMPUTED_VALUE"""),54)</f>
        <v>54</v>
      </c>
      <c r="I65" s="4">
        <f ca="1">IFERROR(__xludf.DUMMYFUNCTION("""COMPUTED_VALUE"""),43153)</f>
        <v>43153</v>
      </c>
      <c r="J65">
        <f ca="1">IFERROR(__xludf.DUMMYFUNCTION("""COMPUTED_VALUE"""),3)</f>
        <v>3</v>
      </c>
      <c r="K65">
        <f ca="1">IFERROR(__xludf.DUMMYFUNCTION("""COMPUTED_VALUE"""),1156862016091)</f>
        <v>1156862016091</v>
      </c>
      <c r="L65" t="str">
        <f ca="1">IFERROR(__xludf.DUMMYFUNCTION("""COMPUTED_VALUE"""),"PARAPPUR ( 5686 )")</f>
        <v>PARAPPUR ( 5686 )</v>
      </c>
      <c r="M65" t="str">
        <f ca="1">IFERROR(__xludf.DUMMYFUNCTION("""COMPUTED_VALUE"""),"I Accept")</f>
        <v>I Accept</v>
      </c>
      <c r="N65" s="4">
        <f ca="1">IFERROR(__xludf.DUMMYFUNCTION("""COMPUTED_VALUE"""),43153)</f>
        <v>43153</v>
      </c>
      <c r="O65" s="4">
        <f ca="1">IFERROR(__xludf.DUMMYFUNCTION("""COMPUTED_VALUE"""),43153)</f>
        <v>43153</v>
      </c>
      <c r="P65">
        <f ca="1">IFERROR(__xludf.DUMMYFUNCTION("""COMPUTED_VALUE"""),3)</f>
        <v>3</v>
      </c>
      <c r="Q65" t="str">
        <f ca="1">IFERROR(__xludf.DUMMYFUNCTION("""COMPUTED_VALUE"""),"thrissur.dist@gmail.com")</f>
        <v>thrissur.dist@gmail.com</v>
      </c>
      <c r="R65" s="2" t="s">
        <v>1163</v>
      </c>
    </row>
    <row r="66" spans="1:18" ht="13" x14ac:dyDescent="0.15">
      <c r="A66" s="3">
        <f ca="1">IFERROR(__xludf.DUMMYFUNCTION("""COMPUTED_VALUE"""),43155.6363379745)</f>
        <v>43155.636337974502</v>
      </c>
      <c r="B66" t="str">
        <f ca="1">IFERROR(__xludf.DUMMYFUNCTION("""COMPUTED_VALUE"""),"Thrissur.dist@gmail.com")</f>
        <v>Thrissur.dist@gmail.com</v>
      </c>
      <c r="C66">
        <f ca="1">IFERROR(__xludf.DUMMYFUNCTION("""COMPUTED_VALUE"""),98)</f>
        <v>98</v>
      </c>
      <c r="D66" t="str">
        <f ca="1">IFERROR(__xludf.DUMMYFUNCTION("""COMPUTED_VALUE"""),"JAYARAJAN P.C")</f>
        <v>JAYARAJAN P.C</v>
      </c>
      <c r="E66">
        <f ca="1">IFERROR(__xludf.DUMMYFUNCTION("""COMPUTED_VALUE"""),9072666503)</f>
        <v>9072666503</v>
      </c>
      <c r="F66" t="str">
        <f ca="1">IFERROR(__xludf.DUMMYFUNCTION("""COMPUTED_VALUE"""),"Thrissur")</f>
        <v>Thrissur</v>
      </c>
      <c r="G66" t="str">
        <f ca="1">IFERROR(__xludf.DUMMYFUNCTION("""COMPUTED_VALUE"""),"M/S WATTSUN ENERGY INDIA ( PVT ) LTD")</f>
        <v>M/S WATTSUN ENERGY INDIA ( PVT ) LTD</v>
      </c>
      <c r="H66">
        <f ca="1">IFERROR(__xludf.DUMMYFUNCTION("""COMPUTED_VALUE"""),54)</f>
        <v>54</v>
      </c>
      <c r="I66" s="4">
        <f ca="1">IFERROR(__xludf.DUMMYFUNCTION("""COMPUTED_VALUE"""),43153)</f>
        <v>43153</v>
      </c>
      <c r="J66">
        <f ca="1">IFERROR(__xludf.DUMMYFUNCTION("""COMPUTED_VALUE"""),3)</f>
        <v>3</v>
      </c>
      <c r="K66">
        <f ca="1">IFERROR(__xludf.DUMMYFUNCTION("""COMPUTED_VALUE"""),1156862016091)</f>
        <v>1156862016091</v>
      </c>
      <c r="L66" t="str">
        <f ca="1">IFERROR(__xludf.DUMMYFUNCTION("""COMPUTED_VALUE"""),"PARAPPUR (5686 )")</f>
        <v>PARAPPUR (5686 )</v>
      </c>
      <c r="M66" t="str">
        <f ca="1">IFERROR(__xludf.DUMMYFUNCTION("""COMPUTED_VALUE"""),"I Accept")</f>
        <v>I Accept</v>
      </c>
      <c r="N66" s="4">
        <f ca="1">IFERROR(__xludf.DUMMYFUNCTION("""COMPUTED_VALUE"""),43152)</f>
        <v>43152</v>
      </c>
      <c r="O66" s="4">
        <f ca="1">IFERROR(__xludf.DUMMYFUNCTION("""COMPUTED_VALUE"""),43152)</f>
        <v>43152</v>
      </c>
      <c r="P66">
        <f ca="1">IFERROR(__xludf.DUMMYFUNCTION("""COMPUTED_VALUE"""),3)</f>
        <v>3</v>
      </c>
      <c r="Q66" t="str">
        <f ca="1">IFERROR(__xludf.DUMMYFUNCTION("""COMPUTED_VALUE"""),"info@wattsun.in")</f>
        <v>info@wattsun.in</v>
      </c>
      <c r="R66" s="2" t="s">
        <v>1182</v>
      </c>
    </row>
    <row r="67" spans="1:18" ht="13" x14ac:dyDescent="0.15">
      <c r="A67" s="3">
        <f ca="1">IFERROR(__xludf.DUMMYFUNCTION("""COMPUTED_VALUE"""),43155.6454034953)</f>
        <v>43155.645403495299</v>
      </c>
      <c r="B67" t="str">
        <f ca="1">IFERROR(__xludf.DUMMYFUNCTION("""COMPUTED_VALUE"""),"jose.dilip@gmail.com")</f>
        <v>jose.dilip@gmail.com</v>
      </c>
      <c r="C67">
        <f ca="1">IFERROR(__xludf.DUMMYFUNCTION("""COMPUTED_VALUE"""),27)</f>
        <v>27</v>
      </c>
      <c r="D67" t="str">
        <f ca="1">IFERROR(__xludf.DUMMYFUNCTION("""COMPUTED_VALUE"""),"JESSY LANSE")</f>
        <v>JESSY LANSE</v>
      </c>
      <c r="E67">
        <f ca="1">IFERROR(__xludf.DUMMYFUNCTION("""COMPUTED_VALUE"""),8137874406)</f>
        <v>8137874406</v>
      </c>
      <c r="F67" t="str">
        <f ca="1">IFERROR(__xludf.DUMMYFUNCTION("""COMPUTED_VALUE"""),"Thrissur")</f>
        <v>Thrissur</v>
      </c>
      <c r="G67" t="str">
        <f ca="1">IFERROR(__xludf.DUMMYFUNCTION("""COMPUTED_VALUE"""),"SOLGEN ENERGY PVT LTD")</f>
        <v>SOLGEN ENERGY PVT LTD</v>
      </c>
      <c r="H67">
        <f ca="1">IFERROR(__xludf.DUMMYFUNCTION("""COMPUTED_VALUE"""),42)</f>
        <v>42</v>
      </c>
      <c r="I67" s="4">
        <f ca="1">IFERROR(__xludf.DUMMYFUNCTION("""COMPUTED_VALUE"""),43151)</f>
        <v>43151</v>
      </c>
      <c r="J67">
        <f ca="1">IFERROR(__xludf.DUMMYFUNCTION("""COMPUTED_VALUE"""),5)</f>
        <v>5</v>
      </c>
      <c r="K67">
        <f ca="1">IFERROR(__xludf.DUMMYFUNCTION("""COMPUTED_VALUE"""),1156727019579)</f>
        <v>1156727019579</v>
      </c>
      <c r="L67" t="str">
        <f ca="1">IFERROR(__xludf.DUMMYFUNCTION("""COMPUTED_VALUE"""),"OLLUR")</f>
        <v>OLLUR</v>
      </c>
      <c r="M67" t="str">
        <f ca="1">IFERROR(__xludf.DUMMYFUNCTION("""COMPUTED_VALUE"""),"I Accept")</f>
        <v>I Accept</v>
      </c>
      <c r="N67" s="4">
        <f ca="1">IFERROR(__xludf.DUMMYFUNCTION("""COMPUTED_VALUE"""),43152)</f>
        <v>43152</v>
      </c>
      <c r="O67" s="4">
        <f ca="1">IFERROR(__xludf.DUMMYFUNCTION("""COMPUTED_VALUE"""),43152)</f>
        <v>43152</v>
      </c>
      <c r="P67">
        <f ca="1">IFERROR(__xludf.DUMMYFUNCTION("""COMPUTED_VALUE"""),5)</f>
        <v>5</v>
      </c>
      <c r="Q67" t="str">
        <f ca="1">IFERROR(__xludf.DUMMYFUNCTION("""COMPUTED_VALUE"""),"jose.dilip@gmail.com")</f>
        <v>jose.dilip@gmail.com</v>
      </c>
      <c r="R67" s="2" t="s">
        <v>1204</v>
      </c>
    </row>
    <row r="68" spans="1:18" ht="13" x14ac:dyDescent="0.15">
      <c r="A68" s="3">
        <f ca="1">IFERROR(__xludf.DUMMYFUNCTION("""COMPUTED_VALUE"""),43155.6530729976)</f>
        <v>43155.6530729976</v>
      </c>
      <c r="B68" t="str">
        <f ca="1">IFERROR(__xludf.DUMMYFUNCTION("""COMPUTED_VALUE"""),"jose.dilip@gmail.com")</f>
        <v>jose.dilip@gmail.com</v>
      </c>
      <c r="C68">
        <f ca="1">IFERROR(__xludf.DUMMYFUNCTION("""COMPUTED_VALUE"""),51)</f>
        <v>51</v>
      </c>
      <c r="D68" t="str">
        <f ca="1">IFERROR(__xludf.DUMMYFUNCTION("""COMPUTED_VALUE"""),"A J JOY")</f>
        <v>A J JOY</v>
      </c>
      <c r="E68">
        <f ca="1">IFERROR(__xludf.DUMMYFUNCTION("""COMPUTED_VALUE"""),8137874406)</f>
        <v>8137874406</v>
      </c>
      <c r="F68" t="str">
        <f ca="1">IFERROR(__xludf.DUMMYFUNCTION("""COMPUTED_VALUE"""),"Thrissur")</f>
        <v>Thrissur</v>
      </c>
      <c r="G68" t="str">
        <f ca="1">IFERROR(__xludf.DUMMYFUNCTION("""COMPUTED_VALUE"""),"SOLGEN ENERGY PVT LTD")</f>
        <v>SOLGEN ENERGY PVT LTD</v>
      </c>
      <c r="H68">
        <f ca="1">IFERROR(__xludf.DUMMYFUNCTION("""COMPUTED_VALUE"""),42)</f>
        <v>42</v>
      </c>
      <c r="I68" s="4">
        <f ca="1">IFERROR(__xludf.DUMMYFUNCTION("""COMPUTED_VALUE"""),43151)</f>
        <v>43151</v>
      </c>
      <c r="J68">
        <f ca="1">IFERROR(__xludf.DUMMYFUNCTION("""COMPUTED_VALUE"""),3)</f>
        <v>3</v>
      </c>
      <c r="K68">
        <f ca="1">IFERROR(__xludf.DUMMYFUNCTION("""COMPUTED_VALUE"""),1156877000012)</f>
        <v>1156877000012</v>
      </c>
      <c r="L68" t="str">
        <f ca="1">IFERROR(__xludf.DUMMYFUNCTION("""COMPUTED_VALUE"""),"PAVARATTY")</f>
        <v>PAVARATTY</v>
      </c>
      <c r="M68" t="str">
        <f ca="1">IFERROR(__xludf.DUMMYFUNCTION("""COMPUTED_VALUE"""),"I Accept")</f>
        <v>I Accept</v>
      </c>
      <c r="N68" s="4">
        <f ca="1">IFERROR(__xludf.DUMMYFUNCTION("""COMPUTED_VALUE"""),43153)</f>
        <v>43153</v>
      </c>
      <c r="O68" s="4">
        <f ca="1">IFERROR(__xludf.DUMMYFUNCTION("""COMPUTED_VALUE"""),43153)</f>
        <v>43153</v>
      </c>
      <c r="P68">
        <f ca="1">IFERROR(__xludf.DUMMYFUNCTION("""COMPUTED_VALUE"""),3)</f>
        <v>3</v>
      </c>
      <c r="Q68" t="str">
        <f ca="1">IFERROR(__xludf.DUMMYFUNCTION("""COMPUTED_VALUE"""),"jose.dilip@gmail.com")</f>
        <v>jose.dilip@gmail.com</v>
      </c>
      <c r="R68" s="2" t="s">
        <v>1215</v>
      </c>
    </row>
    <row r="69" spans="1:18" ht="13" x14ac:dyDescent="0.15">
      <c r="A69" s="3">
        <f ca="1">IFERROR(__xludf.DUMMYFUNCTION("""COMPUTED_VALUE"""),43155.6771400925)</f>
        <v>43155.677140092499</v>
      </c>
      <c r="B69" t="str">
        <f ca="1">IFERROR(__xludf.DUMMYFUNCTION("""COMPUTED_VALUE"""),"jose.dilip@gmail.com")</f>
        <v>jose.dilip@gmail.com</v>
      </c>
      <c r="C69">
        <f ca="1">IFERROR(__xludf.DUMMYFUNCTION("""COMPUTED_VALUE"""),228)</f>
        <v>228</v>
      </c>
      <c r="D69" t="str">
        <f ca="1">IFERROR(__xludf.DUMMYFUNCTION("""COMPUTED_VALUE"""),"BABY K")</f>
        <v>BABY K</v>
      </c>
      <c r="E69">
        <f ca="1">IFERROR(__xludf.DUMMYFUNCTION("""COMPUTED_VALUE"""),8137874406)</f>
        <v>8137874406</v>
      </c>
      <c r="F69" t="str">
        <f ca="1">IFERROR(__xludf.DUMMYFUNCTION("""COMPUTED_VALUE"""),"Alappuzha")</f>
        <v>Alappuzha</v>
      </c>
      <c r="G69" t="str">
        <f ca="1">IFERROR(__xludf.DUMMYFUNCTION("""COMPUTED_VALUE"""),"SOLGEN ENERGY PVT LTD")</f>
        <v>SOLGEN ENERGY PVT LTD</v>
      </c>
      <c r="H69">
        <f ca="1">IFERROR(__xludf.DUMMYFUNCTION("""COMPUTED_VALUE"""),42)</f>
        <v>42</v>
      </c>
      <c r="I69" s="4">
        <f ca="1">IFERROR(__xludf.DUMMYFUNCTION("""COMPUTED_VALUE"""),43153)</f>
        <v>43153</v>
      </c>
      <c r="J69">
        <f ca="1">IFERROR(__xludf.DUMMYFUNCTION("""COMPUTED_VALUE"""),10)</f>
        <v>10</v>
      </c>
      <c r="K69">
        <f ca="1">IFERROR(__xludf.DUMMYFUNCTION("""COMPUTED_VALUE"""),1155289011283)</f>
        <v>1155289011283</v>
      </c>
      <c r="L69" t="str">
        <f ca="1">IFERROR(__xludf.DUMMYFUNCTION("""COMPUTED_VALUE"""),"KATTANAM")</f>
        <v>KATTANAM</v>
      </c>
      <c r="M69" t="str">
        <f ca="1">IFERROR(__xludf.DUMMYFUNCTION("""COMPUTED_VALUE"""),"I Accept")</f>
        <v>I Accept</v>
      </c>
      <c r="N69" s="4">
        <f ca="1">IFERROR(__xludf.DUMMYFUNCTION("""COMPUTED_VALUE"""),43151)</f>
        <v>43151</v>
      </c>
      <c r="O69" s="4">
        <f ca="1">IFERROR(__xludf.DUMMYFUNCTION("""COMPUTED_VALUE"""),43151)</f>
        <v>43151</v>
      </c>
      <c r="P69">
        <f ca="1">IFERROR(__xludf.DUMMYFUNCTION("""COMPUTED_VALUE"""),10)</f>
        <v>10</v>
      </c>
      <c r="Q69" t="str">
        <f ca="1">IFERROR(__xludf.DUMMYFUNCTION("""COMPUTED_VALUE"""),"jose.dilip@gmail.com")</f>
        <v>jose.dilip@gmail.com</v>
      </c>
      <c r="R69" s="2" t="s">
        <v>1234</v>
      </c>
    </row>
    <row r="70" spans="1:18" ht="13" x14ac:dyDescent="0.15">
      <c r="A70" s="3">
        <f ca="1">IFERROR(__xludf.DUMMYFUNCTION("""COMPUTED_VALUE"""),43155.683090162)</f>
        <v>43155.683090161998</v>
      </c>
      <c r="B70" t="str">
        <f ca="1">IFERROR(__xludf.DUMMYFUNCTION("""COMPUTED_VALUE"""),"jose.dilip@gmail.com")</f>
        <v>jose.dilip@gmail.com</v>
      </c>
      <c r="C70">
        <f ca="1">IFERROR(__xludf.DUMMYFUNCTION("""COMPUTED_VALUE"""),178)</f>
        <v>178</v>
      </c>
      <c r="D70" t="str">
        <f ca="1">IFERROR(__xludf.DUMMYFUNCTION("""COMPUTED_VALUE"""),"SAJEEV KUMAR R")</f>
        <v>SAJEEV KUMAR R</v>
      </c>
      <c r="E70">
        <f ca="1">IFERROR(__xludf.DUMMYFUNCTION("""COMPUTED_VALUE"""),8137874406)</f>
        <v>8137874406</v>
      </c>
      <c r="F70" t="str">
        <f ca="1">IFERROR(__xludf.DUMMYFUNCTION("""COMPUTED_VALUE"""),"Ernakulam")</f>
        <v>Ernakulam</v>
      </c>
      <c r="G70" t="str">
        <f ca="1">IFERROR(__xludf.DUMMYFUNCTION("""COMPUTED_VALUE"""),"SOLGEN ENERGY PVT LTD")</f>
        <v>SOLGEN ENERGY PVT LTD</v>
      </c>
      <c r="H70">
        <f ca="1">IFERROR(__xludf.DUMMYFUNCTION("""COMPUTED_VALUE"""),42)</f>
        <v>42</v>
      </c>
      <c r="I70" s="4">
        <f ca="1">IFERROR(__xludf.DUMMYFUNCTION("""COMPUTED_VALUE"""),43152)</f>
        <v>43152</v>
      </c>
      <c r="J70">
        <f ca="1">IFERROR(__xludf.DUMMYFUNCTION("""COMPUTED_VALUE"""),3)</f>
        <v>3</v>
      </c>
      <c r="K70">
        <f ca="1">IFERROR(__xludf.DUMMYFUNCTION("""COMPUTED_VALUE"""),1155489018489)</f>
        <v>1155489018489</v>
      </c>
      <c r="L70" t="str">
        <f ca="1">IFERROR(__xludf.DUMMYFUNCTION("""COMPUTED_VALUE"""),"THRIPUNITHURA")</f>
        <v>THRIPUNITHURA</v>
      </c>
      <c r="M70" t="str">
        <f ca="1">IFERROR(__xludf.DUMMYFUNCTION("""COMPUTED_VALUE"""),"I Accept")</f>
        <v>I Accept</v>
      </c>
      <c r="N70" s="4">
        <f ca="1">IFERROR(__xludf.DUMMYFUNCTION("""COMPUTED_VALUE"""),43150)</f>
        <v>43150</v>
      </c>
      <c r="O70" s="4">
        <f ca="1">IFERROR(__xludf.DUMMYFUNCTION("""COMPUTED_VALUE"""),43150)</f>
        <v>43150</v>
      </c>
      <c r="P70">
        <f ca="1">IFERROR(__xludf.DUMMYFUNCTION("""COMPUTED_VALUE"""),3)</f>
        <v>3</v>
      </c>
      <c r="Q70" t="str">
        <f ca="1">IFERROR(__xludf.DUMMYFUNCTION("""COMPUTED_VALUE"""),"jose.dilip@gmail.com")</f>
        <v>jose.dilip@gmail.com</v>
      </c>
      <c r="R70" s="2" t="s">
        <v>1249</v>
      </c>
    </row>
    <row r="71" spans="1:18" ht="13" x14ac:dyDescent="0.15">
      <c r="A71" s="3">
        <f ca="1">IFERROR(__xludf.DUMMYFUNCTION("""COMPUTED_VALUE"""),43157.5000421527)</f>
        <v>43157.5000421527</v>
      </c>
      <c r="B71" t="str">
        <f ca="1">IFERROR(__xludf.DUMMYFUNCTION("""COMPUTED_VALUE"""),"shinecchinnan@gmail.com")</f>
        <v>shinecchinnan@gmail.com</v>
      </c>
      <c r="C71">
        <f ca="1">IFERROR(__xludf.DUMMYFUNCTION("""COMPUTED_VALUE"""),350)</f>
        <v>350</v>
      </c>
      <c r="D71" t="str">
        <f ca="1">IFERROR(__xludf.DUMMYFUNCTION("""COMPUTED_VALUE"""),"Shine C Chinnan")</f>
        <v>Shine C Chinnan</v>
      </c>
      <c r="E71">
        <f ca="1">IFERROR(__xludf.DUMMYFUNCTION("""COMPUTED_VALUE"""),9745899949)</f>
        <v>9745899949</v>
      </c>
      <c r="F71" t="str">
        <f ca="1">IFERROR(__xludf.DUMMYFUNCTION("""COMPUTED_VALUE"""),"Thrissur")</f>
        <v>Thrissur</v>
      </c>
      <c r="G71" t="str">
        <f ca="1">IFERROR(__xludf.DUMMYFUNCTION("""COMPUTED_VALUE"""),"Reecco Energy India Pvt. Ltd")</f>
        <v>Reecco Energy India Pvt. Ltd</v>
      </c>
      <c r="H71">
        <f ca="1">IFERROR(__xludf.DUMMYFUNCTION("""COMPUTED_VALUE"""),47)</f>
        <v>47</v>
      </c>
      <c r="I71" s="4">
        <f ca="1">IFERROR(__xludf.DUMMYFUNCTION("""COMPUTED_VALUE"""),43157)</f>
        <v>43157</v>
      </c>
      <c r="J71">
        <f ca="1">IFERROR(__xludf.DUMMYFUNCTION("""COMPUTED_VALUE"""),5)</f>
        <v>5</v>
      </c>
      <c r="K71">
        <f ca="1">IFERROR(__xludf.DUMMYFUNCTION("""COMPUTED_VALUE"""),1157012025516)</f>
        <v>1157012025516</v>
      </c>
      <c r="L71" t="str">
        <f ca="1">IFERROR(__xludf.DUMMYFUNCTION("""COMPUTED_VALUE"""),"Pazhanji")</f>
        <v>Pazhanji</v>
      </c>
      <c r="M71" t="str">
        <f ca="1">IFERROR(__xludf.DUMMYFUNCTION("""COMPUTED_VALUE"""),"I Accept")</f>
        <v>I Accept</v>
      </c>
      <c r="N71" s="4">
        <f ca="1">IFERROR(__xludf.DUMMYFUNCTION("""COMPUTED_VALUE"""),42880)</f>
        <v>42880</v>
      </c>
      <c r="O71" s="4">
        <f ca="1">IFERROR(__xludf.DUMMYFUNCTION("""COMPUTED_VALUE"""),42880)</f>
        <v>42880</v>
      </c>
      <c r="P71">
        <f ca="1">IFERROR(__xludf.DUMMYFUNCTION("""COMPUTED_VALUE"""),5)</f>
        <v>5</v>
      </c>
      <c r="Q71" t="str">
        <f ca="1">IFERROR(__xludf.DUMMYFUNCTION("""COMPUTED_VALUE"""),"shinecchinnan@gmail.com")</f>
        <v>shinecchinnan@gmail.com</v>
      </c>
      <c r="R71" s="2" t="s">
        <v>1259</v>
      </c>
    </row>
    <row r="72" spans="1:18" ht="13" x14ac:dyDescent="0.15">
      <c r="A72" s="3">
        <f ca="1">IFERROR(__xludf.DUMMYFUNCTION("""COMPUTED_VALUE"""),43157.5096358333)</f>
        <v>43157.509635833303</v>
      </c>
      <c r="B72" t="str">
        <f ca="1">IFERROR(__xludf.DUMMYFUNCTION("""COMPUTED_VALUE"""),"alishoukkath100@gmail.com")</f>
        <v>alishoukkath100@gmail.com</v>
      </c>
      <c r="C72">
        <f ca="1">IFERROR(__xludf.DUMMYFUNCTION("""COMPUTED_VALUE"""),349)</f>
        <v>349</v>
      </c>
      <c r="D72" t="str">
        <f ca="1">IFERROR(__xludf.DUMMYFUNCTION("""COMPUTED_VALUE"""),"Shoukathali.P.M")</f>
        <v>Shoukathali.P.M</v>
      </c>
      <c r="E72">
        <f ca="1">IFERROR(__xludf.DUMMYFUNCTION("""COMPUTED_VALUE"""),9745899949)</f>
        <v>9745899949</v>
      </c>
      <c r="F72" t="str">
        <f ca="1">IFERROR(__xludf.DUMMYFUNCTION("""COMPUTED_VALUE"""),"Malappuram")</f>
        <v>Malappuram</v>
      </c>
      <c r="G72" t="str">
        <f ca="1">IFERROR(__xludf.DUMMYFUNCTION("""COMPUTED_VALUE"""),"Reecco Energy India Pvt. Ltd")</f>
        <v>Reecco Energy India Pvt. Ltd</v>
      </c>
      <c r="H72">
        <f ca="1">IFERROR(__xludf.DUMMYFUNCTION("""COMPUTED_VALUE"""),47)</f>
        <v>47</v>
      </c>
      <c r="I72" s="4">
        <f ca="1">IFERROR(__xludf.DUMMYFUNCTION("""COMPUTED_VALUE"""),43157)</f>
        <v>43157</v>
      </c>
      <c r="J72">
        <f ca="1">IFERROR(__xludf.DUMMYFUNCTION("""COMPUTED_VALUE"""),5)</f>
        <v>5</v>
      </c>
      <c r="K72">
        <f ca="1">IFERROR(__xludf.DUMMYFUNCTION("""COMPUTED_VALUE"""),1165384004226)</f>
        <v>1165384004226</v>
      </c>
      <c r="L72" t="str">
        <f ca="1">IFERROR(__xludf.DUMMYFUNCTION("""COMPUTED_VALUE"""),"Chalissery")</f>
        <v>Chalissery</v>
      </c>
      <c r="M72" t="str">
        <f ca="1">IFERROR(__xludf.DUMMYFUNCTION("""COMPUTED_VALUE"""),"I Accept")</f>
        <v>I Accept</v>
      </c>
      <c r="N72" s="4">
        <f ca="1">IFERROR(__xludf.DUMMYFUNCTION("""COMPUTED_VALUE"""),42992)</f>
        <v>42992</v>
      </c>
      <c r="O72" s="4">
        <f ca="1">IFERROR(__xludf.DUMMYFUNCTION("""COMPUTED_VALUE"""),42992)</f>
        <v>42992</v>
      </c>
      <c r="P72">
        <f ca="1">IFERROR(__xludf.DUMMYFUNCTION("""COMPUTED_VALUE"""),5)</f>
        <v>5</v>
      </c>
      <c r="Q72" t="str">
        <f ca="1">IFERROR(__xludf.DUMMYFUNCTION("""COMPUTED_VALUE"""),"alishoukkath100@gmail.com")</f>
        <v>alishoukkath100@gmail.com</v>
      </c>
      <c r="R72" s="2" t="s">
        <v>1269</v>
      </c>
    </row>
    <row r="73" spans="1:18" ht="13" x14ac:dyDescent="0.15">
      <c r="A73" s="3">
        <f ca="1">IFERROR(__xludf.DUMMYFUNCTION("""COMPUTED_VALUE"""),43157.5266559027)</f>
        <v>43157.5266559027</v>
      </c>
      <c r="B73" t="str">
        <f ca="1">IFERROR(__xludf.DUMMYFUNCTION("""COMPUTED_VALUE"""),"celinejacob121@gmail.com")</f>
        <v>celinejacob121@gmail.com</v>
      </c>
      <c r="C73">
        <f ca="1">IFERROR(__xludf.DUMMYFUNCTION("""COMPUTED_VALUE"""),348)</f>
        <v>348</v>
      </c>
      <c r="D73" t="str">
        <f ca="1">IFERROR(__xludf.DUMMYFUNCTION("""COMPUTED_VALUE"""),"Celine Jacob")</f>
        <v>Celine Jacob</v>
      </c>
      <c r="E73">
        <f ca="1">IFERROR(__xludf.DUMMYFUNCTION("""COMPUTED_VALUE"""),9562233099)</f>
        <v>9562233099</v>
      </c>
      <c r="F73" t="str">
        <f ca="1">IFERROR(__xludf.DUMMYFUNCTION("""COMPUTED_VALUE"""),"Kottayam")</f>
        <v>Kottayam</v>
      </c>
      <c r="G73" t="str">
        <f ca="1">IFERROR(__xludf.DUMMYFUNCTION("""COMPUTED_VALUE"""),"Reecco Energy India Pvt. Ltd")</f>
        <v>Reecco Energy India Pvt. Ltd</v>
      </c>
      <c r="H73">
        <f ca="1">IFERROR(__xludf.DUMMYFUNCTION("""COMPUTED_VALUE"""),47)</f>
        <v>47</v>
      </c>
      <c r="I73" s="4">
        <f ca="1">IFERROR(__xludf.DUMMYFUNCTION("""COMPUTED_VALUE"""),43157)</f>
        <v>43157</v>
      </c>
      <c r="J73">
        <f ca="1">IFERROR(__xludf.DUMMYFUNCTION("""COMPUTED_VALUE"""),3)</f>
        <v>3</v>
      </c>
      <c r="K73">
        <f ca="1">IFERROR(__xludf.DUMMYFUNCTION("""COMPUTED_VALUE"""),1156246021005)</f>
        <v>1156246021005</v>
      </c>
      <c r="L73" t="str">
        <f ca="1">IFERROR(__xludf.DUMMYFUNCTION("""COMPUTED_VALUE"""),"Pala")</f>
        <v>Pala</v>
      </c>
      <c r="M73" t="str">
        <f ca="1">IFERROR(__xludf.DUMMYFUNCTION("""COMPUTED_VALUE"""),"I Accept")</f>
        <v>I Accept</v>
      </c>
      <c r="N73" s="4">
        <f ca="1">IFERROR(__xludf.DUMMYFUNCTION("""COMPUTED_VALUE"""),42908)</f>
        <v>42908</v>
      </c>
      <c r="O73" s="4">
        <f ca="1">IFERROR(__xludf.DUMMYFUNCTION("""COMPUTED_VALUE"""),42908)</f>
        <v>42908</v>
      </c>
      <c r="P73">
        <f ca="1">IFERROR(__xludf.DUMMYFUNCTION("""COMPUTED_VALUE"""),3)</f>
        <v>3</v>
      </c>
      <c r="Q73" t="str">
        <f ca="1">IFERROR(__xludf.DUMMYFUNCTION("""COMPUTED_VALUE"""),"celinejacob121@gmail.com")</f>
        <v>celinejacob121@gmail.com</v>
      </c>
      <c r="R73" s="2" t="s">
        <v>1282</v>
      </c>
    </row>
    <row r="74" spans="1:18" ht="13" x14ac:dyDescent="0.15">
      <c r="A74" s="3">
        <f ca="1">IFERROR(__xludf.DUMMYFUNCTION("""COMPUTED_VALUE"""),43157.5318900231)</f>
        <v>43157.5318900231</v>
      </c>
      <c r="B74" t="str">
        <f ca="1">IFERROR(__xludf.DUMMYFUNCTION("""COMPUTED_VALUE"""),"tomykjoseph07@gmail.com")</f>
        <v>tomykjoseph07@gmail.com</v>
      </c>
      <c r="C74">
        <f ca="1">IFERROR(__xludf.DUMMYFUNCTION("""COMPUTED_VALUE"""),346)</f>
        <v>346</v>
      </c>
      <c r="D74" t="str">
        <f ca="1">IFERROR(__xludf.DUMMYFUNCTION("""COMPUTED_VALUE"""),"TOMY K JOSEPH")</f>
        <v>TOMY K JOSEPH</v>
      </c>
      <c r="E74">
        <f ca="1">IFERROR(__xludf.DUMMYFUNCTION("""COMPUTED_VALUE"""),9562233099)</f>
        <v>9562233099</v>
      </c>
      <c r="F74" t="str">
        <f ca="1">IFERROR(__xludf.DUMMYFUNCTION("""COMPUTED_VALUE"""),"Kottayam")</f>
        <v>Kottayam</v>
      </c>
      <c r="G74" t="str">
        <f ca="1">IFERROR(__xludf.DUMMYFUNCTION("""COMPUTED_VALUE"""),"Reecco Energy India Pvt. Ltd")</f>
        <v>Reecco Energy India Pvt. Ltd</v>
      </c>
      <c r="H74">
        <f ca="1">IFERROR(__xludf.DUMMYFUNCTION("""COMPUTED_VALUE"""),47)</f>
        <v>47</v>
      </c>
      <c r="I74" s="4">
        <f ca="1">IFERROR(__xludf.DUMMYFUNCTION("""COMPUTED_VALUE"""),43157)</f>
        <v>43157</v>
      </c>
      <c r="J74">
        <f ca="1">IFERROR(__xludf.DUMMYFUNCTION("""COMPUTED_VALUE"""),3)</f>
        <v>3</v>
      </c>
      <c r="K74">
        <f ca="1">IFERROR(__xludf.DUMMYFUNCTION("""COMPUTED_VALUE"""),1156270006457)</f>
        <v>1156270006457</v>
      </c>
      <c r="L74" t="str">
        <f ca="1">IFERROR(__xludf.DUMMYFUNCTION("""COMPUTED_VALUE"""),"Bharananganam")</f>
        <v>Bharananganam</v>
      </c>
      <c r="M74" t="str">
        <f ca="1">IFERROR(__xludf.DUMMYFUNCTION("""COMPUTED_VALUE"""),"I Accept")</f>
        <v>I Accept</v>
      </c>
      <c r="N74" s="4">
        <f ca="1">IFERROR(__xludf.DUMMYFUNCTION("""COMPUTED_VALUE"""),42926)</f>
        <v>42926</v>
      </c>
      <c r="O74" s="4">
        <f ca="1">IFERROR(__xludf.DUMMYFUNCTION("""COMPUTED_VALUE"""),42926)</f>
        <v>42926</v>
      </c>
      <c r="P74">
        <f ca="1">IFERROR(__xludf.DUMMYFUNCTION("""COMPUTED_VALUE"""),3)</f>
        <v>3</v>
      </c>
      <c r="Q74" t="str">
        <f ca="1">IFERROR(__xludf.DUMMYFUNCTION("""COMPUTED_VALUE"""),"tomykjoseph07@gmail.com")</f>
        <v>tomykjoseph07@gmail.com</v>
      </c>
      <c r="R74" s="2" t="s">
        <v>1301</v>
      </c>
    </row>
    <row r="75" spans="1:18" ht="13" x14ac:dyDescent="0.15">
      <c r="A75" s="3">
        <f ca="1">IFERROR(__xludf.DUMMYFUNCTION("""COMPUTED_VALUE"""),43157.5427282986)</f>
        <v>43157.542728298598</v>
      </c>
      <c r="B75" t="str">
        <f ca="1">IFERROR(__xludf.DUMMYFUNCTION("""COMPUTED_VALUE"""),"s.kanakarathinam@gmail.com")</f>
        <v>s.kanakarathinam@gmail.com</v>
      </c>
      <c r="C75">
        <f ca="1">IFERROR(__xludf.DUMMYFUNCTION("""COMPUTED_VALUE"""),261)</f>
        <v>261</v>
      </c>
      <c r="D75" t="str">
        <f ca="1">IFERROR(__xludf.DUMMYFUNCTION("""COMPUTED_VALUE"""),"Kanakarathinam")</f>
        <v>Kanakarathinam</v>
      </c>
      <c r="E75">
        <f ca="1">IFERROR(__xludf.DUMMYFUNCTION("""COMPUTED_VALUE"""),9495268973)</f>
        <v>9495268973</v>
      </c>
      <c r="F75" t="str">
        <f ca="1">IFERROR(__xludf.DUMMYFUNCTION("""COMPUTED_VALUE"""),"Alappuzha")</f>
        <v>Alappuzha</v>
      </c>
      <c r="G75" t="str">
        <f ca="1">IFERROR(__xludf.DUMMYFUNCTION("""COMPUTED_VALUE"""),"TATA POWER SOLAR SYSTEMS LTD")</f>
        <v>TATA POWER SOLAR SYSTEMS LTD</v>
      </c>
      <c r="H75">
        <f ca="1">IFERROR(__xludf.DUMMYFUNCTION("""COMPUTED_VALUE"""),20)</f>
        <v>20</v>
      </c>
      <c r="I75" s="4">
        <f ca="1">IFERROR(__xludf.DUMMYFUNCTION("""COMPUTED_VALUE"""),43151)</f>
        <v>43151</v>
      </c>
      <c r="J75">
        <f ca="1">IFERROR(__xludf.DUMMYFUNCTION("""COMPUTED_VALUE"""),3)</f>
        <v>3</v>
      </c>
      <c r="K75">
        <f ca="1">IFERROR(__xludf.DUMMYFUNCTION("""COMPUTED_VALUE"""),1155164022491)</f>
        <v>1155164022491</v>
      </c>
      <c r="L75" t="str">
        <f ca="1">IFERROR(__xludf.DUMMYFUNCTION("""COMPUTED_VALUE"""),"5516")</f>
        <v>5516</v>
      </c>
      <c r="M75" t="str">
        <f ca="1">IFERROR(__xludf.DUMMYFUNCTION("""COMPUTED_VALUE"""),"I Accept")</f>
        <v>I Accept</v>
      </c>
      <c r="N75" s="4">
        <f ca="1">IFERROR(__xludf.DUMMYFUNCTION("""COMPUTED_VALUE"""),43157)</f>
        <v>43157</v>
      </c>
      <c r="O75" s="4">
        <f ca="1">IFERROR(__xludf.DUMMYFUNCTION("""COMPUTED_VALUE"""),43157)</f>
        <v>43157</v>
      </c>
      <c r="P75">
        <f ca="1">IFERROR(__xludf.DUMMYFUNCTION("""COMPUTED_VALUE"""),3)</f>
        <v>3</v>
      </c>
      <c r="Q75" t="str">
        <f ca="1">IFERROR(__xludf.DUMMYFUNCTION("""COMPUTED_VALUE"""),"s.kanakarathinam@gmail.com")</f>
        <v>s.kanakarathinam@gmail.com</v>
      </c>
      <c r="R75" s="2" t="s">
        <v>1324</v>
      </c>
    </row>
    <row r="76" spans="1:18" ht="13" x14ac:dyDescent="0.15">
      <c r="A76" s="3">
        <f ca="1">IFERROR(__xludf.DUMMYFUNCTION("""COMPUTED_VALUE"""),43157.554442581)</f>
        <v>43157.554442581</v>
      </c>
      <c r="B76" t="str">
        <f ca="1">IFERROR(__xludf.DUMMYFUNCTION("""COMPUTED_VALUE"""),"jose.dilip@gmail.com")</f>
        <v>jose.dilip@gmail.com</v>
      </c>
      <c r="C76">
        <f ca="1">IFERROR(__xludf.DUMMYFUNCTION("""COMPUTED_VALUE"""),11)</f>
        <v>11</v>
      </c>
      <c r="D76" t="str">
        <f ca="1">IFERROR(__xludf.DUMMYFUNCTION("""COMPUTED_VALUE"""),"THOMAS MATHEW")</f>
        <v>THOMAS MATHEW</v>
      </c>
      <c r="E76">
        <f ca="1">IFERROR(__xludf.DUMMYFUNCTION("""COMPUTED_VALUE"""),8137874406)</f>
        <v>8137874406</v>
      </c>
      <c r="F76" t="str">
        <f ca="1">IFERROR(__xludf.DUMMYFUNCTION("""COMPUTED_VALUE"""),"Thiruvananthapuram")</f>
        <v>Thiruvananthapuram</v>
      </c>
      <c r="G76" t="str">
        <f ca="1">IFERROR(__xludf.DUMMYFUNCTION("""COMPUTED_VALUE"""),"SOLGEN ENERGY PVT LTD")</f>
        <v>SOLGEN ENERGY PVT LTD</v>
      </c>
      <c r="H76">
        <f ca="1">IFERROR(__xludf.DUMMYFUNCTION("""COMPUTED_VALUE"""),42)</f>
        <v>42</v>
      </c>
      <c r="I76" s="4">
        <f ca="1">IFERROR(__xludf.DUMMYFUNCTION("""COMPUTED_VALUE"""),43150)</f>
        <v>43150</v>
      </c>
      <c r="J76">
        <f ca="1">IFERROR(__xludf.DUMMYFUNCTION("""COMPUTED_VALUE"""),5)</f>
        <v>5</v>
      </c>
      <c r="K76">
        <f ca="1">IFERROR(__xludf.DUMMYFUNCTION("""COMPUTED_VALUE"""),114518600669)</f>
        <v>114518600669</v>
      </c>
      <c r="L76" t="str">
        <f ca="1">IFERROR(__xludf.DUMMYFUNCTION("""COMPUTED_VALUE"""),"NALANCHIRA")</f>
        <v>NALANCHIRA</v>
      </c>
      <c r="M76" t="str">
        <f ca="1">IFERROR(__xludf.DUMMYFUNCTION("""COMPUTED_VALUE"""),"I Accept")</f>
        <v>I Accept</v>
      </c>
      <c r="N76" s="4">
        <f ca="1">IFERROR(__xludf.DUMMYFUNCTION("""COMPUTED_VALUE"""),43144)</f>
        <v>43144</v>
      </c>
      <c r="O76" s="4">
        <f ca="1">IFERROR(__xludf.DUMMYFUNCTION("""COMPUTED_VALUE"""),43144)</f>
        <v>43144</v>
      </c>
      <c r="P76">
        <f ca="1">IFERROR(__xludf.DUMMYFUNCTION("""COMPUTED_VALUE"""),5)</f>
        <v>5</v>
      </c>
      <c r="Q76" t="str">
        <f ca="1">IFERROR(__xludf.DUMMYFUNCTION("""COMPUTED_VALUE"""),"jose.dilip@gmail.com")</f>
        <v>jose.dilip@gmail.com</v>
      </c>
      <c r="R76" s="2" t="s">
        <v>1337</v>
      </c>
    </row>
    <row r="77" spans="1:18" ht="13" x14ac:dyDescent="0.15">
      <c r="A77" s="3">
        <f ca="1">IFERROR(__xludf.DUMMYFUNCTION("""COMPUTED_VALUE"""),43157.7325605787)</f>
        <v>43157.732560578697</v>
      </c>
      <c r="B77" t="str">
        <f ca="1">IFERROR(__xludf.DUMMYFUNCTION("""COMPUTED_VALUE"""),"jose.dilip@gmail.com")</f>
        <v>jose.dilip@gmail.com</v>
      </c>
      <c r="C77">
        <f ca="1">IFERROR(__xludf.DUMMYFUNCTION("""COMPUTED_VALUE"""),150)</f>
        <v>150</v>
      </c>
      <c r="D77" t="str">
        <f ca="1">IFERROR(__xludf.DUMMYFUNCTION("""COMPUTED_VALUE"""),"PRAKASAN")</f>
        <v>PRAKASAN</v>
      </c>
      <c r="E77">
        <f ca="1">IFERROR(__xludf.DUMMYFUNCTION("""COMPUTED_VALUE"""),8137874406)</f>
        <v>8137874406</v>
      </c>
      <c r="F77" t="str">
        <f ca="1">IFERROR(__xludf.DUMMYFUNCTION("""COMPUTED_VALUE"""),"Kozhikode")</f>
        <v>Kozhikode</v>
      </c>
      <c r="G77" t="str">
        <f ca="1">IFERROR(__xludf.DUMMYFUNCTION("""COMPUTED_VALUE"""),"SOLGEN ENERGY PVT LTD")</f>
        <v>SOLGEN ENERGY PVT LTD</v>
      </c>
      <c r="H77">
        <f ca="1">IFERROR(__xludf.DUMMYFUNCTION("""COMPUTED_VALUE"""),42)</f>
        <v>42</v>
      </c>
      <c r="I77" s="4">
        <f ca="1">IFERROR(__xludf.DUMMYFUNCTION("""COMPUTED_VALUE"""),43154)</f>
        <v>43154</v>
      </c>
      <c r="J77">
        <f ca="1">IFERROR(__xludf.DUMMYFUNCTION("""COMPUTED_VALUE"""),3)</f>
        <v>3</v>
      </c>
      <c r="K77">
        <f ca="1">IFERROR(__xludf.DUMMYFUNCTION("""COMPUTED_VALUE"""),1167473017953)</f>
        <v>1167473017953</v>
      </c>
      <c r="L77" t="str">
        <f ca="1">IFERROR(__xludf.DUMMYFUNCTION("""COMPUTED_VALUE"""),"KATTANGAL")</f>
        <v>KATTANGAL</v>
      </c>
      <c r="M77" t="str">
        <f ca="1">IFERROR(__xludf.DUMMYFUNCTION("""COMPUTED_VALUE"""),"I Accept")</f>
        <v>I Accept</v>
      </c>
      <c r="N77" s="4">
        <f ca="1">IFERROR(__xludf.DUMMYFUNCTION("""COMPUTED_VALUE"""),43097)</f>
        <v>43097</v>
      </c>
      <c r="O77" s="4">
        <f ca="1">IFERROR(__xludf.DUMMYFUNCTION("""COMPUTED_VALUE"""),43097)</f>
        <v>43097</v>
      </c>
      <c r="P77">
        <f ca="1">IFERROR(__xludf.DUMMYFUNCTION("""COMPUTED_VALUE"""),3)</f>
        <v>3</v>
      </c>
      <c r="Q77" t="str">
        <f ca="1">IFERROR(__xludf.DUMMYFUNCTION("""COMPUTED_VALUE"""),"jose.dilip@gmail.com")</f>
        <v>jose.dilip@gmail.com</v>
      </c>
      <c r="R77" s="2" t="s">
        <v>1352</v>
      </c>
    </row>
    <row r="78" spans="1:18" ht="13" x14ac:dyDescent="0.15">
      <c r="A78" s="3">
        <f ca="1">IFERROR(__xludf.DUMMYFUNCTION("""COMPUTED_VALUE"""),43158.4301973611)</f>
        <v>43158.4301973611</v>
      </c>
      <c r="B78" t="str">
        <f ca="1">IFERROR(__xludf.DUMMYFUNCTION("""COMPUTED_VALUE"""),"jismathew2018@gmail.com")</f>
        <v>jismathew2018@gmail.com</v>
      </c>
      <c r="C78">
        <f ca="1">IFERROR(__xludf.DUMMYFUNCTION("""COMPUTED_VALUE"""),245)</f>
        <v>245</v>
      </c>
      <c r="D78" t="str">
        <f ca="1">IFERROR(__xludf.DUMMYFUNCTION("""COMPUTED_VALUE"""),"JIS MATHEW")</f>
        <v>JIS MATHEW</v>
      </c>
      <c r="E78">
        <f ca="1">IFERROR(__xludf.DUMMYFUNCTION("""COMPUTED_VALUE"""),9562233099)</f>
        <v>9562233099</v>
      </c>
      <c r="F78" t="str">
        <f ca="1">IFERROR(__xludf.DUMMYFUNCTION("""COMPUTED_VALUE"""),"Idukki")</f>
        <v>Idukki</v>
      </c>
      <c r="G78" t="str">
        <f ca="1">IFERROR(__xludf.DUMMYFUNCTION("""COMPUTED_VALUE"""),"Reecco Energy India Pvt Ltd")</f>
        <v>Reecco Energy India Pvt Ltd</v>
      </c>
      <c r="H78">
        <f ca="1">IFERROR(__xludf.DUMMYFUNCTION("""COMPUTED_VALUE"""),47)</f>
        <v>47</v>
      </c>
      <c r="I78" s="4">
        <f ca="1">IFERROR(__xludf.DUMMYFUNCTION("""COMPUTED_VALUE"""),43157)</f>
        <v>43157</v>
      </c>
      <c r="J78">
        <f ca="1">IFERROR(__xludf.DUMMYFUNCTION("""COMPUTED_VALUE"""),3)</f>
        <v>3</v>
      </c>
      <c r="K78">
        <f ca="1">IFERROR(__xludf.DUMMYFUNCTION("""COMPUTED_VALUE"""),1156200026616)</f>
        <v>1156200026616</v>
      </c>
      <c r="L78" t="str">
        <f ca="1">IFERROR(__xludf.DUMMYFUNCTION("""COMPUTED_VALUE"""),"Thodupuzha - Section II")</f>
        <v>Thodupuzha - Section II</v>
      </c>
      <c r="M78" t="str">
        <f ca="1">IFERROR(__xludf.DUMMYFUNCTION("""COMPUTED_VALUE"""),"I Accept")</f>
        <v>I Accept</v>
      </c>
      <c r="N78" s="4">
        <f ca="1">IFERROR(__xludf.DUMMYFUNCTION("""COMPUTED_VALUE"""),43097)</f>
        <v>43097</v>
      </c>
      <c r="O78" s="4">
        <f ca="1">IFERROR(__xludf.DUMMYFUNCTION("""COMPUTED_VALUE"""),43097)</f>
        <v>43097</v>
      </c>
      <c r="P78">
        <f ca="1">IFERROR(__xludf.DUMMYFUNCTION("""COMPUTED_VALUE"""),3)</f>
        <v>3</v>
      </c>
      <c r="Q78" t="str">
        <f ca="1">IFERROR(__xludf.DUMMYFUNCTION("""COMPUTED_VALUE"""),"jismathew2018@gmail.com")</f>
        <v>jismathew2018@gmail.com</v>
      </c>
      <c r="R78" s="2" t="s">
        <v>1373</v>
      </c>
    </row>
    <row r="79" spans="1:18" ht="13" x14ac:dyDescent="0.15">
      <c r="A79" s="3">
        <f ca="1">IFERROR(__xludf.DUMMYFUNCTION("""COMPUTED_VALUE"""),43158.4777716088)</f>
        <v>43158.477771608799</v>
      </c>
      <c r="B79" t="str">
        <f ca="1">IFERROR(__xludf.DUMMYFUNCTION("""COMPUTED_VALUE"""),"amanmr30@gmail.com")</f>
        <v>amanmr30@gmail.com</v>
      </c>
      <c r="C79">
        <f ca="1">IFERROR(__xludf.DUMMYFUNCTION("""COMPUTED_VALUE"""),187)</f>
        <v>187</v>
      </c>
      <c r="D79" t="str">
        <f ca="1">IFERROR(__xludf.DUMMYFUNCTION("""COMPUTED_VALUE"""),"Renju Udayabhanu")</f>
        <v>Renju Udayabhanu</v>
      </c>
      <c r="E79">
        <f ca="1">IFERROR(__xludf.DUMMYFUNCTION("""COMPUTED_VALUE"""),9496242282)</f>
        <v>9496242282</v>
      </c>
      <c r="F79" t="str">
        <f ca="1">IFERROR(__xludf.DUMMYFUNCTION("""COMPUTED_VALUE"""),"Kollam")</f>
        <v>Kollam</v>
      </c>
      <c r="G79" t="str">
        <f ca="1">IFERROR(__xludf.DUMMYFUNCTION("""COMPUTED_VALUE"""),"SOURA Natural Energy Solutions I Pvt Ltd")</f>
        <v>SOURA Natural Energy Solutions I Pvt Ltd</v>
      </c>
      <c r="H79">
        <f ca="1">IFERROR(__xludf.DUMMYFUNCTION("""COMPUTED_VALUE"""),11)</f>
        <v>11</v>
      </c>
      <c r="I79" s="4">
        <f ca="1">IFERROR(__xludf.DUMMYFUNCTION("""COMPUTED_VALUE"""),43153)</f>
        <v>43153</v>
      </c>
      <c r="J79">
        <f ca="1">IFERROR(__xludf.DUMMYFUNCTION("""COMPUTED_VALUE"""),5)</f>
        <v>5</v>
      </c>
      <c r="K79">
        <f ca="1">IFERROR(__xludf.DUMMYFUNCTION("""COMPUTED_VALUE"""),1145669003041)</f>
        <v>1145669003041</v>
      </c>
      <c r="L79" t="str">
        <f ca="1">IFERROR(__xludf.DUMMYFUNCTION("""COMPUTED_VALUE"""),"Pallimukku")</f>
        <v>Pallimukku</v>
      </c>
      <c r="M79" t="str">
        <f ca="1">IFERROR(__xludf.DUMMYFUNCTION("""COMPUTED_VALUE"""),"I Accept")</f>
        <v>I Accept</v>
      </c>
      <c r="N79" s="4">
        <f ca="1">IFERROR(__xludf.DUMMYFUNCTION("""COMPUTED_VALUE"""),43153)</f>
        <v>43153</v>
      </c>
      <c r="O79" s="4">
        <f ca="1">IFERROR(__xludf.DUMMYFUNCTION("""COMPUTED_VALUE"""),43153)</f>
        <v>43153</v>
      </c>
      <c r="P79">
        <f ca="1">IFERROR(__xludf.DUMMYFUNCTION("""COMPUTED_VALUE"""),5)</f>
        <v>5</v>
      </c>
      <c r="Q79" t="str">
        <f ca="1">IFERROR(__xludf.DUMMYFUNCTION("""COMPUTED_VALUE"""),"amanmr30@gmail.com")</f>
        <v>amanmr30@gmail.com</v>
      </c>
      <c r="R79" s="2" t="s">
        <v>1392</v>
      </c>
    </row>
    <row r="80" spans="1:18" ht="13" x14ac:dyDescent="0.15">
      <c r="A80" s="3">
        <f ca="1">IFERROR(__xludf.DUMMYFUNCTION("""COMPUTED_VALUE"""),43158.5329366319)</f>
        <v>43158.532936631898</v>
      </c>
      <c r="B80" t="str">
        <f ca="1">IFERROR(__xludf.DUMMYFUNCTION("""COMPUTED_VALUE"""),"puthoorsteephan@gmail.com")</f>
        <v>puthoorsteephan@gmail.com</v>
      </c>
      <c r="C80">
        <f ca="1">IFERROR(__xludf.DUMMYFUNCTION("""COMPUTED_VALUE"""),26)</f>
        <v>26</v>
      </c>
      <c r="D80" t="str">
        <f ca="1">IFERROR(__xludf.DUMMYFUNCTION("""COMPUTED_VALUE"""),"STEEPHAN P P")</f>
        <v>STEEPHAN P P</v>
      </c>
      <c r="E80">
        <f ca="1">IFERROR(__xludf.DUMMYFUNCTION("""COMPUTED_VALUE"""),9961409595)</f>
        <v>9961409595</v>
      </c>
      <c r="F80" t="str">
        <f ca="1">IFERROR(__xludf.DUMMYFUNCTION("""COMPUTED_VALUE"""),"Thrissur")</f>
        <v>Thrissur</v>
      </c>
      <c r="G80" t="str">
        <f ca="1">IFERROR(__xludf.DUMMYFUNCTION("""COMPUTED_VALUE"""),"SPECTRUM TECHNO PRODUCTS")</f>
        <v>SPECTRUM TECHNO PRODUCTS</v>
      </c>
      <c r="H80">
        <f ca="1">IFERROR(__xludf.DUMMYFUNCTION("""COMPUTED_VALUE"""),66)</f>
        <v>66</v>
      </c>
      <c r="I80" s="4">
        <f ca="1">IFERROR(__xludf.DUMMYFUNCTION("""COMPUTED_VALUE"""),43157)</f>
        <v>43157</v>
      </c>
      <c r="J80">
        <f ca="1">IFERROR(__xludf.DUMMYFUNCTION("""COMPUTED_VALUE"""),3)</f>
        <v>3</v>
      </c>
      <c r="K80">
        <f ca="1">IFERROR(__xludf.DUMMYFUNCTION("""COMPUTED_VALUE"""),1156903006008)</f>
        <v>1156903006008</v>
      </c>
      <c r="L80" t="str">
        <f ca="1">IFERROR(__xludf.DUMMYFUNCTION("""COMPUTED_VALUE"""),"VENGIDANGE")</f>
        <v>VENGIDANGE</v>
      </c>
      <c r="M80" t="str">
        <f ca="1">IFERROR(__xludf.DUMMYFUNCTION("""COMPUTED_VALUE"""),"I Accept")</f>
        <v>I Accept</v>
      </c>
      <c r="N80" s="4">
        <f ca="1">IFERROR(__xludf.DUMMYFUNCTION("""COMPUTED_VALUE"""),43155)</f>
        <v>43155</v>
      </c>
      <c r="O80" s="4">
        <f ca="1">IFERROR(__xludf.DUMMYFUNCTION("""COMPUTED_VALUE"""),43155)</f>
        <v>43155</v>
      </c>
      <c r="P80">
        <f ca="1">IFERROR(__xludf.DUMMYFUNCTION("""COMPUTED_VALUE"""),3)</f>
        <v>3</v>
      </c>
      <c r="Q80" t="str">
        <f ca="1">IFERROR(__xludf.DUMMYFUNCTION("""COMPUTED_VALUE"""),"puthoorsteephan@gmail.com")</f>
        <v>puthoorsteephan@gmail.com</v>
      </c>
      <c r="R80" s="2" t="s">
        <v>1398</v>
      </c>
    </row>
    <row r="81" spans="1:18" ht="13" x14ac:dyDescent="0.15">
      <c r="A81" s="3">
        <f ca="1">IFERROR(__xludf.DUMMYFUNCTION("""COMPUTED_VALUE"""),43159.6515067129)</f>
        <v>43159.6515067129</v>
      </c>
      <c r="B81" t="str">
        <f ca="1">IFERROR(__xludf.DUMMYFUNCTION("""COMPUTED_VALUE"""),"jose.dilip@gmail.com")</f>
        <v>jose.dilip@gmail.com</v>
      </c>
      <c r="C81">
        <f ca="1">IFERROR(__xludf.DUMMYFUNCTION("""COMPUTED_VALUE"""),138)</f>
        <v>138</v>
      </c>
      <c r="D81" t="str">
        <f ca="1">IFERROR(__xludf.DUMMYFUNCTION("""COMPUTED_VALUE"""),"SIVADASAN M V")</f>
        <v>SIVADASAN M V</v>
      </c>
      <c r="E81">
        <f ca="1">IFERROR(__xludf.DUMMYFUNCTION("""COMPUTED_VALUE"""),8137874406)</f>
        <v>8137874406</v>
      </c>
      <c r="F81" t="str">
        <f ca="1">IFERROR(__xludf.DUMMYFUNCTION("""COMPUTED_VALUE"""),"Thrissur")</f>
        <v>Thrissur</v>
      </c>
      <c r="G81" t="str">
        <f ca="1">IFERROR(__xludf.DUMMYFUNCTION("""COMPUTED_VALUE"""),"SOLGEN ENERGY PVT LTD")</f>
        <v>SOLGEN ENERGY PVT LTD</v>
      </c>
      <c r="H81">
        <f ca="1">IFERROR(__xludf.DUMMYFUNCTION("""COMPUTED_VALUE"""),42)</f>
        <v>42</v>
      </c>
      <c r="I81" s="4">
        <f ca="1">IFERROR(__xludf.DUMMYFUNCTION("""COMPUTED_VALUE"""),43154)</f>
        <v>43154</v>
      </c>
      <c r="J81">
        <f ca="1">IFERROR(__xludf.DUMMYFUNCTION("""COMPUTED_VALUE"""),5)</f>
        <v>5</v>
      </c>
      <c r="K81">
        <f ca="1">IFERROR(__xludf.DUMMYFUNCTION("""COMPUTED_VALUE"""),1156649011318)</f>
        <v>1156649011318</v>
      </c>
      <c r="L81" t="str">
        <f ca="1">IFERROR(__xludf.DUMMYFUNCTION("""COMPUTED_VALUE"""),"KODUNGALLOOR-2")</f>
        <v>KODUNGALLOOR-2</v>
      </c>
      <c r="M81" t="str">
        <f ca="1">IFERROR(__xludf.DUMMYFUNCTION("""COMPUTED_VALUE"""),"I Accept")</f>
        <v>I Accept</v>
      </c>
      <c r="N81" s="4">
        <f ca="1">IFERROR(__xludf.DUMMYFUNCTION("""COMPUTED_VALUE"""),43109)</f>
        <v>43109</v>
      </c>
      <c r="O81" s="4">
        <f ca="1">IFERROR(__xludf.DUMMYFUNCTION("""COMPUTED_VALUE"""),43109)</f>
        <v>43109</v>
      </c>
      <c r="P81">
        <f ca="1">IFERROR(__xludf.DUMMYFUNCTION("""COMPUTED_VALUE"""),5)</f>
        <v>5</v>
      </c>
      <c r="Q81" t="str">
        <f ca="1">IFERROR(__xludf.DUMMYFUNCTION("""COMPUTED_VALUE"""),"jose.dilip@gmail.com")</f>
        <v>jose.dilip@gmail.com</v>
      </c>
      <c r="R81" s="2" t="s">
        <v>1405</v>
      </c>
    </row>
    <row r="82" spans="1:18" ht="13" x14ac:dyDescent="0.15">
      <c r="A82" s="3">
        <f ca="1">IFERROR(__xludf.DUMMYFUNCTION("""COMPUTED_VALUE"""),43159.7160216435)</f>
        <v>43159.7160216435</v>
      </c>
      <c r="B82" t="str">
        <f ca="1">IFERROR(__xludf.DUMMYFUNCTION("""COMPUTED_VALUE"""),"jose.dilip@gmail.com")</f>
        <v>jose.dilip@gmail.com</v>
      </c>
      <c r="C82">
        <f ca="1">IFERROR(__xludf.DUMMYFUNCTION("""COMPUTED_VALUE"""),28)</f>
        <v>28</v>
      </c>
      <c r="D82" t="str">
        <f ca="1">IFERROR(__xludf.DUMMYFUNCTION("""COMPUTED_VALUE"""),"BINU JAYARAJAN")</f>
        <v>BINU JAYARAJAN</v>
      </c>
      <c r="E82">
        <f ca="1">IFERROR(__xludf.DUMMYFUNCTION("""COMPUTED_VALUE"""),8137874406)</f>
        <v>8137874406</v>
      </c>
      <c r="F82" t="str">
        <f ca="1">IFERROR(__xludf.DUMMYFUNCTION("""COMPUTED_VALUE"""),"Thrissur")</f>
        <v>Thrissur</v>
      </c>
      <c r="G82" t="str">
        <f ca="1">IFERROR(__xludf.DUMMYFUNCTION("""COMPUTED_VALUE"""),"SOLGEN ENERGY PVT LTD")</f>
        <v>SOLGEN ENERGY PVT LTD</v>
      </c>
      <c r="H82">
        <f ca="1">IFERROR(__xludf.DUMMYFUNCTION("""COMPUTED_VALUE"""),42)</f>
        <v>42</v>
      </c>
      <c r="I82" s="4">
        <f ca="1">IFERROR(__xludf.DUMMYFUNCTION("""COMPUTED_VALUE"""),43159)</f>
        <v>43159</v>
      </c>
      <c r="J82">
        <f ca="1">IFERROR(__xludf.DUMMYFUNCTION("""COMPUTED_VALUE"""),3)</f>
        <v>3</v>
      </c>
      <c r="K82">
        <f ca="1">IFERROR(__xludf.DUMMYFUNCTION("""COMPUTED_VALUE"""),1156773006164)</f>
        <v>1156773006164</v>
      </c>
      <c r="L82" t="str">
        <f ca="1">IFERROR(__xludf.DUMMYFUNCTION("""COMPUTED_VALUE"""),"NADATHARA")</f>
        <v>NADATHARA</v>
      </c>
      <c r="M82" t="str">
        <f ca="1">IFERROR(__xludf.DUMMYFUNCTION("""COMPUTED_VALUE"""),"I Accept")</f>
        <v>I Accept</v>
      </c>
      <c r="N82" s="4">
        <f ca="1">IFERROR(__xludf.DUMMYFUNCTION("""COMPUTED_VALUE"""),43159)</f>
        <v>43159</v>
      </c>
      <c r="O82" s="4">
        <f ca="1">IFERROR(__xludf.DUMMYFUNCTION("""COMPUTED_VALUE"""),43159)</f>
        <v>43159</v>
      </c>
      <c r="P82">
        <f ca="1">IFERROR(__xludf.DUMMYFUNCTION("""COMPUTED_VALUE"""),3)</f>
        <v>3</v>
      </c>
      <c r="Q82" t="str">
        <f ca="1">IFERROR(__xludf.DUMMYFUNCTION("""COMPUTED_VALUE"""),"jose.dilip@gmail.com")</f>
        <v>jose.dilip@gmail.com</v>
      </c>
      <c r="R82" s="2" t="s">
        <v>1416</v>
      </c>
    </row>
    <row r="83" spans="1:18" ht="13" x14ac:dyDescent="0.15">
      <c r="A83" s="3">
        <f ca="1">IFERROR(__xludf.DUMMYFUNCTION("""COMPUTED_VALUE"""),43160.2906599652)</f>
        <v>43160.290659965198</v>
      </c>
      <c r="B83" t="str">
        <f ca="1">IFERROR(__xludf.DUMMYFUNCTION("""COMPUTED_VALUE"""),"binoy222c@gmail.com")</f>
        <v>binoy222c@gmail.com</v>
      </c>
      <c r="C83">
        <f ca="1">IFERROR(__xludf.DUMMYFUNCTION("""COMPUTED_VALUE"""),272)</f>
        <v>272</v>
      </c>
      <c r="D83" t="str">
        <f ca="1">IFERROR(__xludf.DUMMYFUNCTION("""COMPUTED_VALUE"""),"USHA DILEEP")</f>
        <v>USHA DILEEP</v>
      </c>
      <c r="E83">
        <f ca="1">IFERROR(__xludf.DUMMYFUNCTION("""COMPUTED_VALUE"""),9846542746)</f>
        <v>9846542746</v>
      </c>
      <c r="F83" t="str">
        <f ca="1">IFERROR(__xludf.DUMMYFUNCTION("""COMPUTED_VALUE"""),"Kannur")</f>
        <v>Kannur</v>
      </c>
      <c r="G83" t="str">
        <f ca="1">IFERROR(__xludf.DUMMYFUNCTION("""COMPUTED_VALUE"""),"SOLGEN ENERGY PVT LTD")</f>
        <v>SOLGEN ENERGY PVT LTD</v>
      </c>
      <c r="H83">
        <f ca="1">IFERROR(__xludf.DUMMYFUNCTION("""COMPUTED_VALUE"""),42)</f>
        <v>42</v>
      </c>
      <c r="I83" s="4">
        <f ca="1">IFERROR(__xludf.DUMMYFUNCTION("""COMPUTED_VALUE"""),43159)</f>
        <v>43159</v>
      </c>
      <c r="J83">
        <f ca="1">IFERROR(__xludf.DUMMYFUNCTION("""COMPUTED_VALUE"""),3)</f>
        <v>3</v>
      </c>
      <c r="K83">
        <f ca="1">IFERROR(__xludf.DUMMYFUNCTION("""COMPUTED_VALUE"""),1166575003733)</f>
        <v>1166575003733</v>
      </c>
      <c r="L83" t="str">
        <f ca="1">IFERROR(__xludf.DUMMYFUNCTION("""COMPUTED_VALUE"""),"CHOVVA")</f>
        <v>CHOVVA</v>
      </c>
      <c r="M83" t="str">
        <f ca="1">IFERROR(__xludf.DUMMYFUNCTION("""COMPUTED_VALUE"""),"I Accept")</f>
        <v>I Accept</v>
      </c>
      <c r="N83" s="4">
        <f ca="1">IFERROR(__xludf.DUMMYFUNCTION("""COMPUTED_VALUE"""),43133)</f>
        <v>43133</v>
      </c>
      <c r="O83" s="4">
        <f ca="1">IFERROR(__xludf.DUMMYFUNCTION("""COMPUTED_VALUE"""),43133)</f>
        <v>43133</v>
      </c>
      <c r="P83">
        <f ca="1">IFERROR(__xludf.DUMMYFUNCTION("""COMPUTED_VALUE"""),3)</f>
        <v>3</v>
      </c>
      <c r="Q83" t="str">
        <f ca="1">IFERROR(__xludf.DUMMYFUNCTION("""COMPUTED_VALUE"""),"binoy222c@gmail.com")</f>
        <v>binoy222c@gmail.com</v>
      </c>
      <c r="R83" s="2" t="s">
        <v>1427</v>
      </c>
    </row>
    <row r="84" spans="1:18" ht="13" x14ac:dyDescent="0.15">
      <c r="A84" s="3">
        <f ca="1">IFERROR(__xludf.DUMMYFUNCTION("""COMPUTED_VALUE"""),43160.4647977199)</f>
        <v>43160.464797719898</v>
      </c>
      <c r="B84" t="str">
        <f ca="1">IFERROR(__xludf.DUMMYFUNCTION("""COMPUTED_VALUE"""),"priya.c2005@gmail.com")</f>
        <v>priya.c2005@gmail.com</v>
      </c>
      <c r="C84">
        <f ca="1">IFERROR(__xludf.DUMMYFUNCTION("""COMPUTED_VALUE"""),183)</f>
        <v>183</v>
      </c>
      <c r="D84" t="str">
        <f ca="1">IFERROR(__xludf.DUMMYFUNCTION("""COMPUTED_VALUE"""),"PRIYA.C")</f>
        <v>PRIYA.C</v>
      </c>
      <c r="E84">
        <f ca="1">IFERROR(__xludf.DUMMYFUNCTION("""COMPUTED_VALUE"""),9895642298)</f>
        <v>9895642298</v>
      </c>
      <c r="F84" t="str">
        <f ca="1">IFERROR(__xludf.DUMMYFUNCTION("""COMPUTED_VALUE"""),"Kollam")</f>
        <v>Kollam</v>
      </c>
      <c r="G84" t="str">
        <f ca="1">IFERROR(__xludf.DUMMYFUNCTION("""COMPUTED_VALUE"""),"TATA POWER SOLAR SYSTEMS LTD")</f>
        <v>TATA POWER SOLAR SYSTEMS LTD</v>
      </c>
      <c r="H84">
        <f ca="1">IFERROR(__xludf.DUMMYFUNCTION("""COMPUTED_VALUE"""),20)</f>
        <v>20</v>
      </c>
      <c r="I84" s="4">
        <f ca="1">IFERROR(__xludf.DUMMYFUNCTION("""COMPUTED_VALUE"""),43154)</f>
        <v>43154</v>
      </c>
      <c r="J84">
        <f ca="1">IFERROR(__xludf.DUMMYFUNCTION("""COMPUTED_VALUE"""),5)</f>
        <v>5</v>
      </c>
      <c r="K84">
        <f ca="1">IFERROR(__xludf.DUMMYFUNCTION("""COMPUTED_VALUE"""),1145631030267)</f>
        <v>1145631030267</v>
      </c>
      <c r="L84" t="str">
        <f ca="1">IFERROR(__xludf.DUMMYFUNCTION("""COMPUTED_VALUE"""),"Perinad")</f>
        <v>Perinad</v>
      </c>
      <c r="M84" t="str">
        <f ca="1">IFERROR(__xludf.DUMMYFUNCTION("""COMPUTED_VALUE"""),"I Accept")</f>
        <v>I Accept</v>
      </c>
      <c r="N84" s="4">
        <f ca="1">IFERROR(__xludf.DUMMYFUNCTION("""COMPUTED_VALUE"""),43154)</f>
        <v>43154</v>
      </c>
      <c r="O84" s="4">
        <f ca="1">IFERROR(__xludf.DUMMYFUNCTION("""COMPUTED_VALUE"""),43154)</f>
        <v>43154</v>
      </c>
      <c r="P84">
        <f ca="1">IFERROR(__xludf.DUMMYFUNCTION("""COMPUTED_VALUE"""),5)</f>
        <v>5</v>
      </c>
      <c r="Q84" t="str">
        <f ca="1">IFERROR(__xludf.DUMMYFUNCTION("""COMPUTED_VALUE"""),"priya.c2005@gmail.com")</f>
        <v>priya.c2005@gmail.com</v>
      </c>
      <c r="R84" s="2" t="s">
        <v>1443</v>
      </c>
    </row>
    <row r="85" spans="1:18" ht="13" x14ac:dyDescent="0.15">
      <c r="A85" s="3">
        <f ca="1">IFERROR(__xludf.DUMMYFUNCTION("""COMPUTED_VALUE"""),43160.5049681597)</f>
        <v>43160.504968159701</v>
      </c>
      <c r="B85" t="str">
        <f ca="1">IFERROR(__xludf.DUMMYFUNCTION("""COMPUTED_VALUE"""),"birty_mb@hotmail.com")</f>
        <v>birty_mb@hotmail.com</v>
      </c>
      <c r="C85">
        <f ca="1">IFERROR(__xludf.DUMMYFUNCTION("""COMPUTED_VALUE"""),237)</f>
        <v>237</v>
      </c>
      <c r="D85" t="str">
        <f ca="1">IFERROR(__xludf.DUMMYFUNCTION("""COMPUTED_VALUE"""),"BARTHALOMEW BIRTY")</f>
        <v>BARTHALOMEW BIRTY</v>
      </c>
      <c r="E85">
        <f ca="1">IFERROR(__xludf.DUMMYFUNCTION("""COMPUTED_VALUE"""),9895186251)</f>
        <v>9895186251</v>
      </c>
      <c r="F85" t="str">
        <f ca="1">IFERROR(__xludf.DUMMYFUNCTION("""COMPUTED_VALUE"""),"Ernakulam")</f>
        <v>Ernakulam</v>
      </c>
      <c r="G85" t="str">
        <f ca="1">IFERROR(__xludf.DUMMYFUNCTION("""COMPUTED_VALUE"""),"MOOPENS ENERGY SOLUTIONS PVT LTD")</f>
        <v>MOOPENS ENERGY SOLUTIONS PVT LTD</v>
      </c>
      <c r="H85">
        <f ca="1">IFERROR(__xludf.DUMMYFUNCTION("""COMPUTED_VALUE"""),51)</f>
        <v>51</v>
      </c>
      <c r="I85" s="4">
        <f ca="1">IFERROR(__xludf.DUMMYFUNCTION("""COMPUTED_VALUE"""),43160)</f>
        <v>43160</v>
      </c>
      <c r="J85">
        <f ca="1">IFERROR(__xludf.DUMMYFUNCTION("""COMPUTED_VALUE"""),10)</f>
        <v>10</v>
      </c>
      <c r="K85">
        <f ca="1">IFERROR(__xludf.DUMMYFUNCTION("""COMPUTED_VALUE"""),1155454026238)</f>
        <v>1155454026238</v>
      </c>
      <c r="L85" t="str">
        <f ca="1">IFERROR(__xludf.DUMMYFUNCTION("""COMPUTED_VALUE"""),"ELECTRICAL SECTION, KALOOR, KOCHI")</f>
        <v>ELECTRICAL SECTION, KALOOR, KOCHI</v>
      </c>
      <c r="M85" t="str">
        <f ca="1">IFERROR(__xludf.DUMMYFUNCTION("""COMPUTED_VALUE"""),"I Accept")</f>
        <v>I Accept</v>
      </c>
      <c r="N85" s="4">
        <f ca="1">IFERROR(__xludf.DUMMYFUNCTION("""COMPUTED_VALUE"""),43136)</f>
        <v>43136</v>
      </c>
      <c r="O85" s="4">
        <f ca="1">IFERROR(__xludf.DUMMYFUNCTION("""COMPUTED_VALUE"""),43136)</f>
        <v>43136</v>
      </c>
      <c r="P85">
        <f ca="1">IFERROR(__xludf.DUMMYFUNCTION("""COMPUTED_VALUE"""),15)</f>
        <v>15</v>
      </c>
      <c r="Q85" t="str">
        <f ca="1">IFERROR(__xludf.DUMMYFUNCTION("""COMPUTED_VALUE"""),"birty_mb@hotmail.com")</f>
        <v>birty_mb@hotmail.com</v>
      </c>
      <c r="R85" s="2" t="s">
        <v>1454</v>
      </c>
    </row>
    <row r="86" spans="1:18" ht="13" x14ac:dyDescent="0.15">
      <c r="A86" s="3">
        <f ca="1">IFERROR(__xludf.DUMMYFUNCTION("""COMPUTED_VALUE"""),43162.4368785416)</f>
        <v>43162.436878541601</v>
      </c>
      <c r="B86" t="str">
        <f ca="1">IFERROR(__xludf.DUMMYFUNCTION("""COMPUTED_VALUE"""),"info@wattsun.in")</f>
        <v>info@wattsun.in</v>
      </c>
      <c r="C86">
        <f ca="1">IFERROR(__xludf.DUMMYFUNCTION("""COMPUTED_VALUE"""),255)</f>
        <v>255</v>
      </c>
      <c r="D86" t="str">
        <f ca="1">IFERROR(__xludf.DUMMYFUNCTION("""COMPUTED_VALUE"""),"Rajesh Raj Paul")</f>
        <v>Rajesh Raj Paul</v>
      </c>
      <c r="E86">
        <f ca="1">IFERROR(__xludf.DUMMYFUNCTION("""COMPUTED_VALUE"""),9072666513)</f>
        <v>9072666513</v>
      </c>
      <c r="F86" t="str">
        <f ca="1">IFERROR(__xludf.DUMMYFUNCTION("""COMPUTED_VALUE"""),"Ernakulam")</f>
        <v>Ernakulam</v>
      </c>
      <c r="G86" t="str">
        <f ca="1">IFERROR(__xludf.DUMMYFUNCTION("""COMPUTED_VALUE"""),"Wattsun Energy India Private Limited")</f>
        <v>Wattsun Energy India Private Limited</v>
      </c>
      <c r="H86">
        <f ca="1">IFERROR(__xludf.DUMMYFUNCTION("""COMPUTED_VALUE"""),54)</f>
        <v>54</v>
      </c>
      <c r="I86" s="4">
        <f ca="1">IFERROR(__xludf.DUMMYFUNCTION("""COMPUTED_VALUE"""),43162)</f>
        <v>43162</v>
      </c>
      <c r="J86">
        <f ca="1">IFERROR(__xludf.DUMMYFUNCTION("""COMPUTED_VALUE"""),10)</f>
        <v>10</v>
      </c>
      <c r="K86">
        <f ca="1">IFERROR(__xludf.DUMMYFUNCTION("""COMPUTED_VALUE"""),1155427011896)</f>
        <v>1155427011896</v>
      </c>
      <c r="L86" t="str">
        <f ca="1">IFERROR(__xludf.DUMMYFUNCTION("""COMPUTED_VALUE"""),"Girinagar")</f>
        <v>Girinagar</v>
      </c>
      <c r="M86" t="str">
        <f ca="1">IFERROR(__xludf.DUMMYFUNCTION("""COMPUTED_VALUE"""),"I Accept")</f>
        <v>I Accept</v>
      </c>
      <c r="N86" s="4">
        <f ca="1">IFERROR(__xludf.DUMMYFUNCTION("""COMPUTED_VALUE"""),43084)</f>
        <v>43084</v>
      </c>
      <c r="O86" s="4">
        <f ca="1">IFERROR(__xludf.DUMMYFUNCTION("""COMPUTED_VALUE"""),43084)</f>
        <v>43084</v>
      </c>
      <c r="P86">
        <f ca="1">IFERROR(__xludf.DUMMYFUNCTION("""COMPUTED_VALUE"""),10)</f>
        <v>10</v>
      </c>
      <c r="Q86" t="str">
        <f ca="1">IFERROR(__xludf.DUMMYFUNCTION("""COMPUTED_VALUE"""),"info@wattsun.in")</f>
        <v>info@wattsun.in</v>
      </c>
      <c r="R86" s="2" t="s">
        <v>1470</v>
      </c>
    </row>
    <row r="87" spans="1:18" ht="13" x14ac:dyDescent="0.15">
      <c r="A87" s="3">
        <f ca="1">IFERROR(__xludf.DUMMYFUNCTION("""COMPUTED_VALUE"""),43162.6601088425)</f>
        <v>43162.660108842501</v>
      </c>
      <c r="B87" t="str">
        <f ca="1">IFERROR(__xludf.DUMMYFUNCTION("""COMPUTED_VALUE"""),"suncitycustomercare@gmail.com")</f>
        <v>suncitycustomercare@gmail.com</v>
      </c>
      <c r="C87">
        <f ca="1">IFERROR(__xludf.DUMMYFUNCTION("""COMPUTED_VALUE"""),36)</f>
        <v>36</v>
      </c>
      <c r="D87" t="str">
        <f ca="1">IFERROR(__xludf.DUMMYFUNCTION("""COMPUTED_VALUE"""),"C K MANOHARAN")</f>
        <v>C K MANOHARAN</v>
      </c>
      <c r="E87">
        <f ca="1">IFERROR(__xludf.DUMMYFUNCTION("""COMPUTED_VALUE"""),8893387579)</f>
        <v>8893387579</v>
      </c>
      <c r="F87" t="str">
        <f ca="1">IFERROR(__xludf.DUMMYFUNCTION("""COMPUTED_VALUE"""),"Thrissur")</f>
        <v>Thrissur</v>
      </c>
      <c r="G87" t="str">
        <f ca="1">IFERROR(__xludf.DUMMYFUNCTION("""COMPUTED_VALUE"""),"TATA POWER SOLAR SYSTEMS LTD")</f>
        <v>TATA POWER SOLAR SYSTEMS LTD</v>
      </c>
      <c r="H87">
        <f ca="1">IFERROR(__xludf.DUMMYFUNCTION("""COMPUTED_VALUE"""),20)</f>
        <v>20</v>
      </c>
      <c r="I87" s="4">
        <f ca="1">IFERROR(__xludf.DUMMYFUNCTION("""COMPUTED_VALUE"""),43160)</f>
        <v>43160</v>
      </c>
      <c r="J87">
        <f ca="1">IFERROR(__xludf.DUMMYFUNCTION("""COMPUTED_VALUE"""),3)</f>
        <v>3</v>
      </c>
      <c r="K87">
        <f ca="1">IFERROR(__xludf.DUMMYFUNCTION("""COMPUTED_VALUE"""),1156805005101)</f>
        <v>1156805005101</v>
      </c>
      <c r="L87" t="str">
        <f ca="1">IFERROR(__xludf.DUMMYFUNCTION("""COMPUTED_VALUE"""),"VIYYUR")</f>
        <v>VIYYUR</v>
      </c>
      <c r="M87" t="str">
        <f ca="1">IFERROR(__xludf.DUMMYFUNCTION("""COMPUTED_VALUE"""),"I Accept")</f>
        <v>I Accept</v>
      </c>
      <c r="N87" s="4">
        <f ca="1">IFERROR(__xludf.DUMMYFUNCTION("""COMPUTED_VALUE"""),43157)</f>
        <v>43157</v>
      </c>
      <c r="O87" s="4">
        <f ca="1">IFERROR(__xludf.DUMMYFUNCTION("""COMPUTED_VALUE"""),43157)</f>
        <v>43157</v>
      </c>
      <c r="P87">
        <f ca="1">IFERROR(__xludf.DUMMYFUNCTION("""COMPUTED_VALUE"""),3)</f>
        <v>3</v>
      </c>
      <c r="Q87" t="str">
        <f ca="1">IFERROR(__xludf.DUMMYFUNCTION("""COMPUTED_VALUE"""),"suncitycustomercare@gmail.com")</f>
        <v>suncitycustomercare@gmail.com</v>
      </c>
      <c r="R87" s="2" t="s">
        <v>1484</v>
      </c>
    </row>
    <row r="88" spans="1:18" ht="13" x14ac:dyDescent="0.15">
      <c r="A88" s="3">
        <f ca="1">IFERROR(__xludf.DUMMYFUNCTION("""COMPUTED_VALUE"""),43164.5406569212)</f>
        <v>43164.540656921199</v>
      </c>
      <c r="B88" t="str">
        <f ca="1">IFERROR(__xludf.DUMMYFUNCTION("""COMPUTED_VALUE"""),"info@wattsun.in")</f>
        <v>info@wattsun.in</v>
      </c>
      <c r="C88">
        <f ca="1">IFERROR(__xludf.DUMMYFUNCTION("""COMPUTED_VALUE"""),285)</f>
        <v>285</v>
      </c>
      <c r="D88" t="str">
        <f ca="1">IFERROR(__xludf.DUMMYFUNCTION("""COMPUTED_VALUE"""),"Sivagiri Vidyaniketan Senior Secondary School ")</f>
        <v xml:space="preserve">Sivagiri Vidyaniketan Senior Secondary School </v>
      </c>
      <c r="E88">
        <f ca="1">IFERROR(__xludf.DUMMYFUNCTION("""COMPUTED_VALUE"""),9072666513)</f>
        <v>9072666513</v>
      </c>
      <c r="F88" t="str">
        <f ca="1">IFERROR(__xludf.DUMMYFUNCTION("""COMPUTED_VALUE"""),"Ernakulam")</f>
        <v>Ernakulam</v>
      </c>
      <c r="G88" t="str">
        <f ca="1">IFERROR(__xludf.DUMMYFUNCTION("""COMPUTED_VALUE"""),"Wattsun Energy India Private Limited ")</f>
        <v xml:space="preserve">Wattsun Energy India Private Limited </v>
      </c>
      <c r="H88">
        <f ca="1">IFERROR(__xludf.DUMMYFUNCTION("""COMPUTED_VALUE"""),54)</f>
        <v>54</v>
      </c>
      <c r="I88" s="4">
        <f ca="1">IFERROR(__xludf.DUMMYFUNCTION("""COMPUTED_VALUE"""),43164)</f>
        <v>43164</v>
      </c>
      <c r="J88">
        <f ca="1">IFERROR(__xludf.DUMMYFUNCTION("""COMPUTED_VALUE"""),25)</f>
        <v>25</v>
      </c>
      <c r="K88">
        <f ca="1">IFERROR(__xludf.DUMMYFUNCTION("""COMPUTED_VALUE"""),1155672011964)</f>
        <v>1155672011964</v>
      </c>
      <c r="L88" t="str">
        <f ca="1">IFERROR(__xludf.DUMMYFUNCTION("""COMPUTED_VALUE"""),"Aluva Town")</f>
        <v>Aluva Town</v>
      </c>
      <c r="M88" t="str">
        <f ca="1">IFERROR(__xludf.DUMMYFUNCTION("""COMPUTED_VALUE"""),"I Accept")</f>
        <v>I Accept</v>
      </c>
      <c r="N88" s="4">
        <f ca="1">IFERROR(__xludf.DUMMYFUNCTION("""COMPUTED_VALUE"""),43043)</f>
        <v>43043</v>
      </c>
      <c r="O88" s="4">
        <f ca="1">IFERROR(__xludf.DUMMYFUNCTION("""COMPUTED_VALUE"""),43043)</f>
        <v>43043</v>
      </c>
      <c r="P88">
        <f ca="1">IFERROR(__xludf.DUMMYFUNCTION("""COMPUTED_VALUE"""),25)</f>
        <v>25</v>
      </c>
      <c r="Q88" t="str">
        <f ca="1">IFERROR(__xludf.DUMMYFUNCTION("""COMPUTED_VALUE"""),"info@wattsun.in")</f>
        <v>info@wattsun.in</v>
      </c>
      <c r="R88" s="2" t="s">
        <v>1492</v>
      </c>
    </row>
    <row r="89" spans="1:18" ht="13" x14ac:dyDescent="0.15">
      <c r="A89" s="3">
        <f ca="1">IFERROR(__xludf.DUMMYFUNCTION("""COMPUTED_VALUE"""),43164.6768973611)</f>
        <v>43164.676897361103</v>
      </c>
      <c r="B89" t="str">
        <f ca="1">IFERROR(__xludf.DUMMYFUNCTION("""COMPUTED_VALUE"""),"solarconnect2018@gmail.com")</f>
        <v>solarconnect2018@gmail.com</v>
      </c>
      <c r="C89">
        <f ca="1">IFERROR(__xludf.DUMMYFUNCTION("""COMPUTED_VALUE"""),320)</f>
        <v>320</v>
      </c>
      <c r="D89" t="str">
        <f ca="1">IFERROR(__xludf.DUMMYFUNCTION("""COMPUTED_VALUE"""),"Olly Viego")</f>
        <v>Olly Viego</v>
      </c>
      <c r="E89">
        <f ca="1">IFERROR(__xludf.DUMMYFUNCTION("""COMPUTED_VALUE"""),9745632755)</f>
        <v>9745632755</v>
      </c>
      <c r="F89" t="str">
        <f ca="1">IFERROR(__xludf.DUMMYFUNCTION("""COMPUTED_VALUE"""),"Kannur")</f>
        <v>Kannur</v>
      </c>
      <c r="G89" t="str">
        <f ca="1">IFERROR(__xludf.DUMMYFUNCTION("""COMPUTED_VALUE"""),"SPECTRUM TECHNO PRODUCTS")</f>
        <v>SPECTRUM TECHNO PRODUCTS</v>
      </c>
      <c r="H89">
        <f ca="1">IFERROR(__xludf.DUMMYFUNCTION("""COMPUTED_VALUE"""),66)</f>
        <v>66</v>
      </c>
      <c r="I89" s="4">
        <f ca="1">IFERROR(__xludf.DUMMYFUNCTION("""COMPUTED_VALUE"""),43162)</f>
        <v>43162</v>
      </c>
      <c r="J89">
        <f ca="1">IFERROR(__xludf.DUMMYFUNCTION("""COMPUTED_VALUE"""),10)</f>
        <v>10</v>
      </c>
      <c r="K89">
        <f ca="1">IFERROR(__xludf.DUMMYFUNCTION("""COMPUTED_VALUE"""),1166697011546)</f>
        <v>1166697011546</v>
      </c>
      <c r="L89" t="str">
        <f ca="1">IFERROR(__xludf.DUMMYFUNCTION("""COMPUTED_VALUE"""),"Thalassey North")</f>
        <v>Thalassey North</v>
      </c>
      <c r="M89" t="str">
        <f ca="1">IFERROR(__xludf.DUMMYFUNCTION("""COMPUTED_VALUE"""),"I Accept")</f>
        <v>I Accept</v>
      </c>
      <c r="N89" s="4">
        <f ca="1">IFERROR(__xludf.DUMMYFUNCTION("""COMPUTED_VALUE"""),43161)</f>
        <v>43161</v>
      </c>
      <c r="O89" s="4">
        <f ca="1">IFERROR(__xludf.DUMMYFUNCTION("""COMPUTED_VALUE"""),43161)</f>
        <v>43161</v>
      </c>
      <c r="P89">
        <f ca="1">IFERROR(__xludf.DUMMYFUNCTION("""COMPUTED_VALUE"""),10)</f>
        <v>10</v>
      </c>
      <c r="Q89" t="str">
        <f ca="1">IFERROR(__xludf.DUMMYFUNCTION("""COMPUTED_VALUE"""),"solarconnect2018@gmail.com")</f>
        <v>solarconnect2018@gmail.com</v>
      </c>
      <c r="R89" s="2" t="s">
        <v>1507</v>
      </c>
    </row>
    <row r="90" spans="1:18" ht="13" x14ac:dyDescent="0.15">
      <c r="A90" s="3">
        <f ca="1">IFERROR(__xludf.DUMMYFUNCTION("""COMPUTED_VALUE"""),43164.68924478)</f>
        <v>43164.689244779998</v>
      </c>
      <c r="B90" t="str">
        <f ca="1">IFERROR(__xludf.DUMMYFUNCTION("""COMPUTED_VALUE"""),"jose.dilip@gmail.com")</f>
        <v>jose.dilip@gmail.com</v>
      </c>
      <c r="C90">
        <f ca="1">IFERROR(__xludf.DUMMYFUNCTION("""COMPUTED_VALUE"""),12)</f>
        <v>12</v>
      </c>
      <c r="D90" t="str">
        <f ca="1">IFERROR(__xludf.DUMMYFUNCTION("""COMPUTED_VALUE"""),"SHAHJAHAN.S")</f>
        <v>SHAHJAHAN.S</v>
      </c>
      <c r="E90">
        <f ca="1">IFERROR(__xludf.DUMMYFUNCTION("""COMPUTED_VALUE"""),8137874406)</f>
        <v>8137874406</v>
      </c>
      <c r="F90" t="str">
        <f ca="1">IFERROR(__xludf.DUMMYFUNCTION("""COMPUTED_VALUE"""),"Thiruvananthapuram")</f>
        <v>Thiruvananthapuram</v>
      </c>
      <c r="G90" t="str">
        <f ca="1">IFERROR(__xludf.DUMMYFUNCTION("""COMPUTED_VALUE"""),"SOLGEN ENERGY PVT LTD")</f>
        <v>SOLGEN ENERGY PVT LTD</v>
      </c>
      <c r="H90">
        <f ca="1">IFERROR(__xludf.DUMMYFUNCTION("""COMPUTED_VALUE"""),42)</f>
        <v>42</v>
      </c>
      <c r="I90" s="4">
        <f ca="1">IFERROR(__xludf.DUMMYFUNCTION("""COMPUTED_VALUE"""),43162)</f>
        <v>43162</v>
      </c>
      <c r="J90">
        <f ca="1">IFERROR(__xludf.DUMMYFUNCTION("""COMPUTED_VALUE"""),3)</f>
        <v>3</v>
      </c>
      <c r="K90">
        <f ca="1">IFERROR(__xludf.DUMMYFUNCTION("""COMPUTED_VALUE"""),1145578006031)</f>
        <v>1145578006031</v>
      </c>
      <c r="L90" t="str">
        <f ca="1">IFERROR(__xludf.DUMMYFUNCTION("""COMPUTED_VALUE"""),"KALLARA")</f>
        <v>KALLARA</v>
      </c>
      <c r="M90" t="str">
        <f ca="1">IFERROR(__xludf.DUMMYFUNCTION("""COMPUTED_VALUE"""),"I Accept")</f>
        <v>I Accept</v>
      </c>
      <c r="N90" s="4">
        <f ca="1">IFERROR(__xludf.DUMMYFUNCTION("""COMPUTED_VALUE"""),43071)</f>
        <v>43071</v>
      </c>
      <c r="O90" s="4">
        <f ca="1">IFERROR(__xludf.DUMMYFUNCTION("""COMPUTED_VALUE"""),43071)</f>
        <v>43071</v>
      </c>
      <c r="P90">
        <f ca="1">IFERROR(__xludf.DUMMYFUNCTION("""COMPUTED_VALUE"""),3)</f>
        <v>3</v>
      </c>
      <c r="Q90" t="str">
        <f ca="1">IFERROR(__xludf.DUMMYFUNCTION("""COMPUTED_VALUE"""),"jose.dilip@gmail.com")</f>
        <v>jose.dilip@gmail.com</v>
      </c>
      <c r="R90" s="2" t="s">
        <v>1520</v>
      </c>
    </row>
    <row r="91" spans="1:18" ht="13" x14ac:dyDescent="0.15">
      <c r="A91" s="3">
        <f ca="1">IFERROR(__xludf.DUMMYFUNCTION("""COMPUTED_VALUE"""),43164.7013508564)</f>
        <v>43164.701350856398</v>
      </c>
      <c r="B91" t="str">
        <f ca="1">IFERROR(__xludf.DUMMYFUNCTION("""COMPUTED_VALUE"""),"jose.dilip@gmail.com")</f>
        <v>jose.dilip@gmail.com</v>
      </c>
      <c r="C91">
        <f ca="1">IFERROR(__xludf.DUMMYFUNCTION("""COMPUTED_VALUE"""),121)</f>
        <v>121</v>
      </c>
      <c r="D91" t="str">
        <f ca="1">IFERROR(__xludf.DUMMYFUNCTION("""COMPUTED_VALUE"""),"THANKAMAMA KOSHY")</f>
        <v>THANKAMAMA KOSHY</v>
      </c>
      <c r="E91">
        <f ca="1">IFERROR(__xludf.DUMMYFUNCTION("""COMPUTED_VALUE"""),8137874406)</f>
        <v>8137874406</v>
      </c>
      <c r="F91" t="str">
        <f ca="1">IFERROR(__xludf.DUMMYFUNCTION("""COMPUTED_VALUE"""),"Ernakulam")</f>
        <v>Ernakulam</v>
      </c>
      <c r="G91" t="str">
        <f ca="1">IFERROR(__xludf.DUMMYFUNCTION("""COMPUTED_VALUE"""),"SOLGEN ENERGY PVT LTD")</f>
        <v>SOLGEN ENERGY PVT LTD</v>
      </c>
      <c r="H91">
        <f ca="1">IFERROR(__xludf.DUMMYFUNCTION("""COMPUTED_VALUE"""),42)</f>
        <v>42</v>
      </c>
      <c r="I91" s="4">
        <f ca="1">IFERROR(__xludf.DUMMYFUNCTION("""COMPUTED_VALUE"""),43162)</f>
        <v>43162</v>
      </c>
      <c r="J91">
        <f ca="1">IFERROR(__xludf.DUMMYFUNCTION("""COMPUTED_VALUE"""),3)</f>
        <v>3</v>
      </c>
      <c r="K91">
        <f ca="1">IFERROR(__xludf.DUMMYFUNCTION("""COMPUTED_VALUE"""),1157320009175)</f>
        <v>1157320009175</v>
      </c>
      <c r="L91" t="str">
        <f ca="1">IFERROR(__xludf.DUMMYFUNCTION("""COMPUTED_VALUE"""),"VENNALA")</f>
        <v>VENNALA</v>
      </c>
      <c r="M91" t="str">
        <f ca="1">IFERROR(__xludf.DUMMYFUNCTION("""COMPUTED_VALUE"""),"I Accept")</f>
        <v>I Accept</v>
      </c>
      <c r="N91" s="4">
        <f ca="1">IFERROR(__xludf.DUMMYFUNCTION("""COMPUTED_VALUE"""),43117)</f>
        <v>43117</v>
      </c>
      <c r="O91" s="4">
        <f ca="1">IFERROR(__xludf.DUMMYFUNCTION("""COMPUTED_VALUE"""),43117)</f>
        <v>43117</v>
      </c>
      <c r="P91">
        <f ca="1">IFERROR(__xludf.DUMMYFUNCTION("""COMPUTED_VALUE"""),3)</f>
        <v>3</v>
      </c>
      <c r="Q91" t="str">
        <f ca="1">IFERROR(__xludf.DUMMYFUNCTION("""COMPUTED_VALUE"""),"jose.dilip@gmail.com")</f>
        <v>jose.dilip@gmail.com</v>
      </c>
      <c r="R91" s="2" t="s">
        <v>1532</v>
      </c>
    </row>
    <row r="92" spans="1:18" ht="13" x14ac:dyDescent="0.15">
      <c r="A92" s="3">
        <f ca="1">IFERROR(__xludf.DUMMYFUNCTION("""COMPUTED_VALUE"""),43164.7068498611)</f>
        <v>43164.706849861097</v>
      </c>
      <c r="B92" t="str">
        <f ca="1">IFERROR(__xludf.DUMMYFUNCTION("""COMPUTED_VALUE"""),"jose.dilip@gmail.com")</f>
        <v>jose.dilip@gmail.com</v>
      </c>
      <c r="C92">
        <f ca="1">IFERROR(__xludf.DUMMYFUNCTION("""COMPUTED_VALUE"""),281)</f>
        <v>281</v>
      </c>
      <c r="D92" t="str">
        <f ca="1">IFERROR(__xludf.DUMMYFUNCTION("""COMPUTED_VALUE"""),"T J MATHEW")</f>
        <v>T J MATHEW</v>
      </c>
      <c r="E92">
        <f ca="1">IFERROR(__xludf.DUMMYFUNCTION("""COMPUTED_VALUE"""),8137874406)</f>
        <v>8137874406</v>
      </c>
      <c r="F92" t="str">
        <f ca="1">IFERROR(__xludf.DUMMYFUNCTION("""COMPUTED_VALUE"""),"Alappuzha")</f>
        <v>Alappuzha</v>
      </c>
      <c r="G92" t="str">
        <f ca="1">IFERROR(__xludf.DUMMYFUNCTION("""COMPUTED_VALUE"""),"SOLGEN ENERGY PVT LTD")</f>
        <v>SOLGEN ENERGY PVT LTD</v>
      </c>
      <c r="H92">
        <f ca="1">IFERROR(__xludf.DUMMYFUNCTION("""COMPUTED_VALUE"""),42)</f>
        <v>42</v>
      </c>
      <c r="I92" s="4">
        <f ca="1">IFERROR(__xludf.DUMMYFUNCTION("""COMPUTED_VALUE"""),43162)</f>
        <v>43162</v>
      </c>
      <c r="J92">
        <f ca="1">IFERROR(__xludf.DUMMYFUNCTION("""COMPUTED_VALUE"""),2)</f>
        <v>2</v>
      </c>
      <c r="K92">
        <f ca="1">IFERROR(__xludf.DUMMYFUNCTION("""COMPUTED_VALUE"""),1155015021481)</f>
        <v>1155015021481</v>
      </c>
      <c r="L92" t="str">
        <f ca="1">IFERROR(__xludf.DUMMYFUNCTION("""COMPUTED_VALUE"""),"ALAPPUZHA NORTH")</f>
        <v>ALAPPUZHA NORTH</v>
      </c>
      <c r="M92" t="str">
        <f ca="1">IFERROR(__xludf.DUMMYFUNCTION("""COMPUTED_VALUE"""),"I Accept")</f>
        <v>I Accept</v>
      </c>
      <c r="N92" s="4">
        <f ca="1">IFERROR(__xludf.DUMMYFUNCTION("""COMPUTED_VALUE"""),43091)</f>
        <v>43091</v>
      </c>
      <c r="O92" s="4">
        <f ca="1">IFERROR(__xludf.DUMMYFUNCTION("""COMPUTED_VALUE"""),43091)</f>
        <v>43091</v>
      </c>
      <c r="P92">
        <f ca="1">IFERROR(__xludf.DUMMYFUNCTION("""COMPUTED_VALUE"""),2)</f>
        <v>2</v>
      </c>
      <c r="Q92" t="str">
        <f ca="1">IFERROR(__xludf.DUMMYFUNCTION("""COMPUTED_VALUE"""),"jose.dilip@gmail.com")</f>
        <v>jose.dilip@gmail.com</v>
      </c>
      <c r="R92" s="2" t="s">
        <v>1542</v>
      </c>
    </row>
    <row r="93" spans="1:18" ht="13" x14ac:dyDescent="0.15">
      <c r="A93" s="3">
        <f ca="1">IFERROR(__xludf.DUMMYFUNCTION("""COMPUTED_VALUE"""),43164.9204411921)</f>
        <v>43164.920441192102</v>
      </c>
      <c r="B93" t="str">
        <f ca="1">IFERROR(__xludf.DUMMYFUNCTION("""COMPUTED_VALUE"""),"abhilashkarayil@gmail.com")</f>
        <v>abhilashkarayil@gmail.com</v>
      </c>
      <c r="C93">
        <f ca="1">IFERROR(__xludf.DUMMYFUNCTION("""COMPUTED_VALUE"""),144)</f>
        <v>144</v>
      </c>
      <c r="D93" t="str">
        <f ca="1">IFERROR(__xludf.DUMMYFUNCTION("""COMPUTED_VALUE"""),"abhilash  K A")</f>
        <v>abhilash  K A</v>
      </c>
      <c r="E93">
        <f ca="1">IFERROR(__xludf.DUMMYFUNCTION("""COMPUTED_VALUE"""),9495716635)</f>
        <v>9495716635</v>
      </c>
      <c r="F93" t="str">
        <f ca="1">IFERROR(__xludf.DUMMYFUNCTION("""COMPUTED_VALUE"""),"Ernakulam")</f>
        <v>Ernakulam</v>
      </c>
      <c r="G93" t="str">
        <f ca="1">IFERROR(__xludf.DUMMYFUNCTION("""COMPUTED_VALUE"""),"INDEX INFORMATICS  SYSTEMS PVT LTD")</f>
        <v>INDEX INFORMATICS  SYSTEMS PVT LTD</v>
      </c>
      <c r="H93">
        <f ca="1">IFERROR(__xludf.DUMMYFUNCTION("""COMPUTED_VALUE"""),12)</f>
        <v>12</v>
      </c>
      <c r="I93" s="4">
        <f ca="1">IFERROR(__xludf.DUMMYFUNCTION("""COMPUTED_VALUE"""),43153)</f>
        <v>43153</v>
      </c>
      <c r="J93">
        <f ca="1">IFERROR(__xludf.DUMMYFUNCTION("""COMPUTED_VALUE"""),2)</f>
        <v>2</v>
      </c>
      <c r="K93">
        <f ca="1">IFERROR(__xludf.DUMMYFUNCTION("""COMPUTED_VALUE"""),1155510014461)</f>
        <v>1155510014461</v>
      </c>
      <c r="L93" t="str">
        <f ca="1">IFERROR(__xludf.DUMMYFUNCTION("""COMPUTED_VALUE"""),"CHOTTANIKARA")</f>
        <v>CHOTTANIKARA</v>
      </c>
      <c r="M93" t="str">
        <f ca="1">IFERROR(__xludf.DUMMYFUNCTION("""COMPUTED_VALUE"""),"I Accept")</f>
        <v>I Accept</v>
      </c>
      <c r="N93" s="4">
        <f ca="1">IFERROR(__xludf.DUMMYFUNCTION("""COMPUTED_VALUE"""),43159)</f>
        <v>43159</v>
      </c>
      <c r="O93" s="4">
        <f ca="1">IFERROR(__xludf.DUMMYFUNCTION("""COMPUTED_VALUE"""),43159)</f>
        <v>43159</v>
      </c>
      <c r="P93">
        <f ca="1">IFERROR(__xludf.DUMMYFUNCTION("""COMPUTED_VALUE"""),2)</f>
        <v>2</v>
      </c>
      <c r="Q93" t="str">
        <f ca="1">IFERROR(__xludf.DUMMYFUNCTION("""COMPUTED_VALUE"""),"abhilashkarayil@gmail.com")</f>
        <v>abhilashkarayil@gmail.com</v>
      </c>
      <c r="R93" s="2" t="s">
        <v>1556</v>
      </c>
    </row>
    <row r="94" spans="1:18" ht="13" x14ac:dyDescent="0.15">
      <c r="A94" s="3">
        <f ca="1">IFERROR(__xludf.DUMMYFUNCTION("""COMPUTED_VALUE"""),43165.4695348495)</f>
        <v>43165.469534849501</v>
      </c>
      <c r="B94" t="str">
        <f ca="1">IFERROR(__xludf.DUMMYFUNCTION("""COMPUTED_VALUE"""),"nestromarketing@gmail.com")</f>
        <v>nestromarketing@gmail.com</v>
      </c>
      <c r="C94">
        <f ca="1">IFERROR(__xludf.DUMMYFUNCTION("""COMPUTED_VALUE"""),19)</f>
        <v>19</v>
      </c>
      <c r="D94" t="str">
        <f ca="1">IFERROR(__xludf.DUMMYFUNCTION("""COMPUTED_VALUE"""),"Abdu Razak N")</f>
        <v>Abdu Razak N</v>
      </c>
      <c r="E94">
        <f ca="1">IFERROR(__xludf.DUMMYFUNCTION("""COMPUTED_VALUE"""),9142099977)</f>
        <v>9142099977</v>
      </c>
      <c r="F94" t="str">
        <f ca="1">IFERROR(__xludf.DUMMYFUNCTION("""COMPUTED_VALUE"""),"Malappuram")</f>
        <v>Malappuram</v>
      </c>
      <c r="G94" t="str">
        <f ca="1">IFERROR(__xludf.DUMMYFUNCTION("""COMPUTED_VALUE"""),"Nestro Marketing LLP")</f>
        <v>Nestro Marketing LLP</v>
      </c>
      <c r="H94">
        <f ca="1">IFERROR(__xludf.DUMMYFUNCTION("""COMPUTED_VALUE"""),14)</f>
        <v>14</v>
      </c>
      <c r="I94" s="4">
        <f ca="1">IFERROR(__xludf.DUMMYFUNCTION("""COMPUTED_VALUE"""),43895)</f>
        <v>43895</v>
      </c>
      <c r="J94">
        <f ca="1">IFERROR(__xludf.DUMMYFUNCTION("""COMPUTED_VALUE"""),5)</f>
        <v>5</v>
      </c>
      <c r="K94">
        <f ca="1">IFERROR(__xludf.DUMMYFUNCTION("""COMPUTED_VALUE"""),1165575014926)</f>
        <v>1165575014926</v>
      </c>
      <c r="L94" t="str">
        <f ca="1">IFERROR(__xludf.DUMMYFUNCTION("""COMPUTED_VALUE"""),"Kottakkal")</f>
        <v>Kottakkal</v>
      </c>
      <c r="M94" t="str">
        <f ca="1">IFERROR(__xludf.DUMMYFUNCTION("""COMPUTED_VALUE"""),"I Accept")</f>
        <v>I Accept</v>
      </c>
      <c r="N94" s="4">
        <f ca="1">IFERROR(__xludf.DUMMYFUNCTION("""COMPUTED_VALUE"""),43159)</f>
        <v>43159</v>
      </c>
      <c r="O94" s="4">
        <f ca="1">IFERROR(__xludf.DUMMYFUNCTION("""COMPUTED_VALUE"""),43159)</f>
        <v>43159</v>
      </c>
      <c r="P94">
        <f ca="1">IFERROR(__xludf.DUMMYFUNCTION("""COMPUTED_VALUE"""),5)</f>
        <v>5</v>
      </c>
      <c r="Q94" t="str">
        <f ca="1">IFERROR(__xludf.DUMMYFUNCTION("""COMPUTED_VALUE"""),"nestromarketing@gmail.com")</f>
        <v>nestromarketing@gmail.com</v>
      </c>
      <c r="R94" s="2" t="s">
        <v>1569</v>
      </c>
    </row>
    <row r="95" spans="1:18" ht="13" x14ac:dyDescent="0.15">
      <c r="A95" s="3">
        <f ca="1">IFERROR(__xludf.DUMMYFUNCTION("""COMPUTED_VALUE"""),43165.4802819097)</f>
        <v>43165.480281909702</v>
      </c>
      <c r="B95" t="str">
        <f ca="1">IFERROR(__xludf.DUMMYFUNCTION("""COMPUTED_VALUE"""),"nestromarketing@gmail.com")</f>
        <v>nestromarketing@gmail.com</v>
      </c>
      <c r="C95">
        <f ca="1">IFERROR(__xludf.DUMMYFUNCTION("""COMPUTED_VALUE"""),14)</f>
        <v>14</v>
      </c>
      <c r="D95" t="str">
        <f ca="1">IFERROR(__xludf.DUMMYFUNCTION("""COMPUTED_VALUE"""),"Hamzakoya N.V")</f>
        <v>Hamzakoya N.V</v>
      </c>
      <c r="E95">
        <f ca="1">IFERROR(__xludf.DUMMYFUNCTION("""COMPUTED_VALUE"""),9142099977)</f>
        <v>9142099977</v>
      </c>
      <c r="F95" t="str">
        <f ca="1">IFERROR(__xludf.DUMMYFUNCTION("""COMPUTED_VALUE"""),"Malappuram")</f>
        <v>Malappuram</v>
      </c>
      <c r="G95" t="str">
        <f ca="1">IFERROR(__xludf.DUMMYFUNCTION("""COMPUTED_VALUE"""),"Nestro Marketing LLP")</f>
        <v>Nestro Marketing LLP</v>
      </c>
      <c r="H95">
        <f ca="1">IFERROR(__xludf.DUMMYFUNCTION("""COMPUTED_VALUE"""),14)</f>
        <v>14</v>
      </c>
      <c r="I95" s="4">
        <f ca="1">IFERROR(__xludf.DUMMYFUNCTION("""COMPUTED_VALUE"""),43164)</f>
        <v>43164</v>
      </c>
      <c r="J95">
        <f ca="1">IFERROR(__xludf.DUMMYFUNCTION("""COMPUTED_VALUE"""),5)</f>
        <v>5</v>
      </c>
      <c r="K95">
        <f ca="1">IFERROR(__xludf.DUMMYFUNCTION("""COMPUTED_VALUE"""),1166323006495)</f>
        <v>1166323006495</v>
      </c>
      <c r="L95" t="str">
        <f ca="1">IFERROR(__xludf.DUMMYFUNCTION("""COMPUTED_VALUE"""),"Kadalundi")</f>
        <v>Kadalundi</v>
      </c>
      <c r="M95" t="str">
        <f ca="1">IFERROR(__xludf.DUMMYFUNCTION("""COMPUTED_VALUE"""),"I Accept")</f>
        <v>I Accept</v>
      </c>
      <c r="N95" s="4">
        <f ca="1">IFERROR(__xludf.DUMMYFUNCTION("""COMPUTED_VALUE"""),43163)</f>
        <v>43163</v>
      </c>
      <c r="O95" s="4">
        <f ca="1">IFERROR(__xludf.DUMMYFUNCTION("""COMPUTED_VALUE"""),43163)</f>
        <v>43163</v>
      </c>
      <c r="P95">
        <f ca="1">IFERROR(__xludf.DUMMYFUNCTION("""COMPUTED_VALUE"""),5)</f>
        <v>5</v>
      </c>
      <c r="Q95" t="str">
        <f ca="1">IFERROR(__xludf.DUMMYFUNCTION("""COMPUTED_VALUE"""),"nestromarketing@gmail.com")</f>
        <v>nestromarketing@gmail.com</v>
      </c>
      <c r="R95" s="2" t="s">
        <v>1577</v>
      </c>
    </row>
    <row r="96" spans="1:18" ht="13" x14ac:dyDescent="0.15">
      <c r="A96" s="3">
        <f ca="1">IFERROR(__xludf.DUMMYFUNCTION("""COMPUTED_VALUE"""),43165.4810225347)</f>
        <v>43165.481022534703</v>
      </c>
      <c r="B96" t="str">
        <f ca="1">IFERROR(__xludf.DUMMYFUNCTION("""COMPUTED_VALUE"""),"jose.dilip@gmail.com")</f>
        <v>jose.dilip@gmail.com</v>
      </c>
      <c r="C96">
        <f ca="1">IFERROR(__xludf.DUMMYFUNCTION("""COMPUTED_VALUE"""),128)</f>
        <v>128</v>
      </c>
      <c r="D96" t="str">
        <f ca="1">IFERROR(__xludf.DUMMYFUNCTION("""COMPUTED_VALUE"""),"SYAMALA DEVI")</f>
        <v>SYAMALA DEVI</v>
      </c>
      <c r="E96">
        <f ca="1">IFERROR(__xludf.DUMMYFUNCTION("""COMPUTED_VALUE"""),8137874406)</f>
        <v>8137874406</v>
      </c>
      <c r="F96" t="str">
        <f ca="1">IFERROR(__xludf.DUMMYFUNCTION("""COMPUTED_VALUE"""),"Thrissur")</f>
        <v>Thrissur</v>
      </c>
      <c r="G96" t="str">
        <f ca="1">IFERROR(__xludf.DUMMYFUNCTION("""COMPUTED_VALUE"""),"SOLGEN ENERGY PVT LTD")</f>
        <v>SOLGEN ENERGY PVT LTD</v>
      </c>
      <c r="H96">
        <f ca="1">IFERROR(__xludf.DUMMYFUNCTION("""COMPUTED_VALUE"""),42)</f>
        <v>42</v>
      </c>
      <c r="I96" s="4">
        <f ca="1">IFERROR(__xludf.DUMMYFUNCTION("""COMPUTED_VALUE"""),43162)</f>
        <v>43162</v>
      </c>
      <c r="J96">
        <f ca="1">IFERROR(__xludf.DUMMYFUNCTION("""COMPUTED_VALUE"""),3)</f>
        <v>3</v>
      </c>
      <c r="K96">
        <f ca="1">IFERROR(__xludf.DUMMYFUNCTION("""COMPUTED_VALUE"""),10320)</f>
        <v>10320</v>
      </c>
      <c r="L96" t="str">
        <f ca="1">IFERROR(__xludf.DUMMYFUNCTION("""COMPUTED_VALUE"""),"THRISSUR CORPORATION")</f>
        <v>THRISSUR CORPORATION</v>
      </c>
      <c r="M96" t="str">
        <f ca="1">IFERROR(__xludf.DUMMYFUNCTION("""COMPUTED_VALUE"""),"I Accept")</f>
        <v>I Accept</v>
      </c>
      <c r="N96" s="4">
        <f ca="1">IFERROR(__xludf.DUMMYFUNCTION("""COMPUTED_VALUE"""),43162)</f>
        <v>43162</v>
      </c>
      <c r="O96" s="4">
        <f ca="1">IFERROR(__xludf.DUMMYFUNCTION("""COMPUTED_VALUE"""),43162)</f>
        <v>43162</v>
      </c>
      <c r="P96">
        <f ca="1">IFERROR(__xludf.DUMMYFUNCTION("""COMPUTED_VALUE"""),3)</f>
        <v>3</v>
      </c>
      <c r="Q96" t="str">
        <f ca="1">IFERROR(__xludf.DUMMYFUNCTION("""COMPUTED_VALUE"""),"jose.dilip@gmail.com")</f>
        <v>jose.dilip@gmail.com</v>
      </c>
      <c r="R96" s="2" t="s">
        <v>1590</v>
      </c>
    </row>
    <row r="97" spans="1:18" ht="13" x14ac:dyDescent="0.15">
      <c r="A97" s="3">
        <f ca="1">IFERROR(__xludf.DUMMYFUNCTION("""COMPUTED_VALUE"""),43165.5887440972)</f>
        <v>43165.5887440972</v>
      </c>
      <c r="B97" t="str">
        <f ca="1">IFERROR(__xludf.DUMMYFUNCTION("""COMPUTED_VALUE"""),"info@wattsun.in")</f>
        <v>info@wattsun.in</v>
      </c>
      <c r="C97">
        <f ca="1">IFERROR(__xludf.DUMMYFUNCTION("""COMPUTED_VALUE"""),260)</f>
        <v>260</v>
      </c>
      <c r="D97" t="str">
        <f ca="1">IFERROR(__xludf.DUMMYFUNCTION("""COMPUTED_VALUE"""),"Tahnsilaus Francis(T Alphones)")</f>
        <v>Tahnsilaus Francis(T Alphones)</v>
      </c>
      <c r="E97">
        <f ca="1">IFERROR(__xludf.DUMMYFUNCTION("""COMPUTED_VALUE"""),9072666513)</f>
        <v>9072666513</v>
      </c>
      <c r="F97" t="str">
        <f ca="1">IFERROR(__xludf.DUMMYFUNCTION("""COMPUTED_VALUE"""),"Thiruvananthapuram")</f>
        <v>Thiruvananthapuram</v>
      </c>
      <c r="G97" t="str">
        <f ca="1">IFERROR(__xludf.DUMMYFUNCTION("""COMPUTED_VALUE"""),"Wattsun Energy India Private Limited")</f>
        <v>Wattsun Energy India Private Limited</v>
      </c>
      <c r="H97">
        <f ca="1">IFERROR(__xludf.DUMMYFUNCTION("""COMPUTED_VALUE"""),54)</f>
        <v>54</v>
      </c>
      <c r="I97" s="4">
        <f ca="1">IFERROR(__xludf.DUMMYFUNCTION("""COMPUTED_VALUE"""),43165)</f>
        <v>43165</v>
      </c>
      <c r="J97">
        <f ca="1">IFERROR(__xludf.DUMMYFUNCTION("""COMPUTED_VALUE"""),3)</f>
        <v>3</v>
      </c>
      <c r="K97">
        <f ca="1">IFERROR(__xludf.DUMMYFUNCTION("""COMPUTED_VALUE"""),1145137007603)</f>
        <v>1145137007603</v>
      </c>
      <c r="L97" t="str">
        <f ca="1">IFERROR(__xludf.DUMMYFUNCTION("""COMPUTED_VALUE"""),"Beach ")</f>
        <v xml:space="preserve">Beach </v>
      </c>
      <c r="M97" t="str">
        <f ca="1">IFERROR(__xludf.DUMMYFUNCTION("""COMPUTED_VALUE"""),"I Accept")</f>
        <v>I Accept</v>
      </c>
      <c r="N97" s="4">
        <f ca="1">IFERROR(__xludf.DUMMYFUNCTION("""COMPUTED_VALUE"""),43161)</f>
        <v>43161</v>
      </c>
      <c r="O97" s="4">
        <f ca="1">IFERROR(__xludf.DUMMYFUNCTION("""COMPUTED_VALUE"""),43161)</f>
        <v>43161</v>
      </c>
      <c r="P97">
        <f ca="1">IFERROR(__xludf.DUMMYFUNCTION("""COMPUTED_VALUE"""),3)</f>
        <v>3</v>
      </c>
      <c r="Q97" t="str">
        <f ca="1">IFERROR(__xludf.DUMMYFUNCTION("""COMPUTED_VALUE"""),"info@wattsun.in")</f>
        <v>info@wattsun.in</v>
      </c>
      <c r="R97" s="2" t="s">
        <v>1602</v>
      </c>
    </row>
    <row r="98" spans="1:18" ht="13" x14ac:dyDescent="0.15">
      <c r="A98" s="3">
        <f ca="1">IFERROR(__xludf.DUMMYFUNCTION("""COMPUTED_VALUE"""),43165.5975715162)</f>
        <v>43165.597571516199</v>
      </c>
      <c r="B98" t="str">
        <f ca="1">IFERROR(__xludf.DUMMYFUNCTION("""COMPUTED_VALUE"""),"info@wattsun.in")</f>
        <v>info@wattsun.in</v>
      </c>
      <c r="C98">
        <f ca="1">IFERROR(__xludf.DUMMYFUNCTION("""COMPUTED_VALUE"""),225)</f>
        <v>225</v>
      </c>
      <c r="D98" t="str">
        <f ca="1">IFERROR(__xludf.DUMMYFUNCTION("""COMPUTED_VALUE"""),"Omana B(Omana Vishwambharan)")</f>
        <v>Omana B(Omana Vishwambharan)</v>
      </c>
      <c r="E98">
        <f ca="1">IFERROR(__xludf.DUMMYFUNCTION("""COMPUTED_VALUE"""),9072666513)</f>
        <v>9072666513</v>
      </c>
      <c r="F98" t="str">
        <f ca="1">IFERROR(__xludf.DUMMYFUNCTION("""COMPUTED_VALUE"""),"Thiruvananthapuram")</f>
        <v>Thiruvananthapuram</v>
      </c>
      <c r="G98" t="str">
        <f ca="1">IFERROR(__xludf.DUMMYFUNCTION("""COMPUTED_VALUE"""),"Wattsun Energy India Private Limited")</f>
        <v>Wattsun Energy India Private Limited</v>
      </c>
      <c r="H98">
        <f ca="1">IFERROR(__xludf.DUMMYFUNCTION("""COMPUTED_VALUE"""),54)</f>
        <v>54</v>
      </c>
      <c r="I98" s="4">
        <f ca="1">IFERROR(__xludf.DUMMYFUNCTION("""COMPUTED_VALUE"""),43165)</f>
        <v>43165</v>
      </c>
      <c r="J98">
        <f ca="1">IFERROR(__xludf.DUMMYFUNCTION("""COMPUTED_VALUE"""),2)</f>
        <v>2</v>
      </c>
      <c r="K98">
        <f ca="1">IFERROR(__xludf.DUMMYFUNCTION("""COMPUTED_VALUE"""),1145181010358)</f>
        <v>1145181010358</v>
      </c>
      <c r="L98" t="str">
        <f ca="1">IFERROR(__xludf.DUMMYFUNCTION("""COMPUTED_VALUE"""),"Nalanchira")</f>
        <v>Nalanchira</v>
      </c>
      <c r="M98" t="str">
        <f ca="1">IFERROR(__xludf.DUMMYFUNCTION("""COMPUTED_VALUE"""),"I Accept")</f>
        <v>I Accept</v>
      </c>
      <c r="N98" s="4">
        <f ca="1">IFERROR(__xludf.DUMMYFUNCTION("""COMPUTED_VALUE"""),43165)</f>
        <v>43165</v>
      </c>
      <c r="O98" s="4">
        <f ca="1">IFERROR(__xludf.DUMMYFUNCTION("""COMPUTED_VALUE"""),43165)</f>
        <v>43165</v>
      </c>
      <c r="P98">
        <f ca="1">IFERROR(__xludf.DUMMYFUNCTION("""COMPUTED_VALUE"""),2)</f>
        <v>2</v>
      </c>
      <c r="Q98" t="str">
        <f ca="1">IFERROR(__xludf.DUMMYFUNCTION("""COMPUTED_VALUE"""),"info@wattsun.in")</f>
        <v>info@wattsun.in</v>
      </c>
      <c r="R98" s="2" t="s">
        <v>1616</v>
      </c>
    </row>
    <row r="99" spans="1:18" ht="13" x14ac:dyDescent="0.15">
      <c r="A99" s="3">
        <f ca="1">IFERROR(__xludf.DUMMYFUNCTION("""COMPUTED_VALUE"""),43165.6058365162)</f>
        <v>43165.605836516203</v>
      </c>
      <c r="B99" t="str">
        <f ca="1">IFERROR(__xludf.DUMMYFUNCTION("""COMPUTED_VALUE"""),"info@wattsun.in")</f>
        <v>info@wattsun.in</v>
      </c>
      <c r="C99">
        <f ca="1">IFERROR(__xludf.DUMMYFUNCTION("""COMPUTED_VALUE"""),229)</f>
        <v>229</v>
      </c>
      <c r="D99" t="str">
        <f ca="1">IFERROR(__xludf.DUMMYFUNCTION("""COMPUTED_VALUE"""),"Jayasekhar S")</f>
        <v>Jayasekhar S</v>
      </c>
      <c r="E99">
        <f ca="1">IFERROR(__xludf.DUMMYFUNCTION("""COMPUTED_VALUE"""),9072666513)</f>
        <v>9072666513</v>
      </c>
      <c r="F99" t="str">
        <f ca="1">IFERROR(__xludf.DUMMYFUNCTION("""COMPUTED_VALUE"""),"Thiruvananthapuram")</f>
        <v>Thiruvananthapuram</v>
      </c>
      <c r="G99" t="str">
        <f ca="1">IFERROR(__xludf.DUMMYFUNCTION("""COMPUTED_VALUE"""),"Wattsun Energy India Private Limited")</f>
        <v>Wattsun Energy India Private Limited</v>
      </c>
      <c r="H99">
        <f ca="1">IFERROR(__xludf.DUMMYFUNCTION("""COMPUTED_VALUE"""),54)</f>
        <v>54</v>
      </c>
      <c r="I99" s="4">
        <f ca="1">IFERROR(__xludf.DUMMYFUNCTION("""COMPUTED_VALUE"""),43165)</f>
        <v>43165</v>
      </c>
      <c r="J99">
        <f ca="1">IFERROR(__xludf.DUMMYFUNCTION("""COMPUTED_VALUE"""),3)</f>
        <v>3</v>
      </c>
      <c r="K99">
        <f ca="1">IFERROR(__xludf.DUMMYFUNCTION("""COMPUTED_VALUE"""),1146769005940)</f>
        <v>1146769005940</v>
      </c>
      <c r="L99" t="str">
        <f ca="1">IFERROR(__xludf.DUMMYFUNCTION("""COMPUTED_VALUE"""),"Kudappanakkunnu")</f>
        <v>Kudappanakkunnu</v>
      </c>
      <c r="M99" t="str">
        <f ca="1">IFERROR(__xludf.DUMMYFUNCTION("""COMPUTED_VALUE"""),"I Accept")</f>
        <v>I Accept</v>
      </c>
      <c r="N99" s="4">
        <f ca="1">IFERROR(__xludf.DUMMYFUNCTION("""COMPUTED_VALUE"""),43152)</f>
        <v>43152</v>
      </c>
      <c r="O99" s="4">
        <f ca="1">IFERROR(__xludf.DUMMYFUNCTION("""COMPUTED_VALUE"""),43152)</f>
        <v>43152</v>
      </c>
      <c r="P99">
        <f ca="1">IFERROR(__xludf.DUMMYFUNCTION("""COMPUTED_VALUE"""),3)</f>
        <v>3</v>
      </c>
      <c r="Q99" t="str">
        <f ca="1">IFERROR(__xludf.DUMMYFUNCTION("""COMPUTED_VALUE"""),"info@wattsun.in")</f>
        <v>info@wattsun.in</v>
      </c>
      <c r="R99" s="2" t="s">
        <v>1642</v>
      </c>
    </row>
    <row r="100" spans="1:18" ht="13" x14ac:dyDescent="0.15">
      <c r="A100" s="3">
        <f ca="1">IFERROR(__xludf.DUMMYFUNCTION("""COMPUTED_VALUE"""),43165.6123087847)</f>
        <v>43165.612308784701</v>
      </c>
      <c r="B100" t="str">
        <f ca="1">IFERROR(__xludf.DUMMYFUNCTION("""COMPUTED_VALUE"""),"info@wattsun.in")</f>
        <v>info@wattsun.in</v>
      </c>
      <c r="C100">
        <f ca="1">IFERROR(__xludf.DUMMYFUNCTION("""COMPUTED_VALUE"""),179)</f>
        <v>179</v>
      </c>
      <c r="D100" t="str">
        <f ca="1">IFERROR(__xludf.DUMMYFUNCTION("""COMPUTED_VALUE"""),"Jubilee Memorial Hospital")</f>
        <v>Jubilee Memorial Hospital</v>
      </c>
      <c r="E100">
        <f ca="1">IFERROR(__xludf.DUMMYFUNCTION("""COMPUTED_VALUE"""),9072666513)</f>
        <v>9072666513</v>
      </c>
      <c r="F100" t="str">
        <f ca="1">IFERROR(__xludf.DUMMYFUNCTION("""COMPUTED_VALUE"""),"Thiruvananthapuram")</f>
        <v>Thiruvananthapuram</v>
      </c>
      <c r="G100" t="str">
        <f ca="1">IFERROR(__xludf.DUMMYFUNCTION("""COMPUTED_VALUE"""),"Wattsun Energy India Private Limited")</f>
        <v>Wattsun Energy India Private Limited</v>
      </c>
      <c r="H100">
        <f ca="1">IFERROR(__xludf.DUMMYFUNCTION("""COMPUTED_VALUE"""),54)</f>
        <v>54</v>
      </c>
      <c r="I100" s="4">
        <f ca="1">IFERROR(__xludf.DUMMYFUNCTION("""COMPUTED_VALUE"""),43165)</f>
        <v>43165</v>
      </c>
      <c r="J100">
        <f ca="1">IFERROR(__xludf.DUMMYFUNCTION("""COMPUTED_VALUE"""),100)</f>
        <v>100</v>
      </c>
      <c r="K100">
        <f ca="1">IFERROR(__xludf.DUMMYFUNCTION("""COMPUTED_VALUE"""),1345060002807)</f>
        <v>1345060002807</v>
      </c>
      <c r="L100" t="str">
        <f ca="1">IFERROR(__xludf.DUMMYFUNCTION("""COMPUTED_VALUE"""),"Cantonment")</f>
        <v>Cantonment</v>
      </c>
      <c r="M100" t="str">
        <f ca="1">IFERROR(__xludf.DUMMYFUNCTION("""COMPUTED_VALUE"""),"I Accept")</f>
        <v>I Accept</v>
      </c>
      <c r="N100" s="4">
        <f ca="1">IFERROR(__xludf.DUMMYFUNCTION("""COMPUTED_VALUE"""),43161)</f>
        <v>43161</v>
      </c>
      <c r="O100" s="4">
        <f ca="1">IFERROR(__xludf.DUMMYFUNCTION("""COMPUTED_VALUE"""),43161)</f>
        <v>43161</v>
      </c>
      <c r="P100">
        <f ca="1">IFERROR(__xludf.DUMMYFUNCTION("""COMPUTED_VALUE"""),100)</f>
        <v>100</v>
      </c>
      <c r="Q100" t="str">
        <f ca="1">IFERROR(__xludf.DUMMYFUNCTION("""COMPUTED_VALUE"""),"info@wattsun.in")</f>
        <v>info@wattsun.in</v>
      </c>
      <c r="R100" s="2" t="s">
        <v>1658</v>
      </c>
    </row>
    <row r="101" spans="1:18" ht="13" x14ac:dyDescent="0.15">
      <c r="A101" s="3">
        <f ca="1">IFERROR(__xludf.DUMMYFUNCTION("""COMPUTED_VALUE"""),43165.6248495949)</f>
        <v>43165.624849594897</v>
      </c>
      <c r="B101" t="str">
        <f ca="1">IFERROR(__xludf.DUMMYFUNCTION("""COMPUTED_VALUE"""),"info@wattsun.in")</f>
        <v>info@wattsun.in</v>
      </c>
      <c r="C101">
        <f ca="1">IFERROR(__xludf.DUMMYFUNCTION("""COMPUTED_VALUE"""),70)</f>
        <v>70</v>
      </c>
      <c r="D101" t="str">
        <f ca="1">IFERROR(__xludf.DUMMYFUNCTION("""COMPUTED_VALUE"""),"Mohan P Mathews")</f>
        <v>Mohan P Mathews</v>
      </c>
      <c r="E101">
        <f ca="1">IFERROR(__xludf.DUMMYFUNCTION("""COMPUTED_VALUE"""),9072666513)</f>
        <v>9072666513</v>
      </c>
      <c r="F101" t="str">
        <f ca="1">IFERROR(__xludf.DUMMYFUNCTION("""COMPUTED_VALUE"""),"Thiruvananthapuram")</f>
        <v>Thiruvananthapuram</v>
      </c>
      <c r="G101" t="str">
        <f ca="1">IFERROR(__xludf.DUMMYFUNCTION("""COMPUTED_VALUE"""),"Wattsun Energy India Private Limited")</f>
        <v>Wattsun Energy India Private Limited</v>
      </c>
      <c r="H101">
        <f ca="1">IFERROR(__xludf.DUMMYFUNCTION("""COMPUTED_VALUE"""),54)</f>
        <v>54</v>
      </c>
      <c r="I101" s="4">
        <f ca="1">IFERROR(__xludf.DUMMYFUNCTION("""COMPUTED_VALUE"""),43165)</f>
        <v>43165</v>
      </c>
      <c r="J101">
        <f ca="1">IFERROR(__xludf.DUMMYFUNCTION("""COMPUTED_VALUE"""),5)</f>
        <v>5</v>
      </c>
      <c r="K101">
        <f ca="1">IFERROR(__xludf.DUMMYFUNCTION("""COMPUTED_VALUE"""),1145188011849)</f>
        <v>1145188011849</v>
      </c>
      <c r="L101" t="str">
        <f ca="1">IFERROR(__xludf.DUMMYFUNCTION("""COMPUTED_VALUE"""),"Nalanchira")</f>
        <v>Nalanchira</v>
      </c>
      <c r="M101" t="str">
        <f ca="1">IFERROR(__xludf.DUMMYFUNCTION("""COMPUTED_VALUE"""),"I Accept")</f>
        <v>I Accept</v>
      </c>
      <c r="N101" s="4">
        <f ca="1">IFERROR(__xludf.DUMMYFUNCTION("""COMPUTED_VALUE"""),43165)</f>
        <v>43165</v>
      </c>
      <c r="O101" s="4">
        <f ca="1">IFERROR(__xludf.DUMMYFUNCTION("""COMPUTED_VALUE"""),43165)</f>
        <v>43165</v>
      </c>
      <c r="P101">
        <f ca="1">IFERROR(__xludf.DUMMYFUNCTION("""COMPUTED_VALUE"""),5)</f>
        <v>5</v>
      </c>
      <c r="Q101" t="str">
        <f ca="1">IFERROR(__xludf.DUMMYFUNCTION("""COMPUTED_VALUE"""),"info@wattsun.in")</f>
        <v>info@wattsun.in</v>
      </c>
      <c r="R101" s="2" t="s">
        <v>1677</v>
      </c>
    </row>
    <row r="102" spans="1:18" ht="13" x14ac:dyDescent="0.15">
      <c r="A102" s="3">
        <f ca="1">IFERROR(__xludf.DUMMYFUNCTION("""COMPUTED_VALUE"""),43165.6882742824)</f>
        <v>43165.688274282402</v>
      </c>
      <c r="B102" t="str">
        <f ca="1">IFERROR(__xludf.DUMMYFUNCTION("""COMPUTED_VALUE"""),"jose.dilip@gmail.com")</f>
        <v>jose.dilip@gmail.com</v>
      </c>
      <c r="C102">
        <f ca="1">IFERROR(__xludf.DUMMYFUNCTION("""COMPUTED_VALUE"""),165)</f>
        <v>165</v>
      </c>
      <c r="D102" t="str">
        <f ca="1">IFERROR(__xludf.DUMMYFUNCTION("""COMPUTED_VALUE"""),"SURESH KUMAR R")</f>
        <v>SURESH KUMAR R</v>
      </c>
      <c r="E102">
        <f ca="1">IFERROR(__xludf.DUMMYFUNCTION("""COMPUTED_VALUE"""),8137874406)</f>
        <v>8137874406</v>
      </c>
      <c r="F102" t="str">
        <f ca="1">IFERROR(__xludf.DUMMYFUNCTION("""COMPUTED_VALUE"""),"Thiruvananthapuram")</f>
        <v>Thiruvananthapuram</v>
      </c>
      <c r="G102" t="str">
        <f ca="1">IFERROR(__xludf.DUMMYFUNCTION("""COMPUTED_VALUE"""),"SOLGEN ENERGY PVT LTD")</f>
        <v>SOLGEN ENERGY PVT LTD</v>
      </c>
      <c r="H102">
        <f ca="1">IFERROR(__xludf.DUMMYFUNCTION("""COMPUTED_VALUE"""),42)</f>
        <v>42</v>
      </c>
      <c r="I102" s="4">
        <f ca="1">IFERROR(__xludf.DUMMYFUNCTION("""COMPUTED_VALUE"""),43162)</f>
        <v>43162</v>
      </c>
      <c r="J102">
        <f ca="1">IFERROR(__xludf.DUMMYFUNCTION("""COMPUTED_VALUE"""),5)</f>
        <v>5</v>
      </c>
      <c r="K102">
        <f ca="1">IFERROR(__xludf.DUMMYFUNCTION("""COMPUTED_VALUE"""),1145087027108)</f>
        <v>1145087027108</v>
      </c>
      <c r="L102" t="str">
        <f ca="1">IFERROR(__xludf.DUMMYFUNCTION("""COMPUTED_VALUE"""),"PEROORKADA")</f>
        <v>PEROORKADA</v>
      </c>
      <c r="M102" t="str">
        <f ca="1">IFERROR(__xludf.DUMMYFUNCTION("""COMPUTED_VALUE"""),"I Accept")</f>
        <v>I Accept</v>
      </c>
      <c r="N102" s="4">
        <f ca="1">IFERROR(__xludf.DUMMYFUNCTION("""COMPUTED_VALUE"""),43116)</f>
        <v>43116</v>
      </c>
      <c r="O102" s="4">
        <f ca="1">IFERROR(__xludf.DUMMYFUNCTION("""COMPUTED_VALUE"""),43116)</f>
        <v>43116</v>
      </c>
      <c r="P102">
        <f ca="1">IFERROR(__xludf.DUMMYFUNCTION("""COMPUTED_VALUE"""),5)</f>
        <v>5</v>
      </c>
      <c r="Q102" t="str">
        <f ca="1">IFERROR(__xludf.DUMMYFUNCTION("""COMPUTED_VALUE"""),"jose.dilip@gmail.com")</f>
        <v>jose.dilip@gmail.com</v>
      </c>
      <c r="R102" s="2" t="s">
        <v>1698</v>
      </c>
    </row>
    <row r="103" spans="1:18" ht="13" x14ac:dyDescent="0.15">
      <c r="A103" s="3">
        <f ca="1">IFERROR(__xludf.DUMMYFUNCTION("""COMPUTED_VALUE"""),43165.720055949)</f>
        <v>43165.720055949001</v>
      </c>
      <c r="B103" t="str">
        <f ca="1">IFERROR(__xludf.DUMMYFUNCTION("""COMPUTED_VALUE"""),"info@wattsun.in")</f>
        <v>info@wattsun.in</v>
      </c>
      <c r="C103">
        <f ca="1">IFERROR(__xludf.DUMMYFUNCTION("""COMPUTED_VALUE"""),110)</f>
        <v>110</v>
      </c>
      <c r="D103" t="str">
        <f ca="1">IFERROR(__xludf.DUMMYFUNCTION("""COMPUTED_VALUE"""),"Kamalasanan M")</f>
        <v>Kamalasanan M</v>
      </c>
      <c r="E103">
        <f ca="1">IFERROR(__xludf.DUMMYFUNCTION("""COMPUTED_VALUE"""),9072666513)</f>
        <v>9072666513</v>
      </c>
      <c r="F103" t="str">
        <f ca="1">IFERROR(__xludf.DUMMYFUNCTION("""COMPUTED_VALUE"""),"Thiruvananthapuram")</f>
        <v>Thiruvananthapuram</v>
      </c>
      <c r="G103" t="str">
        <f ca="1">IFERROR(__xludf.DUMMYFUNCTION("""COMPUTED_VALUE"""),"Wattsun Energy India Private Limited")</f>
        <v>Wattsun Energy India Private Limited</v>
      </c>
      <c r="H103">
        <f ca="1">IFERROR(__xludf.DUMMYFUNCTION("""COMPUTED_VALUE"""),54)</f>
        <v>54</v>
      </c>
      <c r="I103" s="4">
        <f ca="1">IFERROR(__xludf.DUMMYFUNCTION("""COMPUTED_VALUE"""),43165)</f>
        <v>43165</v>
      </c>
      <c r="J103">
        <f ca="1">IFERROR(__xludf.DUMMYFUNCTION("""COMPUTED_VALUE"""),3)</f>
        <v>3</v>
      </c>
      <c r="K103">
        <f ca="1">IFERROR(__xludf.DUMMYFUNCTION("""COMPUTED_VALUE"""),1145127006840)</f>
        <v>1145127006840</v>
      </c>
      <c r="L103" t="str">
        <f ca="1">IFERROR(__xludf.DUMMYFUNCTION("""COMPUTED_VALUE"""),"Poojappura")</f>
        <v>Poojappura</v>
      </c>
      <c r="M103" t="str">
        <f ca="1">IFERROR(__xludf.DUMMYFUNCTION("""COMPUTED_VALUE"""),"I Accept")</f>
        <v>I Accept</v>
      </c>
      <c r="N103" s="4">
        <f ca="1">IFERROR(__xludf.DUMMYFUNCTION("""COMPUTED_VALUE"""),43155)</f>
        <v>43155</v>
      </c>
      <c r="O103" s="4">
        <f ca="1">IFERROR(__xludf.DUMMYFUNCTION("""COMPUTED_VALUE"""),43155)</f>
        <v>43155</v>
      </c>
      <c r="P103">
        <f ca="1">IFERROR(__xludf.DUMMYFUNCTION("""COMPUTED_VALUE"""),3)</f>
        <v>3</v>
      </c>
      <c r="Q103" t="str">
        <f ca="1">IFERROR(__xludf.DUMMYFUNCTION("""COMPUTED_VALUE"""),"info@wattsun.in")</f>
        <v>info@wattsun.in</v>
      </c>
      <c r="R103" s="2" t="s">
        <v>1722</v>
      </c>
    </row>
    <row r="104" spans="1:18" ht="13" x14ac:dyDescent="0.15">
      <c r="A104" s="3">
        <f ca="1">IFERROR(__xludf.DUMMYFUNCTION("""COMPUTED_VALUE"""),43166.2773845949)</f>
        <v>43166.277384594898</v>
      </c>
      <c r="B104" t="str">
        <f ca="1">IFERROR(__xludf.DUMMYFUNCTION("""COMPUTED_VALUE"""),"chandrasnair@gmail.com ")</f>
        <v xml:space="preserve">chandrasnair@gmail.com </v>
      </c>
      <c r="C104">
        <f ca="1">IFERROR(__xludf.DUMMYFUNCTION("""COMPUTED_VALUE"""),31)</f>
        <v>31</v>
      </c>
      <c r="D104" t="str">
        <f ca="1">IFERROR(__xludf.DUMMYFUNCTION("""COMPUTED_VALUE"""),"chandrasekharan nair")</f>
        <v>chandrasekharan nair</v>
      </c>
      <c r="E104">
        <f ca="1">IFERROR(__xludf.DUMMYFUNCTION("""COMPUTED_VALUE"""),9207626901)</f>
        <v>9207626901</v>
      </c>
      <c r="F104" t="str">
        <f ca="1">IFERROR(__xludf.DUMMYFUNCTION("""COMPUTED_VALUE"""),"Pathanamthitta")</f>
        <v>Pathanamthitta</v>
      </c>
      <c r="G104" t="str">
        <f ca="1">IFERROR(__xludf.DUMMYFUNCTION("""COMPUTED_VALUE"""),"TECHNOGUARD INDUSTRIES")</f>
        <v>TECHNOGUARD INDUSTRIES</v>
      </c>
      <c r="H104">
        <f ca="1">IFERROR(__xludf.DUMMYFUNCTION("""COMPUTED_VALUE"""),56)</f>
        <v>56</v>
      </c>
      <c r="I104" s="4">
        <f ca="1">IFERROR(__xludf.DUMMYFUNCTION("""COMPUTED_VALUE"""),43162)</f>
        <v>43162</v>
      </c>
      <c r="J104">
        <f ca="1">IFERROR(__xludf.DUMMYFUNCTION("""COMPUTED_VALUE"""),3)</f>
        <v>3</v>
      </c>
      <c r="K104">
        <f ca="1">IFERROR(__xludf.DUMMYFUNCTION("""COMPUTED_VALUE"""),1146051013837)</f>
        <v>1146051013837</v>
      </c>
      <c r="L104" t="str">
        <f ca="1">IFERROR(__xludf.DUMMYFUNCTION("""COMPUTED_VALUE"""),"4615")</f>
        <v>4615</v>
      </c>
      <c r="M104" t="str">
        <f ca="1">IFERROR(__xludf.DUMMYFUNCTION("""COMPUTED_VALUE"""),"I Accept")</f>
        <v>I Accept</v>
      </c>
      <c r="N104" s="4">
        <f ca="1">IFERROR(__xludf.DUMMYFUNCTION("""COMPUTED_VALUE"""),43140)</f>
        <v>43140</v>
      </c>
      <c r="O104" s="4">
        <f ca="1">IFERROR(__xludf.DUMMYFUNCTION("""COMPUTED_VALUE"""),43140)</f>
        <v>43140</v>
      </c>
      <c r="P104">
        <f ca="1">IFERROR(__xludf.DUMMYFUNCTION("""COMPUTED_VALUE"""),3)</f>
        <v>3</v>
      </c>
      <c r="Q104" t="str">
        <f ca="1">IFERROR(__xludf.DUMMYFUNCTION("""COMPUTED_VALUE"""),"chandrasnair@gmail.com")</f>
        <v>chandrasnair@gmail.com</v>
      </c>
      <c r="R104" s="2" t="s">
        <v>1739</v>
      </c>
    </row>
    <row r="105" spans="1:18" ht="13" x14ac:dyDescent="0.15">
      <c r="A105" s="3">
        <f ca="1">IFERROR(__xludf.DUMMYFUNCTION("""COMPUTED_VALUE"""),43166.2805124652)</f>
        <v>43166.2805124652</v>
      </c>
      <c r="B105" t="str">
        <f ca="1">IFERROR(__xludf.DUMMYFUNCTION("""COMPUTED_VALUE"""),"technoguardes@gmail.com")</f>
        <v>technoguardes@gmail.com</v>
      </c>
      <c r="C105">
        <f ca="1">IFERROR(__xludf.DUMMYFUNCTION("""COMPUTED_VALUE"""),379)</f>
        <v>379</v>
      </c>
      <c r="D105" t="str">
        <f ca="1">IFERROR(__xludf.DUMMYFUNCTION("""COMPUTED_VALUE"""),"N K RAJENDRAN")</f>
        <v>N K RAJENDRAN</v>
      </c>
      <c r="E105">
        <f ca="1">IFERROR(__xludf.DUMMYFUNCTION("""COMPUTED_VALUE"""),944606127)</f>
        <v>944606127</v>
      </c>
      <c r="F105" t="str">
        <f ca="1">IFERROR(__xludf.DUMMYFUNCTION("""COMPUTED_VALUE"""),"Ernakulam")</f>
        <v>Ernakulam</v>
      </c>
      <c r="G105" t="str">
        <f ca="1">IFERROR(__xludf.DUMMYFUNCTION("""COMPUTED_VALUE"""),"technoguard industries")</f>
        <v>technoguard industries</v>
      </c>
      <c r="H105">
        <f ca="1">IFERROR(__xludf.DUMMYFUNCTION("""COMPUTED_VALUE"""),56)</f>
        <v>56</v>
      </c>
      <c r="I105" s="4">
        <f ca="1">IFERROR(__xludf.DUMMYFUNCTION("""COMPUTED_VALUE"""),43165)</f>
        <v>43165</v>
      </c>
      <c r="J105">
        <f ca="1">IFERROR(__xludf.DUMMYFUNCTION("""COMPUTED_VALUE"""),3)</f>
        <v>3</v>
      </c>
      <c r="K105">
        <f ca="1">IFERROR(__xludf.DUMMYFUNCTION("""COMPUTED_VALUE"""),1155485016769)</f>
        <v>1155485016769</v>
      </c>
      <c r="L105" t="str">
        <f ca="1">IFERROR(__xludf.DUMMYFUNCTION("""COMPUTED_VALUE"""),"5548")</f>
        <v>5548</v>
      </c>
      <c r="M105" t="str">
        <f ca="1">IFERROR(__xludf.DUMMYFUNCTION("""COMPUTED_VALUE"""),"I Accept")</f>
        <v>I Accept</v>
      </c>
      <c r="N105" s="4">
        <f ca="1">IFERROR(__xludf.DUMMYFUNCTION("""COMPUTED_VALUE"""),43164)</f>
        <v>43164</v>
      </c>
      <c r="O105" s="4">
        <f ca="1">IFERROR(__xludf.DUMMYFUNCTION("""COMPUTED_VALUE"""),43164)</f>
        <v>43164</v>
      </c>
      <c r="P105">
        <f ca="1">IFERROR(__xludf.DUMMYFUNCTION("""COMPUTED_VALUE"""),3)</f>
        <v>3</v>
      </c>
      <c r="Q105" t="str">
        <f ca="1">IFERROR(__xludf.DUMMYFUNCTION("""COMPUTED_VALUE"""),"technoguardes@gmail.com")</f>
        <v>technoguardes@gmail.com</v>
      </c>
      <c r="R105" s="2" t="s">
        <v>1761</v>
      </c>
    </row>
    <row r="106" spans="1:18" ht="13" x14ac:dyDescent="0.15">
      <c r="A106" s="3">
        <f ca="1">IFERROR(__xludf.DUMMYFUNCTION("""COMPUTED_VALUE"""),43166.4375258796)</f>
        <v>43166.437525879599</v>
      </c>
      <c r="B106" t="str">
        <f ca="1">IFERROR(__xludf.DUMMYFUNCTION("""COMPUTED_VALUE"""),"info@wattsun.in")</f>
        <v>info@wattsun.in</v>
      </c>
      <c r="C106">
        <f ca="1">IFERROR(__xludf.DUMMYFUNCTION("""COMPUTED_VALUE"""),455)</f>
        <v>455</v>
      </c>
      <c r="D106" t="str">
        <f ca="1">IFERROR(__xludf.DUMMYFUNCTION("""COMPUTED_VALUE"""),"Geetha Gopinath R")</f>
        <v>Geetha Gopinath R</v>
      </c>
      <c r="E106">
        <f ca="1">IFERROR(__xludf.DUMMYFUNCTION("""COMPUTED_VALUE"""),9072666513)</f>
        <v>9072666513</v>
      </c>
      <c r="F106" t="str">
        <f ca="1">IFERROR(__xludf.DUMMYFUNCTION("""COMPUTED_VALUE"""),"Thiruvananthapuram")</f>
        <v>Thiruvananthapuram</v>
      </c>
      <c r="G106" t="str">
        <f ca="1">IFERROR(__xludf.DUMMYFUNCTION("""COMPUTED_VALUE"""),"Wattsun Energy India Private Limited")</f>
        <v>Wattsun Energy India Private Limited</v>
      </c>
      <c r="H106">
        <f ca="1">IFERROR(__xludf.DUMMYFUNCTION("""COMPUTED_VALUE"""),54)</f>
        <v>54</v>
      </c>
      <c r="I106" s="4">
        <f ca="1">IFERROR(__xludf.DUMMYFUNCTION("""COMPUTED_VALUE"""),43166)</f>
        <v>43166</v>
      </c>
      <c r="J106">
        <f ca="1">IFERROR(__xludf.DUMMYFUNCTION("""COMPUTED_VALUE"""),3)</f>
        <v>3</v>
      </c>
      <c r="K106">
        <f ca="1">IFERROR(__xludf.DUMMYFUNCTION("""COMPUTED_VALUE"""),1145172012641)</f>
        <v>1145172012641</v>
      </c>
      <c r="L106" t="str">
        <f ca="1">IFERROR(__xludf.DUMMYFUNCTION("""COMPUTED_VALUE"""),"ULLOOR")</f>
        <v>ULLOOR</v>
      </c>
      <c r="M106" t="str">
        <f ca="1">IFERROR(__xludf.DUMMYFUNCTION("""COMPUTED_VALUE"""),"I Accept")</f>
        <v>I Accept</v>
      </c>
      <c r="N106" s="4">
        <f ca="1">IFERROR(__xludf.DUMMYFUNCTION("""COMPUTED_VALUE"""),43152)</f>
        <v>43152</v>
      </c>
      <c r="O106" s="4">
        <f ca="1">IFERROR(__xludf.DUMMYFUNCTION("""COMPUTED_VALUE"""),43152)</f>
        <v>43152</v>
      </c>
      <c r="P106">
        <f ca="1">IFERROR(__xludf.DUMMYFUNCTION("""COMPUTED_VALUE"""),3)</f>
        <v>3</v>
      </c>
      <c r="Q106" t="str">
        <f ca="1">IFERROR(__xludf.DUMMYFUNCTION("""COMPUTED_VALUE"""),"info@wattsun.in")</f>
        <v>info@wattsun.in</v>
      </c>
      <c r="R106" s="2" t="s">
        <v>1778</v>
      </c>
    </row>
    <row r="107" spans="1:18" ht="13" x14ac:dyDescent="0.15">
      <c r="A107" s="3">
        <f ca="1">IFERROR(__xludf.DUMMYFUNCTION("""COMPUTED_VALUE"""),43166.4760214004)</f>
        <v>43166.476021400398</v>
      </c>
      <c r="B107" t="str">
        <f ca="1">IFERROR(__xludf.DUMMYFUNCTION("""COMPUTED_VALUE"""),"info@wattsun.in")</f>
        <v>info@wattsun.in</v>
      </c>
      <c r="C107">
        <f ca="1">IFERROR(__xludf.DUMMYFUNCTION("""COMPUTED_VALUE"""),461)</f>
        <v>461</v>
      </c>
      <c r="D107" t="str">
        <f ca="1">IFERROR(__xludf.DUMMYFUNCTION("""COMPUTED_VALUE"""),"Joseph Josua")</f>
        <v>Joseph Josua</v>
      </c>
      <c r="E107">
        <f ca="1">IFERROR(__xludf.DUMMYFUNCTION("""COMPUTED_VALUE"""),9072666513)</f>
        <v>9072666513</v>
      </c>
      <c r="F107" t="str">
        <f ca="1">IFERROR(__xludf.DUMMYFUNCTION("""COMPUTED_VALUE"""),"Thiruvananthapuram")</f>
        <v>Thiruvananthapuram</v>
      </c>
      <c r="G107" t="str">
        <f ca="1">IFERROR(__xludf.DUMMYFUNCTION("""COMPUTED_VALUE"""),"Wattsun Energy India Private Limited")</f>
        <v>Wattsun Energy India Private Limited</v>
      </c>
      <c r="H107">
        <f ca="1">IFERROR(__xludf.DUMMYFUNCTION("""COMPUTED_VALUE"""),54)</f>
        <v>54</v>
      </c>
      <c r="I107" s="4">
        <f ca="1">IFERROR(__xludf.DUMMYFUNCTION("""COMPUTED_VALUE"""),43166)</f>
        <v>43166</v>
      </c>
      <c r="J107">
        <f ca="1">IFERROR(__xludf.DUMMYFUNCTION("""COMPUTED_VALUE"""),5)</f>
        <v>5</v>
      </c>
      <c r="K107">
        <f ca="1">IFERROR(__xludf.DUMMYFUNCTION("""COMPUTED_VALUE"""),1145065001356)</f>
        <v>1145065001356</v>
      </c>
      <c r="L107" t="str">
        <f ca="1">IFERROR(__xludf.DUMMYFUNCTION("""COMPUTED_VALUE"""),"Contonment")</f>
        <v>Contonment</v>
      </c>
      <c r="M107" t="str">
        <f ca="1">IFERROR(__xludf.DUMMYFUNCTION("""COMPUTED_VALUE"""),"I Accept")</f>
        <v>I Accept</v>
      </c>
      <c r="N107" s="4">
        <f ca="1">IFERROR(__xludf.DUMMYFUNCTION("""COMPUTED_VALUE"""),43153)</f>
        <v>43153</v>
      </c>
      <c r="O107" s="4">
        <f ca="1">IFERROR(__xludf.DUMMYFUNCTION("""COMPUTED_VALUE"""),43153)</f>
        <v>43153</v>
      </c>
      <c r="P107">
        <f ca="1">IFERROR(__xludf.DUMMYFUNCTION("""COMPUTED_VALUE"""),5)</f>
        <v>5</v>
      </c>
      <c r="Q107" t="str">
        <f ca="1">IFERROR(__xludf.DUMMYFUNCTION("""COMPUTED_VALUE"""),"info@wattsun.in")</f>
        <v>info@wattsun.in</v>
      </c>
      <c r="R107" s="2" t="s">
        <v>1797</v>
      </c>
    </row>
    <row r="108" spans="1:18" ht="13" x14ac:dyDescent="0.15">
      <c r="A108" s="3">
        <f ca="1">IFERROR(__xludf.DUMMYFUNCTION("""COMPUTED_VALUE"""),43166.5603573032)</f>
        <v>43166.560357303199</v>
      </c>
      <c r="B108" t="str">
        <f ca="1">IFERROR(__xludf.DUMMYFUNCTION("""COMPUTED_VALUE"""),"info@wattsun.in")</f>
        <v>info@wattsun.in</v>
      </c>
      <c r="C108">
        <f ca="1">IFERROR(__xludf.DUMMYFUNCTION("""COMPUTED_VALUE"""),167)</f>
        <v>167</v>
      </c>
      <c r="D108" t="str">
        <f ca="1">IFERROR(__xludf.DUMMYFUNCTION("""COMPUTED_VALUE"""),"Marian Engineering College Kaazhakoottam")</f>
        <v>Marian Engineering College Kaazhakoottam</v>
      </c>
      <c r="E108">
        <f ca="1">IFERROR(__xludf.DUMMYFUNCTION("""COMPUTED_VALUE"""),9072666513)</f>
        <v>9072666513</v>
      </c>
      <c r="F108" t="str">
        <f ca="1">IFERROR(__xludf.DUMMYFUNCTION("""COMPUTED_VALUE"""),"Thiruvananthapuram")</f>
        <v>Thiruvananthapuram</v>
      </c>
      <c r="G108" t="str">
        <f ca="1">IFERROR(__xludf.DUMMYFUNCTION("""COMPUTED_VALUE"""),"Wattsun Energy India Private Limited")</f>
        <v>Wattsun Energy India Private Limited</v>
      </c>
      <c r="H108">
        <f ca="1">IFERROR(__xludf.DUMMYFUNCTION("""COMPUTED_VALUE"""),54)</f>
        <v>54</v>
      </c>
      <c r="I108" s="4">
        <f ca="1">IFERROR(__xludf.DUMMYFUNCTION("""COMPUTED_VALUE"""),43166)</f>
        <v>43166</v>
      </c>
      <c r="J108">
        <f ca="1">IFERROR(__xludf.DUMMYFUNCTION("""COMPUTED_VALUE"""),100)</f>
        <v>100</v>
      </c>
      <c r="K108">
        <f ca="1">IFERROR(__xludf.DUMMYFUNCTION("""COMPUTED_VALUE"""),1345210000781)</f>
        <v>1345210000781</v>
      </c>
      <c r="L108" t="str">
        <f ca="1">IFERROR(__xludf.DUMMYFUNCTION("""COMPUTED_VALUE"""),"Kazhakootam")</f>
        <v>Kazhakootam</v>
      </c>
      <c r="M108" t="str">
        <f ca="1">IFERROR(__xludf.DUMMYFUNCTION("""COMPUTED_VALUE"""),"I Accept")</f>
        <v>I Accept</v>
      </c>
      <c r="N108" s="4">
        <f ca="1">IFERROR(__xludf.DUMMYFUNCTION("""COMPUTED_VALUE"""),43108)</f>
        <v>43108</v>
      </c>
      <c r="O108" s="4">
        <f ca="1">IFERROR(__xludf.DUMMYFUNCTION("""COMPUTED_VALUE"""),43108)</f>
        <v>43108</v>
      </c>
      <c r="P108">
        <f ca="1">IFERROR(__xludf.DUMMYFUNCTION("""COMPUTED_VALUE"""),100)</f>
        <v>100</v>
      </c>
      <c r="Q108" t="str">
        <f ca="1">IFERROR(__xludf.DUMMYFUNCTION("""COMPUTED_VALUE"""),"info@wattsun.in")</f>
        <v>info@wattsun.in</v>
      </c>
      <c r="R108" s="2" t="s">
        <v>1807</v>
      </c>
    </row>
    <row r="109" spans="1:18" ht="13" x14ac:dyDescent="0.15">
      <c r="A109" s="3">
        <f ca="1">IFERROR(__xludf.DUMMYFUNCTION("""COMPUTED_VALUE"""),43167.3886180902)</f>
        <v>43167.388618090197</v>
      </c>
      <c r="B109" t="str">
        <f ca="1">IFERROR(__xludf.DUMMYFUNCTION("""COMPUTED_VALUE"""),"arunmathew2446@gmail.com")</f>
        <v>arunmathew2446@gmail.com</v>
      </c>
      <c r="C109">
        <f ca="1">IFERROR(__xludf.DUMMYFUNCTION("""COMPUTED_VALUE"""),264)</f>
        <v>264</v>
      </c>
      <c r="D109" t="str">
        <f ca="1">IFERROR(__xludf.DUMMYFUNCTION("""COMPUTED_VALUE"""),"ARUN MATHEW")</f>
        <v>ARUN MATHEW</v>
      </c>
      <c r="E109">
        <f ca="1">IFERROR(__xludf.DUMMYFUNCTION("""COMPUTED_VALUE"""),9562233099)</f>
        <v>9562233099</v>
      </c>
      <c r="F109" t="str">
        <f ca="1">IFERROR(__xludf.DUMMYFUNCTION("""COMPUTED_VALUE"""),"Kottayam")</f>
        <v>Kottayam</v>
      </c>
      <c r="G109" t="str">
        <f ca="1">IFERROR(__xludf.DUMMYFUNCTION("""COMPUTED_VALUE"""),"Reecco Energy India Pvt Ltd")</f>
        <v>Reecco Energy India Pvt Ltd</v>
      </c>
      <c r="H109">
        <f ca="1">IFERROR(__xludf.DUMMYFUNCTION("""COMPUTED_VALUE"""),47)</f>
        <v>47</v>
      </c>
      <c r="I109" s="4">
        <f ca="1">IFERROR(__xludf.DUMMYFUNCTION("""COMPUTED_VALUE"""),43167)</f>
        <v>43167</v>
      </c>
      <c r="J109">
        <f ca="1">IFERROR(__xludf.DUMMYFUNCTION("""COMPUTED_VALUE"""),5)</f>
        <v>5</v>
      </c>
      <c r="K109">
        <f ca="1">IFERROR(__xludf.DUMMYFUNCTION("""COMPUTED_VALUE"""),1156290006636)</f>
        <v>1156290006636</v>
      </c>
      <c r="L109" t="str">
        <f ca="1">IFERROR(__xludf.DUMMYFUNCTION("""COMPUTED_VALUE"""),"Ramapuram")</f>
        <v>Ramapuram</v>
      </c>
      <c r="M109" t="str">
        <f ca="1">IFERROR(__xludf.DUMMYFUNCTION("""COMPUTED_VALUE"""),"I Accept")</f>
        <v>I Accept</v>
      </c>
      <c r="N109" s="4">
        <f ca="1">IFERROR(__xludf.DUMMYFUNCTION("""COMPUTED_VALUE"""),43164)</f>
        <v>43164</v>
      </c>
      <c r="O109" s="4">
        <f ca="1">IFERROR(__xludf.DUMMYFUNCTION("""COMPUTED_VALUE"""),43164)</f>
        <v>43164</v>
      </c>
      <c r="P109">
        <f ca="1">IFERROR(__xludf.DUMMYFUNCTION("""COMPUTED_VALUE"""),5)</f>
        <v>5</v>
      </c>
      <c r="Q109" t="str">
        <f ca="1">IFERROR(__xludf.DUMMYFUNCTION("""COMPUTED_VALUE"""),"arunmathew2446@gmail.com")</f>
        <v>arunmathew2446@gmail.com</v>
      </c>
      <c r="R109" s="2" t="s">
        <v>1820</v>
      </c>
    </row>
    <row r="110" spans="1:18" ht="13" x14ac:dyDescent="0.15">
      <c r="A110" s="3">
        <f ca="1">IFERROR(__xludf.DUMMYFUNCTION("""COMPUTED_VALUE"""),43167.5821633796)</f>
        <v>43167.5821633796</v>
      </c>
      <c r="B110" t="str">
        <f ca="1">IFERROR(__xludf.DUMMYFUNCTION("""COMPUTED_VALUE"""),"tonnyvishnu@yahoo.com")</f>
        <v>tonnyvishnu@yahoo.com</v>
      </c>
      <c r="C110">
        <f ca="1">IFERROR(__xludf.DUMMYFUNCTION("""COMPUTED_VALUE"""),36)</f>
        <v>36</v>
      </c>
      <c r="D110" t="str">
        <f ca="1">IFERROR(__xludf.DUMMYFUNCTION("""COMPUTED_VALUE"""),"C.K. MANOHARAN")</f>
        <v>C.K. MANOHARAN</v>
      </c>
      <c r="E110">
        <f ca="1">IFERROR(__xludf.DUMMYFUNCTION("""COMPUTED_VALUE"""),8893387579)</f>
        <v>8893387579</v>
      </c>
      <c r="F110" t="str">
        <f ca="1">IFERROR(__xludf.DUMMYFUNCTION("""COMPUTED_VALUE"""),"Thrissur")</f>
        <v>Thrissur</v>
      </c>
      <c r="G110" t="str">
        <f ca="1">IFERROR(__xludf.DUMMYFUNCTION("""COMPUTED_VALUE"""),"TATA POWER SOLAR SYSTEMS LTD")</f>
        <v>TATA POWER SOLAR SYSTEMS LTD</v>
      </c>
      <c r="H110">
        <f ca="1">IFERROR(__xludf.DUMMYFUNCTION("""COMPUTED_VALUE"""),20)</f>
        <v>20</v>
      </c>
      <c r="I110" s="4">
        <f ca="1">IFERROR(__xludf.DUMMYFUNCTION("""COMPUTED_VALUE"""),43160)</f>
        <v>43160</v>
      </c>
      <c r="J110">
        <f ca="1">IFERROR(__xludf.DUMMYFUNCTION("""COMPUTED_VALUE"""),3)</f>
        <v>3</v>
      </c>
      <c r="K110">
        <f ca="1">IFERROR(__xludf.DUMMYFUNCTION("""COMPUTED_VALUE"""),1156805005101)</f>
        <v>1156805005101</v>
      </c>
      <c r="L110" t="str">
        <f ca="1">IFERROR(__xludf.DUMMYFUNCTION("""COMPUTED_VALUE"""),"VIYUR")</f>
        <v>VIYUR</v>
      </c>
      <c r="M110" t="str">
        <f ca="1">IFERROR(__xludf.DUMMYFUNCTION("""COMPUTED_VALUE"""),"I Accept")</f>
        <v>I Accept</v>
      </c>
      <c r="N110" s="4">
        <f ca="1">IFERROR(__xludf.DUMMYFUNCTION("""COMPUTED_VALUE"""),43157)</f>
        <v>43157</v>
      </c>
      <c r="O110" s="4">
        <f ca="1">IFERROR(__xludf.DUMMYFUNCTION("""COMPUTED_VALUE"""),43157)</f>
        <v>43157</v>
      </c>
      <c r="P110">
        <f ca="1">IFERROR(__xludf.DUMMYFUNCTION("""COMPUTED_VALUE"""),3)</f>
        <v>3</v>
      </c>
      <c r="Q110" t="str">
        <f ca="1">IFERROR(__xludf.DUMMYFUNCTION("""COMPUTED_VALUE"""),"tonnyvishnu@yahoo.com")</f>
        <v>tonnyvishnu@yahoo.com</v>
      </c>
      <c r="R110" s="2" t="s">
        <v>1829</v>
      </c>
    </row>
    <row r="111" spans="1:18" ht="13" x14ac:dyDescent="0.15">
      <c r="A111" s="3">
        <f ca="1">IFERROR(__xludf.DUMMYFUNCTION("""COMPUTED_VALUE"""),43167.6264662499)</f>
        <v>43167.626466249902</v>
      </c>
      <c r="B111" t="str">
        <f ca="1">IFERROR(__xludf.DUMMYFUNCTION("""COMPUTED_VALUE"""),"nestromarketing@gmail.com")</f>
        <v>nestromarketing@gmail.com</v>
      </c>
      <c r="C111">
        <f ca="1">IFERROR(__xludf.DUMMYFUNCTION("""COMPUTED_VALUE"""),62)</f>
        <v>62</v>
      </c>
      <c r="D111" t="str">
        <f ca="1">IFERROR(__xludf.DUMMYFUNCTION("""COMPUTED_VALUE"""),"Subramanian Kalichat")</f>
        <v>Subramanian Kalichat</v>
      </c>
      <c r="E111">
        <f ca="1">IFERROR(__xludf.DUMMYFUNCTION("""COMPUTED_VALUE"""),9142099977)</f>
        <v>9142099977</v>
      </c>
      <c r="F111" t="str">
        <f ca="1">IFERROR(__xludf.DUMMYFUNCTION("""COMPUTED_VALUE"""),"Malappuram")</f>
        <v>Malappuram</v>
      </c>
      <c r="G111" t="str">
        <f ca="1">IFERROR(__xludf.DUMMYFUNCTION("""COMPUTED_VALUE"""),"Nestro Marketing LLP")</f>
        <v>Nestro Marketing LLP</v>
      </c>
      <c r="H111">
        <f ca="1">IFERROR(__xludf.DUMMYFUNCTION("""COMPUTED_VALUE"""),14)</f>
        <v>14</v>
      </c>
      <c r="I111" s="4">
        <f ca="1">IFERROR(__xludf.DUMMYFUNCTION("""COMPUTED_VALUE"""),43166)</f>
        <v>43166</v>
      </c>
      <c r="J111">
        <f ca="1">IFERROR(__xludf.DUMMYFUNCTION("""COMPUTED_VALUE"""),3)</f>
        <v>3</v>
      </c>
      <c r="K111">
        <f ca="1">IFERROR(__xludf.DUMMYFUNCTION("""COMPUTED_VALUE"""),1165691009410)</f>
        <v>1165691009410</v>
      </c>
      <c r="L111" t="str">
        <f ca="1">IFERROR(__xludf.DUMMYFUNCTION("""COMPUTED_VALUE"""),"Tirur West")</f>
        <v>Tirur West</v>
      </c>
      <c r="M111" t="str">
        <f ca="1">IFERROR(__xludf.DUMMYFUNCTION("""COMPUTED_VALUE"""),"I Accept")</f>
        <v>I Accept</v>
      </c>
      <c r="N111" s="4">
        <f ca="1">IFERROR(__xludf.DUMMYFUNCTION("""COMPUTED_VALUE"""),43165)</f>
        <v>43165</v>
      </c>
      <c r="O111" s="4">
        <f ca="1">IFERROR(__xludf.DUMMYFUNCTION("""COMPUTED_VALUE"""),43165)</f>
        <v>43165</v>
      </c>
      <c r="P111">
        <f ca="1">IFERROR(__xludf.DUMMYFUNCTION("""COMPUTED_VALUE"""),3)</f>
        <v>3</v>
      </c>
      <c r="Q111" t="str">
        <f ca="1">IFERROR(__xludf.DUMMYFUNCTION("""COMPUTED_VALUE"""),"nestromarketing@gmail.com")</f>
        <v>nestromarketing@gmail.com</v>
      </c>
      <c r="R111" s="2" t="s">
        <v>1842</v>
      </c>
    </row>
    <row r="112" spans="1:18" ht="13" x14ac:dyDescent="0.15">
      <c r="A112" s="3">
        <f ca="1">IFERROR(__xludf.DUMMYFUNCTION("""COMPUTED_VALUE"""),43167.6412038426)</f>
        <v>43167.641203842599</v>
      </c>
      <c r="B112" t="str">
        <f ca="1">IFERROR(__xludf.DUMMYFUNCTION("""COMPUTED_VALUE"""),"dullforester@gmail.com ")</f>
        <v xml:space="preserve">dullforester@gmail.com </v>
      </c>
      <c r="C112">
        <f ca="1">IFERROR(__xludf.DUMMYFUNCTION("""COMPUTED_VALUE"""),6)</f>
        <v>6</v>
      </c>
      <c r="D112" t="str">
        <f ca="1">IFERROR(__xludf.DUMMYFUNCTION("""COMPUTED_VALUE"""),"ANOOP K.R.")</f>
        <v>ANOOP K.R.</v>
      </c>
      <c r="E112">
        <f ca="1">IFERROR(__xludf.DUMMYFUNCTION("""COMPUTED_VALUE"""),9414023366)</f>
        <v>9414023366</v>
      </c>
      <c r="F112" t="str">
        <f ca="1">IFERROR(__xludf.DUMMYFUNCTION("""COMPUTED_VALUE"""),"Thrissur")</f>
        <v>Thrissur</v>
      </c>
      <c r="G112" t="str">
        <f ca="1">IFERROR(__xludf.DUMMYFUNCTION("""COMPUTED_VALUE"""),"TATA POWER SOLAR SYSTEMS LTD")</f>
        <v>TATA POWER SOLAR SYSTEMS LTD</v>
      </c>
      <c r="H112">
        <f ca="1">IFERROR(__xludf.DUMMYFUNCTION("""COMPUTED_VALUE"""),20)</f>
        <v>20</v>
      </c>
      <c r="I112" s="4">
        <f ca="1">IFERROR(__xludf.DUMMYFUNCTION("""COMPUTED_VALUE"""),43315)</f>
        <v>43315</v>
      </c>
      <c r="J112">
        <f ca="1">IFERROR(__xludf.DUMMYFUNCTION("""COMPUTED_VALUE"""),3)</f>
        <v>3</v>
      </c>
      <c r="K112">
        <f ca="1">IFERROR(__xludf.DUMMYFUNCTION("""COMPUTED_VALUE"""),1156479017119)</f>
        <v>1156479017119</v>
      </c>
      <c r="L112" t="str">
        <f ca="1">IFERROR(__xludf.DUMMYFUNCTION("""COMPUTED_VALUE"""),"IRINJAKAKUDA")</f>
        <v>IRINJAKAKUDA</v>
      </c>
      <c r="M112" t="str">
        <f ca="1">IFERROR(__xludf.DUMMYFUNCTION("""COMPUTED_VALUE"""),"I Accept")</f>
        <v>I Accept</v>
      </c>
      <c r="N112" s="4">
        <f ca="1">IFERROR(__xludf.DUMMYFUNCTION("""COMPUTED_VALUE"""),43145)</f>
        <v>43145</v>
      </c>
      <c r="O112" s="4">
        <f ca="1">IFERROR(__xludf.DUMMYFUNCTION("""COMPUTED_VALUE"""),43145)</f>
        <v>43145</v>
      </c>
      <c r="P112">
        <f ca="1">IFERROR(__xludf.DUMMYFUNCTION("""COMPUTED_VALUE"""),3)</f>
        <v>3</v>
      </c>
      <c r="Q112" t="str">
        <f ca="1">IFERROR(__xludf.DUMMYFUNCTION("""COMPUTED_VALUE"""),"dullforester@gmail.com ")</f>
        <v xml:space="preserve">dullforester@gmail.com </v>
      </c>
      <c r="R112" s="2" t="s">
        <v>1856</v>
      </c>
    </row>
    <row r="113" spans="1:18" ht="13" x14ac:dyDescent="0.15">
      <c r="A113" s="3">
        <f ca="1">IFERROR(__xludf.DUMMYFUNCTION("""COMPUTED_VALUE"""),43167.6890549884)</f>
        <v>43167.689054988397</v>
      </c>
      <c r="B113" t="str">
        <f ca="1">IFERROR(__xludf.DUMMYFUNCTION("""COMPUTED_VALUE"""),"taxwatchktd@gmail.com")</f>
        <v>taxwatchktd@gmail.com</v>
      </c>
      <c r="C113">
        <f ca="1">IFERROR(__xludf.DUMMYFUNCTION("""COMPUTED_VALUE"""),442)</f>
        <v>442</v>
      </c>
      <c r="D113" t="str">
        <f ca="1">IFERROR(__xludf.DUMMYFUNCTION("""COMPUTED_VALUE"""),"Biju p h ")</f>
        <v xml:space="preserve">Biju p h </v>
      </c>
      <c r="E113">
        <f ca="1">IFERROR(__xludf.DUMMYFUNCTION("""COMPUTED_VALUE"""),9745062622)</f>
        <v>9745062622</v>
      </c>
      <c r="F113" t="str">
        <f ca="1">IFERROR(__xludf.DUMMYFUNCTION("""COMPUTED_VALUE"""),"Alappuzha")</f>
        <v>Alappuzha</v>
      </c>
      <c r="G113" t="str">
        <f ca="1">IFERROR(__xludf.DUMMYFUNCTION("""COMPUTED_VALUE"""),"TATA POWER SOLAR SYSTEMS LTD")</f>
        <v>TATA POWER SOLAR SYSTEMS LTD</v>
      </c>
      <c r="H113">
        <f ca="1">IFERROR(__xludf.DUMMYFUNCTION("""COMPUTED_VALUE"""),20)</f>
        <v>20</v>
      </c>
      <c r="I113" s="4">
        <f ca="1">IFERROR(__xludf.DUMMYFUNCTION("""COMPUTED_VALUE"""),43167)</f>
        <v>43167</v>
      </c>
      <c r="J113">
        <f ca="1">IFERROR(__xludf.DUMMYFUNCTION("""COMPUTED_VALUE"""),3)</f>
        <v>3</v>
      </c>
      <c r="K113">
        <f ca="1">IFERROR(__xludf.DUMMYFUNCTION("""COMPUTED_VALUE"""),1155169014331)</f>
        <v>1155169014331</v>
      </c>
      <c r="L113" t="str">
        <f ca="1">IFERROR(__xludf.DUMMYFUNCTION("""COMPUTED_VALUE"""),"Kuthiyathode")</f>
        <v>Kuthiyathode</v>
      </c>
      <c r="M113" t="str">
        <f ca="1">IFERROR(__xludf.DUMMYFUNCTION("""COMPUTED_VALUE"""),"I Accept")</f>
        <v>I Accept</v>
      </c>
      <c r="N113" s="4">
        <f ca="1">IFERROR(__xludf.DUMMYFUNCTION("""COMPUTED_VALUE"""),43174)</f>
        <v>43174</v>
      </c>
      <c r="O113" s="4">
        <f ca="1">IFERROR(__xludf.DUMMYFUNCTION("""COMPUTED_VALUE"""),43174)</f>
        <v>43174</v>
      </c>
      <c r="P113">
        <f ca="1">IFERROR(__xludf.DUMMYFUNCTION("""COMPUTED_VALUE"""),3)</f>
        <v>3</v>
      </c>
      <c r="Q113" t="str">
        <f ca="1">IFERROR(__xludf.DUMMYFUNCTION("""COMPUTED_VALUE"""),"taxwatchktd@gmail.com")</f>
        <v>taxwatchktd@gmail.com</v>
      </c>
      <c r="R113" s="2" t="s">
        <v>1865</v>
      </c>
    </row>
    <row r="114" spans="1:18" ht="13" x14ac:dyDescent="0.15">
      <c r="A114" s="3">
        <f ca="1">IFERROR(__xludf.DUMMYFUNCTION("""COMPUTED_VALUE"""),43168.4342136226)</f>
        <v>43168.434213622597</v>
      </c>
      <c r="B114" t="str">
        <f ca="1">IFERROR(__xludf.DUMMYFUNCTION("""COMPUTED_VALUE"""),"solarconnect2018@gmail.com")</f>
        <v>solarconnect2018@gmail.com</v>
      </c>
      <c r="C114">
        <f ca="1">IFERROR(__xludf.DUMMYFUNCTION("""COMPUTED_VALUE"""),182)</f>
        <v>182</v>
      </c>
      <c r="D114" t="str">
        <f ca="1">IFERROR(__xludf.DUMMYFUNCTION("""COMPUTED_VALUE"""),"THULASIDASAN PALANCHERY")</f>
        <v>THULASIDASAN PALANCHERY</v>
      </c>
      <c r="E114">
        <f ca="1">IFERROR(__xludf.DUMMYFUNCTION("""COMPUTED_VALUE"""),9446579961)</f>
        <v>9446579961</v>
      </c>
      <c r="F114" t="str">
        <f ca="1">IFERROR(__xludf.DUMMYFUNCTION("""COMPUTED_VALUE"""),"Thrissur")</f>
        <v>Thrissur</v>
      </c>
      <c r="G114" t="str">
        <f ca="1">IFERROR(__xludf.DUMMYFUNCTION("""COMPUTED_VALUE"""),"SPECTRUM TECHNO PRODUCTS")</f>
        <v>SPECTRUM TECHNO PRODUCTS</v>
      </c>
      <c r="H114">
        <f ca="1">IFERROR(__xludf.DUMMYFUNCTION("""COMPUTED_VALUE"""),66)</f>
        <v>66</v>
      </c>
      <c r="I114" s="4">
        <f ca="1">IFERROR(__xludf.DUMMYFUNCTION("""COMPUTED_VALUE"""),43168)</f>
        <v>43168</v>
      </c>
      <c r="J114">
        <f ca="1">IFERROR(__xludf.DUMMYFUNCTION("""COMPUTED_VALUE"""),5)</f>
        <v>5</v>
      </c>
      <c r="K114">
        <f ca="1">IFERROR(__xludf.DUMMYFUNCTION("""COMPUTED_VALUE"""),1156975019306)</f>
        <v>1156975019306</v>
      </c>
      <c r="L114" t="str">
        <f ca="1">IFERROR(__xludf.DUMMYFUNCTION("""COMPUTED_VALUE"""),"GURUVAYOOR")</f>
        <v>GURUVAYOOR</v>
      </c>
      <c r="M114" t="str">
        <f ca="1">IFERROR(__xludf.DUMMYFUNCTION("""COMPUTED_VALUE"""),"I Accept")</f>
        <v>I Accept</v>
      </c>
      <c r="N114" s="4">
        <f ca="1">IFERROR(__xludf.DUMMYFUNCTION("""COMPUTED_VALUE"""),43161)</f>
        <v>43161</v>
      </c>
      <c r="O114" s="4">
        <f ca="1">IFERROR(__xludf.DUMMYFUNCTION("""COMPUTED_VALUE"""),43161)</f>
        <v>43161</v>
      </c>
      <c r="P114">
        <f ca="1">IFERROR(__xludf.DUMMYFUNCTION("""COMPUTED_VALUE"""),5)</f>
        <v>5</v>
      </c>
      <c r="Q114" t="str">
        <f ca="1">IFERROR(__xludf.DUMMYFUNCTION("""COMPUTED_VALUE"""),"solarconnect2018@gmail.com")</f>
        <v>solarconnect2018@gmail.com</v>
      </c>
      <c r="R114" s="2" t="s">
        <v>1880</v>
      </c>
    </row>
    <row r="115" spans="1:18" ht="13" x14ac:dyDescent="0.15">
      <c r="A115" s="3">
        <f ca="1">IFERROR(__xludf.DUMMYFUNCTION("""COMPUTED_VALUE"""),43168.4365469907)</f>
        <v>43168.436546990699</v>
      </c>
      <c r="B115" t="str">
        <f ca="1">IFERROR(__xludf.DUMMYFUNCTION("""COMPUTED_VALUE"""),"solarconnect2018@gmail.com")</f>
        <v>solarconnect2018@gmail.com</v>
      </c>
      <c r="C115">
        <f ca="1">IFERROR(__xludf.DUMMYFUNCTION("""COMPUTED_VALUE"""),210)</f>
        <v>210</v>
      </c>
      <c r="D115" t="str">
        <f ca="1">IFERROR(__xludf.DUMMYFUNCTION("""COMPUTED_VALUE"""),"SUNIL PRAKASH P B")</f>
        <v>SUNIL PRAKASH P B</v>
      </c>
      <c r="E115">
        <f ca="1">IFERROR(__xludf.DUMMYFUNCTION("""COMPUTED_VALUE"""),9446579961)</f>
        <v>9446579961</v>
      </c>
      <c r="F115" t="str">
        <f ca="1">IFERROR(__xludf.DUMMYFUNCTION("""COMPUTED_VALUE"""),"Thrissur")</f>
        <v>Thrissur</v>
      </c>
      <c r="G115" t="str">
        <f ca="1">IFERROR(__xludf.DUMMYFUNCTION("""COMPUTED_VALUE"""),"SPECTRUM TECHNO PRODUCTS")</f>
        <v>SPECTRUM TECHNO PRODUCTS</v>
      </c>
      <c r="H115">
        <f ca="1">IFERROR(__xludf.DUMMYFUNCTION("""COMPUTED_VALUE"""),66)</f>
        <v>66</v>
      </c>
      <c r="I115" s="4">
        <f ca="1">IFERROR(__xludf.DUMMYFUNCTION("""COMPUTED_VALUE"""),43168)</f>
        <v>43168</v>
      </c>
      <c r="J115">
        <f ca="1">IFERROR(__xludf.DUMMYFUNCTION("""COMPUTED_VALUE"""),5)</f>
        <v>5</v>
      </c>
      <c r="K115">
        <f ca="1">IFERROR(__xludf.DUMMYFUNCTION("""COMPUTED_VALUE"""),1156972020065)</f>
        <v>1156972020065</v>
      </c>
      <c r="L115" t="str">
        <f ca="1">IFERROR(__xludf.DUMMYFUNCTION("""COMPUTED_VALUE"""),"GURUVAYOOR")</f>
        <v>GURUVAYOOR</v>
      </c>
      <c r="M115" t="str">
        <f ca="1">IFERROR(__xludf.DUMMYFUNCTION("""COMPUTED_VALUE"""),"I Accept")</f>
        <v>I Accept</v>
      </c>
      <c r="N115" s="4">
        <f ca="1">IFERROR(__xludf.DUMMYFUNCTION("""COMPUTED_VALUE"""),43161)</f>
        <v>43161</v>
      </c>
      <c r="O115" s="4">
        <f ca="1">IFERROR(__xludf.DUMMYFUNCTION("""COMPUTED_VALUE"""),43161)</f>
        <v>43161</v>
      </c>
      <c r="P115">
        <f ca="1">IFERROR(__xludf.DUMMYFUNCTION("""COMPUTED_VALUE"""),5)</f>
        <v>5</v>
      </c>
      <c r="Q115" t="str">
        <f ca="1">IFERROR(__xludf.DUMMYFUNCTION("""COMPUTED_VALUE"""),"solarconnect2018@gmail.com")</f>
        <v>solarconnect2018@gmail.com</v>
      </c>
      <c r="R115" s="2" t="s">
        <v>1900</v>
      </c>
    </row>
    <row r="116" spans="1:18" ht="13" x14ac:dyDescent="0.15">
      <c r="A116" s="3">
        <f ca="1">IFERROR(__xludf.DUMMYFUNCTION("""COMPUTED_VALUE"""),43168.6458004166)</f>
        <v>43168.645800416598</v>
      </c>
      <c r="B116" t="str">
        <f ca="1">IFERROR(__xludf.DUMMYFUNCTION("""COMPUTED_VALUE"""),"lakshararayan@gmail.com")</f>
        <v>lakshararayan@gmail.com</v>
      </c>
      <c r="C116">
        <f ca="1">IFERROR(__xludf.DUMMYFUNCTION("""COMPUTED_VALUE"""),305)</f>
        <v>305</v>
      </c>
      <c r="D116" t="str">
        <f ca="1">IFERROR(__xludf.DUMMYFUNCTION("""COMPUTED_VALUE"""),"Badusha Beevi")</f>
        <v>Badusha Beevi</v>
      </c>
      <c r="E116">
        <f ca="1">IFERROR(__xludf.DUMMYFUNCTION("""COMPUTED_VALUE"""),7736806968)</f>
        <v>7736806968</v>
      </c>
      <c r="F116" t="str">
        <f ca="1">IFERROR(__xludf.DUMMYFUNCTION("""COMPUTED_VALUE"""),"Thiruvananthapuram")</f>
        <v>Thiruvananthapuram</v>
      </c>
      <c r="G116" t="str">
        <f ca="1">IFERROR(__xludf.DUMMYFUNCTION("""COMPUTED_VALUE"""),"Renergy Systems India Pvt Ltd")</f>
        <v>Renergy Systems India Pvt Ltd</v>
      </c>
      <c r="H116">
        <f ca="1">IFERROR(__xludf.DUMMYFUNCTION("""COMPUTED_VALUE"""),38)</f>
        <v>38</v>
      </c>
      <c r="I116" s="4">
        <f ca="1">IFERROR(__xludf.DUMMYFUNCTION("""COMPUTED_VALUE"""),43168)</f>
        <v>43168</v>
      </c>
      <c r="J116">
        <f ca="1">IFERROR(__xludf.DUMMYFUNCTION("""COMPUTED_VALUE"""),5)</f>
        <v>5</v>
      </c>
      <c r="K116">
        <f ca="1">IFERROR(__xludf.DUMMYFUNCTION("""COMPUTED_VALUE"""),1145321006262)</f>
        <v>1145321006262</v>
      </c>
      <c r="L116" t="str">
        <f ca="1">IFERROR(__xludf.DUMMYFUNCTION("""COMPUTED_VALUE"""),"Avanavanchery")</f>
        <v>Avanavanchery</v>
      </c>
      <c r="M116" t="str">
        <f ca="1">IFERROR(__xludf.DUMMYFUNCTION("""COMPUTED_VALUE"""),"I Accept")</f>
        <v>I Accept</v>
      </c>
      <c r="N116" s="4">
        <f ca="1">IFERROR(__xludf.DUMMYFUNCTION("""COMPUTED_VALUE"""),43151)</f>
        <v>43151</v>
      </c>
      <c r="O116" s="4">
        <f ca="1">IFERROR(__xludf.DUMMYFUNCTION("""COMPUTED_VALUE"""),43151)</f>
        <v>43151</v>
      </c>
      <c r="P116">
        <f ca="1">IFERROR(__xludf.DUMMYFUNCTION("""COMPUTED_VALUE"""),5)</f>
        <v>5</v>
      </c>
      <c r="Q116" t="str">
        <f ca="1">IFERROR(__xludf.DUMMYFUNCTION("""COMPUTED_VALUE"""),"lakshararayan@gmail.com")</f>
        <v>lakshararayan@gmail.com</v>
      </c>
      <c r="R116" s="2" t="s">
        <v>1915</v>
      </c>
    </row>
    <row r="117" spans="1:18" ht="13" x14ac:dyDescent="0.15">
      <c r="A117" s="3">
        <f ca="1">IFERROR(__xludf.DUMMYFUNCTION("""COMPUTED_VALUE"""),43169.7291378009)</f>
        <v>43169.729137800903</v>
      </c>
      <c r="B117" t="str">
        <f ca="1">IFERROR(__xludf.DUMMYFUNCTION("""COMPUTED_VALUE"""),"connectdsk@gmail.com")</f>
        <v>connectdsk@gmail.com</v>
      </c>
      <c r="C117">
        <f ca="1">IFERROR(__xludf.DUMMYFUNCTION("""COMPUTED_VALUE"""),438)</f>
        <v>438</v>
      </c>
      <c r="D117" t="str">
        <f ca="1">IFERROR(__xludf.DUMMYFUNCTION("""COMPUTED_VALUE"""),"Remani Mathew")</f>
        <v>Remani Mathew</v>
      </c>
      <c r="E117">
        <f ca="1">IFERROR(__xludf.DUMMYFUNCTION("""COMPUTED_VALUE"""),8547564126)</f>
        <v>8547564126</v>
      </c>
      <c r="F117" t="str">
        <f ca="1">IFERROR(__xludf.DUMMYFUNCTION("""COMPUTED_VALUE"""),"Kollam")</f>
        <v>Kollam</v>
      </c>
      <c r="G117" t="str">
        <f ca="1">IFERROR(__xludf.DUMMYFUNCTION("""COMPUTED_VALUE"""),"FERT")</f>
        <v>FERT</v>
      </c>
      <c r="H117">
        <f ca="1">IFERROR(__xludf.DUMMYFUNCTION("""COMPUTED_VALUE"""),27)</f>
        <v>27</v>
      </c>
      <c r="I117" s="4">
        <f ca="1">IFERROR(__xludf.DUMMYFUNCTION("""COMPUTED_VALUE"""),43208)</f>
        <v>43208</v>
      </c>
      <c r="J117">
        <f ca="1">IFERROR(__xludf.DUMMYFUNCTION("""COMPUTED_VALUE"""),5)</f>
        <v>5</v>
      </c>
      <c r="K117">
        <f ca="1">IFERROR(__xludf.DUMMYFUNCTION("""COMPUTED_VALUE"""),1145890005134)</f>
        <v>1145890005134</v>
      </c>
      <c r="L117" t="str">
        <f ca="1">IFERROR(__xludf.DUMMYFUNCTION("""COMPUTED_VALUE"""),"Puthur")</f>
        <v>Puthur</v>
      </c>
      <c r="M117" t="str">
        <f ca="1">IFERROR(__xludf.DUMMYFUNCTION("""COMPUTED_VALUE"""),"I Accept")</f>
        <v>I Accept</v>
      </c>
      <c r="N117" s="4">
        <f ca="1">IFERROR(__xludf.DUMMYFUNCTION("""COMPUTED_VALUE"""),43235)</f>
        <v>43235</v>
      </c>
      <c r="O117" s="4">
        <f ca="1">IFERROR(__xludf.DUMMYFUNCTION("""COMPUTED_VALUE"""),43235)</f>
        <v>43235</v>
      </c>
      <c r="P117">
        <f ca="1">IFERROR(__xludf.DUMMYFUNCTION("""COMPUTED_VALUE"""),5)</f>
        <v>5</v>
      </c>
      <c r="Q117" t="str">
        <f ca="1">IFERROR(__xludf.DUMMYFUNCTION("""COMPUTED_VALUE"""),"connectdsk@gmail.com")</f>
        <v>connectdsk@gmail.com</v>
      </c>
      <c r="R117" s="2" t="s">
        <v>1926</v>
      </c>
    </row>
    <row r="118" spans="1:18" ht="13" x14ac:dyDescent="0.15">
      <c r="A118" s="3">
        <f ca="1">IFERROR(__xludf.DUMMYFUNCTION("""COMPUTED_VALUE"""),43169.7330401388)</f>
        <v>43169.733040138803</v>
      </c>
      <c r="B118" t="str">
        <f ca="1">IFERROR(__xludf.DUMMYFUNCTION("""COMPUTED_VALUE"""),"connectdsk@gmail.com")</f>
        <v>connectdsk@gmail.com</v>
      </c>
      <c r="C118">
        <f ca="1">IFERROR(__xludf.DUMMYFUNCTION("""COMPUTED_VALUE"""),29)</f>
        <v>29</v>
      </c>
      <c r="D118" t="str">
        <f ca="1">IFERROR(__xludf.DUMMYFUNCTION("""COMPUTED_VALUE"""),"Navas A M")</f>
        <v>Navas A M</v>
      </c>
      <c r="E118">
        <f ca="1">IFERROR(__xludf.DUMMYFUNCTION("""COMPUTED_VALUE"""),8547564126)</f>
        <v>8547564126</v>
      </c>
      <c r="F118" t="str">
        <f ca="1">IFERROR(__xludf.DUMMYFUNCTION("""COMPUTED_VALUE"""),"Thiruvananthapuram")</f>
        <v>Thiruvananthapuram</v>
      </c>
      <c r="G118" t="str">
        <f ca="1">IFERROR(__xludf.DUMMYFUNCTION("""COMPUTED_VALUE"""),"FERT")</f>
        <v>FERT</v>
      </c>
      <c r="H118">
        <f ca="1">IFERROR(__xludf.DUMMYFUNCTION("""COMPUTED_VALUE"""),27)</f>
        <v>27</v>
      </c>
      <c r="I118" s="4">
        <f ca="1">IFERROR(__xludf.DUMMYFUNCTION("""COMPUTED_VALUE"""),43153)</f>
        <v>43153</v>
      </c>
      <c r="J118">
        <f ca="1">IFERROR(__xludf.DUMMYFUNCTION("""COMPUTED_VALUE"""),5)</f>
        <v>5</v>
      </c>
      <c r="K118">
        <f ca="1">IFERROR(__xludf.DUMMYFUNCTION("""COMPUTED_VALUE"""),1145165016345)</f>
        <v>1145165016345</v>
      </c>
      <c r="L118" t="str">
        <f ca="1">IFERROR(__xludf.DUMMYFUNCTION("""COMPUTED_VALUE"""),"Kesavadasapuram")</f>
        <v>Kesavadasapuram</v>
      </c>
      <c r="M118" t="str">
        <f ca="1">IFERROR(__xludf.DUMMYFUNCTION("""COMPUTED_VALUE"""),"I Accept")</f>
        <v>I Accept</v>
      </c>
      <c r="N118" s="4">
        <f ca="1">IFERROR(__xludf.DUMMYFUNCTION("""COMPUTED_VALUE"""),43152)</f>
        <v>43152</v>
      </c>
      <c r="O118" s="4">
        <f ca="1">IFERROR(__xludf.DUMMYFUNCTION("""COMPUTED_VALUE"""),43152)</f>
        <v>43152</v>
      </c>
      <c r="P118">
        <f ca="1">IFERROR(__xludf.DUMMYFUNCTION("""COMPUTED_VALUE"""),5)</f>
        <v>5</v>
      </c>
      <c r="Q118" t="str">
        <f ca="1">IFERROR(__xludf.DUMMYFUNCTION("""COMPUTED_VALUE"""),"connectdsk@gmail.com")</f>
        <v>connectdsk@gmail.com</v>
      </c>
      <c r="R118" s="2" t="s">
        <v>1940</v>
      </c>
    </row>
    <row r="119" spans="1:18" ht="13" x14ac:dyDescent="0.15">
      <c r="A119" s="3">
        <f ca="1">IFERROR(__xludf.DUMMYFUNCTION("""COMPUTED_VALUE"""),43169.7366984838)</f>
        <v>43169.736698483801</v>
      </c>
      <c r="B119" t="str">
        <f ca="1">IFERROR(__xludf.DUMMYFUNCTION("""COMPUTED_VALUE"""),"connectdsk@gmail.com")</f>
        <v>connectdsk@gmail.com</v>
      </c>
      <c r="C119">
        <f ca="1">IFERROR(__xludf.DUMMYFUNCTION("""COMPUTED_VALUE"""),440)</f>
        <v>440</v>
      </c>
      <c r="D119" t="str">
        <f ca="1">IFERROR(__xludf.DUMMYFUNCTION("""COMPUTED_VALUE"""),"Mohammed Iqbal")</f>
        <v>Mohammed Iqbal</v>
      </c>
      <c r="E119">
        <f ca="1">IFERROR(__xludf.DUMMYFUNCTION("""COMPUTED_VALUE"""),8547564126)</f>
        <v>8547564126</v>
      </c>
      <c r="F119" t="str">
        <f ca="1">IFERROR(__xludf.DUMMYFUNCTION("""COMPUTED_VALUE"""),"Kozhikode")</f>
        <v>Kozhikode</v>
      </c>
      <c r="G119" t="str">
        <f ca="1">IFERROR(__xludf.DUMMYFUNCTION("""COMPUTED_VALUE"""),"FERT")</f>
        <v>FERT</v>
      </c>
      <c r="H119">
        <f ca="1">IFERROR(__xludf.DUMMYFUNCTION("""COMPUTED_VALUE"""),27)</f>
        <v>27</v>
      </c>
      <c r="I119" s="4">
        <f ca="1">IFERROR(__xludf.DUMMYFUNCTION("""COMPUTED_VALUE"""),43167)</f>
        <v>43167</v>
      </c>
      <c r="J119">
        <f ca="1">IFERROR(__xludf.DUMMYFUNCTION("""COMPUTED_VALUE"""),3)</f>
        <v>3</v>
      </c>
      <c r="K119">
        <f ca="1">IFERROR(__xludf.DUMMYFUNCTION("""COMPUTED_VALUE"""),1165956033262)</f>
        <v>1165956033262</v>
      </c>
      <c r="L119" t="str">
        <f ca="1">IFERROR(__xludf.DUMMYFUNCTION("""COMPUTED_VALUE"""),"Kovoor")</f>
        <v>Kovoor</v>
      </c>
      <c r="M119" t="str">
        <f ca="1">IFERROR(__xludf.DUMMYFUNCTION("""COMPUTED_VALUE"""),"I Accept")</f>
        <v>I Accept</v>
      </c>
      <c r="N119" s="4">
        <f ca="1">IFERROR(__xludf.DUMMYFUNCTION("""COMPUTED_VALUE"""),43153)</f>
        <v>43153</v>
      </c>
      <c r="O119" s="4">
        <f ca="1">IFERROR(__xludf.DUMMYFUNCTION("""COMPUTED_VALUE"""),43153)</f>
        <v>43153</v>
      </c>
      <c r="P119">
        <f ca="1">IFERROR(__xludf.DUMMYFUNCTION("""COMPUTED_VALUE"""),3)</f>
        <v>3</v>
      </c>
      <c r="Q119" t="str">
        <f ca="1">IFERROR(__xludf.DUMMYFUNCTION("""COMPUTED_VALUE"""),"connectdsk@gmail.com")</f>
        <v>connectdsk@gmail.com</v>
      </c>
      <c r="R119" s="2" t="s">
        <v>1948</v>
      </c>
    </row>
    <row r="120" spans="1:18" ht="13" x14ac:dyDescent="0.15">
      <c r="A120" s="3">
        <f ca="1">IFERROR(__xludf.DUMMYFUNCTION("""COMPUTED_VALUE"""),43171.4698919328)</f>
        <v>43171.4698919328</v>
      </c>
      <c r="B120" t="str">
        <f ca="1">IFERROR(__xludf.DUMMYFUNCTION("""COMPUTED_VALUE"""),"sales@energivops.com")</f>
        <v>sales@energivops.com</v>
      </c>
      <c r="C120">
        <f ca="1">IFERROR(__xludf.DUMMYFUNCTION("""COMPUTED_VALUE"""),194)</f>
        <v>194</v>
      </c>
      <c r="D120" t="str">
        <f ca="1">IFERROR(__xludf.DUMMYFUNCTION("""COMPUTED_VALUE"""),"T.S Jayan")</f>
        <v>T.S Jayan</v>
      </c>
      <c r="E120">
        <f ca="1">IFERROR(__xludf.DUMMYFUNCTION("""COMPUTED_VALUE"""),9061536777)</f>
        <v>9061536777</v>
      </c>
      <c r="F120" t="str">
        <f ca="1">IFERROR(__xludf.DUMMYFUNCTION("""COMPUTED_VALUE"""),"Thiruvananthapuram")</f>
        <v>Thiruvananthapuram</v>
      </c>
      <c r="G120" t="str">
        <f ca="1">IFERROR(__xludf.DUMMYFUNCTION("""COMPUTED_VALUE"""),"SOURA Natural Energy Solutions I Pvt Ltd")</f>
        <v>SOURA Natural Energy Solutions I Pvt Ltd</v>
      </c>
      <c r="H120">
        <f ca="1">IFERROR(__xludf.DUMMYFUNCTION("""COMPUTED_VALUE"""),11)</f>
        <v>11</v>
      </c>
      <c r="I120" s="4">
        <f ca="1">IFERROR(__xludf.DUMMYFUNCTION("""COMPUTED_VALUE"""),43169)</f>
        <v>43169</v>
      </c>
      <c r="J120">
        <f ca="1">IFERROR(__xludf.DUMMYFUNCTION("""COMPUTED_VALUE"""),3)</f>
        <v>3</v>
      </c>
      <c r="K120">
        <f ca="1">IFERROR(__xludf.DUMMYFUNCTION("""COMPUTED_VALUE"""),1145177013462)</f>
        <v>1145177013462</v>
      </c>
      <c r="L120" t="str">
        <f ca="1">IFERROR(__xludf.DUMMYFUNCTION("""COMPUTED_VALUE"""),"Ulloor")</f>
        <v>Ulloor</v>
      </c>
      <c r="M120" t="str">
        <f ca="1">IFERROR(__xludf.DUMMYFUNCTION("""COMPUTED_VALUE"""),"I Accept")</f>
        <v>I Accept</v>
      </c>
      <c r="N120" s="4">
        <f ca="1">IFERROR(__xludf.DUMMYFUNCTION("""COMPUTED_VALUE"""),43176)</f>
        <v>43176</v>
      </c>
      <c r="O120" s="4">
        <f ca="1">IFERROR(__xludf.DUMMYFUNCTION("""COMPUTED_VALUE"""),43176)</f>
        <v>43176</v>
      </c>
      <c r="P120">
        <f ca="1">IFERROR(__xludf.DUMMYFUNCTION("""COMPUTED_VALUE"""),3)</f>
        <v>3</v>
      </c>
      <c r="Q120" t="str">
        <f ca="1">IFERROR(__xludf.DUMMYFUNCTION("""COMPUTED_VALUE"""),"sales@energivops.com")</f>
        <v>sales@energivops.com</v>
      </c>
      <c r="R120" s="2" t="s">
        <v>1957</v>
      </c>
    </row>
    <row r="121" spans="1:18" ht="13" x14ac:dyDescent="0.15">
      <c r="A121" s="3">
        <f ca="1">IFERROR(__xludf.DUMMYFUNCTION("""COMPUTED_VALUE"""),43171.4869295601)</f>
        <v>43171.486929560102</v>
      </c>
      <c r="B121" t="str">
        <f ca="1">IFERROR(__xludf.DUMMYFUNCTION("""COMPUTED_VALUE"""),"info@solartechind.com")</f>
        <v>info@solartechind.com</v>
      </c>
      <c r="C121">
        <f ca="1">IFERROR(__xludf.DUMMYFUNCTION("""COMPUTED_VALUE"""),427)</f>
        <v>427</v>
      </c>
      <c r="D121" t="str">
        <f ca="1">IFERROR(__xludf.DUMMYFUNCTION("""COMPUTED_VALUE"""),"MOLLY PAULY")</f>
        <v>MOLLY PAULY</v>
      </c>
      <c r="E121">
        <f ca="1">IFERROR(__xludf.DUMMYFUNCTION("""COMPUTED_VALUE"""),9387707733)</f>
        <v>9387707733</v>
      </c>
      <c r="F121" t="str">
        <f ca="1">IFERROR(__xludf.DUMMYFUNCTION("""COMPUTED_VALUE"""),"Thrissur")</f>
        <v>Thrissur</v>
      </c>
      <c r="G121" t="str">
        <f ca="1">IFERROR(__xludf.DUMMYFUNCTION("""COMPUTED_VALUE"""),"SOLARTECH")</f>
        <v>SOLARTECH</v>
      </c>
      <c r="H121">
        <f ca="1">IFERROR(__xludf.DUMMYFUNCTION("""COMPUTED_VALUE"""),4)</f>
        <v>4</v>
      </c>
      <c r="I121" s="4">
        <f ca="1">IFERROR(__xludf.DUMMYFUNCTION("""COMPUTED_VALUE"""),43168)</f>
        <v>43168</v>
      </c>
      <c r="J121">
        <f ca="1">IFERROR(__xludf.DUMMYFUNCTION("""COMPUTED_VALUE"""),2)</f>
        <v>2</v>
      </c>
      <c r="K121">
        <f ca="1">IFERROR(__xludf.DUMMYFUNCTION("""COMPUTED_VALUE"""),1156772006584)</f>
        <v>1156772006584</v>
      </c>
      <c r="L121" t="str">
        <f ca="1">IFERROR(__xludf.DUMMYFUNCTION("""COMPUTED_VALUE"""),"NADATHARA")</f>
        <v>NADATHARA</v>
      </c>
      <c r="M121" t="str">
        <f ca="1">IFERROR(__xludf.DUMMYFUNCTION("""COMPUTED_VALUE"""),"I Accept")</f>
        <v>I Accept</v>
      </c>
      <c r="N121" s="4">
        <f ca="1">IFERROR(__xludf.DUMMYFUNCTION("""COMPUTED_VALUE"""),43153)</f>
        <v>43153</v>
      </c>
      <c r="O121" s="4">
        <f ca="1">IFERROR(__xludf.DUMMYFUNCTION("""COMPUTED_VALUE"""),43153)</f>
        <v>43153</v>
      </c>
      <c r="P121">
        <f ca="1">IFERROR(__xludf.DUMMYFUNCTION("""COMPUTED_VALUE"""),2)</f>
        <v>2</v>
      </c>
      <c r="Q121" t="str">
        <f ca="1">IFERROR(__xludf.DUMMYFUNCTION("""COMPUTED_VALUE"""),"info@solartechind.com")</f>
        <v>info@solartechind.com</v>
      </c>
      <c r="R121" s="2" t="s">
        <v>1963</v>
      </c>
    </row>
    <row r="122" spans="1:18" ht="13" x14ac:dyDescent="0.15">
      <c r="A122" s="3">
        <f ca="1">IFERROR(__xludf.DUMMYFUNCTION("""COMPUTED_VALUE"""),43171.4957443171)</f>
        <v>43171.495744317101</v>
      </c>
      <c r="B122" t="str">
        <f ca="1">IFERROR(__xludf.DUMMYFUNCTION("""COMPUTED_VALUE"""),"josesamuelayur@gmail.com")</f>
        <v>josesamuelayur@gmail.com</v>
      </c>
      <c r="C122">
        <f ca="1">IFERROR(__xludf.DUMMYFUNCTION("""COMPUTED_VALUE"""),277)</f>
        <v>277</v>
      </c>
      <c r="D122" t="str">
        <f ca="1">IFERROR(__xludf.DUMMYFUNCTION("""COMPUTED_VALUE"""),"JOSE SAMUEL")</f>
        <v>JOSE SAMUEL</v>
      </c>
      <c r="E122">
        <f ca="1">IFERROR(__xludf.DUMMYFUNCTION("""COMPUTED_VALUE"""),9447280666)</f>
        <v>9447280666</v>
      </c>
      <c r="F122" t="str">
        <f ca="1">IFERROR(__xludf.DUMMYFUNCTION("""COMPUTED_VALUE"""),"Kollam")</f>
        <v>Kollam</v>
      </c>
      <c r="G122" t="str">
        <f ca="1">IFERROR(__xludf.DUMMYFUNCTION("""COMPUTED_VALUE"""),"TATA POWER SOLAR SYSTEMS LTD")</f>
        <v>TATA POWER SOLAR SYSTEMS LTD</v>
      </c>
      <c r="H122">
        <f ca="1">IFERROR(__xludf.DUMMYFUNCTION("""COMPUTED_VALUE"""),20)</f>
        <v>20</v>
      </c>
      <c r="I122" s="4">
        <f ca="1">IFERROR(__xludf.DUMMYFUNCTION("""COMPUTED_VALUE"""),43159)</f>
        <v>43159</v>
      </c>
      <c r="J122">
        <f ca="1">IFERROR(__xludf.DUMMYFUNCTION("""COMPUTED_VALUE"""),3)</f>
        <v>3</v>
      </c>
      <c r="K122">
        <f ca="1">IFERROR(__xludf.DUMMYFUNCTION("""COMPUTED_VALUE"""),1146727005081)</f>
        <v>1146727005081</v>
      </c>
      <c r="L122" t="str">
        <f ca="1">IFERROR(__xludf.DUMMYFUNCTION("""COMPUTED_VALUE"""),"CHADAYAMANGALAM")</f>
        <v>CHADAYAMANGALAM</v>
      </c>
      <c r="M122" t="str">
        <f ca="1">IFERROR(__xludf.DUMMYFUNCTION("""COMPUTED_VALUE"""),"I Accept")</f>
        <v>I Accept</v>
      </c>
      <c r="N122" s="4">
        <f ca="1">IFERROR(__xludf.DUMMYFUNCTION("""COMPUTED_VALUE"""),43151)</f>
        <v>43151</v>
      </c>
      <c r="O122" s="4">
        <f ca="1">IFERROR(__xludf.DUMMYFUNCTION("""COMPUTED_VALUE"""),43151)</f>
        <v>43151</v>
      </c>
      <c r="P122">
        <f ca="1">IFERROR(__xludf.DUMMYFUNCTION("""COMPUTED_VALUE"""),3)</f>
        <v>3</v>
      </c>
      <c r="Q122" t="str">
        <f ca="1">IFERROR(__xludf.DUMMYFUNCTION("""COMPUTED_VALUE"""),"josesamuelayur@gmail.com")</f>
        <v>josesamuelayur@gmail.com</v>
      </c>
      <c r="R122" s="2" t="s">
        <v>1978</v>
      </c>
    </row>
    <row r="123" spans="1:18" ht="13" x14ac:dyDescent="0.15">
      <c r="A123" s="3">
        <f ca="1">IFERROR(__xludf.DUMMYFUNCTION("""COMPUTED_VALUE"""),43171.5149219907)</f>
        <v>43171.514921990703</v>
      </c>
      <c r="B123" t="str">
        <f ca="1">IFERROR(__xludf.DUMMYFUNCTION("""COMPUTED_VALUE"""),"info@solartechind.com")</f>
        <v>info@solartechind.com</v>
      </c>
      <c r="C123">
        <f ca="1">IFERROR(__xludf.DUMMYFUNCTION("""COMPUTED_VALUE"""),445)</f>
        <v>445</v>
      </c>
      <c r="D123" t="str">
        <f ca="1">IFERROR(__xludf.DUMMYFUNCTION("""COMPUTED_VALUE"""),"KURIAN  K.R")</f>
        <v>KURIAN  K.R</v>
      </c>
      <c r="E123">
        <f ca="1">IFERROR(__xludf.DUMMYFUNCTION("""COMPUTED_VALUE"""),9387707733)</f>
        <v>9387707733</v>
      </c>
      <c r="F123" t="str">
        <f ca="1">IFERROR(__xludf.DUMMYFUNCTION("""COMPUTED_VALUE"""),"Thrissur")</f>
        <v>Thrissur</v>
      </c>
      <c r="G123" t="str">
        <f ca="1">IFERROR(__xludf.DUMMYFUNCTION("""COMPUTED_VALUE"""),"SOLARTECH")</f>
        <v>SOLARTECH</v>
      </c>
      <c r="H123">
        <f ca="1">IFERROR(__xludf.DUMMYFUNCTION("""COMPUTED_VALUE"""),4)</f>
        <v>4</v>
      </c>
      <c r="I123" s="4">
        <f ca="1">IFERROR(__xludf.DUMMYFUNCTION("""COMPUTED_VALUE"""),43168)</f>
        <v>43168</v>
      </c>
      <c r="J123">
        <f ca="1">IFERROR(__xludf.DUMMYFUNCTION("""COMPUTED_VALUE"""),3)</f>
        <v>3</v>
      </c>
      <c r="K123">
        <f ca="1">IFERROR(__xludf.DUMMYFUNCTION("""COMPUTED_VALUE"""),1156711008696)</f>
        <v>1156711008696</v>
      </c>
      <c r="L123" t="str">
        <f ca="1">IFERROR(__xludf.DUMMYFUNCTION("""COMPUTED_VALUE"""),"KURIACHIRA")</f>
        <v>KURIACHIRA</v>
      </c>
      <c r="M123" t="str">
        <f ca="1">IFERROR(__xludf.DUMMYFUNCTION("""COMPUTED_VALUE"""),"I Accept")</f>
        <v>I Accept</v>
      </c>
      <c r="N123" s="4">
        <f ca="1">IFERROR(__xludf.DUMMYFUNCTION("""COMPUTED_VALUE"""),43162)</f>
        <v>43162</v>
      </c>
      <c r="O123" s="4">
        <f ca="1">IFERROR(__xludf.DUMMYFUNCTION("""COMPUTED_VALUE"""),43162)</f>
        <v>43162</v>
      </c>
      <c r="P123">
        <f ca="1">IFERROR(__xludf.DUMMYFUNCTION("""COMPUTED_VALUE"""),3)</f>
        <v>3</v>
      </c>
      <c r="Q123" t="str">
        <f ca="1">IFERROR(__xludf.DUMMYFUNCTION("""COMPUTED_VALUE"""),"info@solartechind.com")</f>
        <v>info@solartechind.com</v>
      </c>
      <c r="R123" s="2" t="s">
        <v>1991</v>
      </c>
    </row>
    <row r="124" spans="1:18" ht="13" x14ac:dyDescent="0.15">
      <c r="A124" s="3">
        <f ca="1">IFERROR(__xludf.DUMMYFUNCTION("""COMPUTED_VALUE"""),43171.5296949421)</f>
        <v>43171.529694942103</v>
      </c>
      <c r="B124" t="str">
        <f ca="1">IFERROR(__xludf.DUMMYFUNCTION("""COMPUTED_VALUE"""),"info@solartechind.com")</f>
        <v>info@solartechind.com</v>
      </c>
      <c r="C124">
        <f ca="1">IFERROR(__xludf.DUMMYFUNCTION("""COMPUTED_VALUE"""),196)</f>
        <v>196</v>
      </c>
      <c r="D124" t="str">
        <f ca="1">IFERROR(__xludf.DUMMYFUNCTION("""COMPUTED_VALUE"""),"GOPINATHAN CHERANGADA")</f>
        <v>GOPINATHAN CHERANGADA</v>
      </c>
      <c r="E124">
        <f ca="1">IFERROR(__xludf.DUMMYFUNCTION("""COMPUTED_VALUE"""),9387707733)</f>
        <v>9387707733</v>
      </c>
      <c r="F124" t="str">
        <f ca="1">IFERROR(__xludf.DUMMYFUNCTION("""COMPUTED_VALUE"""),"Thrissur")</f>
        <v>Thrissur</v>
      </c>
      <c r="G124" t="str">
        <f ca="1">IFERROR(__xludf.DUMMYFUNCTION("""COMPUTED_VALUE"""),"SOLARTECH")</f>
        <v>SOLARTECH</v>
      </c>
      <c r="H124">
        <f ca="1">IFERROR(__xludf.DUMMYFUNCTION("""COMPUTED_VALUE"""),4)</f>
        <v>4</v>
      </c>
      <c r="I124" s="4">
        <f ca="1">IFERROR(__xludf.DUMMYFUNCTION("""COMPUTED_VALUE"""),43168)</f>
        <v>43168</v>
      </c>
      <c r="J124">
        <f ca="1">IFERROR(__xludf.DUMMYFUNCTION("""COMPUTED_VALUE"""),2)</f>
        <v>2</v>
      </c>
      <c r="K124">
        <f ca="1">IFERROR(__xludf.DUMMYFUNCTION("""COMPUTED_VALUE"""),1157144007561)</f>
        <v>1157144007561</v>
      </c>
      <c r="L124" t="str">
        <f ca="1">IFERROR(__xludf.DUMMYFUNCTION("""COMPUTED_VALUE"""),"MEDICAL COLLEGE")</f>
        <v>MEDICAL COLLEGE</v>
      </c>
      <c r="M124" t="str">
        <f ca="1">IFERROR(__xludf.DUMMYFUNCTION("""COMPUTED_VALUE"""),"I Accept")</f>
        <v>I Accept</v>
      </c>
      <c r="N124" s="4">
        <f ca="1">IFERROR(__xludf.DUMMYFUNCTION("""COMPUTED_VALUE"""),43139)</f>
        <v>43139</v>
      </c>
      <c r="O124" s="4">
        <f ca="1">IFERROR(__xludf.DUMMYFUNCTION("""COMPUTED_VALUE"""),43139)</f>
        <v>43139</v>
      </c>
      <c r="P124">
        <f ca="1">IFERROR(__xludf.DUMMYFUNCTION("""COMPUTED_VALUE"""),2)</f>
        <v>2</v>
      </c>
      <c r="Q124" t="str">
        <f ca="1">IFERROR(__xludf.DUMMYFUNCTION("""COMPUTED_VALUE"""),"info@solartechind.com")</f>
        <v>info@solartechind.com</v>
      </c>
      <c r="R124" s="2" t="s">
        <v>2010</v>
      </c>
    </row>
    <row r="125" spans="1:18" ht="13" x14ac:dyDescent="0.15">
      <c r="A125" s="3">
        <f ca="1">IFERROR(__xludf.DUMMYFUNCTION("""COMPUTED_VALUE"""),43171.5389031828)</f>
        <v>43171.538903182802</v>
      </c>
      <c r="B125" t="str">
        <f ca="1">IFERROR(__xludf.DUMMYFUNCTION("""COMPUTED_VALUE"""),"info@solartechind.com")</f>
        <v>info@solartechind.com</v>
      </c>
      <c r="C125">
        <f ca="1">IFERROR(__xludf.DUMMYFUNCTION("""COMPUTED_VALUE"""),129)</f>
        <v>129</v>
      </c>
      <c r="D125" t="str">
        <f ca="1">IFERROR(__xludf.DUMMYFUNCTION("""COMPUTED_VALUE"""),"MADHU D")</f>
        <v>MADHU D</v>
      </c>
      <c r="E125">
        <f ca="1">IFERROR(__xludf.DUMMYFUNCTION("""COMPUTED_VALUE"""),9387707733)</f>
        <v>9387707733</v>
      </c>
      <c r="F125" t="str">
        <f ca="1">IFERROR(__xludf.DUMMYFUNCTION("""COMPUTED_VALUE"""),"Thrissur")</f>
        <v>Thrissur</v>
      </c>
      <c r="G125" t="str">
        <f ca="1">IFERROR(__xludf.DUMMYFUNCTION("""COMPUTED_VALUE"""),"SOLARTECH")</f>
        <v>SOLARTECH</v>
      </c>
      <c r="H125">
        <f ca="1">IFERROR(__xludf.DUMMYFUNCTION("""COMPUTED_VALUE"""),4)</f>
        <v>4</v>
      </c>
      <c r="I125" s="4">
        <f ca="1">IFERROR(__xludf.DUMMYFUNCTION("""COMPUTED_VALUE"""),43159)</f>
        <v>43159</v>
      </c>
      <c r="J125">
        <f ca="1">IFERROR(__xludf.DUMMYFUNCTION("""COMPUTED_VALUE"""),3)</f>
        <v>3</v>
      </c>
      <c r="K125">
        <f ca="1">IFERROR(__xludf.DUMMYFUNCTION("""COMPUTED_VALUE"""),1156648025006)</f>
        <v>1156648025006</v>
      </c>
      <c r="L125" t="str">
        <f ca="1">IFERROR(__xludf.DUMMYFUNCTION("""COMPUTED_VALUE"""),"KODUNGALLOOR")</f>
        <v>KODUNGALLOOR</v>
      </c>
      <c r="M125" t="str">
        <f ca="1">IFERROR(__xludf.DUMMYFUNCTION("""COMPUTED_VALUE"""),"I Accept")</f>
        <v>I Accept</v>
      </c>
      <c r="N125" s="4">
        <f ca="1">IFERROR(__xludf.DUMMYFUNCTION("""COMPUTED_VALUE"""),43106)</f>
        <v>43106</v>
      </c>
      <c r="O125" s="4">
        <f ca="1">IFERROR(__xludf.DUMMYFUNCTION("""COMPUTED_VALUE"""),43106)</f>
        <v>43106</v>
      </c>
      <c r="P125">
        <f ca="1">IFERROR(__xludf.DUMMYFUNCTION("""COMPUTED_VALUE"""),3)</f>
        <v>3</v>
      </c>
      <c r="Q125" t="str">
        <f ca="1">IFERROR(__xludf.DUMMYFUNCTION("""COMPUTED_VALUE"""),"info@solartechind.com")</f>
        <v>info@solartechind.com</v>
      </c>
      <c r="R125" s="2" t="s">
        <v>2026</v>
      </c>
    </row>
    <row r="126" spans="1:18" ht="13" x14ac:dyDescent="0.15">
      <c r="A126" s="3">
        <f ca="1">IFERROR(__xludf.DUMMYFUNCTION("""COMPUTED_VALUE"""),43171.8797049884)</f>
        <v>43171.879704988401</v>
      </c>
      <c r="B126" t="str">
        <f ca="1">IFERROR(__xludf.DUMMYFUNCTION("""COMPUTED_VALUE"""),"binoy222c@gmail.com")</f>
        <v>binoy222c@gmail.com</v>
      </c>
      <c r="C126">
        <f ca="1">IFERROR(__xludf.DUMMYFUNCTION("""COMPUTED_VALUE"""),513)</f>
        <v>513</v>
      </c>
      <c r="D126" t="str">
        <f ca="1">IFERROR(__xludf.DUMMYFUNCTION("""COMPUTED_VALUE"""),"U.K.CHANDRAN MOOSAD")</f>
        <v>U.K.CHANDRAN MOOSAD</v>
      </c>
      <c r="E126">
        <f ca="1">IFERROR(__xludf.DUMMYFUNCTION("""COMPUTED_VALUE"""),9846542746)</f>
        <v>9846542746</v>
      </c>
      <c r="F126" t="str">
        <f ca="1">IFERROR(__xludf.DUMMYFUNCTION("""COMPUTED_VALUE"""),"Kannur")</f>
        <v>Kannur</v>
      </c>
      <c r="G126" t="str">
        <f ca="1">IFERROR(__xludf.DUMMYFUNCTION("""COMPUTED_VALUE"""),"SOLGEN ENERGY PVT LTD")</f>
        <v>SOLGEN ENERGY PVT LTD</v>
      </c>
      <c r="H126">
        <f ca="1">IFERROR(__xludf.DUMMYFUNCTION("""COMPUTED_VALUE"""),42)</f>
        <v>42</v>
      </c>
      <c r="I126" s="4">
        <f ca="1">IFERROR(__xludf.DUMMYFUNCTION("""COMPUTED_VALUE"""),43171)</f>
        <v>43171</v>
      </c>
      <c r="J126">
        <f ca="1">IFERROR(__xludf.DUMMYFUNCTION("""COMPUTED_VALUE"""),3)</f>
        <v>3</v>
      </c>
      <c r="K126">
        <f ca="1">IFERROR(__xludf.DUMMYFUNCTION("""COMPUTED_VALUE"""),1166494001817)</f>
        <v>1166494001817</v>
      </c>
      <c r="L126" t="str">
        <f ca="1">IFERROR(__xludf.DUMMYFUNCTION("""COMPUTED_VALUE"""),"IRIKKUR")</f>
        <v>IRIKKUR</v>
      </c>
      <c r="M126" t="str">
        <f ca="1">IFERROR(__xludf.DUMMYFUNCTION("""COMPUTED_VALUE"""),"I Accept")</f>
        <v>I Accept</v>
      </c>
      <c r="N126" s="4">
        <f ca="1">IFERROR(__xludf.DUMMYFUNCTION("""COMPUTED_VALUE"""),43171)</f>
        <v>43171</v>
      </c>
      <c r="O126" s="4">
        <f ca="1">IFERROR(__xludf.DUMMYFUNCTION("""COMPUTED_VALUE"""),43171)</f>
        <v>43171</v>
      </c>
      <c r="P126">
        <f ca="1">IFERROR(__xludf.DUMMYFUNCTION("""COMPUTED_VALUE"""),3)</f>
        <v>3</v>
      </c>
      <c r="Q126" t="str">
        <f ca="1">IFERROR(__xludf.DUMMYFUNCTION("""COMPUTED_VALUE"""),"binoy222c@gmail.com")</f>
        <v>binoy222c@gmail.com</v>
      </c>
      <c r="R126" s="2" t="s">
        <v>2045</v>
      </c>
    </row>
    <row r="127" spans="1:18" ht="13" x14ac:dyDescent="0.15">
      <c r="A127" s="3">
        <f ca="1">IFERROR(__xludf.DUMMYFUNCTION("""COMPUTED_VALUE"""),43172.4041120601)</f>
        <v>43172.404112060103</v>
      </c>
      <c r="B127" t="str">
        <f ca="1">IFERROR(__xludf.DUMMYFUNCTION("""COMPUTED_VALUE"""),"radhakrishnanpk@gmail.com")</f>
        <v>radhakrishnanpk@gmail.com</v>
      </c>
      <c r="C127">
        <f ca="1">IFERROR(__xludf.DUMMYFUNCTION("""COMPUTED_VALUE"""),314)</f>
        <v>314</v>
      </c>
      <c r="D127" t="str">
        <f ca="1">IFERROR(__xludf.DUMMYFUNCTION("""COMPUTED_VALUE"""),"radhakrishnan p k")</f>
        <v>radhakrishnan p k</v>
      </c>
      <c r="E127">
        <f ca="1">IFERROR(__xludf.DUMMYFUNCTION("""COMPUTED_VALUE"""),9447476255)</f>
        <v>9447476255</v>
      </c>
      <c r="F127" t="str">
        <f ca="1">IFERROR(__xludf.DUMMYFUNCTION("""COMPUTED_VALUE"""),"Alappuzha")</f>
        <v>Alappuzha</v>
      </c>
      <c r="G127" t="str">
        <f ca="1">IFERROR(__xludf.DUMMYFUNCTION("""COMPUTED_VALUE"""),"TECHNOGUARD INDUSTRIES")</f>
        <v>TECHNOGUARD INDUSTRIES</v>
      </c>
      <c r="H127">
        <f ca="1">IFERROR(__xludf.DUMMYFUNCTION("""COMPUTED_VALUE"""),56)</f>
        <v>56</v>
      </c>
      <c r="I127" s="4">
        <f ca="1">IFERROR(__xludf.DUMMYFUNCTION("""COMPUTED_VALUE"""),43172)</f>
        <v>43172</v>
      </c>
      <c r="J127">
        <f ca="1">IFERROR(__xludf.DUMMYFUNCTION("""COMPUTED_VALUE"""),3)</f>
        <v>3</v>
      </c>
      <c r="K127">
        <f ca="1">IFERROR(__xludf.DUMMYFUNCTION("""COMPUTED_VALUE"""),1155186001495)</f>
        <v>1155186001495</v>
      </c>
      <c r="L127" t="str">
        <f ca="1">IFERROR(__xludf.DUMMYFUNCTION("""COMPUTED_VALUE"""),"ARTHUNKAL")</f>
        <v>ARTHUNKAL</v>
      </c>
      <c r="M127" t="str">
        <f ca="1">IFERROR(__xludf.DUMMYFUNCTION("""COMPUTED_VALUE"""),"I Accept")</f>
        <v>I Accept</v>
      </c>
      <c r="N127" s="4">
        <f ca="1">IFERROR(__xludf.DUMMYFUNCTION("""COMPUTED_VALUE"""),43155)</f>
        <v>43155</v>
      </c>
      <c r="O127" s="4">
        <f ca="1">IFERROR(__xludf.DUMMYFUNCTION("""COMPUTED_VALUE"""),43155)</f>
        <v>43155</v>
      </c>
      <c r="P127">
        <f ca="1">IFERROR(__xludf.DUMMYFUNCTION("""COMPUTED_VALUE"""),3)</f>
        <v>3</v>
      </c>
      <c r="Q127" t="str">
        <f ca="1">IFERROR(__xludf.DUMMYFUNCTION("""COMPUTED_VALUE"""),"radhakrishnanpk@gmail.com")</f>
        <v>radhakrishnanpk@gmail.com</v>
      </c>
      <c r="R127" s="2" t="s">
        <v>2058</v>
      </c>
    </row>
    <row r="128" spans="1:18" ht="13" x14ac:dyDescent="0.15">
      <c r="A128" s="3">
        <f ca="1">IFERROR(__xludf.DUMMYFUNCTION("""COMPUTED_VALUE"""),43172.4579409606)</f>
        <v>43172.457940960601</v>
      </c>
      <c r="B128" t="str">
        <f ca="1">IFERROR(__xludf.DUMMYFUNCTION("""COMPUTED_VALUE"""),"premvk65@hotmail.com")</f>
        <v>premvk65@hotmail.com</v>
      </c>
      <c r="C128">
        <f ca="1">IFERROR(__xludf.DUMMYFUNCTION("""COMPUTED_VALUE"""),344)</f>
        <v>344</v>
      </c>
      <c r="D128" t="str">
        <f ca="1">IFERROR(__xludf.DUMMYFUNCTION("""COMPUTED_VALUE"""),"PREMDAS -V.K")</f>
        <v>PREMDAS -V.K</v>
      </c>
      <c r="E128">
        <f ca="1">IFERROR(__xludf.DUMMYFUNCTION("""COMPUTED_VALUE"""),9447636277)</f>
        <v>9447636277</v>
      </c>
      <c r="F128" t="str">
        <f ca="1">IFERROR(__xludf.DUMMYFUNCTION("""COMPUTED_VALUE"""),"Kozhikode")</f>
        <v>Kozhikode</v>
      </c>
      <c r="G128" t="str">
        <f ca="1">IFERROR(__xludf.DUMMYFUNCTION("""COMPUTED_VALUE"""),"TATA POWER SOLAR SYSTEMS LTD")</f>
        <v>TATA POWER SOLAR SYSTEMS LTD</v>
      </c>
      <c r="H128">
        <f ca="1">IFERROR(__xludf.DUMMYFUNCTION("""COMPUTED_VALUE"""),20)</f>
        <v>20</v>
      </c>
      <c r="I128" s="4">
        <f ca="1">IFERROR(__xludf.DUMMYFUNCTION("""COMPUTED_VALUE"""),43171)</f>
        <v>43171</v>
      </c>
      <c r="J128">
        <f ca="1">IFERROR(__xludf.DUMMYFUNCTION("""COMPUTED_VALUE"""),3)</f>
        <v>3</v>
      </c>
      <c r="K128">
        <f ca="1">IFERROR(__xludf.DUMMYFUNCTION("""COMPUTED_VALUE"""),1166342016468)</f>
        <v>1166342016468</v>
      </c>
      <c r="L128" t="str">
        <f ca="1">IFERROR(__xludf.DUMMYFUNCTION("""COMPUTED_VALUE"""),"KALLAI")</f>
        <v>KALLAI</v>
      </c>
      <c r="M128" t="str">
        <f ca="1">IFERROR(__xludf.DUMMYFUNCTION("""COMPUTED_VALUE"""),"I Accept")</f>
        <v>I Accept</v>
      </c>
      <c r="N128" s="4">
        <f ca="1">IFERROR(__xludf.DUMMYFUNCTION("""COMPUTED_VALUE"""),43157)</f>
        <v>43157</v>
      </c>
      <c r="O128" s="4">
        <f ca="1">IFERROR(__xludf.DUMMYFUNCTION("""COMPUTED_VALUE"""),43157)</f>
        <v>43157</v>
      </c>
      <c r="P128">
        <f ca="1">IFERROR(__xludf.DUMMYFUNCTION("""COMPUTED_VALUE"""),3)</f>
        <v>3</v>
      </c>
      <c r="Q128" t="str">
        <f ca="1">IFERROR(__xludf.DUMMYFUNCTION("""COMPUTED_VALUE"""),"premvk65@hotmail.com")</f>
        <v>premvk65@hotmail.com</v>
      </c>
      <c r="R128" s="2" t="s">
        <v>2070</v>
      </c>
    </row>
    <row r="129" spans="1:18" ht="13" x14ac:dyDescent="0.15">
      <c r="A129" s="3">
        <f ca="1">IFERROR(__xludf.DUMMYFUNCTION("""COMPUTED_VALUE"""),43172.4618442476)</f>
        <v>43172.461844247598</v>
      </c>
      <c r="B129" t="str">
        <f ca="1">IFERROR(__xludf.DUMMYFUNCTION("""COMPUTED_VALUE"""),"nestromarketing@gmail.com")</f>
        <v>nestromarketing@gmail.com</v>
      </c>
      <c r="C129">
        <f ca="1">IFERROR(__xludf.DUMMYFUNCTION("""COMPUTED_VALUE"""),324)</f>
        <v>324</v>
      </c>
      <c r="D129" t="str">
        <f ca="1">IFERROR(__xludf.DUMMYFUNCTION("""COMPUTED_VALUE"""),"Pulikkal, Thrithalloor, Puthuppalli, Purathur, Malappuram District - 676102")</f>
        <v>Pulikkal, Thrithalloor, Puthuppalli, Purathur, Malappuram District - 676102</v>
      </c>
      <c r="E129">
        <f ca="1">IFERROR(__xludf.DUMMYFUNCTION("""COMPUTED_VALUE"""),9142099977)</f>
        <v>9142099977</v>
      </c>
      <c r="F129" t="str">
        <f ca="1">IFERROR(__xludf.DUMMYFUNCTION("""COMPUTED_VALUE"""),"Malappuram")</f>
        <v>Malappuram</v>
      </c>
      <c r="G129" t="str">
        <f ca="1">IFERROR(__xludf.DUMMYFUNCTION("""COMPUTED_VALUE"""),"Nestro Marketing LLP")</f>
        <v>Nestro Marketing LLP</v>
      </c>
      <c r="H129">
        <f ca="1">IFERROR(__xludf.DUMMYFUNCTION("""COMPUTED_VALUE"""),14)</f>
        <v>14</v>
      </c>
      <c r="I129" s="4">
        <f ca="1">IFERROR(__xludf.DUMMYFUNCTION("""COMPUTED_VALUE"""),43171)</f>
        <v>43171</v>
      </c>
      <c r="J129">
        <f ca="1">IFERROR(__xludf.DUMMYFUNCTION("""COMPUTED_VALUE"""),2)</f>
        <v>2</v>
      </c>
      <c r="K129">
        <f ca="1">IFERROR(__xludf.DUMMYFUNCTION("""COMPUTED_VALUE"""),1167810013895)</f>
        <v>1167810013895</v>
      </c>
      <c r="L129" t="str">
        <f ca="1">IFERROR(__xludf.DUMMYFUNCTION("""COMPUTED_VALUE"""),"Purathur")</f>
        <v>Purathur</v>
      </c>
      <c r="M129" t="str">
        <f ca="1">IFERROR(__xludf.DUMMYFUNCTION("""COMPUTED_VALUE"""),"I Accept")</f>
        <v>I Accept</v>
      </c>
      <c r="N129" s="4">
        <f ca="1">IFERROR(__xludf.DUMMYFUNCTION("""COMPUTED_VALUE"""),43161)</f>
        <v>43161</v>
      </c>
      <c r="O129" s="4">
        <f ca="1">IFERROR(__xludf.DUMMYFUNCTION("""COMPUTED_VALUE"""),43161)</f>
        <v>43161</v>
      </c>
      <c r="P129">
        <f ca="1">IFERROR(__xludf.DUMMYFUNCTION("""COMPUTED_VALUE"""),2)</f>
        <v>2</v>
      </c>
      <c r="Q129" t="str">
        <f ca="1">IFERROR(__xludf.DUMMYFUNCTION("""COMPUTED_VALUE"""),"nestromarketing@gmail.com")</f>
        <v>nestromarketing@gmail.com</v>
      </c>
      <c r="R129" s="2" t="s">
        <v>2077</v>
      </c>
    </row>
    <row r="130" spans="1:18" ht="13" x14ac:dyDescent="0.15">
      <c r="A130" s="3">
        <f ca="1">IFERROR(__xludf.DUMMYFUNCTION("""COMPUTED_VALUE"""),43172.5010000578)</f>
        <v>43172.501000057797</v>
      </c>
      <c r="B130" t="str">
        <f ca="1">IFERROR(__xludf.DUMMYFUNCTION("""COMPUTED_VALUE"""),"alexmk@yahoo.com")</f>
        <v>alexmk@yahoo.com</v>
      </c>
      <c r="C130">
        <f ca="1">IFERROR(__xludf.DUMMYFUNCTION("""COMPUTED_VALUE"""),286)</f>
        <v>286</v>
      </c>
      <c r="D130" t="str">
        <f ca="1">IFERROR(__xludf.DUMMYFUNCTION("""COMPUTED_VALUE"""),"ALEXANDER.M.K")</f>
        <v>ALEXANDER.M.K</v>
      </c>
      <c r="E130">
        <f ca="1">IFERROR(__xludf.DUMMYFUNCTION("""COMPUTED_VALUE"""),7012219894)</f>
        <v>7012219894</v>
      </c>
      <c r="F130" t="str">
        <f ca="1">IFERROR(__xludf.DUMMYFUNCTION("""COMPUTED_VALUE"""),"Kollam")</f>
        <v>Kollam</v>
      </c>
      <c r="G130" t="str">
        <f ca="1">IFERROR(__xludf.DUMMYFUNCTION("""COMPUTED_VALUE"""),"TATA POWER SOLAR SYSTEMS LTD")</f>
        <v>TATA POWER SOLAR SYSTEMS LTD</v>
      </c>
      <c r="H130">
        <f ca="1">IFERROR(__xludf.DUMMYFUNCTION("""COMPUTED_VALUE"""),20)</f>
        <v>20</v>
      </c>
      <c r="I130" s="4">
        <f ca="1">IFERROR(__xludf.DUMMYFUNCTION("""COMPUTED_VALUE"""),43172)</f>
        <v>43172</v>
      </c>
      <c r="J130">
        <f ca="1">IFERROR(__xludf.DUMMYFUNCTION("""COMPUTED_VALUE"""),3)</f>
        <v>3</v>
      </c>
      <c r="K130">
        <f ca="1">IFERROR(__xludf.DUMMYFUNCTION("""COMPUTED_VALUE"""),1145914016566)</f>
        <v>1145914016566</v>
      </c>
      <c r="L130" t="str">
        <f ca="1">IFERROR(__xludf.DUMMYFUNCTION("""COMPUTED_VALUE"""),"AYUR")</f>
        <v>AYUR</v>
      </c>
      <c r="M130" t="str">
        <f ca="1">IFERROR(__xludf.DUMMYFUNCTION("""COMPUTED_VALUE"""),"I Accept")</f>
        <v>I Accept</v>
      </c>
      <c r="N130" s="4">
        <f ca="1">IFERROR(__xludf.DUMMYFUNCTION("""COMPUTED_VALUE"""),43153)</f>
        <v>43153</v>
      </c>
      <c r="O130" s="4">
        <f ca="1">IFERROR(__xludf.DUMMYFUNCTION("""COMPUTED_VALUE"""),43153)</f>
        <v>43153</v>
      </c>
      <c r="P130">
        <f ca="1">IFERROR(__xludf.DUMMYFUNCTION("""COMPUTED_VALUE"""),3)</f>
        <v>3</v>
      </c>
      <c r="Q130" t="str">
        <f ca="1">IFERROR(__xludf.DUMMYFUNCTION("""COMPUTED_VALUE"""),"alexmk@yahoo.com")</f>
        <v>alexmk@yahoo.com</v>
      </c>
      <c r="R130" s="2" t="s">
        <v>2096</v>
      </c>
    </row>
    <row r="131" spans="1:18" ht="13" x14ac:dyDescent="0.15">
      <c r="A131" s="3">
        <f ca="1">IFERROR(__xludf.DUMMYFUNCTION("""COMPUTED_VALUE"""),43172.5269499537)</f>
        <v>43172.526949953703</v>
      </c>
      <c r="B131" t="str">
        <f ca="1">IFERROR(__xludf.DUMMYFUNCTION("""COMPUTED_VALUE"""),"igridsystems@gmail.com")</f>
        <v>igridsystems@gmail.com</v>
      </c>
      <c r="C131">
        <f ca="1">IFERROR(__xludf.DUMMYFUNCTION("""COMPUTED_VALUE"""),302)</f>
        <v>302</v>
      </c>
      <c r="D131" t="str">
        <f ca="1">IFERROR(__xludf.DUMMYFUNCTION("""COMPUTED_VALUE"""),"Dinesh Babu")</f>
        <v>Dinesh Babu</v>
      </c>
      <c r="E131">
        <f ca="1">IFERROR(__xludf.DUMMYFUNCTION("""COMPUTED_VALUE"""),9633222494)</f>
        <v>9633222494</v>
      </c>
      <c r="F131" t="str">
        <f ca="1">IFERROR(__xludf.DUMMYFUNCTION("""COMPUTED_VALUE"""),"Thrissur")</f>
        <v>Thrissur</v>
      </c>
      <c r="G131" t="str">
        <f ca="1">IFERROR(__xludf.DUMMYFUNCTION("""COMPUTED_VALUE"""),"RENERGY SYSTEMS INDIA Pvt.Ltd ")</f>
        <v xml:space="preserve">RENERGY SYSTEMS INDIA Pvt.Ltd </v>
      </c>
      <c r="H131">
        <f ca="1">IFERROR(__xludf.DUMMYFUNCTION("""COMPUTED_VALUE"""),38)</f>
        <v>38</v>
      </c>
      <c r="I131" s="4">
        <f ca="1">IFERROR(__xludf.DUMMYFUNCTION("""COMPUTED_VALUE"""),43172)</f>
        <v>43172</v>
      </c>
      <c r="J131">
        <f ca="1">IFERROR(__xludf.DUMMYFUNCTION("""COMPUTED_VALUE"""),5)</f>
        <v>5</v>
      </c>
      <c r="K131">
        <f ca="1">IFERROR(__xludf.DUMMYFUNCTION("""COMPUTED_VALUE"""),1156513028507)</f>
        <v>1156513028507</v>
      </c>
      <c r="L131" t="str">
        <f ca="1">IFERROR(__xludf.DUMMYFUNCTION("""COMPUTED_VALUE"""),"5651")</f>
        <v>5651</v>
      </c>
      <c r="M131" t="str">
        <f ca="1">IFERROR(__xludf.DUMMYFUNCTION("""COMPUTED_VALUE"""),"I Accept")</f>
        <v>I Accept</v>
      </c>
      <c r="N131" s="4">
        <f ca="1">IFERROR(__xludf.DUMMYFUNCTION("""COMPUTED_VALUE"""),43168)</f>
        <v>43168</v>
      </c>
      <c r="O131" s="4">
        <f ca="1">IFERROR(__xludf.DUMMYFUNCTION("""COMPUTED_VALUE"""),43168)</f>
        <v>43168</v>
      </c>
      <c r="P131">
        <f ca="1">IFERROR(__xludf.DUMMYFUNCTION("""COMPUTED_VALUE"""),5)</f>
        <v>5</v>
      </c>
      <c r="Q131" t="str">
        <f ca="1">IFERROR(__xludf.DUMMYFUNCTION("""COMPUTED_VALUE"""),"igridsystems@gmail.com")</f>
        <v>igridsystems@gmail.com</v>
      </c>
      <c r="R131" s="2" t="s">
        <v>2108</v>
      </c>
    </row>
    <row r="132" spans="1:18" ht="13" x14ac:dyDescent="0.15">
      <c r="A132" s="3">
        <f ca="1">IFERROR(__xludf.DUMMYFUNCTION("""COMPUTED_VALUE"""),43172.652921412)</f>
        <v>43172.652921412002</v>
      </c>
      <c r="B132" t="str">
        <f ca="1">IFERROR(__xludf.DUMMYFUNCTION("""COMPUTED_VALUE"""),"solarconnect2018@gmail.com")</f>
        <v>solarconnect2018@gmail.com</v>
      </c>
      <c r="C132">
        <f ca="1">IFERROR(__xludf.DUMMYFUNCTION("""COMPUTED_VALUE"""),354)</f>
        <v>354</v>
      </c>
      <c r="D132" t="str">
        <f ca="1">IFERROR(__xludf.DUMMYFUNCTION("""COMPUTED_VALUE"""),"R DIVAKARAN")</f>
        <v>R DIVAKARAN</v>
      </c>
      <c r="E132">
        <f ca="1">IFERROR(__xludf.DUMMYFUNCTION("""COMPUTED_VALUE"""),9400650130)</f>
        <v>9400650130</v>
      </c>
      <c r="F132" t="str">
        <f ca="1">IFERROR(__xludf.DUMMYFUNCTION("""COMPUTED_VALUE"""),"Thiruvananthapuram")</f>
        <v>Thiruvananthapuram</v>
      </c>
      <c r="G132" t="str">
        <f ca="1">IFERROR(__xludf.DUMMYFUNCTION("""COMPUTED_VALUE"""),"SPECTRUM TECHNO PRODUCTS")</f>
        <v>SPECTRUM TECHNO PRODUCTS</v>
      </c>
      <c r="H132">
        <f ca="1">IFERROR(__xludf.DUMMYFUNCTION("""COMPUTED_VALUE"""),66)</f>
        <v>66</v>
      </c>
      <c r="I132" s="4">
        <f ca="1">IFERROR(__xludf.DUMMYFUNCTION("""COMPUTED_VALUE"""),43172)</f>
        <v>43172</v>
      </c>
      <c r="J132">
        <f ca="1">IFERROR(__xludf.DUMMYFUNCTION("""COMPUTED_VALUE"""),3)</f>
        <v>3</v>
      </c>
      <c r="K132">
        <f ca="1">IFERROR(__xludf.DUMMYFUNCTION("""COMPUTED_VALUE"""),1145436001043)</f>
        <v>1145436001043</v>
      </c>
      <c r="L132" t="str">
        <f ca="1">IFERROR(__xludf.DUMMYFUNCTION("""COMPUTED_VALUE"""),"NEMOM")</f>
        <v>NEMOM</v>
      </c>
      <c r="M132" t="str">
        <f ca="1">IFERROR(__xludf.DUMMYFUNCTION("""COMPUTED_VALUE"""),"I Accept")</f>
        <v>I Accept</v>
      </c>
      <c r="N132" s="4">
        <f ca="1">IFERROR(__xludf.DUMMYFUNCTION("""COMPUTED_VALUE"""),43167)</f>
        <v>43167</v>
      </c>
      <c r="O132" s="4">
        <f ca="1">IFERROR(__xludf.DUMMYFUNCTION("""COMPUTED_VALUE"""),43167)</f>
        <v>43167</v>
      </c>
      <c r="P132">
        <f ca="1">IFERROR(__xludf.DUMMYFUNCTION("""COMPUTED_VALUE"""),3)</f>
        <v>3</v>
      </c>
      <c r="Q132" t="str">
        <f ca="1">IFERROR(__xludf.DUMMYFUNCTION("""COMPUTED_VALUE"""),"solarconnect2018@gmail.com")</f>
        <v>solarconnect2018@gmail.com</v>
      </c>
      <c r="R132" s="2" t="s">
        <v>2123</v>
      </c>
    </row>
    <row r="133" spans="1:18" ht="13" x14ac:dyDescent="0.15">
      <c r="A133" s="3">
        <f ca="1">IFERROR(__xludf.DUMMYFUNCTION("""COMPUTED_VALUE"""),43172.6568319907)</f>
        <v>43172.656831990702</v>
      </c>
      <c r="B133" t="str">
        <f ca="1">IFERROR(__xludf.DUMMYFUNCTION("""COMPUTED_VALUE"""),"solarconnect2018@gmail.com")</f>
        <v>solarconnect2018@gmail.com</v>
      </c>
      <c r="C133">
        <f ca="1">IFERROR(__xludf.DUMMYFUNCTION("""COMPUTED_VALUE"""),433)</f>
        <v>433</v>
      </c>
      <c r="D133" t="str">
        <f ca="1">IFERROR(__xludf.DUMMYFUNCTION("""COMPUTED_VALUE"""),"SREELAKSHMI NAMBIAR")</f>
        <v>SREELAKSHMI NAMBIAR</v>
      </c>
      <c r="E133">
        <f ca="1">IFERROR(__xludf.DUMMYFUNCTION("""COMPUTED_VALUE"""),9072355477)</f>
        <v>9072355477</v>
      </c>
      <c r="F133" t="str">
        <f ca="1">IFERROR(__xludf.DUMMYFUNCTION("""COMPUTED_VALUE"""),"Kannur")</f>
        <v>Kannur</v>
      </c>
      <c r="G133" t="str">
        <f ca="1">IFERROR(__xludf.DUMMYFUNCTION("""COMPUTED_VALUE"""),"SPECTRUM TECHNO PRODUCTS")</f>
        <v>SPECTRUM TECHNO PRODUCTS</v>
      </c>
      <c r="H133">
        <f ca="1">IFERROR(__xludf.DUMMYFUNCTION("""COMPUTED_VALUE"""),66)</f>
        <v>66</v>
      </c>
      <c r="I133" s="4">
        <f ca="1">IFERROR(__xludf.DUMMYFUNCTION("""COMPUTED_VALUE"""),43172)</f>
        <v>43172</v>
      </c>
      <c r="J133">
        <f ca="1">IFERROR(__xludf.DUMMYFUNCTION("""COMPUTED_VALUE"""),5)</f>
        <v>5</v>
      </c>
      <c r="K133">
        <f ca="1">IFERROR(__xludf.DUMMYFUNCTION("""COMPUTED_VALUE"""),1166707011457)</f>
        <v>1166707011457</v>
      </c>
      <c r="L133" t="str">
        <f ca="1">IFERROR(__xludf.DUMMYFUNCTION("""COMPUTED_VALUE"""),"KODIYERI")</f>
        <v>KODIYERI</v>
      </c>
      <c r="M133" t="str">
        <f ca="1">IFERROR(__xludf.DUMMYFUNCTION("""COMPUTED_VALUE"""),"I Accept")</f>
        <v>I Accept</v>
      </c>
      <c r="N133" s="4">
        <f ca="1">IFERROR(__xludf.DUMMYFUNCTION("""COMPUTED_VALUE"""),43171)</f>
        <v>43171</v>
      </c>
      <c r="O133" s="4">
        <f ca="1">IFERROR(__xludf.DUMMYFUNCTION("""COMPUTED_VALUE"""),43171)</f>
        <v>43171</v>
      </c>
      <c r="P133">
        <f ca="1">IFERROR(__xludf.DUMMYFUNCTION("""COMPUTED_VALUE"""),5)</f>
        <v>5</v>
      </c>
      <c r="Q133" t="str">
        <f ca="1">IFERROR(__xludf.DUMMYFUNCTION("""COMPUTED_VALUE"""),"solarconnect2018@gmail.com")</f>
        <v>solarconnect2018@gmail.com</v>
      </c>
      <c r="R133" s="2" t="s">
        <v>2131</v>
      </c>
    </row>
    <row r="134" spans="1:18" ht="13" x14ac:dyDescent="0.15">
      <c r="A134" s="3">
        <f ca="1">IFERROR(__xludf.DUMMYFUNCTION("""COMPUTED_VALUE"""),43172.6595229166)</f>
        <v>43172.659522916598</v>
      </c>
      <c r="B134" t="str">
        <f ca="1">IFERROR(__xludf.DUMMYFUNCTION("""COMPUTED_VALUE"""),"mtrschool@gmail.com")</f>
        <v>mtrschool@gmail.com</v>
      </c>
      <c r="C134">
        <f ca="1">IFERROR(__xludf.DUMMYFUNCTION("""COMPUTED_VALUE"""),306)</f>
        <v>306</v>
      </c>
      <c r="D134" t="str">
        <f ca="1">IFERROR(__xludf.DUMMYFUNCTION("""COMPUTED_VALUE"""),"Mar Thoma Residential School, 174, THIRUVALLA to Manappally Rd, Kuttappuzha R S P O, THIRUVALLA, Pathanamthitta")</f>
        <v>Mar Thoma Residential School, 174, THIRUVALLA to Manappally Rd, Kuttappuzha R S P O, THIRUVALLA, Pathanamthitta</v>
      </c>
      <c r="E134" t="str">
        <f ca="1">IFERROR(__xludf.DUMMYFUNCTION("""COMPUTED_VALUE"""),"")</f>
        <v/>
      </c>
      <c r="F134" t="str">
        <f ca="1">IFERROR(__xludf.DUMMYFUNCTION("""COMPUTED_VALUE"""),"Pathanamthitta")</f>
        <v>Pathanamthitta</v>
      </c>
      <c r="G134" t="str">
        <f ca="1">IFERROR(__xludf.DUMMYFUNCTION("""COMPUTED_VALUE"""),"ORB ENERGY PVT LTD")</f>
        <v>ORB ENERGY PVT LTD</v>
      </c>
      <c r="H134">
        <f ca="1">IFERROR(__xludf.DUMMYFUNCTION("""COMPUTED_VALUE"""),5)</f>
        <v>5</v>
      </c>
      <c r="I134" s="4">
        <f ca="1">IFERROR(__xludf.DUMMYFUNCTION("""COMPUTED_VALUE"""),43172)</f>
        <v>43172</v>
      </c>
      <c r="J134">
        <f ca="1">IFERROR(__xludf.DUMMYFUNCTION("""COMPUTED_VALUE"""),20)</f>
        <v>20</v>
      </c>
      <c r="K134">
        <f ca="1">IFERROR(__xludf.DUMMYFUNCTION("""COMPUTED_VALUE"""),1346170034283)</f>
        <v>1346170034283</v>
      </c>
      <c r="L134" t="str">
        <f ca="1">IFERROR(__xludf.DUMMYFUNCTION("""COMPUTED_VALUE"""),"THIRUVALLA")</f>
        <v>THIRUVALLA</v>
      </c>
      <c r="M134" t="str">
        <f ca="1">IFERROR(__xludf.DUMMYFUNCTION("""COMPUTED_VALUE"""),"I Accept")</f>
        <v>I Accept</v>
      </c>
      <c r="N134" s="4">
        <f ca="1">IFERROR(__xludf.DUMMYFUNCTION("""COMPUTED_VALUE"""),43172)</f>
        <v>43172</v>
      </c>
      <c r="O134" s="4">
        <f ca="1">IFERROR(__xludf.DUMMYFUNCTION("""COMPUTED_VALUE"""),43172)</f>
        <v>43172</v>
      </c>
      <c r="P134">
        <f ca="1">IFERROR(__xludf.DUMMYFUNCTION("""COMPUTED_VALUE"""),20)</f>
        <v>20</v>
      </c>
      <c r="Q134" t="str">
        <f ca="1">IFERROR(__xludf.DUMMYFUNCTION("""COMPUTED_VALUE"""),"abyrel@gmail.com")</f>
        <v>abyrel@gmail.com</v>
      </c>
      <c r="R134" s="2" t="s">
        <v>2143</v>
      </c>
    </row>
    <row r="135" spans="1:18" ht="13" x14ac:dyDescent="0.15">
      <c r="A135" s="3">
        <f ca="1">IFERROR(__xludf.DUMMYFUNCTION("""COMPUTED_VALUE"""),43172.6632781597)</f>
        <v>43172.6632781597</v>
      </c>
      <c r="B135" t="str">
        <f ca="1">IFERROR(__xludf.DUMMYFUNCTION("""COMPUTED_VALUE"""),"solarconnect2018@gmail.com")</f>
        <v>solarconnect2018@gmail.com</v>
      </c>
      <c r="C135">
        <f ca="1">IFERROR(__xludf.DUMMYFUNCTION("""COMPUTED_VALUE"""),290)</f>
        <v>290</v>
      </c>
      <c r="D135" t="str">
        <f ca="1">IFERROR(__xludf.DUMMYFUNCTION("""COMPUTED_VALUE"""),"ZAKEER N P")</f>
        <v>ZAKEER N P</v>
      </c>
      <c r="E135">
        <f ca="1">IFERROR(__xludf.DUMMYFUNCTION("""COMPUTED_VALUE"""),9961228888)</f>
        <v>9961228888</v>
      </c>
      <c r="F135" t="str">
        <f ca="1">IFERROR(__xludf.DUMMYFUNCTION("""COMPUTED_VALUE"""),"Kozhikode")</f>
        <v>Kozhikode</v>
      </c>
      <c r="G135" t="str">
        <f ca="1">IFERROR(__xludf.DUMMYFUNCTION("""COMPUTED_VALUE"""),"SPECTRUM TECHNO PRODUCTS")</f>
        <v>SPECTRUM TECHNO PRODUCTS</v>
      </c>
      <c r="H135">
        <f ca="1">IFERROR(__xludf.DUMMYFUNCTION("""COMPUTED_VALUE"""),66)</f>
        <v>66</v>
      </c>
      <c r="I135" s="4">
        <f ca="1">IFERROR(__xludf.DUMMYFUNCTION("""COMPUTED_VALUE"""),43172)</f>
        <v>43172</v>
      </c>
      <c r="J135">
        <f ca="1">IFERROR(__xludf.DUMMYFUNCTION("""COMPUTED_VALUE"""),10)</f>
        <v>10</v>
      </c>
      <c r="K135">
        <f ca="1">IFERROR(__xludf.DUMMYFUNCTION("""COMPUTED_VALUE"""),4457)</f>
        <v>4457</v>
      </c>
      <c r="L135" t="str">
        <f ca="1">IFERROR(__xludf.DUMMYFUNCTION("""COMPUTED_VALUE"""),"FEROKE")</f>
        <v>FEROKE</v>
      </c>
      <c r="M135" t="str">
        <f ca="1">IFERROR(__xludf.DUMMYFUNCTION("""COMPUTED_VALUE"""),"I Accept")</f>
        <v>I Accept</v>
      </c>
      <c r="N135" s="4">
        <f ca="1">IFERROR(__xludf.DUMMYFUNCTION("""COMPUTED_VALUE"""),43162)</f>
        <v>43162</v>
      </c>
      <c r="O135" s="4">
        <f ca="1">IFERROR(__xludf.DUMMYFUNCTION("""COMPUTED_VALUE"""),43162)</f>
        <v>43162</v>
      </c>
      <c r="P135">
        <f ca="1">IFERROR(__xludf.DUMMYFUNCTION("""COMPUTED_VALUE"""),10)</f>
        <v>10</v>
      </c>
      <c r="Q135" t="str">
        <f ca="1">IFERROR(__xludf.DUMMYFUNCTION("""COMPUTED_VALUE"""),"solarconnect2018@gmail.com")</f>
        <v>solarconnect2018@gmail.com</v>
      </c>
      <c r="R135" s="2" t="s">
        <v>2159</v>
      </c>
    </row>
    <row r="136" spans="1:18" ht="13" x14ac:dyDescent="0.15">
      <c r="A136" s="3">
        <f ca="1">IFERROR(__xludf.DUMMYFUNCTION("""COMPUTED_VALUE"""),43172.6858890393)</f>
        <v>43172.685889039298</v>
      </c>
      <c r="B136" t="str">
        <f ca="1">IFERROR(__xludf.DUMMYFUNCTION("""COMPUTED_VALUE"""),"connectdsk@gmail.com")</f>
        <v>connectdsk@gmail.com</v>
      </c>
      <c r="C136">
        <f ca="1">IFERROR(__xludf.DUMMYFUNCTION("""COMPUTED_VALUE"""),303)</f>
        <v>303</v>
      </c>
      <c r="D136" t="str">
        <f ca="1">IFERROR(__xludf.DUMMYFUNCTION("""COMPUTED_VALUE"""),"Dr. Vinu C George")</f>
        <v>Dr. Vinu C George</v>
      </c>
      <c r="E136">
        <f ca="1">IFERROR(__xludf.DUMMYFUNCTION("""COMPUTED_VALUE"""),8547564126)</f>
        <v>8547564126</v>
      </c>
      <c r="F136" t="str">
        <f ca="1">IFERROR(__xludf.DUMMYFUNCTION("""COMPUTED_VALUE"""),"Kollam")</f>
        <v>Kollam</v>
      </c>
      <c r="G136" t="str">
        <f ca="1">IFERROR(__xludf.DUMMYFUNCTION("""COMPUTED_VALUE"""),"FERT")</f>
        <v>FERT</v>
      </c>
      <c r="H136">
        <f ca="1">IFERROR(__xludf.DUMMYFUNCTION("""COMPUTED_VALUE"""),27)</f>
        <v>27</v>
      </c>
      <c r="I136" s="4">
        <f ca="1">IFERROR(__xludf.DUMMYFUNCTION("""COMPUTED_VALUE"""),43165)</f>
        <v>43165</v>
      </c>
      <c r="J136">
        <f ca="1">IFERROR(__xludf.DUMMYFUNCTION("""COMPUTED_VALUE"""),5)</f>
        <v>5</v>
      </c>
      <c r="K136">
        <f ca="1">IFERROR(__xludf.DUMMYFUNCTION("""COMPUTED_VALUE"""),1145660022405)</f>
        <v>1145660022405</v>
      </c>
      <c r="L136" t="str">
        <f ca="1">IFERROR(__xludf.DUMMYFUNCTION("""COMPUTED_VALUE"""),"Pallimukku[4566]")</f>
        <v>Pallimukku[4566]</v>
      </c>
      <c r="M136" t="str">
        <f ca="1">IFERROR(__xludf.DUMMYFUNCTION("""COMPUTED_VALUE"""),"I Accept")</f>
        <v>I Accept</v>
      </c>
      <c r="N136" s="4">
        <f ca="1">IFERROR(__xludf.DUMMYFUNCTION("""COMPUTED_VALUE"""),43172)</f>
        <v>43172</v>
      </c>
      <c r="O136" s="4">
        <f ca="1">IFERROR(__xludf.DUMMYFUNCTION("""COMPUTED_VALUE"""),43172)</f>
        <v>43172</v>
      </c>
      <c r="P136">
        <f ca="1">IFERROR(__xludf.DUMMYFUNCTION("""COMPUTED_VALUE"""),5)</f>
        <v>5</v>
      </c>
      <c r="Q136" t="str">
        <f ca="1">IFERROR(__xludf.DUMMYFUNCTION("""COMPUTED_VALUE"""),"connectdsk@gmail.com")</f>
        <v>connectdsk@gmail.com</v>
      </c>
      <c r="R136" s="2" t="s">
        <v>2169</v>
      </c>
    </row>
    <row r="137" spans="1:18" ht="13" x14ac:dyDescent="0.15">
      <c r="A137" s="3">
        <f ca="1">IFERROR(__xludf.DUMMYFUNCTION("""COMPUTED_VALUE"""),43172.6893779745)</f>
        <v>43172.689377974501</v>
      </c>
      <c r="B137" t="str">
        <f ca="1">IFERROR(__xludf.DUMMYFUNCTION("""COMPUTED_VALUE"""),"connectdsk@gmail.com")</f>
        <v>connectdsk@gmail.com</v>
      </c>
      <c r="C137">
        <f ca="1">IFERROR(__xludf.DUMMYFUNCTION("""COMPUTED_VALUE"""),293)</f>
        <v>293</v>
      </c>
      <c r="D137" t="str">
        <f ca="1">IFERROR(__xludf.DUMMYFUNCTION("""COMPUTED_VALUE"""),"K R Manilal")</f>
        <v>K R Manilal</v>
      </c>
      <c r="E137">
        <f ca="1">IFERROR(__xludf.DUMMYFUNCTION("""COMPUTED_VALUE"""),8547564126)</f>
        <v>8547564126</v>
      </c>
      <c r="F137" t="str">
        <f ca="1">IFERROR(__xludf.DUMMYFUNCTION("""COMPUTED_VALUE"""),"Kollam")</f>
        <v>Kollam</v>
      </c>
      <c r="G137" t="str">
        <f ca="1">IFERROR(__xludf.DUMMYFUNCTION("""COMPUTED_VALUE"""),"FERT")</f>
        <v>FERT</v>
      </c>
      <c r="H137">
        <f ca="1">IFERROR(__xludf.DUMMYFUNCTION("""COMPUTED_VALUE"""),27)</f>
        <v>27</v>
      </c>
      <c r="I137" s="4">
        <f ca="1">IFERROR(__xludf.DUMMYFUNCTION("""COMPUTED_VALUE"""),43165)</f>
        <v>43165</v>
      </c>
      <c r="J137">
        <f ca="1">IFERROR(__xludf.DUMMYFUNCTION("""COMPUTED_VALUE"""),3)</f>
        <v>3</v>
      </c>
      <c r="K137">
        <f ca="1">IFERROR(__xludf.DUMMYFUNCTION("""COMPUTED_VALUE"""),1145665010717)</f>
        <v>1145665010717</v>
      </c>
      <c r="L137" t="str">
        <f ca="1">IFERROR(__xludf.DUMMYFUNCTION("""COMPUTED_VALUE"""),"Pallimukku [4566]")</f>
        <v>Pallimukku [4566]</v>
      </c>
      <c r="M137" t="str">
        <f ca="1">IFERROR(__xludf.DUMMYFUNCTION("""COMPUTED_VALUE"""),"I Accept")</f>
        <v>I Accept</v>
      </c>
      <c r="N137" s="4">
        <f ca="1">IFERROR(__xludf.DUMMYFUNCTION("""COMPUTED_VALUE"""),43172)</f>
        <v>43172</v>
      </c>
      <c r="O137" s="4">
        <f ca="1">IFERROR(__xludf.DUMMYFUNCTION("""COMPUTED_VALUE"""),43172)</f>
        <v>43172</v>
      </c>
      <c r="P137">
        <f ca="1">IFERROR(__xludf.DUMMYFUNCTION("""COMPUTED_VALUE"""),3)</f>
        <v>3</v>
      </c>
      <c r="Q137" t="str">
        <f ca="1">IFERROR(__xludf.DUMMYFUNCTION("""COMPUTED_VALUE"""),"connectdsk@gmail.com")</f>
        <v>connectdsk@gmail.com</v>
      </c>
      <c r="R137" s="2" t="s">
        <v>2179</v>
      </c>
    </row>
    <row r="138" spans="1:18" ht="13" x14ac:dyDescent="0.15">
      <c r="A138" s="3">
        <f ca="1">IFERROR(__xludf.DUMMYFUNCTION("""COMPUTED_VALUE"""),43172.6956443287)</f>
        <v>43172.695644328698</v>
      </c>
      <c r="B138" t="str">
        <f ca="1">IFERROR(__xludf.DUMMYFUNCTION("""COMPUTED_VALUE"""),"connectdsk@gmail.com")</f>
        <v>connectdsk@gmail.com</v>
      </c>
      <c r="C138">
        <f ca="1">IFERROR(__xludf.DUMMYFUNCTION("""COMPUTED_VALUE"""),297)</f>
        <v>297</v>
      </c>
      <c r="D138" t="str">
        <f ca="1">IFERROR(__xludf.DUMMYFUNCTION("""COMPUTED_VALUE"""),"Manickalal R")</f>
        <v>Manickalal R</v>
      </c>
      <c r="E138">
        <f ca="1">IFERROR(__xludf.DUMMYFUNCTION("""COMPUTED_VALUE"""),8547564126)</f>
        <v>8547564126</v>
      </c>
      <c r="F138" t="str">
        <f ca="1">IFERROR(__xludf.DUMMYFUNCTION("""COMPUTED_VALUE"""),"Kollam")</f>
        <v>Kollam</v>
      </c>
      <c r="G138" t="str">
        <f ca="1">IFERROR(__xludf.DUMMYFUNCTION("""COMPUTED_VALUE"""),"FERT")</f>
        <v>FERT</v>
      </c>
      <c r="H138">
        <f ca="1">IFERROR(__xludf.DUMMYFUNCTION("""COMPUTED_VALUE"""),27)</f>
        <v>27</v>
      </c>
      <c r="I138" s="4">
        <f ca="1">IFERROR(__xludf.DUMMYFUNCTION("""COMPUTED_VALUE"""),43165)</f>
        <v>43165</v>
      </c>
      <c r="J138">
        <f ca="1">IFERROR(__xludf.DUMMYFUNCTION("""COMPUTED_VALUE"""),3)</f>
        <v>3</v>
      </c>
      <c r="K138">
        <f ca="1">IFERROR(__xludf.DUMMYFUNCTION("""COMPUTED_VALUE"""),1145663025942)</f>
        <v>1145663025942</v>
      </c>
      <c r="L138" t="str">
        <f ca="1">IFERROR(__xludf.DUMMYFUNCTION("""COMPUTED_VALUE"""),"Pallimukku [4566]")</f>
        <v>Pallimukku [4566]</v>
      </c>
      <c r="M138" t="str">
        <f ca="1">IFERROR(__xludf.DUMMYFUNCTION("""COMPUTED_VALUE"""),"I Accept")</f>
        <v>I Accept</v>
      </c>
      <c r="N138" s="4">
        <f ca="1">IFERROR(__xludf.DUMMYFUNCTION("""COMPUTED_VALUE"""),43172)</f>
        <v>43172</v>
      </c>
      <c r="O138" s="4">
        <f ca="1">IFERROR(__xludf.DUMMYFUNCTION("""COMPUTED_VALUE"""),43172)</f>
        <v>43172</v>
      </c>
      <c r="P138">
        <f ca="1">IFERROR(__xludf.DUMMYFUNCTION("""COMPUTED_VALUE"""),3)</f>
        <v>3</v>
      </c>
      <c r="Q138" t="str">
        <f ca="1">IFERROR(__xludf.DUMMYFUNCTION("""COMPUTED_VALUE"""),"connectdsk@gmail.com")</f>
        <v>connectdsk@gmail.com</v>
      </c>
      <c r="R138" s="2" t="s">
        <v>2185</v>
      </c>
    </row>
    <row r="139" spans="1:18" ht="13" x14ac:dyDescent="0.15">
      <c r="A139" s="3">
        <f ca="1">IFERROR(__xludf.DUMMYFUNCTION("""COMPUTED_VALUE"""),43173.3880207638)</f>
        <v>43173.388020763799</v>
      </c>
      <c r="B139" t="str">
        <f ca="1">IFERROR(__xludf.DUMMYFUNCTION("""COMPUTED_VALUE"""),"johnsonantony1818@gmail.com")</f>
        <v>johnsonantony1818@gmail.com</v>
      </c>
      <c r="C139">
        <f ca="1">IFERROR(__xludf.DUMMYFUNCTION("""COMPUTED_VALUE"""),503)</f>
        <v>503</v>
      </c>
      <c r="D139" t="str">
        <f ca="1">IFERROR(__xludf.DUMMYFUNCTION("""COMPUTED_VALUE"""),"Johnson Antony")</f>
        <v>Johnson Antony</v>
      </c>
      <c r="E139">
        <f ca="1">IFERROR(__xludf.DUMMYFUNCTION("""COMPUTED_VALUE"""),7510576407)</f>
        <v>7510576407</v>
      </c>
      <c r="F139" t="str">
        <f ca="1">IFERROR(__xludf.DUMMYFUNCTION("""COMPUTED_VALUE"""),"Kottayam")</f>
        <v>Kottayam</v>
      </c>
      <c r="G139" t="str">
        <f ca="1">IFERROR(__xludf.DUMMYFUNCTION("""COMPUTED_VALUE"""),"Reecco Energy India Pvt Ltd")</f>
        <v>Reecco Energy India Pvt Ltd</v>
      </c>
      <c r="H139">
        <f ca="1">IFERROR(__xludf.DUMMYFUNCTION("""COMPUTED_VALUE"""),47)</f>
        <v>47</v>
      </c>
      <c r="I139" s="4">
        <f ca="1">IFERROR(__xludf.DUMMYFUNCTION("""COMPUTED_VALUE"""),43172)</f>
        <v>43172</v>
      </c>
      <c r="J139">
        <f ca="1">IFERROR(__xludf.DUMMYFUNCTION("""COMPUTED_VALUE"""),5)</f>
        <v>5</v>
      </c>
      <c r="K139">
        <f ca="1">IFERROR(__xludf.DUMMYFUNCTION("""COMPUTED_VALUE"""),115628501637)</f>
        <v>115628501637</v>
      </c>
      <c r="L139" t="str">
        <f ca="1">IFERROR(__xludf.DUMMYFUNCTION("""COMPUTED_VALUE"""),"Marangattupilly")</f>
        <v>Marangattupilly</v>
      </c>
      <c r="M139" t="str">
        <f ca="1">IFERROR(__xludf.DUMMYFUNCTION("""COMPUTED_VALUE"""),"I Accept")</f>
        <v>I Accept</v>
      </c>
      <c r="N139" s="4">
        <f ca="1">IFERROR(__xludf.DUMMYFUNCTION("""COMPUTED_VALUE"""),43171)</f>
        <v>43171</v>
      </c>
      <c r="O139" s="4">
        <f ca="1">IFERROR(__xludf.DUMMYFUNCTION("""COMPUTED_VALUE"""),43171)</f>
        <v>43171</v>
      </c>
      <c r="P139">
        <f ca="1">IFERROR(__xludf.DUMMYFUNCTION("""COMPUTED_VALUE"""),5)</f>
        <v>5</v>
      </c>
      <c r="Q139" t="str">
        <f ca="1">IFERROR(__xludf.DUMMYFUNCTION("""COMPUTED_VALUE"""),"johnsonantony1818@gmail.com")</f>
        <v>johnsonantony1818@gmail.com</v>
      </c>
      <c r="R139" s="2" t="s">
        <v>2208</v>
      </c>
    </row>
    <row r="140" spans="1:18" ht="13" x14ac:dyDescent="0.15">
      <c r="A140" s="3">
        <f ca="1">IFERROR(__xludf.DUMMYFUNCTION("""COMPUTED_VALUE"""),43173.4341411689)</f>
        <v>43173.434141168902</v>
      </c>
      <c r="B140" t="str">
        <f ca="1">IFERROR(__xludf.DUMMYFUNCTION("""COMPUTED_VALUE"""),"mathachanvadana@gmail.com")</f>
        <v>mathachanvadana@gmail.com</v>
      </c>
      <c r="C140">
        <f ca="1">IFERROR(__xludf.DUMMYFUNCTION("""COMPUTED_VALUE"""),122)</f>
        <v>122</v>
      </c>
      <c r="D140" t="str">
        <f ca="1">IFERROR(__xludf.DUMMYFUNCTION("""COMPUTED_VALUE"""),"MATHACHANVADANA")</f>
        <v>MATHACHANVADANA</v>
      </c>
      <c r="E140">
        <f ca="1">IFERROR(__xludf.DUMMYFUNCTION("""COMPUTED_VALUE"""),9846521952)</f>
        <v>9846521952</v>
      </c>
      <c r="F140" t="str">
        <f ca="1">IFERROR(__xludf.DUMMYFUNCTION("""COMPUTED_VALUE"""),"Kottayam")</f>
        <v>Kottayam</v>
      </c>
      <c r="G140" t="str">
        <f ca="1">IFERROR(__xludf.DUMMYFUNCTION("""COMPUTED_VALUE"""),"Ecomate Energy Solutions")</f>
        <v>Ecomate Energy Solutions</v>
      </c>
      <c r="H140">
        <f ca="1">IFERROR(__xludf.DUMMYFUNCTION("""COMPUTED_VALUE"""),33)</f>
        <v>33</v>
      </c>
      <c r="I140" s="4">
        <f ca="1">IFERROR(__xludf.DUMMYFUNCTION("""COMPUTED_VALUE"""),43135)</f>
        <v>43135</v>
      </c>
      <c r="J140">
        <f ca="1">IFERROR(__xludf.DUMMYFUNCTION("""COMPUTED_VALUE"""),3)</f>
        <v>3</v>
      </c>
      <c r="K140">
        <f ca="1">IFERROR(__xludf.DUMMYFUNCTION("""COMPUTED_VALUE"""),1156256004108)</f>
        <v>1156256004108</v>
      </c>
      <c r="L140" t="str">
        <f ca="1">IFERROR(__xludf.DUMMYFUNCTION("""COMPUTED_VALUE"""),"kidangoor")</f>
        <v>kidangoor</v>
      </c>
      <c r="M140" t="str">
        <f ca="1">IFERROR(__xludf.DUMMYFUNCTION("""COMPUTED_VALUE"""),"I Accept")</f>
        <v>I Accept</v>
      </c>
      <c r="N140" s="4">
        <f ca="1">IFERROR(__xludf.DUMMYFUNCTION("""COMPUTED_VALUE"""),43154)</f>
        <v>43154</v>
      </c>
      <c r="O140" s="4">
        <f ca="1">IFERROR(__xludf.DUMMYFUNCTION("""COMPUTED_VALUE"""),43154)</f>
        <v>43154</v>
      </c>
      <c r="P140">
        <f ca="1">IFERROR(__xludf.DUMMYFUNCTION("""COMPUTED_VALUE"""),3)</f>
        <v>3</v>
      </c>
      <c r="Q140" t="str">
        <f ca="1">IFERROR(__xludf.DUMMYFUNCTION("""COMPUTED_VALUE"""),"mathachanvadana@gmail.com")</f>
        <v>mathachanvadana@gmail.com</v>
      </c>
      <c r="R140" s="2" t="s">
        <v>2232</v>
      </c>
    </row>
    <row r="141" spans="1:18" ht="13" x14ac:dyDescent="0.15">
      <c r="A141" s="3">
        <f ca="1">IFERROR(__xludf.DUMMYFUNCTION("""COMPUTED_VALUE"""),43173.5063668287)</f>
        <v>43173.506366828697</v>
      </c>
      <c r="B141" t="str">
        <f ca="1">IFERROR(__xludf.DUMMYFUNCTION("""COMPUTED_VALUE"""),"ashraffkk@gmail.com")</f>
        <v>ashraffkk@gmail.com</v>
      </c>
      <c r="C141">
        <f ca="1">IFERROR(__xludf.DUMMYFUNCTION("""COMPUTED_VALUE"""),189)</f>
        <v>189</v>
      </c>
      <c r="D141" t="str">
        <f ca="1">IFERROR(__xludf.DUMMYFUNCTION("""COMPUTED_VALUE"""),"K.K.Ashraf")</f>
        <v>K.K.Ashraf</v>
      </c>
      <c r="E141">
        <f ca="1">IFERROR(__xludf.DUMMYFUNCTION("""COMPUTED_VALUE"""),9961302318)</f>
        <v>9961302318</v>
      </c>
      <c r="F141" t="str">
        <f ca="1">IFERROR(__xludf.DUMMYFUNCTION("""COMPUTED_VALUE"""),"Ernakulam")</f>
        <v>Ernakulam</v>
      </c>
      <c r="G141" t="str">
        <f ca="1">IFERROR(__xludf.DUMMYFUNCTION("""COMPUTED_VALUE"""),"Kraftwork Solar Pvt. Ltd.")</f>
        <v>Kraftwork Solar Pvt. Ltd.</v>
      </c>
      <c r="H141">
        <f ca="1">IFERROR(__xludf.DUMMYFUNCTION("""COMPUTED_VALUE"""),26)</f>
        <v>26</v>
      </c>
      <c r="I141" s="4">
        <f ca="1">IFERROR(__xludf.DUMMYFUNCTION("""COMPUTED_VALUE"""),43148)</f>
        <v>43148</v>
      </c>
      <c r="J141">
        <f ca="1">IFERROR(__xludf.DUMMYFUNCTION("""COMPUTED_VALUE"""),3)</f>
        <v>3</v>
      </c>
      <c r="K141">
        <f ca="1">IFERROR(__xludf.DUMMYFUNCTION("""COMPUTED_VALUE"""),1157317010083)</f>
        <v>1157317010083</v>
      </c>
      <c r="L141" t="str">
        <f ca="1">IFERROR(__xludf.DUMMYFUNCTION("""COMPUTED_VALUE"""),"Thrikkakkara West")</f>
        <v>Thrikkakkara West</v>
      </c>
      <c r="M141" t="str">
        <f ca="1">IFERROR(__xludf.DUMMYFUNCTION("""COMPUTED_VALUE"""),"I Accept")</f>
        <v>I Accept</v>
      </c>
      <c r="N141" s="4">
        <f ca="1">IFERROR(__xludf.DUMMYFUNCTION("""COMPUTED_VALUE"""),43165)</f>
        <v>43165</v>
      </c>
      <c r="O141" s="4">
        <f ca="1">IFERROR(__xludf.DUMMYFUNCTION("""COMPUTED_VALUE"""),43165)</f>
        <v>43165</v>
      </c>
      <c r="P141">
        <f ca="1">IFERROR(__xludf.DUMMYFUNCTION("""COMPUTED_VALUE"""),13)</f>
        <v>13</v>
      </c>
      <c r="Q141" t="str">
        <f ca="1">IFERROR(__xludf.DUMMYFUNCTION("""COMPUTED_VALUE"""),"info@kraftworksolar.com")</f>
        <v>info@kraftworksolar.com</v>
      </c>
      <c r="R141" s="2" t="s">
        <v>2268</v>
      </c>
    </row>
    <row r="142" spans="1:18" ht="13" x14ac:dyDescent="0.15">
      <c r="A142" s="3">
        <f ca="1">IFERROR(__xludf.DUMMYFUNCTION("""COMPUTED_VALUE"""),43173.5314777199)</f>
        <v>43173.531477719902</v>
      </c>
      <c r="B142" t="str">
        <f ca="1">IFERROR(__xludf.DUMMYFUNCTION("""COMPUTED_VALUE"""),"akhilalezz@gmail.com")</f>
        <v>akhilalezz@gmail.com</v>
      </c>
      <c r="C142">
        <f ca="1">IFERROR(__xludf.DUMMYFUNCTION("""COMPUTED_VALUE"""),333)</f>
        <v>333</v>
      </c>
      <c r="D142" t="str">
        <f ca="1">IFERROR(__xludf.DUMMYFUNCTION("""COMPUTED_VALUE"""),"Balakrishnan Nair")</f>
        <v>Balakrishnan Nair</v>
      </c>
      <c r="E142">
        <f ca="1">IFERROR(__xludf.DUMMYFUNCTION("""COMPUTED_VALUE"""),7907009190)</f>
        <v>7907009190</v>
      </c>
      <c r="F142" t="str">
        <f ca="1">IFERROR(__xludf.DUMMYFUNCTION("""COMPUTED_VALUE"""),"Alappuzha")</f>
        <v>Alappuzha</v>
      </c>
      <c r="G142" t="str">
        <f ca="1">IFERROR(__xludf.DUMMYFUNCTION("""COMPUTED_VALUE"""),"Solgen Energy Pvt Ltd")</f>
        <v>Solgen Energy Pvt Ltd</v>
      </c>
      <c r="H142">
        <f ca="1">IFERROR(__xludf.DUMMYFUNCTION("""COMPUTED_VALUE"""),42)</f>
        <v>42</v>
      </c>
      <c r="I142" s="4">
        <f ca="1">IFERROR(__xludf.DUMMYFUNCTION("""COMPUTED_VALUE"""),43172)</f>
        <v>43172</v>
      </c>
      <c r="J142">
        <f ca="1">IFERROR(__xludf.DUMMYFUNCTION("""COMPUTED_VALUE"""),5)</f>
        <v>5</v>
      </c>
      <c r="K142">
        <f ca="1">IFERROR(__xludf.DUMMYFUNCTION("""COMPUTED_VALUE"""),1155234001234)</f>
        <v>1155234001234</v>
      </c>
      <c r="L142" t="str">
        <f ca="1">IFERROR(__xludf.DUMMYFUNCTION("""COMPUTED_VALUE"""),"Thattarambalam")</f>
        <v>Thattarambalam</v>
      </c>
      <c r="M142" t="str">
        <f ca="1">IFERROR(__xludf.DUMMYFUNCTION("""COMPUTED_VALUE"""),"I Accept")</f>
        <v>I Accept</v>
      </c>
      <c r="N142" s="4">
        <f ca="1">IFERROR(__xludf.DUMMYFUNCTION("""COMPUTED_VALUE"""),43133)</f>
        <v>43133</v>
      </c>
      <c r="O142" s="4">
        <f ca="1">IFERROR(__xludf.DUMMYFUNCTION("""COMPUTED_VALUE"""),43133)</f>
        <v>43133</v>
      </c>
      <c r="P142">
        <f ca="1">IFERROR(__xludf.DUMMYFUNCTION("""COMPUTED_VALUE"""),5)</f>
        <v>5</v>
      </c>
      <c r="Q142" t="str">
        <f ca="1">IFERROR(__xludf.DUMMYFUNCTION("""COMPUTED_VALUE"""),"akhilalezz@gmail.com")</f>
        <v>akhilalezz@gmail.com</v>
      </c>
      <c r="R142" s="2" t="s">
        <v>2287</v>
      </c>
    </row>
    <row r="143" spans="1:18" ht="13" x14ac:dyDescent="0.15">
      <c r="A143" s="3">
        <f ca="1">IFERROR(__xludf.DUMMYFUNCTION("""COMPUTED_VALUE"""),43173.5379490277)</f>
        <v>43173.537949027697</v>
      </c>
      <c r="B143" t="str">
        <f ca="1">IFERROR(__xludf.DUMMYFUNCTION("""COMPUTED_VALUE"""),"akhilalezz@gmai.com")</f>
        <v>akhilalezz@gmai.com</v>
      </c>
      <c r="C143">
        <f ca="1">IFERROR(__xludf.DUMMYFUNCTION("""COMPUTED_VALUE"""),266)</f>
        <v>266</v>
      </c>
      <c r="D143" t="str">
        <f ca="1">IFERROR(__xludf.DUMMYFUNCTION("""COMPUTED_VALUE"""),"Rajasree S")</f>
        <v>Rajasree S</v>
      </c>
      <c r="E143">
        <f ca="1">IFERROR(__xludf.DUMMYFUNCTION("""COMPUTED_VALUE"""),7907009190)</f>
        <v>7907009190</v>
      </c>
      <c r="F143" t="str">
        <f ca="1">IFERROR(__xludf.DUMMYFUNCTION("""COMPUTED_VALUE"""),"Alappuzha")</f>
        <v>Alappuzha</v>
      </c>
      <c r="G143" t="str">
        <f ca="1">IFERROR(__xludf.DUMMYFUNCTION("""COMPUTED_VALUE"""),"SOLGEN ENERGY PVT LTD")</f>
        <v>SOLGEN ENERGY PVT LTD</v>
      </c>
      <c r="H143">
        <f ca="1">IFERROR(__xludf.DUMMYFUNCTION("""COMPUTED_VALUE"""),42)</f>
        <v>42</v>
      </c>
      <c r="I143" s="4">
        <f ca="1">IFERROR(__xludf.DUMMYFUNCTION("""COMPUTED_VALUE"""),43159)</f>
        <v>43159</v>
      </c>
      <c r="J143">
        <f ca="1">IFERROR(__xludf.DUMMYFUNCTION("""COMPUTED_VALUE"""),2)</f>
        <v>2</v>
      </c>
      <c r="K143">
        <f ca="1">IFERROR(__xludf.DUMMYFUNCTION("""COMPUTED_VALUE"""),1155055010510)</f>
        <v>1155055010510</v>
      </c>
      <c r="L143" t="str">
        <f ca="1">IFERROR(__xludf.DUMMYFUNCTION("""COMPUTED_VALUE"""),"Ambalappuzha")</f>
        <v>Ambalappuzha</v>
      </c>
      <c r="M143" t="str">
        <f ca="1">IFERROR(__xludf.DUMMYFUNCTION("""COMPUTED_VALUE"""),"I Accept")</f>
        <v>I Accept</v>
      </c>
      <c r="N143" s="4">
        <f ca="1">IFERROR(__xludf.DUMMYFUNCTION("""COMPUTED_VALUE"""),43145)</f>
        <v>43145</v>
      </c>
      <c r="O143" s="4">
        <f ca="1">IFERROR(__xludf.DUMMYFUNCTION("""COMPUTED_VALUE"""),43145)</f>
        <v>43145</v>
      </c>
      <c r="P143">
        <f ca="1">IFERROR(__xludf.DUMMYFUNCTION("""COMPUTED_VALUE"""),2)</f>
        <v>2</v>
      </c>
      <c r="Q143" t="str">
        <f ca="1">IFERROR(__xludf.DUMMYFUNCTION("""COMPUTED_VALUE"""),"akhilalezz@gmail.com")</f>
        <v>akhilalezz@gmail.com</v>
      </c>
      <c r="R143" s="2" t="s">
        <v>2302</v>
      </c>
    </row>
    <row r="144" spans="1:18" ht="13" x14ac:dyDescent="0.15">
      <c r="A144" s="3">
        <f ca="1">IFERROR(__xludf.DUMMYFUNCTION("""COMPUTED_VALUE"""),43173.5470577893)</f>
        <v>43173.547057789299</v>
      </c>
      <c r="B144" t="str">
        <f ca="1">IFERROR(__xludf.DUMMYFUNCTION("""COMPUTED_VALUE"""),"akhilalezz@gmail.com")</f>
        <v>akhilalezz@gmail.com</v>
      </c>
      <c r="C144">
        <f ca="1">IFERROR(__xludf.DUMMYFUNCTION("""COMPUTED_VALUE"""),420)</f>
        <v>420</v>
      </c>
      <c r="D144" t="str">
        <f ca="1">IFERROR(__xludf.DUMMYFUNCTION("""COMPUTED_VALUE"""),"GOPI K")</f>
        <v>GOPI K</v>
      </c>
      <c r="E144">
        <f ca="1">IFERROR(__xludf.DUMMYFUNCTION("""COMPUTED_VALUE"""),7907009190)</f>
        <v>7907009190</v>
      </c>
      <c r="F144" t="str">
        <f ca="1">IFERROR(__xludf.DUMMYFUNCTION("""COMPUTED_VALUE"""),"Alappuzha")</f>
        <v>Alappuzha</v>
      </c>
      <c r="G144" t="str">
        <f ca="1">IFERROR(__xludf.DUMMYFUNCTION("""COMPUTED_VALUE"""),"SOLGEN ENERGY PVT LTD")</f>
        <v>SOLGEN ENERGY PVT LTD</v>
      </c>
      <c r="H144">
        <f ca="1">IFERROR(__xludf.DUMMYFUNCTION("""COMPUTED_VALUE"""),42)</f>
        <v>42</v>
      </c>
      <c r="I144" s="4">
        <f ca="1">IFERROR(__xludf.DUMMYFUNCTION("""COMPUTED_VALUE"""),43159)</f>
        <v>43159</v>
      </c>
      <c r="J144">
        <f ca="1">IFERROR(__xludf.DUMMYFUNCTION("""COMPUTED_VALUE"""),3)</f>
        <v>3</v>
      </c>
      <c r="K144">
        <f ca="1">IFERROR(__xludf.DUMMYFUNCTION("""COMPUTED_VALUE"""),1155051009664)</f>
        <v>1155051009664</v>
      </c>
      <c r="L144" t="str">
        <f ca="1">IFERROR(__xludf.DUMMYFUNCTION("""COMPUTED_VALUE"""),"Ambalappuzha")</f>
        <v>Ambalappuzha</v>
      </c>
      <c r="M144" t="str">
        <f ca="1">IFERROR(__xludf.DUMMYFUNCTION("""COMPUTED_VALUE"""),"I Accept")</f>
        <v>I Accept</v>
      </c>
      <c r="N144" s="4">
        <f ca="1">IFERROR(__xludf.DUMMYFUNCTION("""COMPUTED_VALUE"""),43145)</f>
        <v>43145</v>
      </c>
      <c r="O144" s="4">
        <f ca="1">IFERROR(__xludf.DUMMYFUNCTION("""COMPUTED_VALUE"""),43145)</f>
        <v>43145</v>
      </c>
      <c r="P144">
        <f ca="1">IFERROR(__xludf.DUMMYFUNCTION("""COMPUTED_VALUE"""),3)</f>
        <v>3</v>
      </c>
      <c r="Q144" t="str">
        <f ca="1">IFERROR(__xludf.DUMMYFUNCTION("""COMPUTED_VALUE"""),"akhilalezz@gmail.com")</f>
        <v>akhilalezz@gmail.com</v>
      </c>
      <c r="R144" s="2" t="s">
        <v>2326</v>
      </c>
    </row>
    <row r="145" spans="1:18" ht="13" x14ac:dyDescent="0.15">
      <c r="A145" s="3">
        <f ca="1">IFERROR(__xludf.DUMMYFUNCTION("""COMPUTED_VALUE"""),43173.6105624305)</f>
        <v>43173.610562430498</v>
      </c>
      <c r="B145" t="str">
        <f ca="1">IFERROR(__xludf.DUMMYFUNCTION("""COMPUTED_VALUE"""),"elsolpowersolutions@gmail.com")</f>
        <v>elsolpowersolutions@gmail.com</v>
      </c>
      <c r="C145">
        <f ca="1">IFERROR(__xludf.DUMMYFUNCTION("""COMPUTED_VALUE"""),329)</f>
        <v>329</v>
      </c>
      <c r="D145" t="str">
        <f ca="1">IFERROR(__xludf.DUMMYFUNCTION("""COMPUTED_VALUE"""),"SHIRLY MATHEWS")</f>
        <v>SHIRLY MATHEWS</v>
      </c>
      <c r="E145">
        <f ca="1">IFERROR(__xludf.DUMMYFUNCTION("""COMPUTED_VALUE"""),8078213924)</f>
        <v>8078213924</v>
      </c>
      <c r="F145" t="str">
        <f ca="1">IFERROR(__xludf.DUMMYFUNCTION("""COMPUTED_VALUE"""),"Pathanamthitta")</f>
        <v>Pathanamthitta</v>
      </c>
      <c r="G145" t="str">
        <f ca="1">IFERROR(__xludf.DUMMYFUNCTION("""COMPUTED_VALUE"""),"RENERGY SYSTEMS INDIA PVT LTD")</f>
        <v>RENERGY SYSTEMS INDIA PVT LTD</v>
      </c>
      <c r="H145">
        <f ca="1">IFERROR(__xludf.DUMMYFUNCTION("""COMPUTED_VALUE"""),38)</f>
        <v>38</v>
      </c>
      <c r="I145" s="4">
        <f ca="1">IFERROR(__xludf.DUMMYFUNCTION("""COMPUTED_VALUE"""),43172)</f>
        <v>43172</v>
      </c>
      <c r="J145">
        <f ca="1">IFERROR(__xludf.DUMMYFUNCTION("""COMPUTED_VALUE"""),10)</f>
        <v>10</v>
      </c>
      <c r="K145">
        <f ca="1">IFERROR(__xludf.DUMMYFUNCTION("""COMPUTED_VALUE"""),1146179009271)</f>
        <v>1146179009271</v>
      </c>
      <c r="L145" t="str">
        <f ca="1">IFERROR(__xludf.DUMMYFUNCTION("""COMPUTED_VALUE"""),"THIRUVALLA")</f>
        <v>THIRUVALLA</v>
      </c>
      <c r="M145" t="str">
        <f ca="1">IFERROR(__xludf.DUMMYFUNCTION("""COMPUTED_VALUE"""),"I Accept")</f>
        <v>I Accept</v>
      </c>
      <c r="N145" s="4">
        <f ca="1">IFERROR(__xludf.DUMMYFUNCTION("""COMPUTED_VALUE"""),43157)</f>
        <v>43157</v>
      </c>
      <c r="O145" s="4">
        <f ca="1">IFERROR(__xludf.DUMMYFUNCTION("""COMPUTED_VALUE"""),43157)</f>
        <v>43157</v>
      </c>
      <c r="P145">
        <f ca="1">IFERROR(__xludf.DUMMYFUNCTION("""COMPUTED_VALUE"""),10)</f>
        <v>10</v>
      </c>
      <c r="Q145" t="str">
        <f ca="1">IFERROR(__xludf.DUMMYFUNCTION("""COMPUTED_VALUE"""),"elsolpowersolutions@gmail.com")</f>
        <v>elsolpowersolutions@gmail.com</v>
      </c>
      <c r="R145" s="2" t="s">
        <v>2343</v>
      </c>
    </row>
    <row r="146" spans="1:18" ht="13" x14ac:dyDescent="0.15">
      <c r="A146" s="3">
        <f ca="1">IFERROR(__xludf.DUMMYFUNCTION("""COMPUTED_VALUE"""),43173.6840730324)</f>
        <v>43173.684073032397</v>
      </c>
      <c r="B146" t="str">
        <f ca="1">IFERROR(__xludf.DUMMYFUNCTION("""COMPUTED_VALUE"""),"joshygv73@yahoo.com")</f>
        <v>joshygv73@yahoo.com</v>
      </c>
      <c r="C146">
        <f ca="1">IFERROR(__xludf.DUMMYFUNCTION("""COMPUTED_VALUE"""),148)</f>
        <v>148</v>
      </c>
      <c r="D146" t="str">
        <f ca="1">IFERROR(__xludf.DUMMYFUNCTION("""COMPUTED_VALUE"""),"Joshy George")</f>
        <v>Joshy George</v>
      </c>
      <c r="E146">
        <f ca="1">IFERROR(__xludf.DUMMYFUNCTION("""COMPUTED_VALUE"""),9847457891)</f>
        <v>9847457891</v>
      </c>
      <c r="F146" t="str">
        <f ca="1">IFERROR(__xludf.DUMMYFUNCTION("""COMPUTED_VALUE"""),"Ernakulam")</f>
        <v>Ernakulam</v>
      </c>
      <c r="G146" t="str">
        <f ca="1">IFERROR(__xludf.DUMMYFUNCTION("""COMPUTED_VALUE"""),"Alternate Energy Coporation")</f>
        <v>Alternate Energy Coporation</v>
      </c>
      <c r="H146">
        <f ca="1">IFERROR(__xludf.DUMMYFUNCTION("""COMPUTED_VALUE"""),22)</f>
        <v>22</v>
      </c>
      <c r="I146" s="4">
        <f ca="1">IFERROR(__xludf.DUMMYFUNCTION("""COMPUTED_VALUE"""),43164)</f>
        <v>43164</v>
      </c>
      <c r="J146">
        <f ca="1">IFERROR(__xludf.DUMMYFUNCTION("""COMPUTED_VALUE"""),3)</f>
        <v>3</v>
      </c>
      <c r="K146">
        <f ca="1">IFERROR(__xludf.DUMMYFUNCTION("""COMPUTED_VALUE"""),115590020883)</f>
        <v>115590020883</v>
      </c>
      <c r="L146" t="str">
        <f ca="1">IFERROR(__xludf.DUMMYFUNCTION("""COMPUTED_VALUE"""),"Koovappady ")</f>
        <v xml:space="preserve">Koovappady </v>
      </c>
      <c r="M146" t="str">
        <f ca="1">IFERROR(__xludf.DUMMYFUNCTION("""COMPUTED_VALUE"""),"I Accept")</f>
        <v>I Accept</v>
      </c>
      <c r="N146" s="4">
        <f ca="1">IFERROR(__xludf.DUMMYFUNCTION("""COMPUTED_VALUE"""),43169)</f>
        <v>43169</v>
      </c>
      <c r="O146" s="4">
        <f ca="1">IFERROR(__xludf.DUMMYFUNCTION("""COMPUTED_VALUE"""),43169)</f>
        <v>43169</v>
      </c>
      <c r="P146">
        <f ca="1">IFERROR(__xludf.DUMMYFUNCTION("""COMPUTED_VALUE"""),3)</f>
        <v>3</v>
      </c>
      <c r="Q146" t="str">
        <f ca="1">IFERROR(__xludf.DUMMYFUNCTION("""COMPUTED_VALUE"""),"joshygv73@yahoo.com")</f>
        <v>joshygv73@yahoo.com</v>
      </c>
      <c r="R146" s="2" t="s">
        <v>2358</v>
      </c>
    </row>
    <row r="147" spans="1:18" ht="13" x14ac:dyDescent="0.15">
      <c r="A147" s="3">
        <f ca="1">IFERROR(__xludf.DUMMYFUNCTION("""COMPUTED_VALUE"""),43173.707515)</f>
        <v>43173.707515000002</v>
      </c>
      <c r="B147" t="str">
        <f ca="1">IFERROR(__xludf.DUMMYFUNCTION("""COMPUTED_VALUE"""),"Chinchusooraj7@gmail.com")</f>
        <v>Chinchusooraj7@gmail.com</v>
      </c>
      <c r="C147">
        <f ca="1">IFERROR(__xludf.DUMMYFUNCTION("""COMPUTED_VALUE"""),2)</f>
        <v>2</v>
      </c>
      <c r="D147" t="str">
        <f ca="1">IFERROR(__xludf.DUMMYFUNCTION("""COMPUTED_VALUE"""),"Hariharan Pillai G.D")</f>
        <v>Hariharan Pillai G.D</v>
      </c>
      <c r="E147">
        <f ca="1">IFERROR(__xludf.DUMMYFUNCTION("""COMPUTED_VALUE"""),9447876655)</f>
        <v>9447876655</v>
      </c>
      <c r="F147" t="str">
        <f ca="1">IFERROR(__xludf.DUMMYFUNCTION("""COMPUTED_VALUE"""),"Alappuzha")</f>
        <v>Alappuzha</v>
      </c>
      <c r="G147" t="str">
        <f ca="1">IFERROR(__xludf.DUMMYFUNCTION("""COMPUTED_VALUE"""),"TATA POWER SOLAR SYSTEMS LTD")</f>
        <v>TATA POWER SOLAR SYSTEMS LTD</v>
      </c>
      <c r="H147">
        <f ca="1">IFERROR(__xludf.DUMMYFUNCTION("""COMPUTED_VALUE"""),20)</f>
        <v>20</v>
      </c>
      <c r="I147" s="4">
        <f ca="1">IFERROR(__xludf.DUMMYFUNCTION("""COMPUTED_VALUE"""),43139)</f>
        <v>43139</v>
      </c>
      <c r="J147">
        <f ca="1">IFERROR(__xludf.DUMMYFUNCTION("""COMPUTED_VALUE"""),3)</f>
        <v>3</v>
      </c>
      <c r="K147">
        <f ca="1">IFERROR(__xludf.DUMMYFUNCTION("""COMPUTED_VALUE"""),1155242000737)</f>
        <v>1155242000737</v>
      </c>
      <c r="L147" t="str">
        <f ca="1">IFERROR(__xludf.DUMMYFUNCTION("""COMPUTED_VALUE"""),"5524")</f>
        <v>5524</v>
      </c>
      <c r="M147" t="str">
        <f ca="1">IFERROR(__xludf.DUMMYFUNCTION("""COMPUTED_VALUE"""),"I Accept")</f>
        <v>I Accept</v>
      </c>
      <c r="N147" s="4">
        <f ca="1">IFERROR(__xludf.DUMMYFUNCTION("""COMPUTED_VALUE"""),43133)</f>
        <v>43133</v>
      </c>
      <c r="O147" s="4">
        <f ca="1">IFERROR(__xludf.DUMMYFUNCTION("""COMPUTED_VALUE"""),43133)</f>
        <v>43133</v>
      </c>
      <c r="P147">
        <f ca="1">IFERROR(__xludf.DUMMYFUNCTION("""COMPUTED_VALUE"""),3)</f>
        <v>3</v>
      </c>
      <c r="Q147" t="str">
        <f ca="1">IFERROR(__xludf.DUMMYFUNCTION("""COMPUTED_VALUE"""),"chinchusooraj7@gmail.com")</f>
        <v>chinchusooraj7@gmail.com</v>
      </c>
      <c r="R147" s="2" t="s">
        <v>2393</v>
      </c>
    </row>
    <row r="148" spans="1:18" ht="13" x14ac:dyDescent="0.15">
      <c r="A148" s="3">
        <f ca="1">IFERROR(__xludf.DUMMYFUNCTION("""COMPUTED_VALUE"""),43173.7266730208)</f>
        <v>43173.726673020799</v>
      </c>
      <c r="B148" t="str">
        <f ca="1">IFERROR(__xludf.DUMMYFUNCTION("""COMPUTED_VALUE"""),"pparun@gmail.com")</f>
        <v>pparun@gmail.com</v>
      </c>
      <c r="C148">
        <f ca="1">IFERROR(__xludf.DUMMYFUNCTION("""COMPUTED_VALUE"""),209)</f>
        <v>209</v>
      </c>
      <c r="D148" t="str">
        <f ca="1">IFERROR(__xludf.DUMMYFUNCTION("""COMPUTED_VALUE"""),"P. V. Prabhakaran")</f>
        <v>P. V. Prabhakaran</v>
      </c>
      <c r="E148">
        <f ca="1">IFERROR(__xludf.DUMMYFUNCTION("""COMPUTED_VALUE"""),9947579552)</f>
        <v>9947579552</v>
      </c>
      <c r="F148" t="str">
        <f ca="1">IFERROR(__xludf.DUMMYFUNCTION("""COMPUTED_VALUE"""),"Thrissur")</f>
        <v>Thrissur</v>
      </c>
      <c r="G148" t="str">
        <f ca="1">IFERROR(__xludf.DUMMYFUNCTION("""COMPUTED_VALUE"""),"TATA POWER SOLAR SYSTEMS LTD")</f>
        <v>TATA POWER SOLAR SYSTEMS LTD</v>
      </c>
      <c r="H148">
        <f ca="1">IFERROR(__xludf.DUMMYFUNCTION("""COMPUTED_VALUE"""),20)</f>
        <v>20</v>
      </c>
      <c r="I148" s="4">
        <f ca="1">IFERROR(__xludf.DUMMYFUNCTION("""COMPUTED_VALUE"""),43173)</f>
        <v>43173</v>
      </c>
      <c r="J148">
        <f ca="1">IFERROR(__xludf.DUMMYFUNCTION("""COMPUTED_VALUE"""),5)</f>
        <v>5</v>
      </c>
      <c r="K148">
        <f ca="1">IFERROR(__xludf.DUMMYFUNCTION("""COMPUTED_VALUE"""),1156789008119)</f>
        <v>1156789008119</v>
      </c>
      <c r="L148" t="str">
        <f ca="1">IFERROR(__xludf.DUMMYFUNCTION("""COMPUTED_VALUE"""),"Ayyanthole")</f>
        <v>Ayyanthole</v>
      </c>
      <c r="M148" t="str">
        <f ca="1">IFERROR(__xludf.DUMMYFUNCTION("""COMPUTED_VALUE"""),"I Accept")</f>
        <v>I Accept</v>
      </c>
      <c r="N148" s="4">
        <f ca="1">IFERROR(__xludf.DUMMYFUNCTION("""COMPUTED_VALUE"""),43173)</f>
        <v>43173</v>
      </c>
      <c r="O148" s="4">
        <f ca="1">IFERROR(__xludf.DUMMYFUNCTION("""COMPUTED_VALUE"""),43173)</f>
        <v>43173</v>
      </c>
      <c r="P148">
        <f ca="1">IFERROR(__xludf.DUMMYFUNCTION("""COMPUTED_VALUE"""),5)</f>
        <v>5</v>
      </c>
      <c r="Q148" t="str">
        <f ca="1">IFERROR(__xludf.DUMMYFUNCTION("""COMPUTED_VALUE"""),"pparun@gmail.com")</f>
        <v>pparun@gmail.com</v>
      </c>
      <c r="R148" s="2" t="s">
        <v>2414</v>
      </c>
    </row>
    <row r="149" spans="1:18" ht="13" x14ac:dyDescent="0.15">
      <c r="A149" s="3">
        <f ca="1">IFERROR(__xludf.DUMMYFUNCTION("""COMPUTED_VALUE"""),43173.9065856018)</f>
        <v>43173.906585601799</v>
      </c>
      <c r="B149" t="str">
        <f ca="1">IFERROR(__xludf.DUMMYFUNCTION("""COMPUTED_VALUE"""),"tsjayapal@gmail.com")</f>
        <v>tsjayapal@gmail.com</v>
      </c>
      <c r="C149">
        <f ca="1">IFERROR(__xludf.DUMMYFUNCTION("""COMPUTED_VALUE"""),536)</f>
        <v>536</v>
      </c>
      <c r="D149" t="str">
        <f ca="1">IFERROR(__xludf.DUMMYFUNCTION("""COMPUTED_VALUE"""),"T S JAYAPALAN")</f>
        <v>T S JAYAPALAN</v>
      </c>
      <c r="E149">
        <f ca="1">IFERROR(__xludf.DUMMYFUNCTION("""COMPUTED_VALUE"""),9446555578)</f>
        <v>9446555578</v>
      </c>
      <c r="F149" t="str">
        <f ca="1">IFERROR(__xludf.DUMMYFUNCTION("""COMPUTED_VALUE"""),"Thiruvananthapuram")</f>
        <v>Thiruvananthapuram</v>
      </c>
      <c r="G149" t="str">
        <f ca="1">IFERROR(__xludf.DUMMYFUNCTION("""COMPUTED_VALUE"""),"TECHNOGUARD INDUSTRIES")</f>
        <v>TECHNOGUARD INDUSTRIES</v>
      </c>
      <c r="H149">
        <f ca="1">IFERROR(__xludf.DUMMYFUNCTION("""COMPUTED_VALUE"""),56)</f>
        <v>56</v>
      </c>
      <c r="I149" s="4">
        <f ca="1">IFERROR(__xludf.DUMMYFUNCTION("""COMPUTED_VALUE"""),43174)</f>
        <v>43174</v>
      </c>
      <c r="J149">
        <f ca="1">IFERROR(__xludf.DUMMYFUNCTION("""COMPUTED_VALUE"""),5)</f>
        <v>5</v>
      </c>
      <c r="K149">
        <f ca="1">IFERROR(__xludf.DUMMYFUNCTION("""COMPUTED_VALUE"""),1145181007654)</f>
        <v>1145181007654</v>
      </c>
      <c r="L149" t="str">
        <f ca="1">IFERROR(__xludf.DUMMYFUNCTION("""COMPUTED_VALUE"""),"NALANCHIRA")</f>
        <v>NALANCHIRA</v>
      </c>
      <c r="M149" t="str">
        <f ca="1">IFERROR(__xludf.DUMMYFUNCTION("""COMPUTED_VALUE"""),"I Accept")</f>
        <v>I Accept</v>
      </c>
      <c r="N149" s="4">
        <f ca="1">IFERROR(__xludf.DUMMYFUNCTION("""COMPUTED_VALUE"""),43166)</f>
        <v>43166</v>
      </c>
      <c r="O149" s="4">
        <f ca="1">IFERROR(__xludf.DUMMYFUNCTION("""COMPUTED_VALUE"""),43166)</f>
        <v>43166</v>
      </c>
      <c r="P149">
        <f ca="1">IFERROR(__xludf.DUMMYFUNCTION("""COMPUTED_VALUE"""),5)</f>
        <v>5</v>
      </c>
      <c r="Q149" t="str">
        <f ca="1">IFERROR(__xludf.DUMMYFUNCTION("""COMPUTED_VALUE"""),"tsjayapal@gmail.com")</f>
        <v>tsjayapal@gmail.com</v>
      </c>
      <c r="R149" s="2" t="s">
        <v>2424</v>
      </c>
    </row>
    <row r="150" spans="1:18" ht="13" x14ac:dyDescent="0.15">
      <c r="A150" s="3">
        <f ca="1">IFERROR(__xludf.DUMMYFUNCTION("""COMPUTED_VALUE"""),43174.4863816782)</f>
        <v>43174.486381678202</v>
      </c>
      <c r="B150" t="str">
        <f ca="1">IFERROR(__xludf.DUMMYFUNCTION("""COMPUTED_VALUE"""),"info@wattsun.in")</f>
        <v>info@wattsun.in</v>
      </c>
      <c r="C150">
        <f ca="1">IFERROR(__xludf.DUMMYFUNCTION("""COMPUTED_VALUE"""),227)</f>
        <v>227</v>
      </c>
      <c r="D150" t="str">
        <f ca="1">IFERROR(__xludf.DUMMYFUNCTION("""COMPUTED_VALUE"""),"Muralikumar")</f>
        <v>Muralikumar</v>
      </c>
      <c r="E150">
        <f ca="1">IFERROR(__xludf.DUMMYFUNCTION("""COMPUTED_VALUE"""),9072666513)</f>
        <v>9072666513</v>
      </c>
      <c r="F150" t="str">
        <f ca="1">IFERROR(__xludf.DUMMYFUNCTION("""COMPUTED_VALUE"""),"Thiruvananthapuram")</f>
        <v>Thiruvananthapuram</v>
      </c>
      <c r="G150" t="str">
        <f ca="1">IFERROR(__xludf.DUMMYFUNCTION("""COMPUTED_VALUE"""),"Wattsun Energy India Private Limited")</f>
        <v>Wattsun Energy India Private Limited</v>
      </c>
      <c r="H150">
        <f ca="1">IFERROR(__xludf.DUMMYFUNCTION("""COMPUTED_VALUE"""),54)</f>
        <v>54</v>
      </c>
      <c r="I150" s="4">
        <f ca="1">IFERROR(__xludf.DUMMYFUNCTION("""COMPUTED_VALUE"""),43174)</f>
        <v>43174</v>
      </c>
      <c r="J150">
        <f ca="1">IFERROR(__xludf.DUMMYFUNCTION("""COMPUTED_VALUE"""),3)</f>
        <v>3</v>
      </c>
      <c r="K150">
        <f ca="1">IFERROR(__xludf.DUMMYFUNCTION("""COMPUTED_VALUE"""),1145037009918)</f>
        <v>1145037009918</v>
      </c>
      <c r="L150" t="str">
        <f ca="1">IFERROR(__xludf.DUMMYFUNCTION("""COMPUTED_VALUE"""),"Fort,Thiruvananthapuram")</f>
        <v>Fort,Thiruvananthapuram</v>
      </c>
      <c r="M150" t="str">
        <f ca="1">IFERROR(__xludf.DUMMYFUNCTION("""COMPUTED_VALUE"""),"I Accept")</f>
        <v>I Accept</v>
      </c>
      <c r="N150" s="4">
        <f ca="1">IFERROR(__xludf.DUMMYFUNCTION("""COMPUTED_VALUE"""),43162)</f>
        <v>43162</v>
      </c>
      <c r="O150" s="4">
        <f ca="1">IFERROR(__xludf.DUMMYFUNCTION("""COMPUTED_VALUE"""),43162)</f>
        <v>43162</v>
      </c>
      <c r="P150">
        <f ca="1">IFERROR(__xludf.DUMMYFUNCTION("""COMPUTED_VALUE"""),3)</f>
        <v>3</v>
      </c>
      <c r="Q150" t="str">
        <f ca="1">IFERROR(__xludf.DUMMYFUNCTION("""COMPUTED_VALUE"""),"info@wattsun.in")</f>
        <v>info@wattsun.in</v>
      </c>
      <c r="R150" s="2" t="s">
        <v>2437</v>
      </c>
    </row>
    <row r="151" spans="1:18" ht="13" x14ac:dyDescent="0.15">
      <c r="A151" s="3">
        <f ca="1">IFERROR(__xludf.DUMMYFUNCTION("""COMPUTED_VALUE"""),43174.5000293171)</f>
        <v>43174.500029317103</v>
      </c>
      <c r="B151" t="str">
        <f ca="1">IFERROR(__xludf.DUMMYFUNCTION("""COMPUTED_VALUE"""),"lakshararayan@gmail.com")</f>
        <v>lakshararayan@gmail.com</v>
      </c>
      <c r="C151">
        <f ca="1">IFERROR(__xludf.DUMMYFUNCTION("""COMPUTED_VALUE"""),407)</f>
        <v>407</v>
      </c>
      <c r="D151" t="str">
        <f ca="1">IFERROR(__xludf.DUMMYFUNCTION("""COMPUTED_VALUE"""),"M.J Geetha Bai")</f>
        <v>M.J Geetha Bai</v>
      </c>
      <c r="E151">
        <f ca="1">IFERROR(__xludf.DUMMYFUNCTION("""COMPUTED_VALUE"""),7034322221)</f>
        <v>7034322221</v>
      </c>
      <c r="F151" t="str">
        <f ca="1">IFERROR(__xludf.DUMMYFUNCTION("""COMPUTED_VALUE"""),"Thiruvananthapuram")</f>
        <v>Thiruvananthapuram</v>
      </c>
      <c r="G151" t="str">
        <f ca="1">IFERROR(__xludf.DUMMYFUNCTION("""COMPUTED_VALUE"""),"Renergy Systems India Pvt Ltd")</f>
        <v>Renergy Systems India Pvt Ltd</v>
      </c>
      <c r="H151">
        <f ca="1">IFERROR(__xludf.DUMMYFUNCTION("""COMPUTED_VALUE"""),38)</f>
        <v>38</v>
      </c>
      <c r="I151" s="4">
        <f ca="1">IFERROR(__xludf.DUMMYFUNCTION("""COMPUTED_VALUE"""),43174)</f>
        <v>43174</v>
      </c>
      <c r="J151">
        <f ca="1">IFERROR(__xludf.DUMMYFUNCTION("""COMPUTED_VALUE"""),3)</f>
        <v>3</v>
      </c>
      <c r="K151">
        <f ca="1">IFERROR(__xludf.DUMMYFUNCTION("""COMPUTED_VALUE"""),1145077005499)</f>
        <v>1145077005499</v>
      </c>
      <c r="L151" t="str">
        <f ca="1">IFERROR(__xludf.DUMMYFUNCTION("""COMPUTED_VALUE"""),"Vellayambalam")</f>
        <v>Vellayambalam</v>
      </c>
      <c r="M151" t="str">
        <f ca="1">IFERROR(__xludf.DUMMYFUNCTION("""COMPUTED_VALUE"""),"I Accept")</f>
        <v>I Accept</v>
      </c>
      <c r="N151" s="4">
        <f ca="1">IFERROR(__xludf.DUMMYFUNCTION("""COMPUTED_VALUE"""),43157)</f>
        <v>43157</v>
      </c>
      <c r="O151" s="4">
        <f ca="1">IFERROR(__xludf.DUMMYFUNCTION("""COMPUTED_VALUE"""),43157)</f>
        <v>43157</v>
      </c>
      <c r="P151">
        <f ca="1">IFERROR(__xludf.DUMMYFUNCTION("""COMPUTED_VALUE"""),3)</f>
        <v>3</v>
      </c>
      <c r="Q151" t="str">
        <f ca="1">IFERROR(__xludf.DUMMYFUNCTION("""COMPUTED_VALUE"""),"lakshararayan@gmail.com")</f>
        <v>lakshararayan@gmail.com</v>
      </c>
      <c r="R151" s="2" t="s">
        <v>2456</v>
      </c>
    </row>
    <row r="152" spans="1:18" ht="13" x14ac:dyDescent="0.15">
      <c r="A152" s="3">
        <f ca="1">IFERROR(__xludf.DUMMYFUNCTION("""COMPUTED_VALUE"""),43174.5133588541)</f>
        <v>43174.513358854099</v>
      </c>
      <c r="B152" t="str">
        <f ca="1">IFERROR(__xludf.DUMMYFUNCTION("""COMPUTED_VALUE"""),"lakshararayan@gmail.com")</f>
        <v>lakshararayan@gmail.com</v>
      </c>
      <c r="C152">
        <f ca="1">IFERROR(__xludf.DUMMYFUNCTION("""COMPUTED_VALUE"""),446)</f>
        <v>446</v>
      </c>
      <c r="D152" t="str">
        <f ca="1">IFERROR(__xludf.DUMMYFUNCTION("""COMPUTED_VALUE"""),"Vinod G")</f>
        <v>Vinod G</v>
      </c>
      <c r="E152">
        <f ca="1">IFERROR(__xludf.DUMMYFUNCTION("""COMPUTED_VALUE"""),7034322221)</f>
        <v>7034322221</v>
      </c>
      <c r="F152" t="str">
        <f ca="1">IFERROR(__xludf.DUMMYFUNCTION("""COMPUTED_VALUE"""),"Thiruvananthapuram")</f>
        <v>Thiruvananthapuram</v>
      </c>
      <c r="G152" t="str">
        <f ca="1">IFERROR(__xludf.DUMMYFUNCTION("""COMPUTED_VALUE"""),"Renergy Systems India Pvt Ltd")</f>
        <v>Renergy Systems India Pvt Ltd</v>
      </c>
      <c r="H152">
        <f ca="1">IFERROR(__xludf.DUMMYFUNCTION("""COMPUTED_VALUE"""),38)</f>
        <v>38</v>
      </c>
      <c r="I152" s="4">
        <f ca="1">IFERROR(__xludf.DUMMYFUNCTION("""COMPUTED_VALUE"""),43174)</f>
        <v>43174</v>
      </c>
      <c r="J152">
        <f ca="1">IFERROR(__xludf.DUMMYFUNCTION("""COMPUTED_VALUE"""),3)</f>
        <v>3</v>
      </c>
      <c r="K152">
        <f ca="1">IFERROR(__xludf.DUMMYFUNCTION("""COMPUTED_VALUE"""),1145142017898)</f>
        <v>1145142017898</v>
      </c>
      <c r="L152" t="str">
        <f ca="1">IFERROR(__xludf.DUMMYFUNCTION("""COMPUTED_VALUE"""),"Pettah")</f>
        <v>Pettah</v>
      </c>
      <c r="M152" t="str">
        <f ca="1">IFERROR(__xludf.DUMMYFUNCTION("""COMPUTED_VALUE"""),"I Accept")</f>
        <v>I Accept</v>
      </c>
      <c r="N152" s="4">
        <f ca="1">IFERROR(__xludf.DUMMYFUNCTION("""COMPUTED_VALUE"""),43165)</f>
        <v>43165</v>
      </c>
      <c r="O152" s="4">
        <f ca="1">IFERROR(__xludf.DUMMYFUNCTION("""COMPUTED_VALUE"""),43165)</f>
        <v>43165</v>
      </c>
      <c r="P152">
        <f ca="1">IFERROR(__xludf.DUMMYFUNCTION("""COMPUTED_VALUE"""),3)</f>
        <v>3</v>
      </c>
      <c r="Q152" t="str">
        <f ca="1">IFERROR(__xludf.DUMMYFUNCTION("""COMPUTED_VALUE"""),"lakshararayan@gmail.com")</f>
        <v>lakshararayan@gmail.com</v>
      </c>
      <c r="R152" s="2" t="s">
        <v>2467</v>
      </c>
    </row>
    <row r="153" spans="1:18" ht="13" x14ac:dyDescent="0.15">
      <c r="A153" s="3">
        <f ca="1">IFERROR(__xludf.DUMMYFUNCTION("""COMPUTED_VALUE"""),43174.5168427199)</f>
        <v>43174.516842719902</v>
      </c>
      <c r="B153" t="str">
        <f ca="1">IFERROR(__xludf.DUMMYFUNCTION("""COMPUTED_VALUE"""),"lakshararayan@gmail.com")</f>
        <v>lakshararayan@gmail.com</v>
      </c>
      <c r="C153">
        <f ca="1">IFERROR(__xludf.DUMMYFUNCTION("""COMPUTED_VALUE"""),352)</f>
        <v>352</v>
      </c>
      <c r="D153" t="str">
        <f ca="1">IFERROR(__xludf.DUMMYFUNCTION("""COMPUTED_VALUE"""),"Bhaskaran.K")</f>
        <v>Bhaskaran.K</v>
      </c>
      <c r="E153">
        <f ca="1">IFERROR(__xludf.DUMMYFUNCTION("""COMPUTED_VALUE"""),7034322221)</f>
        <v>7034322221</v>
      </c>
      <c r="F153" t="str">
        <f ca="1">IFERROR(__xludf.DUMMYFUNCTION("""COMPUTED_VALUE"""),"Thiruvananthapuram")</f>
        <v>Thiruvananthapuram</v>
      </c>
      <c r="G153" t="str">
        <f ca="1">IFERROR(__xludf.DUMMYFUNCTION("""COMPUTED_VALUE"""),"Renergy Systems India Pvt Ltd")</f>
        <v>Renergy Systems India Pvt Ltd</v>
      </c>
      <c r="H153">
        <f ca="1">IFERROR(__xludf.DUMMYFUNCTION("""COMPUTED_VALUE"""),38)</f>
        <v>38</v>
      </c>
      <c r="I153" s="4">
        <f ca="1">IFERROR(__xludf.DUMMYFUNCTION("""COMPUTED_VALUE"""),43174)</f>
        <v>43174</v>
      </c>
      <c r="J153">
        <f ca="1">IFERROR(__xludf.DUMMYFUNCTION("""COMPUTED_VALUE"""),3)</f>
        <v>3</v>
      </c>
      <c r="K153">
        <f ca="1">IFERROR(__xludf.DUMMYFUNCTION("""COMPUTED_VALUE"""),1145193014375)</f>
        <v>1145193014375</v>
      </c>
      <c r="L153" t="str">
        <f ca="1">IFERROR(__xludf.DUMMYFUNCTION("""COMPUTED_VALUE"""),"Sreekaryam")</f>
        <v>Sreekaryam</v>
      </c>
      <c r="M153" t="str">
        <f ca="1">IFERROR(__xludf.DUMMYFUNCTION("""COMPUTED_VALUE"""),"I Accept")</f>
        <v>I Accept</v>
      </c>
      <c r="N153" s="4">
        <f ca="1">IFERROR(__xludf.DUMMYFUNCTION("""COMPUTED_VALUE"""),43159)</f>
        <v>43159</v>
      </c>
      <c r="O153" s="4">
        <f ca="1">IFERROR(__xludf.DUMMYFUNCTION("""COMPUTED_VALUE"""),43159)</f>
        <v>43159</v>
      </c>
      <c r="P153">
        <f ca="1">IFERROR(__xludf.DUMMYFUNCTION("""COMPUTED_VALUE"""),3)</f>
        <v>3</v>
      </c>
      <c r="Q153" t="str">
        <f ca="1">IFERROR(__xludf.DUMMYFUNCTION("""COMPUTED_VALUE"""),"lakshararayan@gmail.com")</f>
        <v>lakshararayan@gmail.com</v>
      </c>
      <c r="R153" s="2" t="s">
        <v>2475</v>
      </c>
    </row>
    <row r="154" spans="1:18" ht="13" x14ac:dyDescent="0.15">
      <c r="A154" s="3">
        <f ca="1">IFERROR(__xludf.DUMMYFUNCTION("""COMPUTED_VALUE"""),43174.7146709143)</f>
        <v>43174.714670914298</v>
      </c>
      <c r="B154" t="str">
        <f ca="1">IFERROR(__xludf.DUMMYFUNCTION("""COMPUTED_VALUE"""),"lazarpc@hotmail.com")</f>
        <v>lazarpc@hotmail.com</v>
      </c>
      <c r="C154">
        <f ca="1">IFERROR(__xludf.DUMMYFUNCTION("""COMPUTED_VALUE"""),452)</f>
        <v>452</v>
      </c>
      <c r="D154" t="str">
        <f ca="1">IFERROR(__xludf.DUMMYFUNCTION("""COMPUTED_VALUE"""),"P C LAZAR")</f>
        <v>P C LAZAR</v>
      </c>
      <c r="E154">
        <f ca="1">IFERROR(__xludf.DUMMYFUNCTION("""COMPUTED_VALUE"""),9847801800)</f>
        <v>9847801800</v>
      </c>
      <c r="F154" t="str">
        <f ca="1">IFERROR(__xludf.DUMMYFUNCTION("""COMPUTED_VALUE"""),"Thrissur")</f>
        <v>Thrissur</v>
      </c>
      <c r="G154" t="str">
        <f ca="1">IFERROR(__xludf.DUMMYFUNCTION("""COMPUTED_VALUE"""),"TATA POWER SOLAR SYSTEMS LTD")</f>
        <v>TATA POWER SOLAR SYSTEMS LTD</v>
      </c>
      <c r="H154">
        <f ca="1">IFERROR(__xludf.DUMMYFUNCTION("""COMPUTED_VALUE"""),20)</f>
        <v>20</v>
      </c>
      <c r="I154" s="4">
        <f ca="1">IFERROR(__xludf.DUMMYFUNCTION("""COMPUTED_VALUE"""),43174)</f>
        <v>43174</v>
      </c>
      <c r="J154">
        <f ca="1">IFERROR(__xludf.DUMMYFUNCTION("""COMPUTED_VALUE"""),3)</f>
        <v>3</v>
      </c>
      <c r="K154">
        <f ca="1">IFERROR(__xludf.DUMMYFUNCTION("""COMPUTED_VALUE"""),1156816007797)</f>
        <v>1156816007797</v>
      </c>
      <c r="L154" t="str">
        <f ca="1">IFERROR(__xludf.DUMMYFUNCTION("""COMPUTED_VALUE"""),"RAMAVARMAPURAM")</f>
        <v>RAMAVARMAPURAM</v>
      </c>
      <c r="M154" t="str">
        <f ca="1">IFERROR(__xludf.DUMMYFUNCTION("""COMPUTED_VALUE"""),"I Accept")</f>
        <v>I Accept</v>
      </c>
      <c r="N154" s="4">
        <f ca="1">IFERROR(__xludf.DUMMYFUNCTION("""COMPUTED_VALUE"""),43172)</f>
        <v>43172</v>
      </c>
      <c r="O154" s="4">
        <f ca="1">IFERROR(__xludf.DUMMYFUNCTION("""COMPUTED_VALUE"""),43172)</f>
        <v>43172</v>
      </c>
      <c r="P154">
        <f ca="1">IFERROR(__xludf.DUMMYFUNCTION("""COMPUTED_VALUE"""),3)</f>
        <v>3</v>
      </c>
      <c r="Q154" t="str">
        <f ca="1">IFERROR(__xludf.DUMMYFUNCTION("""COMPUTED_VALUE"""),"lazarpc@hotmail.com")</f>
        <v>lazarpc@hotmail.com</v>
      </c>
      <c r="R154" s="2" t="s">
        <v>2485</v>
      </c>
    </row>
    <row r="155" spans="1:18" ht="13" x14ac:dyDescent="0.15">
      <c r="A155" s="3">
        <f ca="1">IFERROR(__xludf.DUMMYFUNCTION("""COMPUTED_VALUE"""),43174.7174911111)</f>
        <v>43174.7174911111</v>
      </c>
      <c r="B155" t="str">
        <f ca="1">IFERROR(__xludf.DUMMYFUNCTION("""COMPUTED_VALUE"""),"contactvinova@gmail.com")</f>
        <v>contactvinova@gmail.com</v>
      </c>
      <c r="C155">
        <f ca="1">IFERROR(__xludf.DUMMYFUNCTION("""COMPUTED_VALUE"""),575)</f>
        <v>575</v>
      </c>
      <c r="D155" t="str">
        <f ca="1">IFERROR(__xludf.DUMMYFUNCTION("""COMPUTED_VALUE"""),"Sunny A k")</f>
        <v>Sunny A k</v>
      </c>
      <c r="E155">
        <f ca="1">IFERROR(__xludf.DUMMYFUNCTION("""COMPUTED_VALUE"""),9895566679)</f>
        <v>9895566679</v>
      </c>
      <c r="F155" t="str">
        <f ca="1">IFERROR(__xludf.DUMMYFUNCTION("""COMPUTED_VALUE"""),"Thrissur")</f>
        <v>Thrissur</v>
      </c>
      <c r="G155" t="str">
        <f ca="1">IFERROR(__xludf.DUMMYFUNCTION("""COMPUTED_VALUE"""),"Vinova Energy Systems Pvt Ltd ")</f>
        <v xml:space="preserve">Vinova Energy Systems Pvt Ltd </v>
      </c>
      <c r="H155">
        <f ca="1">IFERROR(__xludf.DUMMYFUNCTION("""COMPUTED_VALUE"""),48)</f>
        <v>48</v>
      </c>
      <c r="I155" s="4">
        <f ca="1">IFERROR(__xludf.DUMMYFUNCTION("""COMPUTED_VALUE"""),43174)</f>
        <v>43174</v>
      </c>
      <c r="J155">
        <f ca="1">IFERROR(__xludf.DUMMYFUNCTION("""COMPUTED_VALUE"""),3)</f>
        <v>3</v>
      </c>
      <c r="K155">
        <f ca="1">IFERROR(__xludf.DUMMYFUNCTION("""COMPUTED_VALUE"""),11567130003720)</f>
        <v>11567130003720</v>
      </c>
      <c r="L155" t="str">
        <f ca="1">IFERROR(__xludf.DUMMYFUNCTION("""COMPUTED_VALUE"""),"KURIACHIRA")</f>
        <v>KURIACHIRA</v>
      </c>
      <c r="M155" t="str">
        <f ca="1">IFERROR(__xludf.DUMMYFUNCTION("""COMPUTED_VALUE"""),"I Accept")</f>
        <v>I Accept</v>
      </c>
      <c r="N155" s="4">
        <f ca="1">IFERROR(__xludf.DUMMYFUNCTION("""COMPUTED_VALUE"""),43174)</f>
        <v>43174</v>
      </c>
      <c r="O155" s="4">
        <f ca="1">IFERROR(__xludf.DUMMYFUNCTION("""COMPUTED_VALUE"""),43174)</f>
        <v>43174</v>
      </c>
      <c r="P155">
        <f ca="1">IFERROR(__xludf.DUMMYFUNCTION("""COMPUTED_VALUE"""),3)</f>
        <v>3</v>
      </c>
      <c r="Q155" t="str">
        <f ca="1">IFERROR(__xludf.DUMMYFUNCTION("""COMPUTED_VALUE"""),"contactvinova@gmail.com")</f>
        <v>contactvinova@gmail.com</v>
      </c>
      <c r="R155" s="2" t="s">
        <v>2496</v>
      </c>
    </row>
    <row r="156" spans="1:18" ht="13" x14ac:dyDescent="0.15">
      <c r="A156" s="3">
        <f ca="1">IFERROR(__xludf.DUMMYFUNCTION("""COMPUTED_VALUE"""),43175.4181280902)</f>
        <v>43175.418128090198</v>
      </c>
      <c r="B156" t="str">
        <f ca="1">IFERROR(__xludf.DUMMYFUNCTION("""COMPUTED_VALUE"""),"info@reecco.com")</f>
        <v>info@reecco.com</v>
      </c>
      <c r="C156">
        <f ca="1">IFERROR(__xludf.DUMMYFUNCTION("""COMPUTED_VALUE"""),355)</f>
        <v>355</v>
      </c>
      <c r="D156" t="str">
        <f ca="1">IFERROR(__xludf.DUMMYFUNCTION("""COMPUTED_VALUE"""),"Sreeram J")</f>
        <v>Sreeram J</v>
      </c>
      <c r="E156">
        <f ca="1">IFERROR(__xludf.DUMMYFUNCTION("""COMPUTED_VALUE"""),9447246387)</f>
        <v>9447246387</v>
      </c>
      <c r="F156" t="str">
        <f ca="1">IFERROR(__xludf.DUMMYFUNCTION("""COMPUTED_VALUE"""),"Thiruvananthapuram")</f>
        <v>Thiruvananthapuram</v>
      </c>
      <c r="G156" t="str">
        <f ca="1">IFERROR(__xludf.DUMMYFUNCTION("""COMPUTED_VALUE"""),"Reecco Energy India Pvt Ltd")</f>
        <v>Reecco Energy India Pvt Ltd</v>
      </c>
      <c r="H156">
        <f ca="1">IFERROR(__xludf.DUMMYFUNCTION("""COMPUTED_VALUE"""),47)</f>
        <v>47</v>
      </c>
      <c r="I156" s="4">
        <f ca="1">IFERROR(__xludf.DUMMYFUNCTION("""COMPUTED_VALUE"""),43175)</f>
        <v>43175</v>
      </c>
      <c r="J156">
        <f ca="1">IFERROR(__xludf.DUMMYFUNCTION("""COMPUTED_VALUE"""),3)</f>
        <v>3</v>
      </c>
      <c r="K156">
        <f ca="1">IFERROR(__xludf.DUMMYFUNCTION("""COMPUTED_VALUE"""),1145013026936)</f>
        <v>1145013026936</v>
      </c>
      <c r="L156" t="str">
        <f ca="1">IFERROR(__xludf.DUMMYFUNCTION("""COMPUTED_VALUE"""),"Manacaud")</f>
        <v>Manacaud</v>
      </c>
      <c r="M156" t="str">
        <f ca="1">IFERROR(__xludf.DUMMYFUNCTION("""COMPUTED_VALUE"""),"I Accept")</f>
        <v>I Accept</v>
      </c>
      <c r="N156" s="4">
        <f ca="1">IFERROR(__xludf.DUMMYFUNCTION("""COMPUTED_VALUE"""),43173)</f>
        <v>43173</v>
      </c>
      <c r="O156" s="4">
        <f ca="1">IFERROR(__xludf.DUMMYFUNCTION("""COMPUTED_VALUE"""),43173)</f>
        <v>43173</v>
      </c>
      <c r="P156">
        <f ca="1">IFERROR(__xludf.DUMMYFUNCTION("""COMPUTED_VALUE"""),3)</f>
        <v>3</v>
      </c>
      <c r="Q156" t="str">
        <f ca="1">IFERROR(__xludf.DUMMYFUNCTION("""COMPUTED_VALUE"""),"info@reecco.com")</f>
        <v>info@reecco.com</v>
      </c>
      <c r="R156" s="2" t="s">
        <v>2506</v>
      </c>
    </row>
    <row r="157" spans="1:18" ht="13" x14ac:dyDescent="0.15">
      <c r="A157" s="3">
        <f ca="1">IFERROR(__xludf.DUMMYFUNCTION("""COMPUTED_VALUE"""),43175.4277864699)</f>
        <v>43175.427786469903</v>
      </c>
      <c r="B157" t="str">
        <f ca="1">IFERROR(__xludf.DUMMYFUNCTION("""COMPUTED_VALUE"""),"smitha.soura@gmail.com")</f>
        <v>smitha.soura@gmail.com</v>
      </c>
      <c r="C157">
        <f ca="1">IFERROR(__xludf.DUMMYFUNCTION("""COMPUTED_VALUE"""),177)</f>
        <v>177</v>
      </c>
      <c r="D157" t="str">
        <f ca="1">IFERROR(__xludf.DUMMYFUNCTION("""COMPUTED_VALUE"""),"Asa Kumari")</f>
        <v>Asa Kumari</v>
      </c>
      <c r="E157">
        <f ca="1">IFERROR(__xludf.DUMMYFUNCTION("""COMPUTED_VALUE"""),9072626009)</f>
        <v>9072626009</v>
      </c>
      <c r="F157" t="str">
        <f ca="1">IFERROR(__xludf.DUMMYFUNCTION("""COMPUTED_VALUE"""),"Alappuzha")</f>
        <v>Alappuzha</v>
      </c>
      <c r="G157" t="str">
        <f ca="1">IFERROR(__xludf.DUMMYFUNCTION("""COMPUTED_VALUE"""),"SOURA Natural Energy Solutions I Pvt Ltd")</f>
        <v>SOURA Natural Energy Solutions I Pvt Ltd</v>
      </c>
      <c r="H157">
        <f ca="1">IFERROR(__xludf.DUMMYFUNCTION("""COMPUTED_VALUE"""),11)</f>
        <v>11</v>
      </c>
      <c r="I157" s="4">
        <f ca="1">IFERROR(__xludf.DUMMYFUNCTION("""COMPUTED_VALUE"""),43139)</f>
        <v>43139</v>
      </c>
      <c r="J157">
        <f ca="1">IFERROR(__xludf.DUMMYFUNCTION("""COMPUTED_VALUE"""),3)</f>
        <v>3</v>
      </c>
      <c r="K157">
        <f ca="1">IFERROR(__xludf.DUMMYFUNCTION("""COMPUTED_VALUE"""),1155055015290)</f>
        <v>1155055015290</v>
      </c>
      <c r="L157" t="str">
        <f ca="1">IFERROR(__xludf.DUMMYFUNCTION("""COMPUTED_VALUE"""),"ambalappuzha")</f>
        <v>ambalappuzha</v>
      </c>
      <c r="M157" t="str">
        <f ca="1">IFERROR(__xludf.DUMMYFUNCTION("""COMPUTED_VALUE"""),"I Accept")</f>
        <v>I Accept</v>
      </c>
      <c r="N157" s="4">
        <f ca="1">IFERROR(__xludf.DUMMYFUNCTION("""COMPUTED_VALUE"""),43122)</f>
        <v>43122</v>
      </c>
      <c r="O157" s="4">
        <f ca="1">IFERROR(__xludf.DUMMYFUNCTION("""COMPUTED_VALUE"""),43122)</f>
        <v>43122</v>
      </c>
      <c r="P157">
        <f ca="1">IFERROR(__xludf.DUMMYFUNCTION("""COMPUTED_VALUE"""),3)</f>
        <v>3</v>
      </c>
      <c r="Q157" t="str">
        <f ca="1">IFERROR(__xludf.DUMMYFUNCTION("""COMPUTED_VALUE"""),"smitha.soura@gmail.com")</f>
        <v>smitha.soura@gmail.com</v>
      </c>
      <c r="R157" s="2" t="s">
        <v>2520</v>
      </c>
    </row>
    <row r="158" spans="1:18" ht="13" x14ac:dyDescent="0.15">
      <c r="A158" s="3">
        <f ca="1">IFERROR(__xludf.DUMMYFUNCTION("""COMPUTED_VALUE"""),43175.4529746064)</f>
        <v>43175.4529746064</v>
      </c>
      <c r="B158" t="str">
        <f ca="1">IFERROR(__xludf.DUMMYFUNCTION("""COMPUTED_VALUE"""),"zabab100@gmail.com")</f>
        <v>zabab100@gmail.com</v>
      </c>
      <c r="C158">
        <f ca="1">IFERROR(__xludf.DUMMYFUNCTION("""COMPUTED_VALUE"""),223)</f>
        <v>223</v>
      </c>
      <c r="D158" t="str">
        <f ca="1">IFERROR(__xludf.DUMMYFUNCTION("""COMPUTED_VALUE"""),"James Antony")</f>
        <v>James Antony</v>
      </c>
      <c r="E158">
        <f ca="1">IFERROR(__xludf.DUMMYFUNCTION("""COMPUTED_VALUE"""),9847537087)</f>
        <v>9847537087</v>
      </c>
      <c r="F158" t="str">
        <f ca="1">IFERROR(__xludf.DUMMYFUNCTION("""COMPUTED_VALUE"""),"Alappuzha")</f>
        <v>Alappuzha</v>
      </c>
      <c r="G158" t="str">
        <f ca="1">IFERROR(__xludf.DUMMYFUNCTION("""COMPUTED_VALUE"""),"SOURA Natural Energy Solutions I Pvt Ltd")</f>
        <v>SOURA Natural Energy Solutions I Pvt Ltd</v>
      </c>
      <c r="H158">
        <f ca="1">IFERROR(__xludf.DUMMYFUNCTION("""COMPUTED_VALUE"""),11)</f>
        <v>11</v>
      </c>
      <c r="I158" s="4">
        <f ca="1">IFERROR(__xludf.DUMMYFUNCTION("""COMPUTED_VALUE"""),43151)</f>
        <v>43151</v>
      </c>
      <c r="J158">
        <f ca="1">IFERROR(__xludf.DUMMYFUNCTION("""COMPUTED_VALUE"""),3)</f>
        <v>3</v>
      </c>
      <c r="K158">
        <f ca="1">IFERROR(__xludf.DUMMYFUNCTION("""COMPUTED_VALUE"""),1155204013426)</f>
        <v>1155204013426</v>
      </c>
      <c r="L158" t="str">
        <f ca="1">IFERROR(__xludf.DUMMYFUNCTION("""COMPUTED_VALUE"""),"SL Puram")</f>
        <v>SL Puram</v>
      </c>
      <c r="M158" t="str">
        <f ca="1">IFERROR(__xludf.DUMMYFUNCTION("""COMPUTED_VALUE"""),"I Accept")</f>
        <v>I Accept</v>
      </c>
      <c r="N158" s="4">
        <f ca="1">IFERROR(__xludf.DUMMYFUNCTION("""COMPUTED_VALUE"""),43133)</f>
        <v>43133</v>
      </c>
      <c r="O158" s="4">
        <f ca="1">IFERROR(__xludf.DUMMYFUNCTION("""COMPUTED_VALUE"""),43133)</f>
        <v>43133</v>
      </c>
      <c r="P158">
        <f ca="1">IFERROR(__xludf.DUMMYFUNCTION("""COMPUTED_VALUE"""),3)</f>
        <v>3</v>
      </c>
      <c r="Q158" t="str">
        <f ca="1">IFERROR(__xludf.DUMMYFUNCTION("""COMPUTED_VALUE"""),"zabab100@gmail.com")</f>
        <v>zabab100@gmail.com</v>
      </c>
      <c r="R158" s="2" t="s">
        <v>2532</v>
      </c>
    </row>
    <row r="159" spans="1:18" ht="13" x14ac:dyDescent="0.15">
      <c r="A159" s="3">
        <f ca="1">IFERROR(__xludf.DUMMYFUNCTION("""COMPUTED_VALUE"""),43175.6165232523)</f>
        <v>43175.616523252298</v>
      </c>
      <c r="B159" t="str">
        <f ca="1">IFERROR(__xludf.DUMMYFUNCTION("""COMPUTED_VALUE"""),"arun8943674152@gmail.com")</f>
        <v>arun8943674152@gmail.com</v>
      </c>
      <c r="C159">
        <f ca="1">IFERROR(__xludf.DUMMYFUNCTION("""COMPUTED_VALUE"""),275)</f>
        <v>275</v>
      </c>
      <c r="D159" t="str">
        <f ca="1">IFERROR(__xludf.DUMMYFUNCTION("""COMPUTED_VALUE"""),"PAUL B D")</f>
        <v>PAUL B D</v>
      </c>
      <c r="E159">
        <f ca="1">IFERROR(__xludf.DUMMYFUNCTION("""COMPUTED_VALUE"""),8943674152)</f>
        <v>8943674152</v>
      </c>
      <c r="F159" t="str">
        <f ca="1">IFERROR(__xludf.DUMMYFUNCTION("""COMPUTED_VALUE"""),"Thrissur")</f>
        <v>Thrissur</v>
      </c>
      <c r="G159" t="str">
        <f ca="1">IFERROR(__xludf.DUMMYFUNCTION("""COMPUTED_VALUE"""),"SOLGEN ENERGY PVT LTD")</f>
        <v>SOLGEN ENERGY PVT LTD</v>
      </c>
      <c r="H159">
        <f ca="1">IFERROR(__xludf.DUMMYFUNCTION("""COMPUTED_VALUE"""),42)</f>
        <v>42</v>
      </c>
      <c r="I159" s="4">
        <f ca="1">IFERROR(__xludf.DUMMYFUNCTION("""COMPUTED_VALUE"""),43174)</f>
        <v>43174</v>
      </c>
      <c r="J159">
        <f ca="1">IFERROR(__xludf.DUMMYFUNCTION("""COMPUTED_VALUE"""),5)</f>
        <v>5</v>
      </c>
      <c r="K159">
        <f ca="1">IFERROR(__xludf.DUMMYFUNCTION("""COMPUTED_VALUE"""),1156852010415)</f>
        <v>1156852010415</v>
      </c>
      <c r="L159" t="str">
        <f ca="1">IFERROR(__xludf.DUMMYFUNCTION("""COMPUTED_VALUE"""),"MUTHUVARA")</f>
        <v>MUTHUVARA</v>
      </c>
      <c r="M159" t="str">
        <f ca="1">IFERROR(__xludf.DUMMYFUNCTION("""COMPUTED_VALUE"""),"I Accept")</f>
        <v>I Accept</v>
      </c>
      <c r="N159" s="4">
        <f ca="1">IFERROR(__xludf.DUMMYFUNCTION("""COMPUTED_VALUE"""),43165)</f>
        <v>43165</v>
      </c>
      <c r="O159" s="4">
        <f ca="1">IFERROR(__xludf.DUMMYFUNCTION("""COMPUTED_VALUE"""),43165)</f>
        <v>43165</v>
      </c>
      <c r="P159">
        <f ca="1">IFERROR(__xludf.DUMMYFUNCTION("""COMPUTED_VALUE"""),5)</f>
        <v>5</v>
      </c>
      <c r="Q159" t="str">
        <f ca="1">IFERROR(__xludf.DUMMYFUNCTION("""COMPUTED_VALUE"""),"arun8943674152@gmail.com")</f>
        <v>arun8943674152@gmail.com</v>
      </c>
      <c r="R159" s="2" t="s">
        <v>2542</v>
      </c>
    </row>
    <row r="160" spans="1:18" ht="13" x14ac:dyDescent="0.15">
      <c r="A160" s="3">
        <f ca="1">IFERROR(__xludf.DUMMYFUNCTION("""COMPUTED_VALUE"""),43175.6640573958)</f>
        <v>43175.664057395799</v>
      </c>
      <c r="B160" t="str">
        <f ca="1">IFERROR(__xludf.DUMMYFUNCTION("""COMPUTED_VALUE"""),"info@wattsun.in")</f>
        <v>info@wattsun.in</v>
      </c>
      <c r="C160">
        <f ca="1">IFERROR(__xludf.DUMMYFUNCTION("""COMPUTED_VALUE"""),545)</f>
        <v>545</v>
      </c>
      <c r="D160" t="str">
        <f ca="1">IFERROR(__xludf.DUMMYFUNCTION("""COMPUTED_VALUE"""),"Sobha Kuriakose")</f>
        <v>Sobha Kuriakose</v>
      </c>
      <c r="E160">
        <f ca="1">IFERROR(__xludf.DUMMYFUNCTION("""COMPUTED_VALUE"""),9076666514)</f>
        <v>9076666514</v>
      </c>
      <c r="F160" t="str">
        <f ca="1">IFERROR(__xludf.DUMMYFUNCTION("""COMPUTED_VALUE"""),"Thiruvananthapuram")</f>
        <v>Thiruvananthapuram</v>
      </c>
      <c r="G160" t="str">
        <f ca="1">IFERROR(__xludf.DUMMYFUNCTION("""COMPUTED_VALUE"""),"Wattsun Energy India Private Limited")</f>
        <v>Wattsun Energy India Private Limited</v>
      </c>
      <c r="H160">
        <f ca="1">IFERROR(__xludf.DUMMYFUNCTION("""COMPUTED_VALUE"""),54)</f>
        <v>54</v>
      </c>
      <c r="I160" s="4">
        <f ca="1">IFERROR(__xludf.DUMMYFUNCTION("""COMPUTED_VALUE"""),43175)</f>
        <v>43175</v>
      </c>
      <c r="J160">
        <f ca="1">IFERROR(__xludf.DUMMYFUNCTION("""COMPUTED_VALUE"""),5)</f>
        <v>5</v>
      </c>
      <c r="K160">
        <f ca="1">IFERROR(__xludf.DUMMYFUNCTION("""COMPUTED_VALUE"""),1145075008271)</f>
        <v>1145075008271</v>
      </c>
      <c r="L160" t="str">
        <f ca="1">IFERROR(__xludf.DUMMYFUNCTION("""COMPUTED_VALUE"""),"Vellayambalam")</f>
        <v>Vellayambalam</v>
      </c>
      <c r="M160" t="str">
        <f ca="1">IFERROR(__xludf.DUMMYFUNCTION("""COMPUTED_VALUE"""),"I Accept")</f>
        <v>I Accept</v>
      </c>
      <c r="N160" s="4">
        <f ca="1">IFERROR(__xludf.DUMMYFUNCTION("""COMPUTED_VALUE"""),43174)</f>
        <v>43174</v>
      </c>
      <c r="O160" s="4">
        <f ca="1">IFERROR(__xludf.DUMMYFUNCTION("""COMPUTED_VALUE"""),43174)</f>
        <v>43174</v>
      </c>
      <c r="P160">
        <f ca="1">IFERROR(__xludf.DUMMYFUNCTION("""COMPUTED_VALUE"""),5)</f>
        <v>5</v>
      </c>
      <c r="Q160" t="str">
        <f ca="1">IFERROR(__xludf.DUMMYFUNCTION("""COMPUTED_VALUE"""),"info@wattsun.in")</f>
        <v>info@wattsun.in</v>
      </c>
      <c r="R160" s="2" t="s">
        <v>2552</v>
      </c>
    </row>
    <row r="161" spans="1:18" ht="13" x14ac:dyDescent="0.15">
      <c r="A161" s="3">
        <f ca="1">IFERROR(__xludf.DUMMYFUNCTION("""COMPUTED_VALUE"""),43175.7008653588)</f>
        <v>43175.700865358798</v>
      </c>
      <c r="B161" t="str">
        <f ca="1">IFERROR(__xludf.DUMMYFUNCTION("""COMPUTED_VALUE"""),"info@wattsun.in")</f>
        <v>info@wattsun.in</v>
      </c>
      <c r="C161">
        <f ca="1">IFERROR(__xludf.DUMMYFUNCTION("""COMPUTED_VALUE"""),540)</f>
        <v>540</v>
      </c>
      <c r="D161" t="str">
        <f ca="1">IFERROR(__xludf.DUMMYFUNCTION("""COMPUTED_VALUE"""),"Lalitha Kailas")</f>
        <v>Lalitha Kailas</v>
      </c>
      <c r="E161">
        <f ca="1">IFERROR(__xludf.DUMMYFUNCTION("""COMPUTED_VALUE"""),9072666514)</f>
        <v>9072666514</v>
      </c>
      <c r="F161" t="str">
        <f ca="1">IFERROR(__xludf.DUMMYFUNCTION("""COMPUTED_VALUE"""),"Thiruvananthapuram")</f>
        <v>Thiruvananthapuram</v>
      </c>
      <c r="G161" t="str">
        <f ca="1">IFERROR(__xludf.DUMMYFUNCTION("""COMPUTED_VALUE"""),"Wattsun Energy India Private Limited")</f>
        <v>Wattsun Energy India Private Limited</v>
      </c>
      <c r="H161">
        <f ca="1">IFERROR(__xludf.DUMMYFUNCTION("""COMPUTED_VALUE"""),54)</f>
        <v>54</v>
      </c>
      <c r="I161" s="4">
        <f ca="1">IFERROR(__xludf.DUMMYFUNCTION("""COMPUTED_VALUE"""),43175)</f>
        <v>43175</v>
      </c>
      <c r="J161">
        <f ca="1">IFERROR(__xludf.DUMMYFUNCTION("""COMPUTED_VALUE"""),3)</f>
        <v>3</v>
      </c>
      <c r="K161">
        <f ca="1">IFERROR(__xludf.DUMMYFUNCTION("""COMPUTED_VALUE"""),1145087000413)</f>
        <v>1145087000413</v>
      </c>
      <c r="L161" t="str">
        <f ca="1">IFERROR(__xludf.DUMMYFUNCTION("""COMPUTED_VALUE"""),"Peroorkada")</f>
        <v>Peroorkada</v>
      </c>
      <c r="M161" t="str">
        <f ca="1">IFERROR(__xludf.DUMMYFUNCTION("""COMPUTED_VALUE"""),"I Accept")</f>
        <v>I Accept</v>
      </c>
      <c r="N161" s="4">
        <f ca="1">IFERROR(__xludf.DUMMYFUNCTION("""COMPUTED_VALUE"""),43162)</f>
        <v>43162</v>
      </c>
      <c r="O161" s="4">
        <f ca="1">IFERROR(__xludf.DUMMYFUNCTION("""COMPUTED_VALUE"""),43162)</f>
        <v>43162</v>
      </c>
      <c r="P161">
        <f ca="1">IFERROR(__xludf.DUMMYFUNCTION("""COMPUTED_VALUE"""),3)</f>
        <v>3</v>
      </c>
      <c r="Q161" t="str">
        <f ca="1">IFERROR(__xludf.DUMMYFUNCTION("""COMPUTED_VALUE"""),"info@wattsun.in")</f>
        <v>info@wattsun.in</v>
      </c>
      <c r="R161" s="2" t="s">
        <v>2567</v>
      </c>
    </row>
    <row r="162" spans="1:18" ht="13" x14ac:dyDescent="0.15">
      <c r="A162" s="3">
        <f ca="1">IFERROR(__xludf.DUMMYFUNCTION("""COMPUTED_VALUE"""),43176.4958436689)</f>
        <v>43176.495843668898</v>
      </c>
      <c r="B162" t="str">
        <f ca="1">IFERROR(__xludf.DUMMYFUNCTION("""COMPUTED_VALUE"""),"aneesakamar@gmail.com")</f>
        <v>aneesakamar@gmail.com</v>
      </c>
      <c r="C162">
        <f ca="1">IFERROR(__xludf.DUMMYFUNCTION("""COMPUTED_VALUE"""),152)</f>
        <v>152</v>
      </c>
      <c r="D162" t="str">
        <f ca="1">IFERROR(__xludf.DUMMYFUNCTION("""COMPUTED_VALUE"""),"Aneesa Kamaruddin")</f>
        <v>Aneesa Kamaruddin</v>
      </c>
      <c r="E162">
        <f ca="1">IFERROR(__xludf.DUMMYFUNCTION("""COMPUTED_VALUE"""),9847457891)</f>
        <v>9847457891</v>
      </c>
      <c r="F162" t="str">
        <f ca="1">IFERROR(__xludf.DUMMYFUNCTION("""COMPUTED_VALUE"""),"Ernakulam")</f>
        <v>Ernakulam</v>
      </c>
      <c r="G162" t="str">
        <f ca="1">IFERROR(__xludf.DUMMYFUNCTION("""COMPUTED_VALUE"""),"ALTERNATE ENERGY CORPORATION")</f>
        <v>ALTERNATE ENERGY CORPORATION</v>
      </c>
      <c r="H162">
        <f ca="1">IFERROR(__xludf.DUMMYFUNCTION("""COMPUTED_VALUE"""),22)</f>
        <v>22</v>
      </c>
      <c r="I162" s="4">
        <f ca="1">IFERROR(__xludf.DUMMYFUNCTION("""COMPUTED_VALUE"""),43145)</f>
        <v>43145</v>
      </c>
      <c r="J162">
        <f ca="1">IFERROR(__xludf.DUMMYFUNCTION("""COMPUTED_VALUE"""),3)</f>
        <v>3</v>
      </c>
      <c r="K162">
        <f ca="1">IFERROR(__xludf.DUMMYFUNCTION("""COMPUTED_VALUE"""),1155693023476)</f>
        <v>1155693023476</v>
      </c>
      <c r="L162" t="str">
        <f ca="1">IFERROR(__xludf.DUMMYFUNCTION("""COMPUTED_VALUE"""),"Aluva West")</f>
        <v>Aluva West</v>
      </c>
      <c r="M162" t="str">
        <f ca="1">IFERROR(__xludf.DUMMYFUNCTION("""COMPUTED_VALUE"""),"I Accept")</f>
        <v>I Accept</v>
      </c>
      <c r="N162" s="4">
        <f ca="1">IFERROR(__xludf.DUMMYFUNCTION("""COMPUTED_VALUE"""),43174)</f>
        <v>43174</v>
      </c>
      <c r="O162" s="4">
        <f ca="1">IFERROR(__xludf.DUMMYFUNCTION("""COMPUTED_VALUE"""),43174)</f>
        <v>43174</v>
      </c>
      <c r="P162">
        <f ca="1">IFERROR(__xludf.DUMMYFUNCTION("""COMPUTED_VALUE"""),3)</f>
        <v>3</v>
      </c>
      <c r="Q162" t="str">
        <f ca="1">IFERROR(__xludf.DUMMYFUNCTION("""COMPUTED_VALUE"""),"aneesakamar@gmail.com")</f>
        <v>aneesakamar@gmail.com</v>
      </c>
      <c r="R162" s="2" t="s">
        <v>2576</v>
      </c>
    </row>
    <row r="163" spans="1:18" ht="13" x14ac:dyDescent="0.15">
      <c r="A163" s="3">
        <f ca="1">IFERROR(__xludf.DUMMYFUNCTION("""COMPUTED_VALUE"""),43176.7042169097)</f>
        <v>43176.704216909697</v>
      </c>
      <c r="B163" t="str">
        <f ca="1">IFERROR(__xludf.DUMMYFUNCTION("""COMPUTED_VALUE"""),"info@raidcorenewables.in")</f>
        <v>info@raidcorenewables.in</v>
      </c>
      <c r="C163">
        <f ca="1">IFERROR(__xludf.DUMMYFUNCTION("""COMPUTED_VALUE"""),234)</f>
        <v>234</v>
      </c>
      <c r="D163" t="str">
        <f ca="1">IFERROR(__xludf.DUMMYFUNCTION("""COMPUTED_VALUE"""),"Dr.Muralikrishnan Nambiar")</f>
        <v>Dr.Muralikrishnan Nambiar</v>
      </c>
      <c r="E163">
        <f ca="1">IFERROR(__xludf.DUMMYFUNCTION("""COMPUTED_VALUE"""),9961911150)</f>
        <v>9961911150</v>
      </c>
      <c r="F163" t="str">
        <f ca="1">IFERROR(__xludf.DUMMYFUNCTION("""COMPUTED_VALUE"""),"Kannur")</f>
        <v>Kannur</v>
      </c>
      <c r="G163" t="str">
        <f ca="1">IFERROR(__xludf.DUMMYFUNCTION("""COMPUTED_VALUE"""),"RAIDCO Kerala Ltd.")</f>
        <v>RAIDCO Kerala Ltd.</v>
      </c>
      <c r="H163">
        <f ca="1">IFERROR(__xludf.DUMMYFUNCTION("""COMPUTED_VALUE"""),69)</f>
        <v>69</v>
      </c>
      <c r="I163" s="4">
        <f ca="1">IFERROR(__xludf.DUMMYFUNCTION("""COMPUTED_VALUE"""),43176)</f>
        <v>43176</v>
      </c>
      <c r="J163">
        <f ca="1">IFERROR(__xludf.DUMMYFUNCTION("""COMPUTED_VALUE"""),3)</f>
        <v>3</v>
      </c>
      <c r="K163">
        <f ca="1">IFERROR(__xludf.DUMMYFUNCTION("""COMPUTED_VALUE"""),1166535012022)</f>
        <v>1166535012022</v>
      </c>
      <c r="L163" t="str">
        <f ca="1">IFERROR(__xludf.DUMMYFUNCTION("""COMPUTED_VALUE"""),"PALLIKUNNU")</f>
        <v>PALLIKUNNU</v>
      </c>
      <c r="M163" t="str">
        <f ca="1">IFERROR(__xludf.DUMMYFUNCTION("""COMPUTED_VALUE"""),"I Accept")</f>
        <v>I Accept</v>
      </c>
      <c r="N163" s="4">
        <f ca="1">IFERROR(__xludf.DUMMYFUNCTION("""COMPUTED_VALUE"""),43176)</f>
        <v>43176</v>
      </c>
      <c r="O163" s="4">
        <f ca="1">IFERROR(__xludf.DUMMYFUNCTION("""COMPUTED_VALUE"""),43176)</f>
        <v>43176</v>
      </c>
      <c r="P163">
        <f ca="1">IFERROR(__xludf.DUMMYFUNCTION("""COMPUTED_VALUE"""),3)</f>
        <v>3</v>
      </c>
      <c r="Q163" t="str">
        <f ca="1">IFERROR(__xludf.DUMMYFUNCTION("""COMPUTED_VALUE"""),"akmuralinambiar@gmail.com")</f>
        <v>akmuralinambiar@gmail.com</v>
      </c>
      <c r="R163" s="2" t="s">
        <v>2577</v>
      </c>
    </row>
    <row r="164" spans="1:18" ht="13" x14ac:dyDescent="0.15">
      <c r="A164" s="3">
        <f ca="1">IFERROR(__xludf.DUMMYFUNCTION("""COMPUTED_VALUE"""),43178.6375920138)</f>
        <v>43178.637592013802</v>
      </c>
      <c r="B164" t="str">
        <f ca="1">IFERROR(__xludf.DUMMYFUNCTION("""COMPUTED_VALUE"""),"lalitker@gmail.com")</f>
        <v>lalitker@gmail.com</v>
      </c>
      <c r="C164">
        <f ca="1">IFERROR(__xludf.DUMMYFUNCTION("""COMPUTED_VALUE"""),47)</f>
        <v>47</v>
      </c>
      <c r="D164" t="str">
        <f ca="1">IFERROR(__xludf.DUMMYFUNCTION("""COMPUTED_VALUE"""),"Sandhya A Kamath")</f>
        <v>Sandhya A Kamath</v>
      </c>
      <c r="E164">
        <f ca="1">IFERROR(__xludf.DUMMYFUNCTION("""COMPUTED_VALUE"""),9447730866)</f>
        <v>9447730866</v>
      </c>
      <c r="F164" t="str">
        <f ca="1">IFERROR(__xludf.DUMMYFUNCTION("""COMPUTED_VALUE"""),"Ernakulam")</f>
        <v>Ernakulam</v>
      </c>
      <c r="G164" t="str">
        <f ca="1">IFERROR(__xludf.DUMMYFUNCTION("""COMPUTED_VALUE"""),"Kraftwork Solar Pvt. Ltd.")</f>
        <v>Kraftwork Solar Pvt. Ltd.</v>
      </c>
      <c r="H164">
        <f ca="1">IFERROR(__xludf.DUMMYFUNCTION("""COMPUTED_VALUE"""),26)</f>
        <v>26</v>
      </c>
      <c r="I164" s="4">
        <f ca="1">IFERROR(__xludf.DUMMYFUNCTION("""COMPUTED_VALUE"""),43171)</f>
        <v>43171</v>
      </c>
      <c r="J164">
        <f ca="1">IFERROR(__xludf.DUMMYFUNCTION("""COMPUTED_VALUE"""),3)</f>
        <v>3</v>
      </c>
      <c r="K164">
        <f ca="1">IFERROR(__xludf.DUMMYFUNCTION("""COMPUTED_VALUE"""),1155457002087)</f>
        <v>1155457002087</v>
      </c>
      <c r="L164" t="str">
        <f ca="1">IFERROR(__xludf.DUMMYFUNCTION("""COMPUTED_VALUE"""),"Kaloor")</f>
        <v>Kaloor</v>
      </c>
      <c r="M164" t="str">
        <f ca="1">IFERROR(__xludf.DUMMYFUNCTION("""COMPUTED_VALUE"""),"I Accept")</f>
        <v>I Accept</v>
      </c>
      <c r="N164" s="4">
        <f ca="1">IFERROR(__xludf.DUMMYFUNCTION("""COMPUTED_VALUE"""),43146)</f>
        <v>43146</v>
      </c>
      <c r="O164" s="4">
        <f ca="1">IFERROR(__xludf.DUMMYFUNCTION("""COMPUTED_VALUE"""),43146)</f>
        <v>43146</v>
      </c>
      <c r="P164">
        <f ca="1">IFERROR(__xludf.DUMMYFUNCTION("""COMPUTED_VALUE"""),3)</f>
        <v>3</v>
      </c>
      <c r="Q164" t="str">
        <f ca="1">IFERROR(__xludf.DUMMYFUNCTION("""COMPUTED_VALUE"""),"info@kraftworksolar.com")</f>
        <v>info@kraftworksolar.com</v>
      </c>
      <c r="R164" s="2" t="s">
        <v>2578</v>
      </c>
    </row>
    <row r="165" spans="1:18" ht="13" x14ac:dyDescent="0.15">
      <c r="A165" s="3">
        <f ca="1">IFERROR(__xludf.DUMMYFUNCTION("""COMPUTED_VALUE"""),43178.6459999074)</f>
        <v>43178.6459999074</v>
      </c>
      <c r="B165" t="str">
        <f ca="1">IFERROR(__xludf.DUMMYFUNCTION("""COMPUTED_VALUE"""),"krishnanck@ymail.com")</f>
        <v>krishnanck@ymail.com</v>
      </c>
      <c r="C165">
        <f ca="1">IFERROR(__xludf.DUMMYFUNCTION("""COMPUTED_VALUE"""),447)</f>
        <v>447</v>
      </c>
      <c r="D165" t="str">
        <f ca="1">IFERROR(__xludf.DUMMYFUNCTION("""COMPUTED_VALUE"""),"Krishnan.C.K")</f>
        <v>Krishnan.C.K</v>
      </c>
      <c r="E165">
        <f ca="1">IFERROR(__xludf.DUMMYFUNCTION("""COMPUTED_VALUE"""),9846031953)</f>
        <v>9846031953</v>
      </c>
      <c r="F165" t="str">
        <f ca="1">IFERROR(__xludf.DUMMYFUNCTION("""COMPUTED_VALUE"""),"Ernakulam")</f>
        <v>Ernakulam</v>
      </c>
      <c r="G165" t="str">
        <f ca="1">IFERROR(__xludf.DUMMYFUNCTION("""COMPUTED_VALUE"""),"Kraftwork Solar Pvt. Ltd.")</f>
        <v>Kraftwork Solar Pvt. Ltd.</v>
      </c>
      <c r="H165">
        <f ca="1">IFERROR(__xludf.DUMMYFUNCTION("""COMPUTED_VALUE"""),26)</f>
        <v>26</v>
      </c>
      <c r="I165" s="4">
        <f ca="1">IFERROR(__xludf.DUMMYFUNCTION("""COMPUTED_VALUE"""),43178)</f>
        <v>43178</v>
      </c>
      <c r="J165">
        <f ca="1">IFERROR(__xludf.DUMMYFUNCTION("""COMPUTED_VALUE"""),3)</f>
        <v>3</v>
      </c>
      <c r="K165">
        <f ca="1">IFERROR(__xludf.DUMMYFUNCTION("""COMPUTED_VALUE"""),1155429005429)</f>
        <v>1155429005429</v>
      </c>
      <c r="L165" t="str">
        <f ca="1">IFERROR(__xludf.DUMMYFUNCTION("""COMPUTED_VALUE"""),"Girinagar")</f>
        <v>Girinagar</v>
      </c>
      <c r="M165" t="str">
        <f ca="1">IFERROR(__xludf.DUMMYFUNCTION("""COMPUTED_VALUE"""),"I Accept")</f>
        <v>I Accept</v>
      </c>
      <c r="N165" s="4">
        <f ca="1">IFERROR(__xludf.DUMMYFUNCTION("""COMPUTED_VALUE"""),43165)</f>
        <v>43165</v>
      </c>
      <c r="O165" s="4">
        <f ca="1">IFERROR(__xludf.DUMMYFUNCTION("""COMPUTED_VALUE"""),43165)</f>
        <v>43165</v>
      </c>
      <c r="P165">
        <f ca="1">IFERROR(__xludf.DUMMYFUNCTION("""COMPUTED_VALUE"""),3)</f>
        <v>3</v>
      </c>
      <c r="Q165" t="str">
        <f ca="1">IFERROR(__xludf.DUMMYFUNCTION("""COMPUTED_VALUE"""),"krishnanck@ymail.com")</f>
        <v>krishnanck@ymail.com</v>
      </c>
      <c r="R165" s="2" t="s">
        <v>2579</v>
      </c>
    </row>
    <row r="166" spans="1:18" ht="13" x14ac:dyDescent="0.15">
      <c r="A166" s="3">
        <f ca="1">IFERROR(__xludf.DUMMYFUNCTION("""COMPUTED_VALUE"""),43178.7000720717)</f>
        <v>43178.700072071697</v>
      </c>
      <c r="B166" t="str">
        <f ca="1">IFERROR(__xludf.DUMMYFUNCTION("""COMPUTED_VALUE"""),"info@solartechind.com")</f>
        <v>info@solartechind.com</v>
      </c>
      <c r="C166">
        <f ca="1">IFERROR(__xludf.DUMMYFUNCTION("""COMPUTED_VALUE"""),73)</f>
        <v>73</v>
      </c>
      <c r="D166" t="str">
        <f ca="1">IFERROR(__xludf.DUMMYFUNCTION("""COMPUTED_VALUE"""),"Pushpakumari. R")</f>
        <v>Pushpakumari. R</v>
      </c>
      <c r="E166">
        <f ca="1">IFERROR(__xludf.DUMMYFUNCTION("""COMPUTED_VALUE"""),9387707733)</f>
        <v>9387707733</v>
      </c>
      <c r="F166" t="str">
        <f ca="1">IFERROR(__xludf.DUMMYFUNCTION("""COMPUTED_VALUE"""),"Thiruvananthapuram")</f>
        <v>Thiruvananthapuram</v>
      </c>
      <c r="G166" t="str">
        <f ca="1">IFERROR(__xludf.DUMMYFUNCTION("""COMPUTED_VALUE"""),"SOLAR TECH")</f>
        <v>SOLAR TECH</v>
      </c>
      <c r="H166">
        <f ca="1">IFERROR(__xludf.DUMMYFUNCTION("""COMPUTED_VALUE"""),4)</f>
        <v>4</v>
      </c>
      <c r="I166" s="4">
        <f ca="1">IFERROR(__xludf.DUMMYFUNCTION("""COMPUTED_VALUE"""),43152)</f>
        <v>43152</v>
      </c>
      <c r="J166">
        <f ca="1">IFERROR(__xludf.DUMMYFUNCTION("""COMPUTED_VALUE"""),3)</f>
        <v>3</v>
      </c>
      <c r="K166">
        <f ca="1">IFERROR(__xludf.DUMMYFUNCTION("""COMPUTED_VALUE"""),1145071011414)</f>
        <v>1145071011414</v>
      </c>
      <c r="L166" t="str">
        <f ca="1">IFERROR(__xludf.DUMMYFUNCTION("""COMPUTED_VALUE"""),"Vellayambalam")</f>
        <v>Vellayambalam</v>
      </c>
      <c r="M166" t="str">
        <f ca="1">IFERROR(__xludf.DUMMYFUNCTION("""COMPUTED_VALUE"""),"I Accept")</f>
        <v>I Accept</v>
      </c>
      <c r="N166" s="4">
        <f ca="1">IFERROR(__xludf.DUMMYFUNCTION("""COMPUTED_VALUE"""),43175)</f>
        <v>43175</v>
      </c>
      <c r="O166" s="4">
        <f ca="1">IFERROR(__xludf.DUMMYFUNCTION("""COMPUTED_VALUE"""),43175)</f>
        <v>43175</v>
      </c>
      <c r="P166">
        <f ca="1">IFERROR(__xludf.DUMMYFUNCTION("""COMPUTED_VALUE"""),3)</f>
        <v>3</v>
      </c>
      <c r="Q166" t="str">
        <f ca="1">IFERROR(__xludf.DUMMYFUNCTION("""COMPUTED_VALUE"""),"info@solartechind.com")</f>
        <v>info@solartechind.com</v>
      </c>
      <c r="R166" s="2" t="s">
        <v>2580</v>
      </c>
    </row>
    <row r="167" spans="1:18" ht="13" x14ac:dyDescent="0.15">
      <c r="A167" s="3">
        <f ca="1">IFERROR(__xludf.DUMMYFUNCTION("""COMPUTED_VALUE"""),43178.7502711805)</f>
        <v>43178.750271180499</v>
      </c>
      <c r="B167" t="str">
        <f ca="1">IFERROR(__xludf.DUMMYFUNCTION("""COMPUTED_VALUE"""),"info@wattsun.in")</f>
        <v>info@wattsun.in</v>
      </c>
      <c r="C167">
        <f ca="1">IFERROR(__xludf.DUMMYFUNCTION("""COMPUTED_VALUE"""),92)</f>
        <v>92</v>
      </c>
      <c r="D167" t="str">
        <f ca="1">IFERROR(__xludf.DUMMYFUNCTION("""COMPUTED_VALUE"""),"Anil Kumar ")</f>
        <v xml:space="preserve">Anil Kumar </v>
      </c>
      <c r="E167">
        <f ca="1">IFERROR(__xludf.DUMMYFUNCTION("""COMPUTED_VALUE"""),9388106363)</f>
        <v>9388106363</v>
      </c>
      <c r="F167" t="str">
        <f ca="1">IFERROR(__xludf.DUMMYFUNCTION("""COMPUTED_VALUE"""),"Thiruvananthapuram")</f>
        <v>Thiruvananthapuram</v>
      </c>
      <c r="G167" t="str">
        <f ca="1">IFERROR(__xludf.DUMMYFUNCTION("""COMPUTED_VALUE"""),"Wattsun Energy India Pvt Ltd")</f>
        <v>Wattsun Energy India Pvt Ltd</v>
      </c>
      <c r="H167">
        <f ca="1">IFERROR(__xludf.DUMMYFUNCTION("""COMPUTED_VALUE"""),54)</f>
        <v>54</v>
      </c>
      <c r="I167" s="4">
        <f ca="1">IFERROR(__xludf.DUMMYFUNCTION("""COMPUTED_VALUE"""),43178)</f>
        <v>43178</v>
      </c>
      <c r="J167">
        <f ca="1">IFERROR(__xludf.DUMMYFUNCTION("""COMPUTED_VALUE"""),3)</f>
        <v>3</v>
      </c>
      <c r="K167">
        <f ca="1">IFERROR(__xludf.DUMMYFUNCTION("""COMPUTED_VALUE"""),6058)</f>
        <v>6058</v>
      </c>
      <c r="L167" t="str">
        <f ca="1">IFERROR(__xludf.DUMMYFUNCTION("""COMPUTED_VALUE"""),"Krchani")</f>
        <v>Krchani</v>
      </c>
      <c r="M167" t="str">
        <f ca="1">IFERROR(__xludf.DUMMYFUNCTION("""COMPUTED_VALUE"""),"I Accept")</f>
        <v>I Accept</v>
      </c>
      <c r="N167" s="4">
        <f ca="1">IFERROR(__xludf.DUMMYFUNCTION("""COMPUTED_VALUE"""),43158)</f>
        <v>43158</v>
      </c>
      <c r="O167" s="4">
        <f ca="1">IFERROR(__xludf.DUMMYFUNCTION("""COMPUTED_VALUE"""),43158)</f>
        <v>43158</v>
      </c>
      <c r="P167">
        <f ca="1">IFERROR(__xludf.DUMMYFUNCTION("""COMPUTED_VALUE"""),3)</f>
        <v>3</v>
      </c>
      <c r="Q167" t="str">
        <f ca="1">IFERROR(__xludf.DUMMYFUNCTION("""COMPUTED_VALUE"""),"info@wattsun.in")</f>
        <v>info@wattsun.in</v>
      </c>
      <c r="R167" s="2" t="s">
        <v>2581</v>
      </c>
    </row>
    <row r="168" spans="1:18" ht="13" x14ac:dyDescent="0.15">
      <c r="A168" s="3">
        <f ca="1">IFERROR(__xludf.DUMMYFUNCTION("""COMPUTED_VALUE"""),43178.7563455439)</f>
        <v>43178.756345543901</v>
      </c>
      <c r="B168" t="str">
        <f ca="1">IFERROR(__xludf.DUMMYFUNCTION("""COMPUTED_VALUE"""),"info@wattsun.in")</f>
        <v>info@wattsun.in</v>
      </c>
      <c r="C168">
        <f ca="1">IFERROR(__xludf.DUMMYFUNCTION("""COMPUTED_VALUE"""),241)</f>
        <v>241</v>
      </c>
      <c r="D168" t="str">
        <f ca="1">IFERROR(__xludf.DUMMYFUNCTION("""COMPUTED_VALUE"""),"Manoj Kumar M")</f>
        <v>Manoj Kumar M</v>
      </c>
      <c r="E168">
        <f ca="1">IFERROR(__xludf.DUMMYFUNCTION("""COMPUTED_VALUE"""),9388106363)</f>
        <v>9388106363</v>
      </c>
      <c r="F168" t="str">
        <f ca="1">IFERROR(__xludf.DUMMYFUNCTION("""COMPUTED_VALUE"""),"Thiruvananthapuram")</f>
        <v>Thiruvananthapuram</v>
      </c>
      <c r="G168" t="str">
        <f ca="1">IFERROR(__xludf.DUMMYFUNCTION("""COMPUTED_VALUE"""),"Wattsun Energy India Pvt Ltd")</f>
        <v>Wattsun Energy India Pvt Ltd</v>
      </c>
      <c r="H168">
        <f ca="1">IFERROR(__xludf.DUMMYFUNCTION("""COMPUTED_VALUE"""),54)</f>
        <v>54</v>
      </c>
      <c r="I168" s="4">
        <f ca="1">IFERROR(__xludf.DUMMYFUNCTION("""COMPUTED_VALUE"""),43178)</f>
        <v>43178</v>
      </c>
      <c r="J168">
        <f ca="1">IFERROR(__xludf.DUMMYFUNCTION("""COMPUTED_VALUE"""),3)</f>
        <v>3</v>
      </c>
      <c r="K168">
        <f ca="1">IFERROR(__xludf.DUMMYFUNCTION("""COMPUTED_VALUE"""),1145197021845)</f>
        <v>1145197021845</v>
      </c>
      <c r="L168" t="str">
        <f ca="1">IFERROR(__xludf.DUMMYFUNCTION("""COMPUTED_VALUE"""),"Sreekariyam")</f>
        <v>Sreekariyam</v>
      </c>
      <c r="M168" t="str">
        <f ca="1">IFERROR(__xludf.DUMMYFUNCTION("""COMPUTED_VALUE"""),"I Accept")</f>
        <v>I Accept</v>
      </c>
      <c r="N168" s="4">
        <f ca="1">IFERROR(__xludf.DUMMYFUNCTION("""COMPUTED_VALUE"""),43175)</f>
        <v>43175</v>
      </c>
      <c r="O168" s="4">
        <f ca="1">IFERROR(__xludf.DUMMYFUNCTION("""COMPUTED_VALUE"""),43175)</f>
        <v>43175</v>
      </c>
      <c r="P168">
        <f ca="1">IFERROR(__xludf.DUMMYFUNCTION("""COMPUTED_VALUE"""),3)</f>
        <v>3</v>
      </c>
      <c r="Q168" t="str">
        <f ca="1">IFERROR(__xludf.DUMMYFUNCTION("""COMPUTED_VALUE"""),"info@wattsun.in")</f>
        <v>info@wattsun.in</v>
      </c>
      <c r="R168" s="2" t="s">
        <v>2582</v>
      </c>
    </row>
    <row r="169" spans="1:18" ht="13" x14ac:dyDescent="0.15">
      <c r="A169" s="3">
        <f ca="1">IFERROR(__xludf.DUMMYFUNCTION("""COMPUTED_VALUE"""),43178.7750163541)</f>
        <v>43178.775016354099</v>
      </c>
      <c r="B169" t="str">
        <f ca="1">IFERROR(__xludf.DUMMYFUNCTION("""COMPUTED_VALUE"""),"usha.karthik@srilankan.com")</f>
        <v>usha.karthik@srilankan.com</v>
      </c>
      <c r="C169">
        <f ca="1">IFERROR(__xludf.DUMMYFUNCTION("""COMPUTED_VALUE"""),601)</f>
        <v>601</v>
      </c>
      <c r="D169" t="str">
        <f ca="1">IFERROR(__xludf.DUMMYFUNCTION("""COMPUTED_VALUE"""),"USHA KARTHIK")</f>
        <v>USHA KARTHIK</v>
      </c>
      <c r="E169">
        <f ca="1">IFERROR(__xludf.DUMMYFUNCTION("""COMPUTED_VALUE"""),9847064064)</f>
        <v>9847064064</v>
      </c>
      <c r="F169" t="str">
        <f ca="1">IFERROR(__xludf.DUMMYFUNCTION("""COMPUTED_VALUE"""),"Ernakulam")</f>
        <v>Ernakulam</v>
      </c>
      <c r="G169" t="str">
        <f ca="1">IFERROR(__xludf.DUMMYFUNCTION("""COMPUTED_VALUE"""),"INDEX INFORMATICS SYSTEMS PVT LTD")</f>
        <v>INDEX INFORMATICS SYSTEMS PVT LTD</v>
      </c>
      <c r="H169">
        <f ca="1">IFERROR(__xludf.DUMMYFUNCTION("""COMPUTED_VALUE"""),12)</f>
        <v>12</v>
      </c>
      <c r="I169" s="4">
        <f ca="1">IFERROR(__xludf.DUMMYFUNCTION("""COMPUTED_VALUE"""),43175)</f>
        <v>43175</v>
      </c>
      <c r="J169">
        <f ca="1">IFERROR(__xludf.DUMMYFUNCTION("""COMPUTED_VALUE"""),5)</f>
        <v>5</v>
      </c>
      <c r="K169">
        <f ca="1">IFERROR(__xludf.DUMMYFUNCTION("""COMPUTED_VALUE"""),1155429016867)</f>
        <v>1155429016867</v>
      </c>
      <c r="L169" t="str">
        <f ca="1">IFERROR(__xludf.DUMMYFUNCTION("""COMPUTED_VALUE"""),"GIRINAGAR")</f>
        <v>GIRINAGAR</v>
      </c>
      <c r="M169" t="str">
        <f ca="1">IFERROR(__xludf.DUMMYFUNCTION("""COMPUTED_VALUE"""),"I Accept")</f>
        <v>I Accept</v>
      </c>
      <c r="N169" s="4">
        <f ca="1">IFERROR(__xludf.DUMMYFUNCTION("""COMPUTED_VALUE"""),43173)</f>
        <v>43173</v>
      </c>
      <c r="O169" s="4">
        <f ca="1">IFERROR(__xludf.DUMMYFUNCTION("""COMPUTED_VALUE"""),43173)</f>
        <v>43173</v>
      </c>
      <c r="P169">
        <f ca="1">IFERROR(__xludf.DUMMYFUNCTION("""COMPUTED_VALUE"""),5)</f>
        <v>5</v>
      </c>
      <c r="Q169" t="str">
        <f ca="1">IFERROR(__xludf.DUMMYFUNCTION("""COMPUTED_VALUE"""),"usha.karthik@srilankan.com")</f>
        <v>usha.karthik@srilankan.com</v>
      </c>
      <c r="R169" s="2" t="s">
        <v>2583</v>
      </c>
    </row>
    <row r="170" spans="1:18" ht="13" x14ac:dyDescent="0.15">
      <c r="A170" s="3">
        <f ca="1">IFERROR(__xludf.DUMMYFUNCTION("""COMPUTED_VALUE"""),43179.4550262847)</f>
        <v>43179.455026284697</v>
      </c>
      <c r="B170" t="str">
        <f ca="1">IFERROR(__xludf.DUMMYFUNCTION("""COMPUTED_VALUE"""),"silverwoodsekm@gmail.com")</f>
        <v>silverwoodsekm@gmail.com</v>
      </c>
      <c r="C170">
        <f ca="1">IFERROR(__xludf.DUMMYFUNCTION("""COMPUTED_VALUE"""),411)</f>
        <v>411</v>
      </c>
      <c r="D170" t="str">
        <f ca="1">IFERROR(__xludf.DUMMYFUNCTION("""COMPUTED_VALUE"""),"RAJEEV KUMAR T B")</f>
        <v>RAJEEV KUMAR T B</v>
      </c>
      <c r="E170">
        <f ca="1">IFERROR(__xludf.DUMMYFUNCTION("""COMPUTED_VALUE"""),9526991113)</f>
        <v>9526991113</v>
      </c>
      <c r="F170" t="str">
        <f ca="1">IFERROR(__xludf.DUMMYFUNCTION("""COMPUTED_VALUE"""),"Ernakulam")</f>
        <v>Ernakulam</v>
      </c>
      <c r="G170" t="str">
        <f ca="1">IFERROR(__xludf.DUMMYFUNCTION("""COMPUTED_VALUE"""),"TATA POWER SOLAR SYSTEMS LTD")</f>
        <v>TATA POWER SOLAR SYSTEMS LTD</v>
      </c>
      <c r="H170">
        <f ca="1">IFERROR(__xludf.DUMMYFUNCTION("""COMPUTED_VALUE"""),20)</f>
        <v>20</v>
      </c>
      <c r="I170" s="4">
        <f ca="1">IFERROR(__xludf.DUMMYFUNCTION("""COMPUTED_VALUE"""),43175)</f>
        <v>43175</v>
      </c>
      <c r="J170">
        <f ca="1">IFERROR(__xludf.DUMMYFUNCTION("""COMPUTED_VALUE"""),3)</f>
        <v>3</v>
      </c>
      <c r="K170">
        <f ca="1">IFERROR(__xludf.DUMMYFUNCTION("""COMPUTED_VALUE"""),1155407006420)</f>
        <v>1155407006420</v>
      </c>
      <c r="L170" t="str">
        <f ca="1">IFERROR(__xludf.DUMMYFUNCTION("""COMPUTED_VALUE"""),"5540-COLLEGE ERNAKULAM")</f>
        <v>5540-COLLEGE ERNAKULAM</v>
      </c>
      <c r="M170" t="str">
        <f ca="1">IFERROR(__xludf.DUMMYFUNCTION("""COMPUTED_VALUE"""),"I Accept")</f>
        <v>I Accept</v>
      </c>
      <c r="N170" s="4">
        <f ca="1">IFERROR(__xludf.DUMMYFUNCTION("""COMPUTED_VALUE"""),43120)</f>
        <v>43120</v>
      </c>
      <c r="O170" s="4">
        <f ca="1">IFERROR(__xludf.DUMMYFUNCTION("""COMPUTED_VALUE"""),43120)</f>
        <v>43120</v>
      </c>
      <c r="P170">
        <f ca="1">IFERROR(__xludf.DUMMYFUNCTION("""COMPUTED_VALUE"""),3)</f>
        <v>3</v>
      </c>
      <c r="Q170" t="str">
        <f ca="1">IFERROR(__xludf.DUMMYFUNCTION("""COMPUTED_VALUE"""),"silverwoodsekm@gmail.com")</f>
        <v>silverwoodsekm@gmail.com</v>
      </c>
      <c r="R170" s="2" t="s">
        <v>2584</v>
      </c>
    </row>
    <row r="171" spans="1:18" ht="13" x14ac:dyDescent="0.15">
      <c r="A171" s="3">
        <f ca="1">IFERROR(__xludf.DUMMYFUNCTION("""COMPUTED_VALUE"""),43179.5926347222)</f>
        <v>43179.592634722198</v>
      </c>
      <c r="B171" t="str">
        <f ca="1">IFERROR(__xludf.DUMMYFUNCTION("""COMPUTED_VALUE"""),"silverwoodsekm@gmail.com")</f>
        <v>silverwoodsekm@gmail.com</v>
      </c>
      <c r="C171">
        <f ca="1">IFERROR(__xludf.DUMMYFUNCTION("""COMPUTED_VALUE"""),301)</f>
        <v>301</v>
      </c>
      <c r="D171" t="str">
        <f ca="1">IFERROR(__xludf.DUMMYFUNCTION("""COMPUTED_VALUE"""),"JAISANKAR MOORTHI. A")</f>
        <v>JAISANKAR MOORTHI. A</v>
      </c>
      <c r="E171">
        <f ca="1">IFERROR(__xludf.DUMMYFUNCTION("""COMPUTED_VALUE"""),9495046371)</f>
        <v>9495046371</v>
      </c>
      <c r="F171" t="str">
        <f ca="1">IFERROR(__xludf.DUMMYFUNCTION("""COMPUTED_VALUE"""),"Ernakulam")</f>
        <v>Ernakulam</v>
      </c>
      <c r="G171" t="str">
        <f ca="1">IFERROR(__xludf.DUMMYFUNCTION("""COMPUTED_VALUE"""),"TATA POWER SOLAR SYSTEMS LTD")</f>
        <v>TATA POWER SOLAR SYSTEMS LTD</v>
      </c>
      <c r="H171">
        <f ca="1">IFERROR(__xludf.DUMMYFUNCTION("""COMPUTED_VALUE"""),20)</f>
        <v>20</v>
      </c>
      <c r="I171" s="4">
        <f ca="1">IFERROR(__xludf.DUMMYFUNCTION("""COMPUTED_VALUE"""),43150)</f>
        <v>43150</v>
      </c>
      <c r="J171">
        <f ca="1">IFERROR(__xludf.DUMMYFUNCTION("""COMPUTED_VALUE"""),3)</f>
        <v>3</v>
      </c>
      <c r="K171">
        <f ca="1">IFERROR(__xludf.DUMMYFUNCTION("""COMPUTED_VALUE"""),1155403009608)</f>
        <v>1155403009608</v>
      </c>
      <c r="L171" t="str">
        <f ca="1">IFERROR(__xludf.DUMMYFUNCTION("""COMPUTED_VALUE"""),"COLLEGE ERNAKULAM")</f>
        <v>COLLEGE ERNAKULAM</v>
      </c>
      <c r="M171" t="str">
        <f ca="1">IFERROR(__xludf.DUMMYFUNCTION("""COMPUTED_VALUE"""),"I Accept")</f>
        <v>I Accept</v>
      </c>
      <c r="N171" s="4">
        <f ca="1">IFERROR(__xludf.DUMMYFUNCTION("""COMPUTED_VALUE"""),43152)</f>
        <v>43152</v>
      </c>
      <c r="O171" s="4">
        <f ca="1">IFERROR(__xludf.DUMMYFUNCTION("""COMPUTED_VALUE"""),43152)</f>
        <v>43152</v>
      </c>
      <c r="P171">
        <f ca="1">IFERROR(__xludf.DUMMYFUNCTION("""COMPUTED_VALUE"""),3)</f>
        <v>3</v>
      </c>
      <c r="Q171" t="str">
        <f ca="1">IFERROR(__xludf.DUMMYFUNCTION("""COMPUTED_VALUE"""),"silverwoodsekm@gmail.com")</f>
        <v>silverwoodsekm@gmail.com</v>
      </c>
      <c r="R171" s="2" t="s">
        <v>2585</v>
      </c>
    </row>
    <row r="172" spans="1:18" ht="13" x14ac:dyDescent="0.15">
      <c r="A172" s="3">
        <f ca="1">IFERROR(__xludf.DUMMYFUNCTION("""COMPUTED_VALUE"""),43179.934416655)</f>
        <v>43179.934416655</v>
      </c>
      <c r="B172" t="str">
        <f ca="1">IFERROR(__xludf.DUMMYFUNCTION("""COMPUTED_VALUE"""),"Jobu88@gmail.com")</f>
        <v>Jobu88@gmail.com</v>
      </c>
      <c r="C172">
        <f ca="1">IFERROR(__xludf.DUMMYFUNCTION("""COMPUTED_VALUE"""),292)</f>
        <v>292</v>
      </c>
      <c r="D172" t="str">
        <f ca="1">IFERROR(__xludf.DUMMYFUNCTION("""COMPUTED_VALUE"""),"SADASIVAN R")</f>
        <v>SADASIVAN R</v>
      </c>
      <c r="E172">
        <f ca="1">IFERROR(__xludf.DUMMYFUNCTION("""COMPUTED_VALUE"""),8089244806)</f>
        <v>8089244806</v>
      </c>
      <c r="F172" t="str">
        <f ca="1">IFERROR(__xludf.DUMMYFUNCTION("""COMPUTED_VALUE"""),"Alappuzha")</f>
        <v>Alappuzha</v>
      </c>
      <c r="G172" t="str">
        <f ca="1">IFERROR(__xludf.DUMMYFUNCTION("""COMPUTED_VALUE"""),"RENEWABLE ENERGY SOLUTIONS P LTD")</f>
        <v>RENEWABLE ENERGY SOLUTIONS P LTD</v>
      </c>
      <c r="H172">
        <f ca="1">IFERROR(__xludf.DUMMYFUNCTION("""COMPUTED_VALUE"""),64)</f>
        <v>64</v>
      </c>
      <c r="I172" s="4">
        <f ca="1">IFERROR(__xludf.DUMMYFUNCTION("""COMPUTED_VALUE"""),43179)</f>
        <v>43179</v>
      </c>
      <c r="J172">
        <f ca="1">IFERROR(__xludf.DUMMYFUNCTION("""COMPUTED_VALUE"""),3)</f>
        <v>3</v>
      </c>
      <c r="K172">
        <f ca="1">IFERROR(__xludf.DUMMYFUNCTION("""COMPUTED_VALUE"""),1155051016382)</f>
        <v>1155051016382</v>
      </c>
      <c r="L172" t="str">
        <f ca="1">IFERROR(__xludf.DUMMYFUNCTION("""COMPUTED_VALUE"""),"AMBALAPPUZHA")</f>
        <v>AMBALAPPUZHA</v>
      </c>
      <c r="M172" t="str">
        <f ca="1">IFERROR(__xludf.DUMMYFUNCTION("""COMPUTED_VALUE"""),"I Accept")</f>
        <v>I Accept</v>
      </c>
      <c r="N172" s="4">
        <f ca="1">IFERROR(__xludf.DUMMYFUNCTION("""COMPUTED_VALUE"""),43168)</f>
        <v>43168</v>
      </c>
      <c r="O172" s="4">
        <f ca="1">IFERROR(__xludf.DUMMYFUNCTION("""COMPUTED_VALUE"""),43168)</f>
        <v>43168</v>
      </c>
      <c r="P172">
        <f ca="1">IFERROR(__xludf.DUMMYFUNCTION("""COMPUTED_VALUE"""),3)</f>
        <v>3</v>
      </c>
      <c r="Q172" t="str">
        <f ca="1">IFERROR(__xludf.DUMMYFUNCTION("""COMPUTED_VALUE"""),"Jobu88@gmail.com")</f>
        <v>Jobu88@gmail.com</v>
      </c>
      <c r="R172" s="2" t="s">
        <v>2586</v>
      </c>
    </row>
    <row r="173" spans="1:18" ht="13" x14ac:dyDescent="0.15">
      <c r="A173" s="3">
        <f ca="1">IFERROR(__xludf.DUMMYFUNCTION("""COMPUTED_VALUE"""),43180.4340375926)</f>
        <v>43180.434037592597</v>
      </c>
      <c r="B173" t="str">
        <f ca="1">IFERROR(__xludf.DUMMYFUNCTION("""COMPUTED_VALUE"""),"lakshararayan@gmail.com")</f>
        <v>lakshararayan@gmail.com</v>
      </c>
      <c r="C173">
        <f ca="1">IFERROR(__xludf.DUMMYFUNCTION("""COMPUTED_VALUE"""),402)</f>
        <v>402</v>
      </c>
      <c r="D173" t="str">
        <f ca="1">IFERROR(__xludf.DUMMYFUNCTION("""COMPUTED_VALUE"""),"Biju.P.Thomas")</f>
        <v>Biju.P.Thomas</v>
      </c>
      <c r="E173">
        <f ca="1">IFERROR(__xludf.DUMMYFUNCTION("""COMPUTED_VALUE"""),7736806968)</f>
        <v>7736806968</v>
      </c>
      <c r="F173" t="str">
        <f ca="1">IFERROR(__xludf.DUMMYFUNCTION("""COMPUTED_VALUE"""),"Thiruvananthapuram")</f>
        <v>Thiruvananthapuram</v>
      </c>
      <c r="G173" t="str">
        <f ca="1">IFERROR(__xludf.DUMMYFUNCTION("""COMPUTED_VALUE"""),"Renergy Systems India Pvt Ltd")</f>
        <v>Renergy Systems India Pvt Ltd</v>
      </c>
      <c r="H173">
        <f ca="1">IFERROR(__xludf.DUMMYFUNCTION("""COMPUTED_VALUE"""),38)</f>
        <v>38</v>
      </c>
      <c r="I173" s="4">
        <f ca="1">IFERROR(__xludf.DUMMYFUNCTION("""COMPUTED_VALUE"""),43180)</f>
        <v>43180</v>
      </c>
      <c r="J173">
        <f ca="1">IFERROR(__xludf.DUMMYFUNCTION("""COMPUTED_VALUE"""),3)</f>
        <v>3</v>
      </c>
      <c r="K173">
        <f ca="1">IFERROR(__xludf.DUMMYFUNCTION("""COMPUTED_VALUE"""),1145179015677)</f>
        <v>1145179015677</v>
      </c>
      <c r="L173" t="str">
        <f ca="1">IFERROR(__xludf.DUMMYFUNCTION("""COMPUTED_VALUE"""),"Ulloor")</f>
        <v>Ulloor</v>
      </c>
      <c r="M173" t="str">
        <f ca="1">IFERROR(__xludf.DUMMYFUNCTION("""COMPUTED_VALUE"""),"I Accept")</f>
        <v>I Accept</v>
      </c>
      <c r="N173" s="4">
        <f ca="1">IFERROR(__xludf.DUMMYFUNCTION("""COMPUTED_VALUE"""),43173)</f>
        <v>43173</v>
      </c>
      <c r="O173" s="4">
        <f ca="1">IFERROR(__xludf.DUMMYFUNCTION("""COMPUTED_VALUE"""),43173)</f>
        <v>43173</v>
      </c>
      <c r="P173">
        <f ca="1">IFERROR(__xludf.DUMMYFUNCTION("""COMPUTED_VALUE"""),3)</f>
        <v>3</v>
      </c>
      <c r="Q173" t="str">
        <f ca="1">IFERROR(__xludf.DUMMYFUNCTION("""COMPUTED_VALUE"""),"lakshararayan@gmail.com")</f>
        <v>lakshararayan@gmail.com</v>
      </c>
      <c r="R173" s="2" t="s">
        <v>2587</v>
      </c>
    </row>
    <row r="174" spans="1:18" ht="13" x14ac:dyDescent="0.15">
      <c r="A174" s="3">
        <f ca="1">IFERROR(__xludf.DUMMYFUNCTION("""COMPUTED_VALUE"""),43180.4485408217)</f>
        <v>43180.448540821701</v>
      </c>
      <c r="B174" t="str">
        <f ca="1">IFERROR(__xludf.DUMMYFUNCTION("""COMPUTED_VALUE"""),"lakshararayan@gmail.com")</f>
        <v>lakshararayan@gmail.com</v>
      </c>
      <c r="C174">
        <f ca="1">IFERROR(__xludf.DUMMYFUNCTION("""COMPUTED_VALUE"""),405)</f>
        <v>405</v>
      </c>
      <c r="D174" t="str">
        <f ca="1">IFERROR(__xludf.DUMMYFUNCTION("""COMPUTED_VALUE"""),"Vijayakumar.K")</f>
        <v>Vijayakumar.K</v>
      </c>
      <c r="E174">
        <f ca="1">IFERROR(__xludf.DUMMYFUNCTION("""COMPUTED_VALUE"""),7736806968)</f>
        <v>7736806968</v>
      </c>
      <c r="F174" t="str">
        <f ca="1">IFERROR(__xludf.DUMMYFUNCTION("""COMPUTED_VALUE"""),"Thiruvananthapuram")</f>
        <v>Thiruvananthapuram</v>
      </c>
      <c r="G174" t="str">
        <f ca="1">IFERROR(__xludf.DUMMYFUNCTION("""COMPUTED_VALUE"""),"Renergy Systems India Pvt Ltd")</f>
        <v>Renergy Systems India Pvt Ltd</v>
      </c>
      <c r="H174">
        <f ca="1">IFERROR(__xludf.DUMMYFUNCTION("""COMPUTED_VALUE"""),38)</f>
        <v>38</v>
      </c>
      <c r="I174" s="4">
        <f ca="1">IFERROR(__xludf.DUMMYFUNCTION("""COMPUTED_VALUE"""),43180)</f>
        <v>43180</v>
      </c>
      <c r="J174">
        <f ca="1">IFERROR(__xludf.DUMMYFUNCTION("""COMPUTED_VALUE"""),5)</f>
        <v>5</v>
      </c>
      <c r="K174">
        <f ca="1">IFERROR(__xludf.DUMMYFUNCTION("""COMPUTED_VALUE"""),1145068003975)</f>
        <v>1145068003975</v>
      </c>
      <c r="L174" t="str">
        <f ca="1">IFERROR(__xludf.DUMMYFUNCTION("""COMPUTED_VALUE"""),"Trivandrum")</f>
        <v>Trivandrum</v>
      </c>
      <c r="M174" t="str">
        <f ca="1">IFERROR(__xludf.DUMMYFUNCTION("""COMPUTED_VALUE"""),"I Accept")</f>
        <v>I Accept</v>
      </c>
      <c r="N174" s="4">
        <f ca="1">IFERROR(__xludf.DUMMYFUNCTION("""COMPUTED_VALUE"""),43169)</f>
        <v>43169</v>
      </c>
      <c r="O174" s="4">
        <f ca="1">IFERROR(__xludf.DUMMYFUNCTION("""COMPUTED_VALUE"""),43169)</f>
        <v>43169</v>
      </c>
      <c r="P174">
        <f ca="1">IFERROR(__xludf.DUMMYFUNCTION("""COMPUTED_VALUE"""),5)</f>
        <v>5</v>
      </c>
      <c r="Q174" t="str">
        <f ca="1">IFERROR(__xludf.DUMMYFUNCTION("""COMPUTED_VALUE"""),"lakshararayan@gmail.com")</f>
        <v>lakshararayan@gmail.com</v>
      </c>
      <c r="R174" s="2" t="s">
        <v>2588</v>
      </c>
    </row>
    <row r="175" spans="1:18" ht="13" x14ac:dyDescent="0.15">
      <c r="A175" s="3">
        <f ca="1">IFERROR(__xludf.DUMMYFUNCTION("""COMPUTED_VALUE"""),43180.4556928935)</f>
        <v>43180.455692893498</v>
      </c>
      <c r="B175" t="str">
        <f ca="1">IFERROR(__xludf.DUMMYFUNCTION("""COMPUTED_VALUE"""),"igridsystems@gmail.com")</f>
        <v>igridsystems@gmail.com</v>
      </c>
      <c r="C175">
        <f ca="1">IFERROR(__xludf.DUMMYFUNCTION("""COMPUTED_VALUE"""),609)</f>
        <v>609</v>
      </c>
      <c r="D175" t="str">
        <f ca="1">IFERROR(__xludf.DUMMYFUNCTION("""COMPUTED_VALUE"""),"Theruvathu Prasad Joseph")</f>
        <v>Theruvathu Prasad Joseph</v>
      </c>
      <c r="E175">
        <f ca="1">IFERROR(__xludf.DUMMYFUNCTION("""COMPUTED_VALUE"""),9633222494)</f>
        <v>9633222494</v>
      </c>
      <c r="F175" t="str">
        <f ca="1">IFERROR(__xludf.DUMMYFUNCTION("""COMPUTED_VALUE"""),"Ernakulam")</f>
        <v>Ernakulam</v>
      </c>
      <c r="G175" t="str">
        <f ca="1">IFERROR(__xludf.DUMMYFUNCTION("""COMPUTED_VALUE"""),"RENERGY SYSTEMS INDIA Pvt.Ltd")</f>
        <v>RENERGY SYSTEMS INDIA Pvt.Ltd</v>
      </c>
      <c r="H175">
        <f ca="1">IFERROR(__xludf.DUMMYFUNCTION("""COMPUTED_VALUE"""),38)</f>
        <v>38</v>
      </c>
      <c r="I175" s="4">
        <f ca="1">IFERROR(__xludf.DUMMYFUNCTION("""COMPUTED_VALUE"""),43180)</f>
        <v>43180</v>
      </c>
      <c r="J175">
        <f ca="1">IFERROR(__xludf.DUMMYFUNCTION("""COMPUTED_VALUE"""),15)</f>
        <v>15</v>
      </c>
      <c r="K175">
        <f ca="1">IFERROR(__xludf.DUMMYFUNCTION("""COMPUTED_VALUE"""),1155678000164)</f>
        <v>1155678000164</v>
      </c>
      <c r="L175" t="str">
        <f ca="1">IFERROR(__xludf.DUMMYFUNCTION("""COMPUTED_VALUE"""),"5567")</f>
        <v>5567</v>
      </c>
      <c r="M175" t="str">
        <f ca="1">IFERROR(__xludf.DUMMYFUNCTION("""COMPUTED_VALUE"""),"I Accept")</f>
        <v>I Accept</v>
      </c>
      <c r="N175" s="4">
        <f ca="1">IFERROR(__xludf.DUMMYFUNCTION("""COMPUTED_VALUE"""),43168)</f>
        <v>43168</v>
      </c>
      <c r="O175" s="4">
        <f ca="1">IFERROR(__xludf.DUMMYFUNCTION("""COMPUTED_VALUE"""),43168)</f>
        <v>43168</v>
      </c>
      <c r="P175">
        <f ca="1">IFERROR(__xludf.DUMMYFUNCTION("""COMPUTED_VALUE"""),15)</f>
        <v>15</v>
      </c>
      <c r="Q175" t="str">
        <f ca="1">IFERROR(__xludf.DUMMYFUNCTION("""COMPUTED_VALUE"""),"igridsystems@gmail.com")</f>
        <v>igridsystems@gmail.com</v>
      </c>
      <c r="R175" s="2" t="s">
        <v>2589</v>
      </c>
    </row>
    <row r="176" spans="1:18" ht="13" x14ac:dyDescent="0.15">
      <c r="A176" s="3">
        <f ca="1">IFERROR(__xludf.DUMMYFUNCTION("""COMPUTED_VALUE"""),43180.4815874884)</f>
        <v>43180.481587488401</v>
      </c>
      <c r="B176" t="str">
        <f ca="1">IFERROR(__xludf.DUMMYFUNCTION("""COMPUTED_VALUE"""),"lakshararayan@gmail.com")</f>
        <v>lakshararayan@gmail.com</v>
      </c>
      <c r="C176">
        <f ca="1">IFERROR(__xludf.DUMMYFUNCTION("""COMPUTED_VALUE"""),450)</f>
        <v>450</v>
      </c>
      <c r="D176" t="str">
        <f ca="1">IFERROR(__xludf.DUMMYFUNCTION("""COMPUTED_VALUE"""),"Jameelath.P")</f>
        <v>Jameelath.P</v>
      </c>
      <c r="E176">
        <f ca="1">IFERROR(__xludf.DUMMYFUNCTION("""COMPUTED_VALUE"""),7034322221)</f>
        <v>7034322221</v>
      </c>
      <c r="F176" t="str">
        <f ca="1">IFERROR(__xludf.DUMMYFUNCTION("""COMPUTED_VALUE"""),"Thiruvananthapuram")</f>
        <v>Thiruvananthapuram</v>
      </c>
      <c r="G176" t="str">
        <f ca="1">IFERROR(__xludf.DUMMYFUNCTION("""COMPUTED_VALUE"""),"Renergy Systems India Pvt Ltd")</f>
        <v>Renergy Systems India Pvt Ltd</v>
      </c>
      <c r="H176">
        <f ca="1">IFERROR(__xludf.DUMMYFUNCTION("""COMPUTED_VALUE"""),38)</f>
        <v>38</v>
      </c>
      <c r="I176" s="4">
        <f ca="1">IFERROR(__xludf.DUMMYFUNCTION("""COMPUTED_VALUE"""),43180)</f>
        <v>43180</v>
      </c>
      <c r="J176">
        <f ca="1">IFERROR(__xludf.DUMMYFUNCTION("""COMPUTED_VALUE"""),3)</f>
        <v>3</v>
      </c>
      <c r="K176">
        <f ca="1">IFERROR(__xludf.DUMMYFUNCTION("""COMPUTED_VALUE"""),1145509013019)</f>
        <v>1145509013019</v>
      </c>
      <c r="L176" t="str">
        <f ca="1">IFERROR(__xludf.DUMMYFUNCTION("""COMPUTED_VALUE"""),"Peyad")</f>
        <v>Peyad</v>
      </c>
      <c r="M176" t="str">
        <f ca="1">IFERROR(__xludf.DUMMYFUNCTION("""COMPUTED_VALUE"""),"I Accept")</f>
        <v>I Accept</v>
      </c>
      <c r="N176" s="4">
        <f ca="1">IFERROR(__xludf.DUMMYFUNCTION("""COMPUTED_VALUE"""),43171)</f>
        <v>43171</v>
      </c>
      <c r="O176" s="4">
        <f ca="1">IFERROR(__xludf.DUMMYFUNCTION("""COMPUTED_VALUE"""),43171)</f>
        <v>43171</v>
      </c>
      <c r="P176">
        <f ca="1">IFERROR(__xludf.DUMMYFUNCTION("""COMPUTED_VALUE"""),3)</f>
        <v>3</v>
      </c>
      <c r="Q176" t="str">
        <f ca="1">IFERROR(__xludf.DUMMYFUNCTION("""COMPUTED_VALUE"""),"lakshararayan@gmail.com")</f>
        <v>lakshararayan@gmail.com</v>
      </c>
      <c r="R176" s="2" t="s">
        <v>2590</v>
      </c>
    </row>
    <row r="177" spans="1:18" ht="13" x14ac:dyDescent="0.15">
      <c r="A177" s="3">
        <f ca="1">IFERROR(__xludf.DUMMYFUNCTION("""COMPUTED_VALUE"""),43180.6828238425)</f>
        <v>43180.682823842501</v>
      </c>
      <c r="B177" t="str">
        <f ca="1">IFERROR(__xludf.DUMMYFUNCTION("""COMPUTED_VALUE"""),"jose.dilip@gmail.com")</f>
        <v>jose.dilip@gmail.com</v>
      </c>
      <c r="C177">
        <f ca="1">IFERROR(__xludf.DUMMYFUNCTION("""COMPUTED_VALUE"""),548)</f>
        <v>548</v>
      </c>
      <c r="D177" t="str">
        <f ca="1">IFERROR(__xludf.DUMMYFUNCTION("""COMPUTED_VALUE"""),"A.NALINI")</f>
        <v>A.NALINI</v>
      </c>
      <c r="E177">
        <f ca="1">IFERROR(__xludf.DUMMYFUNCTION("""COMPUTED_VALUE"""),8137874406)</f>
        <v>8137874406</v>
      </c>
      <c r="F177" t="str">
        <f ca="1">IFERROR(__xludf.DUMMYFUNCTION("""COMPUTED_VALUE"""),"Thrissur")</f>
        <v>Thrissur</v>
      </c>
      <c r="G177" t="str">
        <f ca="1">IFERROR(__xludf.DUMMYFUNCTION("""COMPUTED_VALUE"""),"SOLGEN ENERGY PVT LTD")</f>
        <v>SOLGEN ENERGY PVT LTD</v>
      </c>
      <c r="H177">
        <f ca="1">IFERROR(__xludf.DUMMYFUNCTION("""COMPUTED_VALUE"""),42)</f>
        <v>42</v>
      </c>
      <c r="I177" s="4">
        <f ca="1">IFERROR(__xludf.DUMMYFUNCTION("""COMPUTED_VALUE"""),43179)</f>
        <v>43179</v>
      </c>
      <c r="J177">
        <f ca="1">IFERROR(__xludf.DUMMYFUNCTION("""COMPUTED_VALUE"""),3)</f>
        <v>3</v>
      </c>
      <c r="K177">
        <f ca="1">IFERROR(__xludf.DUMMYFUNCTION("""COMPUTED_VALUE"""),9327)</f>
        <v>9327</v>
      </c>
      <c r="L177" t="str">
        <f ca="1">IFERROR(__xludf.DUMMYFUNCTION("""COMPUTED_VALUE"""),"THRISSUR CORPORATION")</f>
        <v>THRISSUR CORPORATION</v>
      </c>
      <c r="M177" t="str">
        <f ca="1">IFERROR(__xludf.DUMMYFUNCTION("""COMPUTED_VALUE"""),"I Accept")</f>
        <v>I Accept</v>
      </c>
      <c r="N177" s="4">
        <f ca="1">IFERROR(__xludf.DUMMYFUNCTION("""COMPUTED_VALUE"""),43178)</f>
        <v>43178</v>
      </c>
      <c r="O177" s="4">
        <f ca="1">IFERROR(__xludf.DUMMYFUNCTION("""COMPUTED_VALUE"""),43178)</f>
        <v>43178</v>
      </c>
      <c r="P177">
        <f ca="1">IFERROR(__xludf.DUMMYFUNCTION("""COMPUTED_VALUE"""),3)</f>
        <v>3</v>
      </c>
      <c r="Q177" t="str">
        <f ca="1">IFERROR(__xludf.DUMMYFUNCTION("""COMPUTED_VALUE"""),"jose.dilip@gmail.com")</f>
        <v>jose.dilip@gmail.com</v>
      </c>
      <c r="R177" s="2" t="s">
        <v>2591</v>
      </c>
    </row>
    <row r="178" spans="1:18" ht="13" x14ac:dyDescent="0.15">
      <c r="A178" s="3">
        <f ca="1">IFERROR(__xludf.DUMMYFUNCTION("""COMPUTED_VALUE"""),43180.7102616203)</f>
        <v>43180.710261620297</v>
      </c>
      <c r="B178" t="str">
        <f ca="1">IFERROR(__xludf.DUMMYFUNCTION("""COMPUTED_VALUE"""),"kotnisab@gmail.com")</f>
        <v>kotnisab@gmail.com</v>
      </c>
      <c r="C178">
        <f ca="1">IFERROR(__xludf.DUMMYFUNCTION("""COMPUTED_VALUE"""),384)</f>
        <v>384</v>
      </c>
      <c r="D178" t="str">
        <f ca="1">IFERROR(__xludf.DUMMYFUNCTION("""COMPUTED_VALUE"""),"SREEJA T K")</f>
        <v>SREEJA T K</v>
      </c>
      <c r="E178">
        <f ca="1">IFERROR(__xludf.DUMMYFUNCTION("""COMPUTED_VALUE"""),9446857567)</f>
        <v>9446857567</v>
      </c>
      <c r="F178" t="str">
        <f ca="1">IFERROR(__xludf.DUMMYFUNCTION("""COMPUTED_VALUE"""),"Alappuzha")</f>
        <v>Alappuzha</v>
      </c>
      <c r="G178" t="str">
        <f ca="1">IFERROR(__xludf.DUMMYFUNCTION("""COMPUTED_VALUE"""),"INDEX INFORMATICS SYSTEMS PVT LTD")</f>
        <v>INDEX INFORMATICS SYSTEMS PVT LTD</v>
      </c>
      <c r="H178">
        <f ca="1">IFERROR(__xludf.DUMMYFUNCTION("""COMPUTED_VALUE"""),12)</f>
        <v>12</v>
      </c>
      <c r="I178" s="4">
        <f ca="1">IFERROR(__xludf.DUMMYFUNCTION("""COMPUTED_VALUE"""),43175)</f>
        <v>43175</v>
      </c>
      <c r="J178">
        <f ca="1">IFERROR(__xludf.DUMMYFUNCTION("""COMPUTED_VALUE"""),3)</f>
        <v>3</v>
      </c>
      <c r="K178">
        <f ca="1">IFERROR(__xludf.DUMMYFUNCTION("""COMPUTED_VALUE"""),1155199018412)</f>
        <v>1155199018412</v>
      </c>
      <c r="L178" t="str">
        <f ca="1">IFERROR(__xludf.DUMMYFUNCTION("""COMPUTED_VALUE"""),"MUHAMMA")</f>
        <v>MUHAMMA</v>
      </c>
      <c r="M178" t="str">
        <f ca="1">IFERROR(__xludf.DUMMYFUNCTION("""COMPUTED_VALUE"""),"I Accept")</f>
        <v>I Accept</v>
      </c>
      <c r="N178" s="4">
        <f ca="1">IFERROR(__xludf.DUMMYFUNCTION("""COMPUTED_VALUE"""),43167)</f>
        <v>43167</v>
      </c>
      <c r="O178" s="4">
        <f ca="1">IFERROR(__xludf.DUMMYFUNCTION("""COMPUTED_VALUE"""),43167)</f>
        <v>43167</v>
      </c>
      <c r="P178">
        <f ca="1">IFERROR(__xludf.DUMMYFUNCTION("""COMPUTED_VALUE"""),3)</f>
        <v>3</v>
      </c>
      <c r="Q178" t="str">
        <f ca="1">IFERROR(__xludf.DUMMYFUNCTION("""COMPUTED_VALUE"""),"kotnisab@gmail.com")</f>
        <v>kotnisab@gmail.com</v>
      </c>
      <c r="R178" s="2" t="s">
        <v>2592</v>
      </c>
    </row>
    <row r="179" spans="1:18" ht="13" x14ac:dyDescent="0.15">
      <c r="A179" s="3">
        <f ca="1">IFERROR(__xludf.DUMMYFUNCTION("""COMPUTED_VALUE"""),43180.7299486342)</f>
        <v>43180.729948634202</v>
      </c>
      <c r="B179" t="str">
        <f ca="1">IFERROR(__xludf.DUMMYFUNCTION("""COMPUTED_VALUE"""),"shaji.thaliyath@gmail.com")</f>
        <v>shaji.thaliyath@gmail.com</v>
      </c>
      <c r="C179">
        <f ca="1">IFERROR(__xludf.DUMMYFUNCTION("""COMPUTED_VALUE"""),392)</f>
        <v>392</v>
      </c>
      <c r="D179" t="str">
        <f ca="1">IFERROR(__xludf.DUMMYFUNCTION("""COMPUTED_VALUE"""),"SHAJI T M")</f>
        <v>SHAJI T M</v>
      </c>
      <c r="E179">
        <f ca="1">IFERROR(__xludf.DUMMYFUNCTION("""COMPUTED_VALUE"""),8089226640)</f>
        <v>8089226640</v>
      </c>
      <c r="F179" t="str">
        <f ca="1">IFERROR(__xludf.DUMMYFUNCTION("""COMPUTED_VALUE"""),"Ernakulam")</f>
        <v>Ernakulam</v>
      </c>
      <c r="G179" t="str">
        <f ca="1">IFERROR(__xludf.DUMMYFUNCTION("""COMPUTED_VALUE"""),"SPECTRUM TECHNO PRODUCTS")</f>
        <v>SPECTRUM TECHNO PRODUCTS</v>
      </c>
      <c r="H179">
        <f ca="1">IFERROR(__xludf.DUMMYFUNCTION("""COMPUTED_VALUE"""),66)</f>
        <v>66</v>
      </c>
      <c r="I179" s="4">
        <f ca="1">IFERROR(__xludf.DUMMYFUNCTION("""COMPUTED_VALUE"""),43180)</f>
        <v>43180</v>
      </c>
      <c r="J179">
        <f ca="1">IFERROR(__xludf.DUMMYFUNCTION("""COMPUTED_VALUE"""),3)</f>
        <v>3</v>
      </c>
      <c r="K179">
        <f ca="1">IFERROR(__xludf.DUMMYFUNCTION("""COMPUTED_VALUE"""),1156024025522)</f>
        <v>1156024025522</v>
      </c>
      <c r="L179" t="str">
        <f ca="1">IFERROR(__xludf.DUMMYFUNCTION("""COMPUTED_VALUE"""),"VARAPUZHA")</f>
        <v>VARAPUZHA</v>
      </c>
      <c r="M179" t="str">
        <f ca="1">IFERROR(__xludf.DUMMYFUNCTION("""COMPUTED_VALUE"""),"I Accept")</f>
        <v>I Accept</v>
      </c>
      <c r="N179" s="4">
        <f ca="1">IFERROR(__xludf.DUMMYFUNCTION("""COMPUTED_VALUE"""),43166)</f>
        <v>43166</v>
      </c>
      <c r="O179" s="4">
        <f ca="1">IFERROR(__xludf.DUMMYFUNCTION("""COMPUTED_VALUE"""),43166)</f>
        <v>43166</v>
      </c>
      <c r="P179">
        <f ca="1">IFERROR(__xludf.DUMMYFUNCTION("""COMPUTED_VALUE"""),3)</f>
        <v>3</v>
      </c>
      <c r="Q179" t="str">
        <f ca="1">IFERROR(__xludf.DUMMYFUNCTION("""COMPUTED_VALUE"""),"shaji.thaliyath@gmail.com")</f>
        <v>shaji.thaliyath@gmail.com</v>
      </c>
      <c r="R179" s="2" t="s">
        <v>2593</v>
      </c>
    </row>
    <row r="180" spans="1:18" ht="13" x14ac:dyDescent="0.15">
      <c r="A180" s="3">
        <f ca="1">IFERROR(__xludf.DUMMYFUNCTION("""COMPUTED_VALUE"""),43180.7345532638)</f>
        <v>43180.734553263799</v>
      </c>
      <c r="B180" t="str">
        <f ca="1">IFERROR(__xludf.DUMMYFUNCTION("""COMPUTED_VALUE"""),"jose.dilip@gmail.com")</f>
        <v>jose.dilip@gmail.com</v>
      </c>
      <c r="C180">
        <f ca="1">IFERROR(__xludf.DUMMYFUNCTION("""COMPUTED_VALUE"""),236)</f>
        <v>236</v>
      </c>
      <c r="D180" t="str">
        <f ca="1">IFERROR(__xludf.DUMMYFUNCTION("""COMPUTED_VALUE"""),"M.Lohidakshan Unnithan")</f>
        <v>M.Lohidakshan Unnithan</v>
      </c>
      <c r="E180">
        <f ca="1">IFERROR(__xludf.DUMMYFUNCTION("""COMPUTED_VALUE"""),8137874406)</f>
        <v>8137874406</v>
      </c>
      <c r="F180" t="str">
        <f ca="1">IFERROR(__xludf.DUMMYFUNCTION("""COMPUTED_VALUE"""),"Thiruvananthapuram")</f>
        <v>Thiruvananthapuram</v>
      </c>
      <c r="G180" t="str">
        <f ca="1">IFERROR(__xludf.DUMMYFUNCTION("""COMPUTED_VALUE"""),"SOLGEN ENERGY PVT LTD")</f>
        <v>SOLGEN ENERGY PVT LTD</v>
      </c>
      <c r="H180">
        <f ca="1">IFERROR(__xludf.DUMMYFUNCTION("""COMPUTED_VALUE"""),42)</f>
        <v>42</v>
      </c>
      <c r="I180" s="4">
        <f ca="1">IFERROR(__xludf.DUMMYFUNCTION("""COMPUTED_VALUE"""),43179)</f>
        <v>43179</v>
      </c>
      <c r="J180">
        <f ca="1">IFERROR(__xludf.DUMMYFUNCTION("""COMPUTED_VALUE"""),3)</f>
        <v>3</v>
      </c>
      <c r="K180">
        <f ca="1">IFERROR(__xludf.DUMMYFUNCTION("""COMPUTED_VALUE"""),1145062000106)</f>
        <v>1145062000106</v>
      </c>
      <c r="L180" t="str">
        <f ca="1">IFERROR(__xludf.DUMMYFUNCTION("""COMPUTED_VALUE"""),"CANTONMENT")</f>
        <v>CANTONMENT</v>
      </c>
      <c r="M180" t="str">
        <f ca="1">IFERROR(__xludf.DUMMYFUNCTION("""COMPUTED_VALUE"""),"I Accept")</f>
        <v>I Accept</v>
      </c>
      <c r="N180" s="4">
        <f ca="1">IFERROR(__xludf.DUMMYFUNCTION("""COMPUTED_VALUE"""),43155)</f>
        <v>43155</v>
      </c>
      <c r="O180" s="4">
        <f ca="1">IFERROR(__xludf.DUMMYFUNCTION("""COMPUTED_VALUE"""),43183)</f>
        <v>43183</v>
      </c>
      <c r="P180">
        <f ca="1">IFERROR(__xludf.DUMMYFUNCTION("""COMPUTED_VALUE"""),3)</f>
        <v>3</v>
      </c>
      <c r="Q180" t="str">
        <f ca="1">IFERROR(__xludf.DUMMYFUNCTION("""COMPUTED_VALUE"""),"jose.dilip@gmail.com")</f>
        <v>jose.dilip@gmail.com</v>
      </c>
      <c r="R180" s="2" t="s">
        <v>2594</v>
      </c>
    </row>
    <row r="181" spans="1:18" ht="13" x14ac:dyDescent="0.15">
      <c r="A181" s="3">
        <f ca="1">IFERROR(__xludf.DUMMYFUNCTION("""COMPUTED_VALUE"""),43180.7366789004)</f>
        <v>43180.736678900401</v>
      </c>
      <c r="B181" t="str">
        <f ca="1">IFERROR(__xludf.DUMMYFUNCTION("""COMPUTED_VALUE"""),"vvpoulose@mm.co.in")</f>
        <v>vvpoulose@mm.co.in</v>
      </c>
      <c r="C181">
        <f ca="1">IFERROR(__xludf.DUMMYFUNCTION("""COMPUTED_VALUE"""),481)</f>
        <v>481</v>
      </c>
      <c r="D181" t="str">
        <f ca="1">IFERROR(__xludf.DUMMYFUNCTION("""COMPUTED_VALUE"""),"POULOSE V V")</f>
        <v>POULOSE V V</v>
      </c>
      <c r="E181">
        <f ca="1">IFERROR(__xludf.DUMMYFUNCTION("""COMPUTED_VALUE"""),9846069410)</f>
        <v>9846069410</v>
      </c>
      <c r="F181" t="str">
        <f ca="1">IFERROR(__xludf.DUMMYFUNCTION("""COMPUTED_VALUE"""),"Ernakulam")</f>
        <v>Ernakulam</v>
      </c>
      <c r="G181" t="str">
        <f ca="1">IFERROR(__xludf.DUMMYFUNCTION("""COMPUTED_VALUE"""),"SPECTRUM TECHNO PRODUCTS")</f>
        <v>SPECTRUM TECHNO PRODUCTS</v>
      </c>
      <c r="H181">
        <f ca="1">IFERROR(__xludf.DUMMYFUNCTION("""COMPUTED_VALUE"""),66)</f>
        <v>66</v>
      </c>
      <c r="I181" s="4">
        <f ca="1">IFERROR(__xludf.DUMMYFUNCTION("""COMPUTED_VALUE"""),43180)</f>
        <v>43180</v>
      </c>
      <c r="J181">
        <f ca="1">IFERROR(__xludf.DUMMYFUNCTION("""COMPUTED_VALUE"""),3)</f>
        <v>3</v>
      </c>
      <c r="K181">
        <f ca="1">IFERROR(__xludf.DUMMYFUNCTION("""COMPUTED_VALUE"""),1155562006604)</f>
        <v>1155562006604</v>
      </c>
      <c r="L181" t="str">
        <f ca="1">IFERROR(__xludf.DUMMYFUNCTION("""COMPUTED_VALUE"""),"VYTILLA")</f>
        <v>VYTILLA</v>
      </c>
      <c r="M181" t="str">
        <f ca="1">IFERROR(__xludf.DUMMYFUNCTION("""COMPUTED_VALUE"""),"I Accept")</f>
        <v>I Accept</v>
      </c>
      <c r="N181" s="4">
        <f ca="1">IFERROR(__xludf.DUMMYFUNCTION("""COMPUTED_VALUE"""),43164)</f>
        <v>43164</v>
      </c>
      <c r="O181" s="4">
        <f ca="1">IFERROR(__xludf.DUMMYFUNCTION("""COMPUTED_VALUE"""),43164)</f>
        <v>43164</v>
      </c>
      <c r="P181">
        <f ca="1">IFERROR(__xludf.DUMMYFUNCTION("""COMPUTED_VALUE"""),3)</f>
        <v>3</v>
      </c>
      <c r="Q181" t="str">
        <f ca="1">IFERROR(__xludf.DUMMYFUNCTION("""COMPUTED_VALUE"""),"vvpoulose@mm.co.in")</f>
        <v>vvpoulose@mm.co.in</v>
      </c>
      <c r="R181" s="2" t="s">
        <v>2595</v>
      </c>
    </row>
    <row r="182" spans="1:18" ht="13" x14ac:dyDescent="0.15">
      <c r="A182" s="3">
        <f ca="1">IFERROR(__xludf.DUMMYFUNCTION("""COMPUTED_VALUE"""),43180.7400186111)</f>
        <v>43180.740018611097</v>
      </c>
      <c r="B182" t="str">
        <f ca="1">IFERROR(__xludf.DUMMYFUNCTION("""COMPUTED_VALUE"""),"sunnyglobalpackers@gmail.com")</f>
        <v>sunnyglobalpackers@gmail.com</v>
      </c>
      <c r="C182">
        <f ca="1">IFERROR(__xludf.DUMMYFUNCTION("""COMPUTED_VALUE"""),393)</f>
        <v>393</v>
      </c>
      <c r="D182" t="str">
        <f ca="1">IFERROR(__xludf.DUMMYFUNCTION("""COMPUTED_VALUE"""),"DAVID T E")</f>
        <v>DAVID T E</v>
      </c>
      <c r="E182">
        <f ca="1">IFERROR(__xludf.DUMMYFUNCTION("""COMPUTED_VALUE"""),9388043200)</f>
        <v>9388043200</v>
      </c>
      <c r="F182" t="str">
        <f ca="1">IFERROR(__xludf.DUMMYFUNCTION("""COMPUTED_VALUE"""),"Ernakulam")</f>
        <v>Ernakulam</v>
      </c>
      <c r="G182" t="str">
        <f ca="1">IFERROR(__xludf.DUMMYFUNCTION("""COMPUTED_VALUE"""),"SPECTRUM TECHNO PRODUCTS")</f>
        <v>SPECTRUM TECHNO PRODUCTS</v>
      </c>
      <c r="H182">
        <f ca="1">IFERROR(__xludf.DUMMYFUNCTION("""COMPUTED_VALUE"""),66)</f>
        <v>66</v>
      </c>
      <c r="I182" s="4">
        <f ca="1">IFERROR(__xludf.DUMMYFUNCTION("""COMPUTED_VALUE"""),43180)</f>
        <v>43180</v>
      </c>
      <c r="J182">
        <f ca="1">IFERROR(__xludf.DUMMYFUNCTION("""COMPUTED_VALUE"""),3)</f>
        <v>3</v>
      </c>
      <c r="K182">
        <f ca="1">IFERROR(__xludf.DUMMYFUNCTION("""COMPUTED_VALUE"""),1155900020544)</f>
        <v>1155900020544</v>
      </c>
      <c r="L182" t="str">
        <f ca="1">IFERROR(__xludf.DUMMYFUNCTION("""COMPUTED_VALUE"""),"KOOVAPPADY")</f>
        <v>KOOVAPPADY</v>
      </c>
      <c r="M182" t="str">
        <f ca="1">IFERROR(__xludf.DUMMYFUNCTION("""COMPUTED_VALUE"""),"I Accept")</f>
        <v>I Accept</v>
      </c>
      <c r="N182" s="4">
        <f ca="1">IFERROR(__xludf.DUMMYFUNCTION("""COMPUTED_VALUE"""),43178)</f>
        <v>43178</v>
      </c>
      <c r="O182" s="4">
        <f ca="1">IFERROR(__xludf.DUMMYFUNCTION("""COMPUTED_VALUE"""),43178)</f>
        <v>43178</v>
      </c>
      <c r="P182">
        <f ca="1">IFERROR(__xludf.DUMMYFUNCTION("""COMPUTED_VALUE"""),3)</f>
        <v>3</v>
      </c>
      <c r="Q182" t="str">
        <f ca="1">IFERROR(__xludf.DUMMYFUNCTION("""COMPUTED_VALUE"""),"sunnyglobalpackers@gmail.com")</f>
        <v>sunnyglobalpackers@gmail.com</v>
      </c>
      <c r="R182" s="2" t="s">
        <v>2596</v>
      </c>
    </row>
    <row r="183" spans="1:18" ht="13" x14ac:dyDescent="0.15">
      <c r="A183" s="3">
        <f ca="1">IFERROR(__xludf.DUMMYFUNCTION("""COMPUTED_VALUE"""),43180.7440505555)</f>
        <v>43180.744050555499</v>
      </c>
      <c r="B183" t="str">
        <f ca="1">IFERROR(__xludf.DUMMYFUNCTION("""COMPUTED_VALUE"""),"sanjuxavierk@gmail.com")</f>
        <v>sanjuxavierk@gmail.com</v>
      </c>
      <c r="C183">
        <f ca="1">IFERROR(__xludf.DUMMYFUNCTION("""COMPUTED_VALUE"""),418)</f>
        <v>418</v>
      </c>
      <c r="D183" t="str">
        <f ca="1">IFERROR(__xludf.DUMMYFUNCTION("""COMPUTED_VALUE"""),"RUGMINI .C.S")</f>
        <v>RUGMINI .C.S</v>
      </c>
      <c r="E183">
        <f ca="1">IFERROR(__xludf.DUMMYFUNCTION("""COMPUTED_VALUE"""),9446023731)</f>
        <v>9446023731</v>
      </c>
      <c r="F183" t="str">
        <f ca="1">IFERROR(__xludf.DUMMYFUNCTION("""COMPUTED_VALUE"""),"Kozhikode")</f>
        <v>Kozhikode</v>
      </c>
      <c r="G183" t="str">
        <f ca="1">IFERROR(__xludf.DUMMYFUNCTION("""COMPUTED_VALUE"""),"TATA POWER SOLAR SYSTEMS LTD")</f>
        <v>TATA POWER SOLAR SYSTEMS LTD</v>
      </c>
      <c r="H183">
        <f ca="1">IFERROR(__xludf.DUMMYFUNCTION("""COMPUTED_VALUE"""),20)</f>
        <v>20</v>
      </c>
      <c r="I183" s="4">
        <f ca="1">IFERROR(__xludf.DUMMYFUNCTION("""COMPUTED_VALUE"""),43175)</f>
        <v>43175</v>
      </c>
      <c r="J183">
        <f ca="1">IFERROR(__xludf.DUMMYFUNCTION("""COMPUTED_VALUE"""),3)</f>
        <v>3</v>
      </c>
      <c r="K183">
        <f ca="1">IFERROR(__xludf.DUMMYFUNCTION("""COMPUTED_VALUE"""),1166051020188)</f>
        <v>1166051020188</v>
      </c>
      <c r="L183" t="str">
        <f ca="1">IFERROR(__xludf.DUMMYFUNCTION("""COMPUTED_VALUE"""),"Vellimadukunnu")</f>
        <v>Vellimadukunnu</v>
      </c>
      <c r="M183" t="str">
        <f ca="1">IFERROR(__xludf.DUMMYFUNCTION("""COMPUTED_VALUE"""),"I Accept")</f>
        <v>I Accept</v>
      </c>
      <c r="N183" s="4">
        <f ca="1">IFERROR(__xludf.DUMMYFUNCTION("""COMPUTED_VALUE"""),43161)</f>
        <v>43161</v>
      </c>
      <c r="O183" s="4">
        <f ca="1">IFERROR(__xludf.DUMMYFUNCTION("""COMPUTED_VALUE"""),43161)</f>
        <v>43161</v>
      </c>
      <c r="P183">
        <f ca="1">IFERROR(__xludf.DUMMYFUNCTION("""COMPUTED_VALUE"""),3)</f>
        <v>3</v>
      </c>
      <c r="Q183" t="str">
        <f ca="1">IFERROR(__xludf.DUMMYFUNCTION("""COMPUTED_VALUE"""),"sanjuxavierk@gmail.com")</f>
        <v>sanjuxavierk@gmail.com</v>
      </c>
      <c r="R183" s="2" t="s">
        <v>2597</v>
      </c>
    </row>
    <row r="184" spans="1:18" ht="13" x14ac:dyDescent="0.15">
      <c r="A184" s="3">
        <f ca="1">IFERROR(__xludf.DUMMYFUNCTION("""COMPUTED_VALUE"""),43180.7472984837)</f>
        <v>43180.7472984837</v>
      </c>
      <c r="B184" t="str">
        <f ca="1">IFERROR(__xludf.DUMMYFUNCTION("""COMPUTED_VALUE"""),"spscochin@gmail.com")</f>
        <v>spscochin@gmail.com</v>
      </c>
      <c r="C184">
        <f ca="1">IFERROR(__xludf.DUMMYFUNCTION("""COMPUTED_VALUE"""),484)</f>
        <v>484</v>
      </c>
      <c r="D184" t="str">
        <f ca="1">IFERROR(__xludf.DUMMYFUNCTION("""COMPUTED_VALUE"""),"JOSEPH RAPHEL")</f>
        <v>JOSEPH RAPHEL</v>
      </c>
      <c r="E184">
        <f ca="1">IFERROR(__xludf.DUMMYFUNCTION("""COMPUTED_VALUE"""),9847735592)</f>
        <v>9847735592</v>
      </c>
      <c r="F184" t="str">
        <f ca="1">IFERROR(__xludf.DUMMYFUNCTION("""COMPUTED_VALUE"""),"Ernakulam")</f>
        <v>Ernakulam</v>
      </c>
      <c r="G184" t="str">
        <f ca="1">IFERROR(__xludf.DUMMYFUNCTION("""COMPUTED_VALUE"""),"SPECTRUM TECHNO PRODUCTS")</f>
        <v>SPECTRUM TECHNO PRODUCTS</v>
      </c>
      <c r="H184">
        <f ca="1">IFERROR(__xludf.DUMMYFUNCTION("""COMPUTED_VALUE"""),66)</f>
        <v>66</v>
      </c>
      <c r="I184" s="4">
        <f ca="1">IFERROR(__xludf.DUMMYFUNCTION("""COMPUTED_VALUE"""),43180)</f>
        <v>43180</v>
      </c>
      <c r="J184">
        <f ca="1">IFERROR(__xludf.DUMMYFUNCTION("""COMPUTED_VALUE"""),3)</f>
        <v>3</v>
      </c>
      <c r="K184">
        <f ca="1">IFERROR(__xludf.DUMMYFUNCTION("""COMPUTED_VALUE"""),1155568022139)</f>
        <v>1155568022139</v>
      </c>
      <c r="L184" t="str">
        <f ca="1">IFERROR(__xludf.DUMMYFUNCTION("""COMPUTED_VALUE"""),"VYTILLA")</f>
        <v>VYTILLA</v>
      </c>
      <c r="M184" t="str">
        <f ca="1">IFERROR(__xludf.DUMMYFUNCTION("""COMPUTED_VALUE"""),"I Accept")</f>
        <v>I Accept</v>
      </c>
      <c r="N184" s="4">
        <f ca="1">IFERROR(__xludf.DUMMYFUNCTION("""COMPUTED_VALUE"""),43174)</f>
        <v>43174</v>
      </c>
      <c r="O184" s="4">
        <f ca="1">IFERROR(__xludf.DUMMYFUNCTION("""COMPUTED_VALUE"""),43174)</f>
        <v>43174</v>
      </c>
      <c r="P184">
        <f ca="1">IFERROR(__xludf.DUMMYFUNCTION("""COMPUTED_VALUE"""),3)</f>
        <v>3</v>
      </c>
      <c r="Q184" t="str">
        <f ca="1">IFERROR(__xludf.DUMMYFUNCTION("""COMPUTED_VALUE"""),"spscochin@gmail.com")</f>
        <v>spscochin@gmail.com</v>
      </c>
      <c r="R184" s="2" t="s">
        <v>2598</v>
      </c>
    </row>
    <row r="185" spans="1:18" ht="13" x14ac:dyDescent="0.15">
      <c r="A185" s="3">
        <f ca="1">IFERROR(__xludf.DUMMYFUNCTION("""COMPUTED_VALUE"""),43180.7509631944)</f>
        <v>43180.750963194398</v>
      </c>
      <c r="B185" t="str">
        <f ca="1">IFERROR(__xludf.DUMMYFUNCTION("""COMPUTED_VALUE"""),"sirinsaju10@gmail.com")</f>
        <v>sirinsaju10@gmail.com</v>
      </c>
      <c r="C185">
        <f ca="1">IFERROR(__xludf.DUMMYFUNCTION("""COMPUTED_VALUE"""),480)</f>
        <v>480</v>
      </c>
      <c r="D185" t="str">
        <f ca="1">IFERROR(__xludf.DUMMYFUNCTION("""COMPUTED_VALUE"""),"SAJU E P")</f>
        <v>SAJU E P</v>
      </c>
      <c r="E185">
        <f ca="1">IFERROR(__xludf.DUMMYFUNCTION("""COMPUTED_VALUE"""),9847561107)</f>
        <v>9847561107</v>
      </c>
      <c r="F185" t="str">
        <f ca="1">IFERROR(__xludf.DUMMYFUNCTION("""COMPUTED_VALUE"""),"Ernakulam")</f>
        <v>Ernakulam</v>
      </c>
      <c r="G185" t="str">
        <f ca="1">IFERROR(__xludf.DUMMYFUNCTION("""COMPUTED_VALUE"""),"SPECTRUM TECHNO PRODUCTS")</f>
        <v>SPECTRUM TECHNO PRODUCTS</v>
      </c>
      <c r="H185">
        <f ca="1">IFERROR(__xludf.DUMMYFUNCTION("""COMPUTED_VALUE"""),66)</f>
        <v>66</v>
      </c>
      <c r="I185" s="4">
        <f ca="1">IFERROR(__xludf.DUMMYFUNCTION("""COMPUTED_VALUE"""),43180)</f>
        <v>43180</v>
      </c>
      <c r="J185">
        <f ca="1">IFERROR(__xludf.DUMMYFUNCTION("""COMPUTED_VALUE"""),3)</f>
        <v>3</v>
      </c>
      <c r="K185">
        <f ca="1">IFERROR(__xludf.DUMMYFUNCTION("""COMPUTED_VALUE"""),1155496016981)</f>
        <v>1155496016981</v>
      </c>
      <c r="L185" t="str">
        <f ca="1">IFERROR(__xludf.DUMMYFUNCTION("""COMPUTED_VALUE"""),"UDAYAMPEROOR")</f>
        <v>UDAYAMPEROOR</v>
      </c>
      <c r="M185" t="str">
        <f ca="1">IFERROR(__xludf.DUMMYFUNCTION("""COMPUTED_VALUE"""),"I Accept")</f>
        <v>I Accept</v>
      </c>
      <c r="N185" s="4">
        <f ca="1">IFERROR(__xludf.DUMMYFUNCTION("""COMPUTED_VALUE"""),43169)</f>
        <v>43169</v>
      </c>
      <c r="O185" s="4">
        <f ca="1">IFERROR(__xludf.DUMMYFUNCTION("""COMPUTED_VALUE"""),43169)</f>
        <v>43169</v>
      </c>
      <c r="P185">
        <f ca="1">IFERROR(__xludf.DUMMYFUNCTION("""COMPUTED_VALUE"""),3)</f>
        <v>3</v>
      </c>
      <c r="Q185" t="str">
        <f ca="1">IFERROR(__xludf.DUMMYFUNCTION("""COMPUTED_VALUE"""),"sirinsaju10@gmail.com")</f>
        <v>sirinsaju10@gmail.com</v>
      </c>
      <c r="R185" s="2" t="s">
        <v>2599</v>
      </c>
    </row>
    <row r="186" spans="1:18" ht="13" x14ac:dyDescent="0.15">
      <c r="A186" s="3">
        <f ca="1">IFERROR(__xludf.DUMMYFUNCTION("""COMPUTED_VALUE"""),43180.7600112962)</f>
        <v>43180.760011296203</v>
      </c>
      <c r="B186" t="str">
        <f ca="1">IFERROR(__xludf.DUMMYFUNCTION("""COMPUTED_VALUE"""),"anilkumar.mnn@gmail.com")</f>
        <v>anilkumar.mnn@gmail.com</v>
      </c>
      <c r="C186">
        <f ca="1">IFERROR(__xludf.DUMMYFUNCTION("""COMPUTED_VALUE"""),390)</f>
        <v>390</v>
      </c>
      <c r="D186" t="str">
        <f ca="1">IFERROR(__xludf.DUMMYFUNCTION("""COMPUTED_VALUE"""),"ANIL KUMAR MENON")</f>
        <v>ANIL KUMAR MENON</v>
      </c>
      <c r="E186">
        <f ca="1">IFERROR(__xludf.DUMMYFUNCTION("""COMPUTED_VALUE"""),9961999180)</f>
        <v>9961999180</v>
      </c>
      <c r="F186" t="str">
        <f ca="1">IFERROR(__xludf.DUMMYFUNCTION("""COMPUTED_VALUE"""),"Ernakulam")</f>
        <v>Ernakulam</v>
      </c>
      <c r="G186" t="str">
        <f ca="1">IFERROR(__xludf.DUMMYFUNCTION("""COMPUTED_VALUE"""),"SPECTRUM TECHNO PRODUCTS")</f>
        <v>SPECTRUM TECHNO PRODUCTS</v>
      </c>
      <c r="H186">
        <f ca="1">IFERROR(__xludf.DUMMYFUNCTION("""COMPUTED_VALUE"""),66)</f>
        <v>66</v>
      </c>
      <c r="I186" s="4">
        <f ca="1">IFERROR(__xludf.DUMMYFUNCTION("""COMPUTED_VALUE"""),43180)</f>
        <v>43180</v>
      </c>
      <c r="J186">
        <f ca="1">IFERROR(__xludf.DUMMYFUNCTION("""COMPUTED_VALUE"""),5)</f>
        <v>5</v>
      </c>
      <c r="K186">
        <f ca="1">IFERROR(__xludf.DUMMYFUNCTION("""COMPUTED_VALUE"""),1155484011188)</f>
        <v>1155484011188</v>
      </c>
      <c r="L186" t="str">
        <f ca="1">IFERROR(__xludf.DUMMYFUNCTION("""COMPUTED_VALUE"""),"THRIPUNITHURA")</f>
        <v>THRIPUNITHURA</v>
      </c>
      <c r="M186" t="str">
        <f ca="1">IFERROR(__xludf.DUMMYFUNCTION("""COMPUTED_VALUE"""),"I Accept")</f>
        <v>I Accept</v>
      </c>
      <c r="N186" s="4">
        <f ca="1">IFERROR(__xludf.DUMMYFUNCTION("""COMPUTED_VALUE"""),43164)</f>
        <v>43164</v>
      </c>
      <c r="O186" s="4">
        <f ca="1">IFERROR(__xludf.DUMMYFUNCTION("""COMPUTED_VALUE"""),43164)</f>
        <v>43164</v>
      </c>
      <c r="P186">
        <f ca="1">IFERROR(__xludf.DUMMYFUNCTION("""COMPUTED_VALUE"""),5)</f>
        <v>5</v>
      </c>
      <c r="Q186" t="str">
        <f ca="1">IFERROR(__xludf.DUMMYFUNCTION("""COMPUTED_VALUE"""),"anilkumar.mnn@gmail.com")</f>
        <v>anilkumar.mnn@gmail.com</v>
      </c>
      <c r="R186" s="2" t="s">
        <v>2600</v>
      </c>
    </row>
    <row r="187" spans="1:18" ht="13" x14ac:dyDescent="0.15">
      <c r="A187" s="3">
        <f ca="1">IFERROR(__xludf.DUMMYFUNCTION("""COMPUTED_VALUE"""),43180.7624789467)</f>
        <v>43180.762478946701</v>
      </c>
      <c r="B187" t="str">
        <f ca="1">IFERROR(__xludf.DUMMYFUNCTION("""COMPUTED_VALUE"""),"kv.jacob@yahoo.com")</f>
        <v>kv.jacob@yahoo.com</v>
      </c>
      <c r="C187">
        <f ca="1">IFERROR(__xludf.DUMMYFUNCTION("""COMPUTED_VALUE"""),394)</f>
        <v>394</v>
      </c>
      <c r="D187" t="str">
        <f ca="1">IFERROR(__xludf.DUMMYFUNCTION("""COMPUTED_VALUE"""),"jacob k v")</f>
        <v>jacob k v</v>
      </c>
      <c r="E187">
        <f ca="1">IFERROR(__xludf.DUMMYFUNCTION("""COMPUTED_VALUE"""),9400532161)</f>
        <v>9400532161</v>
      </c>
      <c r="F187" t="str">
        <f ca="1">IFERROR(__xludf.DUMMYFUNCTION("""COMPUTED_VALUE"""),"Ernakulam")</f>
        <v>Ernakulam</v>
      </c>
      <c r="G187" t="str">
        <f ca="1">IFERROR(__xludf.DUMMYFUNCTION("""COMPUTED_VALUE"""),"spectrum techno products")</f>
        <v>spectrum techno products</v>
      </c>
      <c r="H187">
        <f ca="1">IFERROR(__xludf.DUMMYFUNCTION("""COMPUTED_VALUE"""),66)</f>
        <v>66</v>
      </c>
      <c r="I187" s="4">
        <f ca="1">IFERROR(__xludf.DUMMYFUNCTION("""COMPUTED_VALUE"""),43180)</f>
        <v>43180</v>
      </c>
      <c r="J187">
        <f ca="1">IFERROR(__xludf.DUMMYFUNCTION("""COMPUTED_VALUE"""),5)</f>
        <v>5</v>
      </c>
      <c r="K187">
        <f ca="1">IFERROR(__xludf.DUMMYFUNCTION("""COMPUTED_VALUE"""),1155498001519)</f>
        <v>1155498001519</v>
      </c>
      <c r="L187" t="str">
        <f ca="1">IFERROR(__xludf.DUMMYFUNCTION("""COMPUTED_VALUE"""),"udayamperoor")</f>
        <v>udayamperoor</v>
      </c>
      <c r="M187" t="str">
        <f ca="1">IFERROR(__xludf.DUMMYFUNCTION("""COMPUTED_VALUE"""),"I Accept")</f>
        <v>I Accept</v>
      </c>
      <c r="N187" s="4">
        <f ca="1">IFERROR(__xludf.DUMMYFUNCTION("""COMPUTED_VALUE"""),43169)</f>
        <v>43169</v>
      </c>
      <c r="O187" s="4">
        <f ca="1">IFERROR(__xludf.DUMMYFUNCTION("""COMPUTED_VALUE"""),43169)</f>
        <v>43169</v>
      </c>
      <c r="P187">
        <f ca="1">IFERROR(__xludf.DUMMYFUNCTION("""COMPUTED_VALUE"""),5)</f>
        <v>5</v>
      </c>
      <c r="Q187" t="str">
        <f ca="1">IFERROR(__xludf.DUMMYFUNCTION("""COMPUTED_VALUE"""),"kv.jacob@yahoo.com")</f>
        <v>kv.jacob@yahoo.com</v>
      </c>
      <c r="R187" s="2" t="s">
        <v>2601</v>
      </c>
    </row>
    <row r="188" spans="1:18" ht="13" x14ac:dyDescent="0.15">
      <c r="A188" s="3">
        <f ca="1">IFERROR(__xludf.DUMMYFUNCTION("""COMPUTED_VALUE"""),43180.7681496064)</f>
        <v>43180.768149606403</v>
      </c>
      <c r="B188" t="str">
        <f ca="1">IFERROR(__xludf.DUMMYFUNCTION("""COMPUTED_VALUE"""),"abimrajan@yahoo.co.in")</f>
        <v>abimrajan@yahoo.co.in</v>
      </c>
      <c r="C188">
        <f ca="1">IFERROR(__xludf.DUMMYFUNCTION("""COMPUTED_VALUE"""),479)</f>
        <v>479</v>
      </c>
      <c r="D188" t="str">
        <f ca="1">IFERROR(__xludf.DUMMYFUNCTION("""COMPUTED_VALUE"""),"ABI M RAJAN")</f>
        <v>ABI M RAJAN</v>
      </c>
      <c r="E188">
        <f ca="1">IFERROR(__xludf.DUMMYFUNCTION("""COMPUTED_VALUE"""),9847748058)</f>
        <v>9847748058</v>
      </c>
      <c r="F188" t="str">
        <f ca="1">IFERROR(__xludf.DUMMYFUNCTION("""COMPUTED_VALUE"""),"Ernakulam")</f>
        <v>Ernakulam</v>
      </c>
      <c r="G188" t="str">
        <f ca="1">IFERROR(__xludf.DUMMYFUNCTION("""COMPUTED_VALUE"""),"SPECTRUM TECHNO PRODUCTS")</f>
        <v>SPECTRUM TECHNO PRODUCTS</v>
      </c>
      <c r="H188">
        <f ca="1">IFERROR(__xludf.DUMMYFUNCTION("""COMPUTED_VALUE"""),66)</f>
        <v>66</v>
      </c>
      <c r="I188" s="4">
        <f ca="1">IFERROR(__xludf.DUMMYFUNCTION("""COMPUTED_VALUE"""),43180)</f>
        <v>43180</v>
      </c>
      <c r="J188">
        <f ca="1">IFERROR(__xludf.DUMMYFUNCTION("""COMPUTED_VALUE"""),5)</f>
        <v>5</v>
      </c>
      <c r="K188">
        <f ca="1">IFERROR(__xludf.DUMMYFUNCTION("""COMPUTED_VALUE"""),1155499019519)</f>
        <v>1155499019519</v>
      </c>
      <c r="L188" t="str">
        <f ca="1">IFERROR(__xludf.DUMMYFUNCTION("""COMPUTED_VALUE"""),"UDAYAMPEROOR ")</f>
        <v xml:space="preserve">UDAYAMPEROOR </v>
      </c>
      <c r="M188" t="str">
        <f ca="1">IFERROR(__xludf.DUMMYFUNCTION("""COMPUTED_VALUE"""),"I Accept")</f>
        <v>I Accept</v>
      </c>
      <c r="N188" s="4">
        <f ca="1">IFERROR(__xludf.DUMMYFUNCTION("""COMPUTED_VALUE"""),43169)</f>
        <v>43169</v>
      </c>
      <c r="O188" s="4">
        <f ca="1">IFERROR(__xludf.DUMMYFUNCTION("""COMPUTED_VALUE"""),43169)</f>
        <v>43169</v>
      </c>
      <c r="P188">
        <f ca="1">IFERROR(__xludf.DUMMYFUNCTION("""COMPUTED_VALUE"""),5)</f>
        <v>5</v>
      </c>
      <c r="Q188" t="str">
        <f ca="1">IFERROR(__xludf.DUMMYFUNCTION("""COMPUTED_VALUE"""),"abimrajan@yahoo.co.in")</f>
        <v>abimrajan@yahoo.co.in</v>
      </c>
      <c r="R188" s="2" t="s">
        <v>2602</v>
      </c>
    </row>
    <row r="189" spans="1:18" ht="13" x14ac:dyDescent="0.15">
      <c r="A189" s="3">
        <f ca="1">IFERROR(__xludf.DUMMYFUNCTION("""COMPUTED_VALUE"""),43180.7865681134)</f>
        <v>43180.786568113399</v>
      </c>
      <c r="B189" t="str">
        <f ca="1">IFERROR(__xludf.DUMMYFUNCTION("""COMPUTED_VALUE"""),"bobbypramod@yahoo.com")</f>
        <v>bobbypramod@yahoo.com</v>
      </c>
      <c r="C189">
        <f ca="1">IFERROR(__xludf.DUMMYFUNCTION("""COMPUTED_VALUE"""),417)</f>
        <v>417</v>
      </c>
      <c r="D189" t="str">
        <f ca="1">IFERROR(__xludf.DUMMYFUNCTION("""COMPUTED_VALUE"""),"BOBBY PRAMOD T.S")</f>
        <v>BOBBY PRAMOD T.S</v>
      </c>
      <c r="E189">
        <f ca="1">IFERROR(__xludf.DUMMYFUNCTION("""COMPUTED_VALUE"""),9048877317)</f>
        <v>9048877317</v>
      </c>
      <c r="F189" t="str">
        <f ca="1">IFERROR(__xludf.DUMMYFUNCTION("""COMPUTED_VALUE"""),"Kozhikode")</f>
        <v>Kozhikode</v>
      </c>
      <c r="G189" t="str">
        <f ca="1">IFERROR(__xludf.DUMMYFUNCTION("""COMPUTED_VALUE"""),"TATA POWER SOLAR SYSTEMS LTD")</f>
        <v>TATA POWER SOLAR SYSTEMS LTD</v>
      </c>
      <c r="H189">
        <f ca="1">IFERROR(__xludf.DUMMYFUNCTION("""COMPUTED_VALUE"""),20)</f>
        <v>20</v>
      </c>
      <c r="I189" s="4">
        <f ca="1">IFERROR(__xludf.DUMMYFUNCTION("""COMPUTED_VALUE"""),43178)</f>
        <v>43178</v>
      </c>
      <c r="J189">
        <f ca="1">IFERROR(__xludf.DUMMYFUNCTION("""COMPUTED_VALUE"""),3)</f>
        <v>3</v>
      </c>
      <c r="K189">
        <f ca="1">IFERROR(__xludf.DUMMYFUNCTION("""COMPUTED_VALUE"""),1166358027015)</f>
        <v>1166358027015</v>
      </c>
      <c r="L189" t="str">
        <f ca="1">IFERROR(__xludf.DUMMYFUNCTION("""COMPUTED_VALUE"""),"Beypore")</f>
        <v>Beypore</v>
      </c>
      <c r="M189" t="str">
        <f ca="1">IFERROR(__xludf.DUMMYFUNCTION("""COMPUTED_VALUE"""),"I Accept")</f>
        <v>I Accept</v>
      </c>
      <c r="N189" s="4">
        <f ca="1">IFERROR(__xludf.DUMMYFUNCTION("""COMPUTED_VALUE"""),43160)</f>
        <v>43160</v>
      </c>
      <c r="O189" s="4">
        <f ca="1">IFERROR(__xludf.DUMMYFUNCTION("""COMPUTED_VALUE"""),43160)</f>
        <v>43160</v>
      </c>
      <c r="P189">
        <f ca="1">IFERROR(__xludf.DUMMYFUNCTION("""COMPUTED_VALUE"""),3)</f>
        <v>3</v>
      </c>
      <c r="Q189" t="str">
        <f ca="1">IFERROR(__xludf.DUMMYFUNCTION("""COMPUTED_VALUE"""),"bobbypramod@yahoo.com")</f>
        <v>bobbypramod@yahoo.com</v>
      </c>
      <c r="R189" s="2" t="s">
        <v>2603</v>
      </c>
    </row>
    <row r="190" spans="1:18" ht="13" x14ac:dyDescent="0.15">
      <c r="A190" s="3">
        <f ca="1">IFERROR(__xludf.DUMMYFUNCTION("""COMPUTED_VALUE"""),43181.416329074)</f>
        <v>43181.416329074003</v>
      </c>
      <c r="B190" t="str">
        <f ca="1">IFERROR(__xludf.DUMMYFUNCTION("""COMPUTED_VALUE"""),"projects.basta@gmail.com")</f>
        <v>projects.basta@gmail.com</v>
      </c>
      <c r="C190">
        <f ca="1">IFERROR(__xludf.DUMMYFUNCTION("""COMPUTED_VALUE"""),469)</f>
        <v>469</v>
      </c>
      <c r="D190" t="str">
        <f ca="1">IFERROR(__xludf.DUMMYFUNCTION("""COMPUTED_VALUE"""),"Haridas C")</f>
        <v>Haridas C</v>
      </c>
      <c r="E190">
        <f ca="1">IFERROR(__xludf.DUMMYFUNCTION("""COMPUTED_VALUE"""),9061327111)</f>
        <v>9061327111</v>
      </c>
      <c r="F190" t="str">
        <f ca="1">IFERROR(__xludf.DUMMYFUNCTION("""COMPUTED_VALUE"""),"Kannur")</f>
        <v>Kannur</v>
      </c>
      <c r="G190" t="str">
        <f ca="1">IFERROR(__xludf.DUMMYFUNCTION("""COMPUTED_VALUE"""),"BOSCH LTD")</f>
        <v>BOSCH LTD</v>
      </c>
      <c r="H190">
        <f ca="1">IFERROR(__xludf.DUMMYFUNCTION("""COMPUTED_VALUE"""),18)</f>
        <v>18</v>
      </c>
      <c r="I190" s="4">
        <f ca="1">IFERROR(__xludf.DUMMYFUNCTION("""COMPUTED_VALUE"""),43181)</f>
        <v>43181</v>
      </c>
      <c r="J190">
        <f ca="1">IFERROR(__xludf.DUMMYFUNCTION("""COMPUTED_VALUE"""),3)</f>
        <v>3</v>
      </c>
      <c r="K190">
        <f ca="1">IFERROR(__xludf.DUMMYFUNCTION("""COMPUTED_VALUE"""),1167605005295)</f>
        <v>1167605005295</v>
      </c>
      <c r="L190" t="str">
        <f ca="1">IFERROR(__xludf.DUMMYFUNCTION("""COMPUTED_VALUE"""),"Pariyaram")</f>
        <v>Pariyaram</v>
      </c>
      <c r="M190" t="str">
        <f ca="1">IFERROR(__xludf.DUMMYFUNCTION("""COMPUTED_VALUE"""),"I Accept")</f>
        <v>I Accept</v>
      </c>
      <c r="N190" s="4">
        <f ca="1">IFERROR(__xludf.DUMMYFUNCTION("""COMPUTED_VALUE"""),43178)</f>
        <v>43178</v>
      </c>
      <c r="O190" s="4">
        <f ca="1">IFERROR(__xludf.DUMMYFUNCTION("""COMPUTED_VALUE"""),43178)</f>
        <v>43178</v>
      </c>
      <c r="P190">
        <f ca="1">IFERROR(__xludf.DUMMYFUNCTION("""COMPUTED_VALUE"""),3)</f>
        <v>3</v>
      </c>
      <c r="Q190" t="str">
        <f ca="1">IFERROR(__xludf.DUMMYFUNCTION("""COMPUTED_VALUE"""),"projects.basta@gmail.com")</f>
        <v>projects.basta@gmail.com</v>
      </c>
      <c r="R190" s="2" t="s">
        <v>2604</v>
      </c>
    </row>
    <row r="191" spans="1:18" ht="13" x14ac:dyDescent="0.15">
      <c r="A191" s="3">
        <f ca="1">IFERROR(__xludf.DUMMYFUNCTION("""COMPUTED_VALUE"""),43181.4565779629)</f>
        <v>43181.456577962897</v>
      </c>
      <c r="B191" t="str">
        <f ca="1">IFERROR(__xludf.DUMMYFUNCTION("""COMPUTED_VALUE"""),"mvambikadevesan@gmail.com")</f>
        <v>mvambikadevesan@gmail.com</v>
      </c>
      <c r="C191">
        <f ca="1">IFERROR(__xludf.DUMMYFUNCTION("""COMPUTED_VALUE"""),464)</f>
        <v>464</v>
      </c>
      <c r="D191" t="str">
        <f ca="1">IFERROR(__xludf.DUMMYFUNCTION("""COMPUTED_VALUE"""),"Devesan V V")</f>
        <v>Devesan V V</v>
      </c>
      <c r="E191">
        <f ca="1">IFERROR(__xludf.DUMMYFUNCTION("""COMPUTED_VALUE"""),8547866385)</f>
        <v>8547866385</v>
      </c>
      <c r="F191" t="str">
        <f ca="1">IFERROR(__xludf.DUMMYFUNCTION("""COMPUTED_VALUE"""),"Thrissur")</f>
        <v>Thrissur</v>
      </c>
      <c r="G191" t="str">
        <f ca="1">IFERROR(__xludf.DUMMYFUNCTION("""COMPUTED_VALUE"""),"KC Kopar Energy Solutions Pvt Ltd")</f>
        <v>KC Kopar Energy Solutions Pvt Ltd</v>
      </c>
      <c r="H191">
        <f ca="1">IFERROR(__xludf.DUMMYFUNCTION("""COMPUTED_VALUE"""),45)</f>
        <v>45</v>
      </c>
      <c r="I191" s="4">
        <f ca="1">IFERROR(__xludf.DUMMYFUNCTION("""COMPUTED_VALUE"""),43181)</f>
        <v>43181</v>
      </c>
      <c r="J191">
        <f ca="1">IFERROR(__xludf.DUMMYFUNCTION("""COMPUTED_VALUE"""),3)</f>
        <v>3</v>
      </c>
      <c r="K191">
        <f ca="1">IFERROR(__xludf.DUMMYFUNCTION("""COMPUTED_VALUE"""),1156937004737)</f>
        <v>1156937004737</v>
      </c>
      <c r="L191" t="str">
        <f ca="1">IFERROR(__xludf.DUMMYFUNCTION("""COMPUTED_VALUE"""),"Thiruvillwamala")</f>
        <v>Thiruvillwamala</v>
      </c>
      <c r="M191" t="str">
        <f ca="1">IFERROR(__xludf.DUMMYFUNCTION("""COMPUTED_VALUE"""),"I Accept")</f>
        <v>I Accept</v>
      </c>
      <c r="N191" s="4">
        <f ca="1">IFERROR(__xludf.DUMMYFUNCTION("""COMPUTED_VALUE"""),43162)</f>
        <v>43162</v>
      </c>
      <c r="O191" s="4">
        <f ca="1">IFERROR(__xludf.DUMMYFUNCTION("""COMPUTED_VALUE"""),43162)</f>
        <v>43162</v>
      </c>
      <c r="P191">
        <f ca="1">IFERROR(__xludf.DUMMYFUNCTION("""COMPUTED_VALUE"""),3)</f>
        <v>3</v>
      </c>
      <c r="Q191" t="str">
        <f ca="1">IFERROR(__xludf.DUMMYFUNCTION("""COMPUTED_VALUE"""),"mvambikadevesan@gmail.com")</f>
        <v>mvambikadevesan@gmail.com</v>
      </c>
      <c r="R191" s="2" t="s">
        <v>2605</v>
      </c>
    </row>
    <row r="192" spans="1:18" ht="13" x14ac:dyDescent="0.15">
      <c r="A192" s="3">
        <f ca="1">IFERROR(__xludf.DUMMYFUNCTION("""COMPUTED_VALUE"""),43181.4823337037)</f>
        <v>43181.482333703701</v>
      </c>
      <c r="B192" t="str">
        <f ca="1">IFERROR(__xludf.DUMMYFUNCTION("""COMPUTED_VALUE"""),"lakshararayan@gmail.com")</f>
        <v>lakshararayan@gmail.com</v>
      </c>
      <c r="C192">
        <f ca="1">IFERROR(__xludf.DUMMYFUNCTION("""COMPUTED_VALUE"""),603)</f>
        <v>603</v>
      </c>
      <c r="D192" t="str">
        <f ca="1">IFERROR(__xludf.DUMMYFUNCTION("""COMPUTED_VALUE"""),"Senni Prabhakaran")</f>
        <v>Senni Prabhakaran</v>
      </c>
      <c r="E192">
        <f ca="1">IFERROR(__xludf.DUMMYFUNCTION("""COMPUTED_VALUE"""),7034322221)</f>
        <v>7034322221</v>
      </c>
      <c r="F192" t="str">
        <f ca="1">IFERROR(__xludf.DUMMYFUNCTION("""COMPUTED_VALUE"""),"Thiruvananthapuram")</f>
        <v>Thiruvananthapuram</v>
      </c>
      <c r="G192" t="str">
        <f ca="1">IFERROR(__xludf.DUMMYFUNCTION("""COMPUTED_VALUE"""),"Renergy Systems India Pvt Ltd")</f>
        <v>Renergy Systems India Pvt Ltd</v>
      </c>
      <c r="H192">
        <f ca="1">IFERROR(__xludf.DUMMYFUNCTION("""COMPUTED_VALUE"""),38)</f>
        <v>38</v>
      </c>
      <c r="I192" s="4">
        <f ca="1">IFERROR(__xludf.DUMMYFUNCTION("""COMPUTED_VALUE"""),43181)</f>
        <v>43181</v>
      </c>
      <c r="J192">
        <f ca="1">IFERROR(__xludf.DUMMYFUNCTION("""COMPUTED_VALUE"""),3)</f>
        <v>3</v>
      </c>
      <c r="K192">
        <f ca="1">IFERROR(__xludf.DUMMYFUNCTION("""COMPUTED_VALUE"""),1145310020206)</f>
        <v>1145310020206</v>
      </c>
      <c r="L192" t="str">
        <f ca="1">IFERROR(__xludf.DUMMYFUNCTION("""COMPUTED_VALUE"""),"Attingal")</f>
        <v>Attingal</v>
      </c>
      <c r="M192" t="str">
        <f ca="1">IFERROR(__xludf.DUMMYFUNCTION("""COMPUTED_VALUE"""),"I Accept")</f>
        <v>I Accept</v>
      </c>
      <c r="N192" s="4">
        <f ca="1">IFERROR(__xludf.DUMMYFUNCTION("""COMPUTED_VALUE"""),43176)</f>
        <v>43176</v>
      </c>
      <c r="O192" s="4">
        <f ca="1">IFERROR(__xludf.DUMMYFUNCTION("""COMPUTED_VALUE"""),43176)</f>
        <v>43176</v>
      </c>
      <c r="P192">
        <f ca="1">IFERROR(__xludf.DUMMYFUNCTION("""COMPUTED_VALUE"""),3)</f>
        <v>3</v>
      </c>
      <c r="Q192" t="str">
        <f ca="1">IFERROR(__xludf.DUMMYFUNCTION("""COMPUTED_VALUE"""),"lakshararayan@gmail.com")</f>
        <v>lakshararayan@gmail.com</v>
      </c>
      <c r="R192" s="2" t="s">
        <v>2606</v>
      </c>
    </row>
    <row r="193" spans="1:18" ht="13" x14ac:dyDescent="0.15">
      <c r="A193" s="3">
        <f ca="1">IFERROR(__xludf.DUMMYFUNCTION("""COMPUTED_VALUE"""),43181.4874130787)</f>
        <v>43181.487413078699</v>
      </c>
      <c r="B193" t="str">
        <f ca="1">IFERROR(__xludf.DUMMYFUNCTION("""COMPUTED_VALUE"""),"roychristi99@gmail.com")</f>
        <v>roychristi99@gmail.com</v>
      </c>
      <c r="C193">
        <f ca="1">IFERROR(__xludf.DUMMYFUNCTION("""COMPUTED_VALUE"""),361)</f>
        <v>361</v>
      </c>
      <c r="D193" t="str">
        <f ca="1">IFERROR(__xludf.DUMMYFUNCTION("""COMPUTED_VALUE"""),"P B BHUVANACHANDRAN NAIR")</f>
        <v>P B BHUVANACHANDRAN NAIR</v>
      </c>
      <c r="E193">
        <f ca="1">IFERROR(__xludf.DUMMYFUNCTION("""COMPUTED_VALUE"""),9645322229)</f>
        <v>9645322229</v>
      </c>
      <c r="F193" t="str">
        <f ca="1">IFERROR(__xludf.DUMMYFUNCTION("""COMPUTED_VALUE"""),"Thiruvananthapuram")</f>
        <v>Thiruvananthapuram</v>
      </c>
      <c r="G193" t="str">
        <f ca="1">IFERROR(__xludf.DUMMYFUNCTION("""COMPUTED_VALUE"""),"RENERGY SYSTEMS INDIA PVT LTD")</f>
        <v>RENERGY SYSTEMS INDIA PVT LTD</v>
      </c>
      <c r="H193">
        <f ca="1">IFERROR(__xludf.DUMMYFUNCTION("""COMPUTED_VALUE"""),38)</f>
        <v>38</v>
      </c>
      <c r="I193" s="4">
        <f ca="1">IFERROR(__xludf.DUMMYFUNCTION("""COMPUTED_VALUE"""),43160)</f>
        <v>43160</v>
      </c>
      <c r="J193">
        <f ca="1">IFERROR(__xludf.DUMMYFUNCTION("""COMPUTED_VALUE"""),2)</f>
        <v>2</v>
      </c>
      <c r="K193">
        <f ca="1">IFERROR(__xludf.DUMMYFUNCTION("""COMPUTED_VALUE"""),1146787000661)</f>
        <v>1146787000661</v>
      </c>
      <c r="L193" t="str">
        <f ca="1">IFERROR(__xludf.DUMMYFUNCTION("""COMPUTED_VALUE"""),"VATTAPPARA")</f>
        <v>VATTAPPARA</v>
      </c>
      <c r="M193" t="str">
        <f ca="1">IFERROR(__xludf.DUMMYFUNCTION("""COMPUTED_VALUE"""),"I Accept")</f>
        <v>I Accept</v>
      </c>
      <c r="N193" s="4">
        <f ca="1">IFERROR(__xludf.DUMMYFUNCTION("""COMPUTED_VALUE"""),43171)</f>
        <v>43171</v>
      </c>
      <c r="O193" s="4">
        <f ca="1">IFERROR(__xludf.DUMMYFUNCTION("""COMPUTED_VALUE"""),43171)</f>
        <v>43171</v>
      </c>
      <c r="P193">
        <f ca="1">IFERROR(__xludf.DUMMYFUNCTION("""COMPUTED_VALUE"""),2)</f>
        <v>2</v>
      </c>
      <c r="Q193" t="str">
        <f ca="1">IFERROR(__xludf.DUMMYFUNCTION("""COMPUTED_VALUE"""),"roychristi99@gmail.com")</f>
        <v>roychristi99@gmail.com</v>
      </c>
      <c r="R193" s="2" t="s">
        <v>2607</v>
      </c>
    </row>
    <row r="194" spans="1:18" ht="13" x14ac:dyDescent="0.15">
      <c r="A194" s="3">
        <f ca="1">IFERROR(__xludf.DUMMYFUNCTION("""COMPUTED_VALUE"""),43181.4946832523)</f>
        <v>43181.494683252298</v>
      </c>
      <c r="B194" t="str">
        <f ca="1">IFERROR(__xludf.DUMMYFUNCTION("""COMPUTED_VALUE"""),"vidyodayaschool90@gmail.com")</f>
        <v>vidyodayaschool90@gmail.com</v>
      </c>
      <c r="C194">
        <f ca="1">IFERROR(__xludf.DUMMYFUNCTION("""COMPUTED_VALUE"""),337)</f>
        <v>337</v>
      </c>
      <c r="D194" t="str">
        <f ca="1">IFERROR(__xludf.DUMMYFUNCTION("""COMPUTED_VALUE"""),"Dr.P.Sreekumar,Executive Trustee")</f>
        <v>Dr.P.Sreekumar,Executive Trustee</v>
      </c>
      <c r="E194">
        <f ca="1">IFERROR(__xludf.DUMMYFUNCTION("""COMPUTED_VALUE"""),9072926009)</f>
        <v>9072926009</v>
      </c>
      <c r="F194" t="str">
        <f ca="1">IFERROR(__xludf.DUMMYFUNCTION("""COMPUTED_VALUE"""),"Ernakulam")</f>
        <v>Ernakulam</v>
      </c>
      <c r="G194" t="str">
        <f ca="1">IFERROR(__xludf.DUMMYFUNCTION("""COMPUTED_VALUE"""),"SOURA Natural Energy Solutions I Pvt Ltd")</f>
        <v>SOURA Natural Energy Solutions I Pvt Ltd</v>
      </c>
      <c r="H194">
        <f ca="1">IFERROR(__xludf.DUMMYFUNCTION("""COMPUTED_VALUE"""),11)</f>
        <v>11</v>
      </c>
      <c r="I194" s="4">
        <f ca="1">IFERROR(__xludf.DUMMYFUNCTION("""COMPUTED_VALUE"""),43160)</f>
        <v>43160</v>
      </c>
      <c r="J194">
        <f ca="1">IFERROR(__xludf.DUMMYFUNCTION("""COMPUTED_VALUE"""),30)</f>
        <v>30</v>
      </c>
      <c r="K194">
        <f ca="1">IFERROR(__xludf.DUMMYFUNCTION("""COMPUTED_VALUE"""),1155583000764)</f>
        <v>1155583000764</v>
      </c>
      <c r="L194" t="str">
        <f ca="1">IFERROR(__xludf.DUMMYFUNCTION("""COMPUTED_VALUE"""),"Thevakkal")</f>
        <v>Thevakkal</v>
      </c>
      <c r="M194" t="str">
        <f ca="1">IFERROR(__xludf.DUMMYFUNCTION("""COMPUTED_VALUE"""),"I Accept")</f>
        <v>I Accept</v>
      </c>
      <c r="N194" s="4">
        <f ca="1">IFERROR(__xludf.DUMMYFUNCTION("""COMPUTED_VALUE"""),43165)</f>
        <v>43165</v>
      </c>
      <c r="O194" s="4">
        <f ca="1">IFERROR(__xludf.DUMMYFUNCTION("""COMPUTED_VALUE"""),43165)</f>
        <v>43165</v>
      </c>
      <c r="P194">
        <f ca="1">IFERROR(__xludf.DUMMYFUNCTION("""COMPUTED_VALUE"""),30)</f>
        <v>30</v>
      </c>
      <c r="Q194" t="str">
        <f ca="1">IFERROR(__xludf.DUMMYFUNCTION("""COMPUTED_VALUE"""),"vidyodayaschool90@gmail.com")</f>
        <v>vidyodayaschool90@gmail.com</v>
      </c>
      <c r="R194" s="2" t="s">
        <v>2608</v>
      </c>
    </row>
    <row r="195" spans="1:18" ht="13" x14ac:dyDescent="0.15">
      <c r="A195" s="3">
        <f ca="1">IFERROR(__xludf.DUMMYFUNCTION("""COMPUTED_VALUE"""),43181.5081734375)</f>
        <v>43181.508173437498</v>
      </c>
      <c r="B195" t="str">
        <f ca="1">IFERROR(__xludf.DUMMYFUNCTION("""COMPUTED_VALUE"""),"info@solartechind.com")</f>
        <v>info@solartechind.com</v>
      </c>
      <c r="C195">
        <f ca="1">IFERROR(__xludf.DUMMYFUNCTION("""COMPUTED_VALUE"""),181)</f>
        <v>181</v>
      </c>
      <c r="D195" t="str">
        <f ca="1">IFERROR(__xludf.DUMMYFUNCTION("""COMPUTED_VALUE"""),"Bindu OM")</f>
        <v>Bindu OM</v>
      </c>
      <c r="E195">
        <f ca="1">IFERROR(__xludf.DUMMYFUNCTION("""COMPUTED_VALUE"""),9387707733)</f>
        <v>9387707733</v>
      </c>
      <c r="F195" t="str">
        <f ca="1">IFERROR(__xludf.DUMMYFUNCTION("""COMPUTED_VALUE"""),"Thrissur")</f>
        <v>Thrissur</v>
      </c>
      <c r="G195" t="str">
        <f ca="1">IFERROR(__xludf.DUMMYFUNCTION("""COMPUTED_VALUE"""),"SOLARTECH")</f>
        <v>SOLARTECH</v>
      </c>
      <c r="H195">
        <f ca="1">IFERROR(__xludf.DUMMYFUNCTION("""COMPUTED_VALUE"""),4)</f>
        <v>4</v>
      </c>
      <c r="I195" s="4">
        <f ca="1">IFERROR(__xludf.DUMMYFUNCTION("""COMPUTED_VALUE"""),43145)</f>
        <v>43145</v>
      </c>
      <c r="J195">
        <f ca="1">IFERROR(__xludf.DUMMYFUNCTION("""COMPUTED_VALUE"""),5)</f>
        <v>5</v>
      </c>
      <c r="K195">
        <f ca="1">IFERROR(__xludf.DUMMYFUNCTION("""COMPUTED_VALUE"""),1156464019791)</f>
        <v>1156464019791</v>
      </c>
      <c r="L195" t="str">
        <f ca="1">IFERROR(__xludf.DUMMYFUNCTION("""COMPUTED_VALUE"""),"Vellangallur")</f>
        <v>Vellangallur</v>
      </c>
      <c r="M195" t="str">
        <f ca="1">IFERROR(__xludf.DUMMYFUNCTION("""COMPUTED_VALUE"""),"I Accept")</f>
        <v>I Accept</v>
      </c>
      <c r="N195" s="4">
        <f ca="1">IFERROR(__xludf.DUMMYFUNCTION("""COMPUTED_VALUE"""),43118)</f>
        <v>43118</v>
      </c>
      <c r="O195" s="4">
        <f ca="1">IFERROR(__xludf.DUMMYFUNCTION("""COMPUTED_VALUE"""),43118)</f>
        <v>43118</v>
      </c>
      <c r="P195">
        <f ca="1">IFERROR(__xludf.DUMMYFUNCTION("""COMPUTED_VALUE"""),5)</f>
        <v>5</v>
      </c>
      <c r="Q195" t="str">
        <f ca="1">IFERROR(__xludf.DUMMYFUNCTION("""COMPUTED_VALUE"""),"info@solartechind.com")</f>
        <v>info@solartechind.com</v>
      </c>
      <c r="R195" s="2" t="s">
        <v>2609</v>
      </c>
    </row>
    <row r="196" spans="1:18" ht="13" x14ac:dyDescent="0.15">
      <c r="A196" s="3">
        <f ca="1">IFERROR(__xludf.DUMMYFUNCTION("""COMPUTED_VALUE"""),43181.5933682986)</f>
        <v>43181.5933682986</v>
      </c>
      <c r="B196" t="str">
        <f ca="1">IFERROR(__xludf.DUMMYFUNCTION("""COMPUTED_VALUE"""),"arun8943674152@gmail.com")</f>
        <v>arun8943674152@gmail.com</v>
      </c>
      <c r="C196">
        <f ca="1">IFERROR(__xludf.DUMMYFUNCTION("""COMPUTED_VALUE"""),643)</f>
        <v>643</v>
      </c>
      <c r="D196" t="str">
        <f ca="1">IFERROR(__xludf.DUMMYFUNCTION("""COMPUTED_VALUE"""),"SAJU SIMON P")</f>
        <v>SAJU SIMON P</v>
      </c>
      <c r="E196">
        <f ca="1">IFERROR(__xludf.DUMMYFUNCTION("""COMPUTED_VALUE"""),8943674152)</f>
        <v>8943674152</v>
      </c>
      <c r="F196" t="str">
        <f ca="1">IFERROR(__xludf.DUMMYFUNCTION("""COMPUTED_VALUE"""),"Thrissur")</f>
        <v>Thrissur</v>
      </c>
      <c r="G196" t="str">
        <f ca="1">IFERROR(__xludf.DUMMYFUNCTION("""COMPUTED_VALUE"""),"SOLGEN ENERGY PVT LTD")</f>
        <v>SOLGEN ENERGY PVT LTD</v>
      </c>
      <c r="H196">
        <f ca="1">IFERROR(__xludf.DUMMYFUNCTION("""COMPUTED_VALUE"""),42)</f>
        <v>42</v>
      </c>
      <c r="I196" s="4">
        <f ca="1">IFERROR(__xludf.DUMMYFUNCTION("""COMPUTED_VALUE"""),43169)</f>
        <v>43169</v>
      </c>
      <c r="J196">
        <f ca="1">IFERROR(__xludf.DUMMYFUNCTION("""COMPUTED_VALUE"""),3)</f>
        <v>3</v>
      </c>
      <c r="K196">
        <f ca="1">IFERROR(__xludf.DUMMYFUNCTION("""COMPUTED_VALUE"""),11876)</f>
        <v>11876</v>
      </c>
      <c r="L196" t="str">
        <f ca="1">IFERROR(__xludf.DUMMYFUNCTION("""COMPUTED_VALUE"""),"TCED")</f>
        <v>TCED</v>
      </c>
      <c r="M196" t="str">
        <f ca="1">IFERROR(__xludf.DUMMYFUNCTION("""COMPUTED_VALUE"""),"I Accept")</f>
        <v>I Accept</v>
      </c>
      <c r="N196" s="4">
        <f ca="1">IFERROR(__xludf.DUMMYFUNCTION("""COMPUTED_VALUE"""),43168)</f>
        <v>43168</v>
      </c>
      <c r="O196" s="4">
        <f ca="1">IFERROR(__xludf.DUMMYFUNCTION("""COMPUTED_VALUE"""),43168)</f>
        <v>43168</v>
      </c>
      <c r="P196">
        <f ca="1">IFERROR(__xludf.DUMMYFUNCTION("""COMPUTED_VALUE"""),3)</f>
        <v>3</v>
      </c>
      <c r="Q196" t="str">
        <f ca="1">IFERROR(__xludf.DUMMYFUNCTION("""COMPUTED_VALUE"""),"arun8943674152@gmail.com")</f>
        <v>arun8943674152@gmail.com</v>
      </c>
      <c r="R196" s="2" t="s">
        <v>2610</v>
      </c>
    </row>
    <row r="197" spans="1:18" ht="13" x14ac:dyDescent="0.15">
      <c r="A197" s="3">
        <f ca="1">IFERROR(__xludf.DUMMYFUNCTION("""COMPUTED_VALUE"""),43181.650850706)</f>
        <v>43181.650850705999</v>
      </c>
      <c r="B197" t="str">
        <f ca="1">IFERROR(__xludf.DUMMYFUNCTION("""COMPUTED_VALUE"""),"nestromarketing@gmail.com")</f>
        <v>nestromarketing@gmail.com</v>
      </c>
      <c r="C197">
        <f ca="1">IFERROR(__xludf.DUMMYFUNCTION("""COMPUTED_VALUE"""),325)</f>
        <v>325</v>
      </c>
      <c r="D197" t="str">
        <f ca="1">IFERROR(__xludf.DUMMYFUNCTION("""COMPUTED_VALUE"""),"Vijayan . K.R")</f>
        <v>Vijayan . K.R</v>
      </c>
      <c r="E197">
        <f ca="1">IFERROR(__xludf.DUMMYFUNCTION("""COMPUTED_VALUE"""),9142099977)</f>
        <v>9142099977</v>
      </c>
      <c r="F197" t="str">
        <f ca="1">IFERROR(__xludf.DUMMYFUNCTION("""COMPUTED_VALUE"""),"Thrissur")</f>
        <v>Thrissur</v>
      </c>
      <c r="G197" t="str">
        <f ca="1">IFERROR(__xludf.DUMMYFUNCTION("""COMPUTED_VALUE"""),"Nestro Marketing LLP")</f>
        <v>Nestro Marketing LLP</v>
      </c>
      <c r="H197">
        <f ca="1">IFERROR(__xludf.DUMMYFUNCTION("""COMPUTED_VALUE"""),14)</f>
        <v>14</v>
      </c>
      <c r="I197" s="4">
        <f ca="1">IFERROR(__xludf.DUMMYFUNCTION("""COMPUTED_VALUE"""),43180)</f>
        <v>43180</v>
      </c>
      <c r="J197">
        <f ca="1">IFERROR(__xludf.DUMMYFUNCTION("""COMPUTED_VALUE"""),5)</f>
        <v>5</v>
      </c>
      <c r="K197">
        <f ca="1">IFERROR(__xludf.DUMMYFUNCTION("""COMPUTED_VALUE"""),1156809004362)</f>
        <v>1156809004362</v>
      </c>
      <c r="L197" t="str">
        <f ca="1">IFERROR(__xludf.DUMMYFUNCTION("""COMPUTED_VALUE"""),"Viyur")</f>
        <v>Viyur</v>
      </c>
      <c r="M197" t="str">
        <f ca="1">IFERROR(__xludf.DUMMYFUNCTION("""COMPUTED_VALUE"""),"I Accept")</f>
        <v>I Accept</v>
      </c>
      <c r="N197" s="4">
        <f ca="1">IFERROR(__xludf.DUMMYFUNCTION("""COMPUTED_VALUE"""),43167)</f>
        <v>43167</v>
      </c>
      <c r="O197" s="4">
        <f ca="1">IFERROR(__xludf.DUMMYFUNCTION("""COMPUTED_VALUE"""),43167)</f>
        <v>43167</v>
      </c>
      <c r="P197">
        <f ca="1">IFERROR(__xludf.DUMMYFUNCTION("""COMPUTED_VALUE"""),5)</f>
        <v>5</v>
      </c>
      <c r="Q197" t="str">
        <f ca="1">IFERROR(__xludf.DUMMYFUNCTION("""COMPUTED_VALUE"""),"nestromarketing@gmail.com")</f>
        <v>nestromarketing@gmail.com</v>
      </c>
      <c r="R197" s="2" t="s">
        <v>2611</v>
      </c>
    </row>
    <row r="198" spans="1:18" ht="13" x14ac:dyDescent="0.15">
      <c r="A198" s="3">
        <f ca="1">IFERROR(__xludf.DUMMYFUNCTION("""COMPUTED_VALUE"""),43181.6620449884)</f>
        <v>43181.662044988399</v>
      </c>
      <c r="B198" t="str">
        <f ca="1">IFERROR(__xludf.DUMMYFUNCTION("""COMPUTED_VALUE"""),"jose.dilip@gmail.com")</f>
        <v>jose.dilip@gmail.com</v>
      </c>
      <c r="C198">
        <f ca="1">IFERROR(__xludf.DUMMYFUNCTION("""COMPUTED_VALUE"""),211)</f>
        <v>211</v>
      </c>
      <c r="D198" t="str">
        <f ca="1">IFERROR(__xludf.DUMMYFUNCTION("""COMPUTED_VALUE"""),"THOMAS VARGHESE")</f>
        <v>THOMAS VARGHESE</v>
      </c>
      <c r="E198">
        <f ca="1">IFERROR(__xludf.DUMMYFUNCTION("""COMPUTED_VALUE"""),8137874406)</f>
        <v>8137874406</v>
      </c>
      <c r="F198" t="str">
        <f ca="1">IFERROR(__xludf.DUMMYFUNCTION("""COMPUTED_VALUE"""),"Kottayam")</f>
        <v>Kottayam</v>
      </c>
      <c r="G198" t="str">
        <f ca="1">IFERROR(__xludf.DUMMYFUNCTION("""COMPUTED_VALUE"""),"SOLGEN ENERGY PVT LTD")</f>
        <v>SOLGEN ENERGY PVT LTD</v>
      </c>
      <c r="H198">
        <f ca="1">IFERROR(__xludf.DUMMYFUNCTION("""COMPUTED_VALUE"""),42)</f>
        <v>42</v>
      </c>
      <c r="I198" s="4">
        <f ca="1">IFERROR(__xludf.DUMMYFUNCTION("""COMPUTED_VALUE"""),43179)</f>
        <v>43179</v>
      </c>
      <c r="J198">
        <f ca="1">IFERROR(__xludf.DUMMYFUNCTION("""COMPUTED_VALUE"""),3)</f>
        <v>3</v>
      </c>
      <c r="K198">
        <f ca="1">IFERROR(__xludf.DUMMYFUNCTION("""COMPUTED_VALUE"""),1156241013089)</f>
        <v>1156241013089</v>
      </c>
      <c r="L198" t="str">
        <f ca="1">IFERROR(__xludf.DUMMYFUNCTION("""COMPUTED_VALUE"""),"PALA")</f>
        <v>PALA</v>
      </c>
      <c r="M198" t="str">
        <f ca="1">IFERROR(__xludf.DUMMYFUNCTION("""COMPUTED_VALUE"""),"I Accept")</f>
        <v>I Accept</v>
      </c>
      <c r="N198" s="4">
        <f ca="1">IFERROR(__xludf.DUMMYFUNCTION("""COMPUTED_VALUE"""),43133)</f>
        <v>43133</v>
      </c>
      <c r="O198" s="4">
        <f ca="1">IFERROR(__xludf.DUMMYFUNCTION("""COMPUTED_VALUE"""),43133)</f>
        <v>43133</v>
      </c>
      <c r="P198">
        <f ca="1">IFERROR(__xludf.DUMMYFUNCTION("""COMPUTED_VALUE"""),3)</f>
        <v>3</v>
      </c>
      <c r="Q198" t="str">
        <f ca="1">IFERROR(__xludf.DUMMYFUNCTION("""COMPUTED_VALUE"""),"jose.dilip@gmail.com")</f>
        <v>jose.dilip@gmail.com</v>
      </c>
      <c r="R198" s="2" t="s">
        <v>2612</v>
      </c>
    </row>
    <row r="199" spans="1:18" ht="13" x14ac:dyDescent="0.15">
      <c r="A199" s="3">
        <f ca="1">IFERROR(__xludf.DUMMYFUNCTION("""COMPUTED_VALUE"""),43181.7042145023)</f>
        <v>43181.704214502301</v>
      </c>
      <c r="B199" t="str">
        <f ca="1">IFERROR(__xludf.DUMMYFUNCTION("""COMPUTED_VALUE"""),"info@wattsun.in")</f>
        <v>info@wattsun.in</v>
      </c>
      <c r="C199">
        <f ca="1">IFERROR(__xludf.DUMMYFUNCTION("""COMPUTED_VALUE"""),80)</f>
        <v>80</v>
      </c>
      <c r="D199" t="str">
        <f ca="1">IFERROR(__xludf.DUMMYFUNCTION("""COMPUTED_VALUE"""),"Wattsun Energy India Private Limited")</f>
        <v>Wattsun Energy India Private Limited</v>
      </c>
      <c r="E199">
        <f ca="1">IFERROR(__xludf.DUMMYFUNCTION("""COMPUTED_VALUE"""),9072666513)</f>
        <v>9072666513</v>
      </c>
      <c r="F199" t="str">
        <f ca="1">IFERROR(__xludf.DUMMYFUNCTION("""COMPUTED_VALUE"""),"Thiruvananthapuram")</f>
        <v>Thiruvananthapuram</v>
      </c>
      <c r="G199" t="str">
        <f ca="1">IFERROR(__xludf.DUMMYFUNCTION("""COMPUTED_VALUE"""),"Wattsun Energy India Private Limited")</f>
        <v>Wattsun Energy India Private Limited</v>
      </c>
      <c r="H199">
        <f ca="1">IFERROR(__xludf.DUMMYFUNCTION("""COMPUTED_VALUE"""),54)</f>
        <v>54</v>
      </c>
      <c r="I199" s="4">
        <f ca="1">IFERROR(__xludf.DUMMYFUNCTION("""COMPUTED_VALUE"""),43181)</f>
        <v>43181</v>
      </c>
      <c r="J199">
        <f ca="1">IFERROR(__xludf.DUMMYFUNCTION("""COMPUTED_VALUE"""),5)</f>
        <v>5</v>
      </c>
      <c r="K199">
        <f ca="1">IFERROR(__xludf.DUMMYFUNCTION("""COMPUTED_VALUE"""),1145077002892)</f>
        <v>1145077002892</v>
      </c>
      <c r="L199" t="str">
        <f ca="1">IFERROR(__xludf.DUMMYFUNCTION("""COMPUTED_VALUE"""),"Vellayambalam ")</f>
        <v xml:space="preserve">Vellayambalam </v>
      </c>
      <c r="M199" t="str">
        <f ca="1">IFERROR(__xludf.DUMMYFUNCTION("""COMPUTED_VALUE"""),"I Accept")</f>
        <v>I Accept</v>
      </c>
      <c r="N199" s="4">
        <f ca="1">IFERROR(__xludf.DUMMYFUNCTION("""COMPUTED_VALUE"""),43124)</f>
        <v>43124</v>
      </c>
      <c r="O199" s="4">
        <f ca="1">IFERROR(__xludf.DUMMYFUNCTION("""COMPUTED_VALUE"""),43124)</f>
        <v>43124</v>
      </c>
      <c r="P199">
        <f ca="1">IFERROR(__xludf.DUMMYFUNCTION("""COMPUTED_VALUE"""),5)</f>
        <v>5</v>
      </c>
      <c r="Q199" t="str">
        <f ca="1">IFERROR(__xludf.DUMMYFUNCTION("""COMPUTED_VALUE"""),"info@wattsun.in")</f>
        <v>info@wattsun.in</v>
      </c>
      <c r="R199" s="2" t="s">
        <v>2613</v>
      </c>
    </row>
    <row r="200" spans="1:18" ht="13" x14ac:dyDescent="0.15">
      <c r="A200" s="3">
        <f ca="1">IFERROR(__xludf.DUMMYFUNCTION("""COMPUTED_VALUE"""),43181.714821574)</f>
        <v>43181.714821574002</v>
      </c>
      <c r="B200" t="str">
        <f ca="1">IFERROR(__xludf.DUMMYFUNCTION("""COMPUTED_VALUE"""),"info@wattsun.in")</f>
        <v>info@wattsun.in</v>
      </c>
      <c r="C200">
        <f ca="1">IFERROR(__xludf.DUMMYFUNCTION("""COMPUTED_VALUE"""),78)</f>
        <v>78</v>
      </c>
      <c r="D200" t="str">
        <f ca="1">IFERROR(__xludf.DUMMYFUNCTION("""COMPUTED_VALUE"""),"Nandini Kishore")</f>
        <v>Nandini Kishore</v>
      </c>
      <c r="E200">
        <f ca="1">IFERROR(__xludf.DUMMYFUNCTION("""COMPUTED_VALUE"""),9072666513)</f>
        <v>9072666513</v>
      </c>
      <c r="F200" t="str">
        <f ca="1">IFERROR(__xludf.DUMMYFUNCTION("""COMPUTED_VALUE"""),"Thiruvananthapuram")</f>
        <v>Thiruvananthapuram</v>
      </c>
      <c r="G200" t="str">
        <f ca="1">IFERROR(__xludf.DUMMYFUNCTION("""COMPUTED_VALUE"""),"wattsun Energy India Private Limited")</f>
        <v>wattsun Energy India Private Limited</v>
      </c>
      <c r="H200">
        <f ca="1">IFERROR(__xludf.DUMMYFUNCTION("""COMPUTED_VALUE"""),54)</f>
        <v>54</v>
      </c>
      <c r="I200" s="4">
        <f ca="1">IFERROR(__xludf.DUMMYFUNCTION("""COMPUTED_VALUE"""),43181)</f>
        <v>43181</v>
      </c>
      <c r="J200">
        <f ca="1">IFERROR(__xludf.DUMMYFUNCTION("""COMPUTED_VALUE"""),3)</f>
        <v>3</v>
      </c>
      <c r="K200">
        <f ca="1">IFERROR(__xludf.DUMMYFUNCTION("""COMPUTED_VALUE"""),1145073012558)</f>
        <v>1145073012558</v>
      </c>
      <c r="L200" t="str">
        <f ca="1">IFERROR(__xludf.DUMMYFUNCTION("""COMPUTED_VALUE"""),"Vellayambalam")</f>
        <v>Vellayambalam</v>
      </c>
      <c r="M200" t="str">
        <f ca="1">IFERROR(__xludf.DUMMYFUNCTION("""COMPUTED_VALUE"""),"I Accept")</f>
        <v>I Accept</v>
      </c>
      <c r="N200" s="4">
        <f ca="1">IFERROR(__xludf.DUMMYFUNCTION("""COMPUTED_VALUE"""),43124)</f>
        <v>43124</v>
      </c>
      <c r="O200" s="4">
        <f ca="1">IFERROR(__xludf.DUMMYFUNCTION("""COMPUTED_VALUE"""),43124)</f>
        <v>43124</v>
      </c>
      <c r="P200">
        <f ca="1">IFERROR(__xludf.DUMMYFUNCTION("""COMPUTED_VALUE"""),3)</f>
        <v>3</v>
      </c>
      <c r="Q200" t="str">
        <f ca="1">IFERROR(__xludf.DUMMYFUNCTION("""COMPUTED_VALUE"""),"info@wattsun.in")</f>
        <v>info@wattsun.in</v>
      </c>
      <c r="R200" s="2" t="s">
        <v>2614</v>
      </c>
    </row>
    <row r="201" spans="1:18" ht="13" x14ac:dyDescent="0.15">
      <c r="A201" s="3">
        <f ca="1">IFERROR(__xludf.DUMMYFUNCTION("""COMPUTED_VALUE"""),43182.4819165393)</f>
        <v>43182.481916539298</v>
      </c>
      <c r="B201" t="str">
        <f ca="1">IFERROR(__xludf.DUMMYFUNCTION("""COMPUTED_VALUE"""),"noorakshaya@gmail.com")</f>
        <v>noorakshaya@gmail.com</v>
      </c>
      <c r="C201">
        <f ca="1">IFERROR(__xludf.DUMMYFUNCTION("""COMPUTED_VALUE"""),677)</f>
        <v>677</v>
      </c>
      <c r="D201" t="str">
        <f ca="1">IFERROR(__xludf.DUMMYFUNCTION("""COMPUTED_VALUE""")," FRANCIS S")</f>
        <v xml:space="preserve"> FRANCIS S</v>
      </c>
      <c r="E201">
        <f ca="1">IFERROR(__xludf.DUMMYFUNCTION("""COMPUTED_VALUE"""),9645322229)</f>
        <v>9645322229</v>
      </c>
      <c r="F201" t="str">
        <f ca="1">IFERROR(__xludf.DUMMYFUNCTION("""COMPUTED_VALUE"""),"Thiruvananthapuram")</f>
        <v>Thiruvananthapuram</v>
      </c>
      <c r="G201" t="str">
        <f ca="1">IFERROR(__xludf.DUMMYFUNCTION("""COMPUTED_VALUE"""),"RENERGY SYSTEMS INDIA PVT LTD")</f>
        <v>RENERGY SYSTEMS INDIA PVT LTD</v>
      </c>
      <c r="H201">
        <f ca="1">IFERROR(__xludf.DUMMYFUNCTION("""COMPUTED_VALUE"""),38)</f>
        <v>38</v>
      </c>
      <c r="I201" s="4">
        <f ca="1">IFERROR(__xludf.DUMMYFUNCTION("""COMPUTED_VALUE"""),43179)</f>
        <v>43179</v>
      </c>
      <c r="J201">
        <f ca="1">IFERROR(__xludf.DUMMYFUNCTION("""COMPUTED_VALUE"""),3)</f>
        <v>3</v>
      </c>
      <c r="K201">
        <f ca="1">IFERROR(__xludf.DUMMYFUNCTION("""COMPUTED_VALUE"""),1145466019117)</f>
        <v>1145466019117</v>
      </c>
      <c r="L201" t="str">
        <f ca="1">IFERROR(__xludf.DUMMYFUNCTION("""COMPUTED_VALUE"""),"VIZHINJAM")</f>
        <v>VIZHINJAM</v>
      </c>
      <c r="M201" t="str">
        <f ca="1">IFERROR(__xludf.DUMMYFUNCTION("""COMPUTED_VALUE"""),"I Accept")</f>
        <v>I Accept</v>
      </c>
      <c r="N201" s="4">
        <f ca="1">IFERROR(__xludf.DUMMYFUNCTION("""COMPUTED_VALUE"""),43181)</f>
        <v>43181</v>
      </c>
      <c r="O201" s="4">
        <f ca="1">IFERROR(__xludf.DUMMYFUNCTION("""COMPUTED_VALUE"""),43181)</f>
        <v>43181</v>
      </c>
      <c r="P201">
        <f ca="1">IFERROR(__xludf.DUMMYFUNCTION("""COMPUTED_VALUE"""),3)</f>
        <v>3</v>
      </c>
      <c r="Q201" t="str">
        <f ca="1">IFERROR(__xludf.DUMMYFUNCTION("""COMPUTED_VALUE"""),"noorakshaya@gmail.com")</f>
        <v>noorakshaya@gmail.com</v>
      </c>
      <c r="R201" s="2" t="s">
        <v>2615</v>
      </c>
    </row>
    <row r="202" spans="1:18" ht="13" x14ac:dyDescent="0.15">
      <c r="A202" s="3">
        <f ca="1">IFERROR(__xludf.DUMMYFUNCTION("""COMPUTED_VALUE"""),43182.5492586689)</f>
        <v>43182.5492586689</v>
      </c>
      <c r="B202" t="str">
        <f ca="1">IFERROR(__xludf.DUMMYFUNCTION("""COMPUTED_VALUE"""),"shibisisu@gmail.com")</f>
        <v>shibisisu@gmail.com</v>
      </c>
      <c r="C202">
        <f ca="1">IFERROR(__xludf.DUMMYFUNCTION("""COMPUTED_VALUE"""),544)</f>
        <v>544</v>
      </c>
      <c r="D202" t="str">
        <f ca="1">IFERROR(__xludf.DUMMYFUNCTION("""COMPUTED_VALUE"""),"Sisupalan K")</f>
        <v>Sisupalan K</v>
      </c>
      <c r="E202">
        <f ca="1">IFERROR(__xludf.DUMMYFUNCTION("""COMPUTED_VALUE"""),9447092796)</f>
        <v>9447092796</v>
      </c>
      <c r="F202" t="str">
        <f ca="1">IFERROR(__xludf.DUMMYFUNCTION("""COMPUTED_VALUE"""),"Palakkad")</f>
        <v>Palakkad</v>
      </c>
      <c r="G202" t="str">
        <f ca="1">IFERROR(__xludf.DUMMYFUNCTION("""COMPUTED_VALUE"""),"Raidco Kerala Ltd")</f>
        <v>Raidco Kerala Ltd</v>
      </c>
      <c r="H202">
        <f ca="1">IFERROR(__xludf.DUMMYFUNCTION("""COMPUTED_VALUE"""),69)</f>
        <v>69</v>
      </c>
      <c r="I202" s="4">
        <f ca="1">IFERROR(__xludf.DUMMYFUNCTION("""COMPUTED_VALUE"""),43182)</f>
        <v>43182</v>
      </c>
      <c r="J202">
        <f ca="1">IFERROR(__xludf.DUMMYFUNCTION("""COMPUTED_VALUE"""),5)</f>
        <v>5</v>
      </c>
      <c r="K202">
        <f ca="1">IFERROR(__xludf.DUMMYFUNCTION("""COMPUTED_VALUE"""),1165101020971)</f>
        <v>1165101020971</v>
      </c>
      <c r="L202" t="str">
        <f ca="1">IFERROR(__xludf.DUMMYFUNCTION("""COMPUTED_VALUE"""),"Kollengode")</f>
        <v>Kollengode</v>
      </c>
      <c r="M202" t="str">
        <f ca="1">IFERROR(__xludf.DUMMYFUNCTION("""COMPUTED_VALUE"""),"I Accept")</f>
        <v>I Accept</v>
      </c>
      <c r="N202" s="4">
        <f ca="1">IFERROR(__xludf.DUMMYFUNCTION("""COMPUTED_VALUE"""),43180)</f>
        <v>43180</v>
      </c>
      <c r="O202" s="4">
        <f ca="1">IFERROR(__xludf.DUMMYFUNCTION("""COMPUTED_VALUE"""),43180)</f>
        <v>43180</v>
      </c>
      <c r="P202">
        <f ca="1">IFERROR(__xludf.DUMMYFUNCTION("""COMPUTED_VALUE"""),5)</f>
        <v>5</v>
      </c>
      <c r="Q202" t="str">
        <f ca="1">IFERROR(__xludf.DUMMYFUNCTION("""COMPUTED_VALUE"""),"shibisisu@gmail.com")</f>
        <v>shibisisu@gmail.com</v>
      </c>
      <c r="R202" s="2" t="s">
        <v>2616</v>
      </c>
    </row>
    <row r="203" spans="1:18" ht="13" x14ac:dyDescent="0.15">
      <c r="A203" s="3">
        <f ca="1">IFERROR(__xludf.DUMMYFUNCTION("""COMPUTED_VALUE"""),43182.5548343518)</f>
        <v>43182.554834351802</v>
      </c>
      <c r="B203" t="str">
        <f ca="1">IFERROR(__xludf.DUMMYFUNCTION("""COMPUTED_VALUE"""),"jose.dilip@gmail.com")</f>
        <v>jose.dilip@gmail.com</v>
      </c>
      <c r="C203">
        <f ca="1">IFERROR(__xludf.DUMMYFUNCTION("""COMPUTED_VALUE"""),248)</f>
        <v>248</v>
      </c>
      <c r="D203" t="str">
        <f ca="1">IFERROR(__xludf.DUMMYFUNCTION("""COMPUTED_VALUE"""),"JACOB GEORGE")</f>
        <v>JACOB GEORGE</v>
      </c>
      <c r="E203">
        <f ca="1">IFERROR(__xludf.DUMMYFUNCTION("""COMPUTED_VALUE"""),8137874406)</f>
        <v>8137874406</v>
      </c>
      <c r="F203" t="str">
        <f ca="1">IFERROR(__xludf.DUMMYFUNCTION("""COMPUTED_VALUE"""),"Thiruvananthapuram")</f>
        <v>Thiruvananthapuram</v>
      </c>
      <c r="G203" t="str">
        <f ca="1">IFERROR(__xludf.DUMMYFUNCTION("""COMPUTED_VALUE"""),"SOLGEN ENERGY PVT LTD")</f>
        <v>SOLGEN ENERGY PVT LTD</v>
      </c>
      <c r="H203">
        <f ca="1">IFERROR(__xludf.DUMMYFUNCTION("""COMPUTED_VALUE"""),42)</f>
        <v>42</v>
      </c>
      <c r="I203" s="4">
        <f ca="1">IFERROR(__xludf.DUMMYFUNCTION("""COMPUTED_VALUE"""),43182)</f>
        <v>43182</v>
      </c>
      <c r="J203">
        <f ca="1">IFERROR(__xludf.DUMMYFUNCTION("""COMPUTED_VALUE"""),5)</f>
        <v>5</v>
      </c>
      <c r="K203">
        <f ca="1">IFERROR(__xludf.DUMMYFUNCTION("""COMPUTED_VALUE"""),1146763011414)</f>
        <v>1146763011414</v>
      </c>
      <c r="L203" t="str">
        <f ca="1">IFERROR(__xludf.DUMMYFUNCTION("""COMPUTED_VALUE"""),"KUDAPPANAKUNNU")</f>
        <v>KUDAPPANAKUNNU</v>
      </c>
      <c r="M203" t="str">
        <f ca="1">IFERROR(__xludf.DUMMYFUNCTION("""COMPUTED_VALUE"""),"I Accept")</f>
        <v>I Accept</v>
      </c>
      <c r="N203" s="4">
        <f ca="1">IFERROR(__xludf.DUMMYFUNCTION("""COMPUTED_VALUE"""),43144)</f>
        <v>43144</v>
      </c>
      <c r="O203" s="4">
        <f ca="1">IFERROR(__xludf.DUMMYFUNCTION("""COMPUTED_VALUE"""),43144)</f>
        <v>43144</v>
      </c>
      <c r="P203">
        <f ca="1">IFERROR(__xludf.DUMMYFUNCTION("""COMPUTED_VALUE"""),5)</f>
        <v>5</v>
      </c>
      <c r="Q203" t="str">
        <f ca="1">IFERROR(__xludf.DUMMYFUNCTION("""COMPUTED_VALUE"""),"jose.dilip@gmail.com")</f>
        <v>jose.dilip@gmail.com</v>
      </c>
      <c r="R203" s="2" t="s">
        <v>2617</v>
      </c>
    </row>
    <row r="204" spans="1:18" ht="13" x14ac:dyDescent="0.15">
      <c r="A204" s="3">
        <f ca="1">IFERROR(__xludf.DUMMYFUNCTION("""COMPUTED_VALUE"""),43182.6066137384)</f>
        <v>43182.606613738397</v>
      </c>
      <c r="B204" t="str">
        <f ca="1">IFERROR(__xludf.DUMMYFUNCTION("""COMPUTED_VALUE"""),"lakshararayan@gmail.com")</f>
        <v>lakshararayan@gmail.com</v>
      </c>
      <c r="C204">
        <f ca="1">IFERROR(__xludf.DUMMYFUNCTION("""COMPUTED_VALUE"""),592)</f>
        <v>592</v>
      </c>
      <c r="D204" t="str">
        <f ca="1">IFERROR(__xludf.DUMMYFUNCTION("""COMPUTED_VALUE"""),"Raveendran Nair R")</f>
        <v>Raveendran Nair R</v>
      </c>
      <c r="E204">
        <f ca="1">IFERROR(__xludf.DUMMYFUNCTION("""COMPUTED_VALUE"""),7034322221)</f>
        <v>7034322221</v>
      </c>
      <c r="F204" t="str">
        <f ca="1">IFERROR(__xludf.DUMMYFUNCTION("""COMPUTED_VALUE"""),"Thiruvananthapuram")</f>
        <v>Thiruvananthapuram</v>
      </c>
      <c r="G204" t="str">
        <f ca="1">IFERROR(__xludf.DUMMYFUNCTION("""COMPUTED_VALUE"""),"Renergy Systems India Pvt Ltd")</f>
        <v>Renergy Systems India Pvt Ltd</v>
      </c>
      <c r="H204">
        <f ca="1">IFERROR(__xludf.DUMMYFUNCTION("""COMPUTED_VALUE"""),38)</f>
        <v>38</v>
      </c>
      <c r="I204" s="4">
        <f ca="1">IFERROR(__xludf.DUMMYFUNCTION("""COMPUTED_VALUE"""),43182)</f>
        <v>43182</v>
      </c>
      <c r="J204">
        <f ca="1">IFERROR(__xludf.DUMMYFUNCTION("""COMPUTED_VALUE"""),5)</f>
        <v>5</v>
      </c>
      <c r="K204">
        <f ca="1">IFERROR(__xludf.DUMMYFUNCTION("""COMPUTED_VALUE"""),1148213003952)</f>
        <v>1148213003952</v>
      </c>
      <c r="L204" t="str">
        <f ca="1">IFERROR(__xludf.DUMMYFUNCTION("""COMPUTED_VALUE"""),"Vamanapuram")</f>
        <v>Vamanapuram</v>
      </c>
      <c r="M204" t="str">
        <f ca="1">IFERROR(__xludf.DUMMYFUNCTION("""COMPUTED_VALUE"""),"I Accept")</f>
        <v>I Accept</v>
      </c>
      <c r="N204" s="4">
        <f ca="1">IFERROR(__xludf.DUMMYFUNCTION("""COMPUTED_VALUE"""),43178)</f>
        <v>43178</v>
      </c>
      <c r="O204" s="4">
        <f ca="1">IFERROR(__xludf.DUMMYFUNCTION("""COMPUTED_VALUE"""),43178)</f>
        <v>43178</v>
      </c>
      <c r="P204">
        <f ca="1">IFERROR(__xludf.DUMMYFUNCTION("""COMPUTED_VALUE"""),5)</f>
        <v>5</v>
      </c>
      <c r="Q204" t="str">
        <f ca="1">IFERROR(__xludf.DUMMYFUNCTION("""COMPUTED_VALUE"""),"lakshararayan@gmail.com")</f>
        <v>lakshararayan@gmail.com</v>
      </c>
      <c r="R204" s="2" t="s">
        <v>2618</v>
      </c>
    </row>
    <row r="205" spans="1:18" ht="13" x14ac:dyDescent="0.15">
      <c r="A205" s="3">
        <f ca="1">IFERROR(__xludf.DUMMYFUNCTION("""COMPUTED_VALUE"""),43182.6133116782)</f>
        <v>43182.6133116782</v>
      </c>
      <c r="B205" t="str">
        <f ca="1">IFERROR(__xludf.DUMMYFUNCTION("""COMPUTED_VALUE"""),"lakshararayan@gmail.com")</f>
        <v>lakshararayan@gmail.com</v>
      </c>
      <c r="C205">
        <f ca="1">IFERROR(__xludf.DUMMYFUNCTION("""COMPUTED_VALUE"""),399)</f>
        <v>399</v>
      </c>
      <c r="D205" t="str">
        <f ca="1">IFERROR(__xludf.DUMMYFUNCTION("""COMPUTED_VALUE"""),"Christian")</f>
        <v>Christian</v>
      </c>
      <c r="E205">
        <f ca="1">IFERROR(__xludf.DUMMYFUNCTION("""COMPUTED_VALUE"""),7736806968)</f>
        <v>7736806968</v>
      </c>
      <c r="F205" t="str">
        <f ca="1">IFERROR(__xludf.DUMMYFUNCTION("""COMPUTED_VALUE"""),"Thiruvananthapuram")</f>
        <v>Thiruvananthapuram</v>
      </c>
      <c r="G205" t="str">
        <f ca="1">IFERROR(__xludf.DUMMYFUNCTION("""COMPUTED_VALUE"""),"Renergy Systems India Pvt Ltd")</f>
        <v>Renergy Systems India Pvt Ltd</v>
      </c>
      <c r="H205">
        <f ca="1">IFERROR(__xludf.DUMMYFUNCTION("""COMPUTED_VALUE"""),38)</f>
        <v>38</v>
      </c>
      <c r="I205" s="4">
        <f ca="1">IFERROR(__xludf.DUMMYFUNCTION("""COMPUTED_VALUE"""),43182)</f>
        <v>43182</v>
      </c>
      <c r="J205">
        <f ca="1">IFERROR(__xludf.DUMMYFUNCTION("""COMPUTED_VALUE"""),3)</f>
        <v>3</v>
      </c>
      <c r="K205">
        <f ca="1">IFERROR(__xludf.DUMMYFUNCTION("""COMPUTED_VALUE"""),1145282000246)</f>
        <v>1145282000246</v>
      </c>
      <c r="L205" t="str">
        <f ca="1">IFERROR(__xludf.DUMMYFUNCTION("""COMPUTED_VALUE"""),"Vizhinjam")</f>
        <v>Vizhinjam</v>
      </c>
      <c r="M205" t="str">
        <f ca="1">IFERROR(__xludf.DUMMYFUNCTION("""COMPUTED_VALUE"""),"I Accept")</f>
        <v>I Accept</v>
      </c>
      <c r="N205" s="4">
        <f ca="1">IFERROR(__xludf.DUMMYFUNCTION("""COMPUTED_VALUE"""),43181)</f>
        <v>43181</v>
      </c>
      <c r="O205" s="4">
        <f ca="1">IFERROR(__xludf.DUMMYFUNCTION("""COMPUTED_VALUE"""),43181)</f>
        <v>43181</v>
      </c>
      <c r="P205">
        <f ca="1">IFERROR(__xludf.DUMMYFUNCTION("""COMPUTED_VALUE"""),3)</f>
        <v>3</v>
      </c>
      <c r="Q205" t="str">
        <f ca="1">IFERROR(__xludf.DUMMYFUNCTION("""COMPUTED_VALUE"""),"lakshararayan@gmail.com")</f>
        <v>lakshararayan@gmail.com</v>
      </c>
      <c r="R205" s="2" t="s">
        <v>2619</v>
      </c>
    </row>
    <row r="206" spans="1:18" ht="13" x14ac:dyDescent="0.15">
      <c r="A206" s="3">
        <f ca="1">IFERROR(__xludf.DUMMYFUNCTION("""COMPUTED_VALUE"""),43182.6168496643)</f>
        <v>43182.6168496643</v>
      </c>
      <c r="B206" t="str">
        <f ca="1">IFERROR(__xludf.DUMMYFUNCTION("""COMPUTED_VALUE"""),"lakshararayan@gmail.com")</f>
        <v>lakshararayan@gmail.com</v>
      </c>
      <c r="C206">
        <f ca="1">IFERROR(__xludf.DUMMYFUNCTION("""COMPUTED_VALUE"""),400)</f>
        <v>400</v>
      </c>
      <c r="D206" t="str">
        <f ca="1">IFERROR(__xludf.DUMMYFUNCTION("""COMPUTED_VALUE"""),"PRADEEP DESAPALAN")</f>
        <v>PRADEEP DESAPALAN</v>
      </c>
      <c r="E206">
        <f ca="1">IFERROR(__xludf.DUMMYFUNCTION("""COMPUTED_VALUE"""),7736806968)</f>
        <v>7736806968</v>
      </c>
      <c r="F206" t="str">
        <f ca="1">IFERROR(__xludf.DUMMYFUNCTION("""COMPUTED_VALUE"""),"Thiruvananthapuram")</f>
        <v>Thiruvananthapuram</v>
      </c>
      <c r="G206" t="str">
        <f ca="1">IFERROR(__xludf.DUMMYFUNCTION("""COMPUTED_VALUE"""),"Renergy Systems India Pvt Ltd")</f>
        <v>Renergy Systems India Pvt Ltd</v>
      </c>
      <c r="H206">
        <f ca="1">IFERROR(__xludf.DUMMYFUNCTION("""COMPUTED_VALUE"""),38)</f>
        <v>38</v>
      </c>
      <c r="I206" s="4">
        <f ca="1">IFERROR(__xludf.DUMMYFUNCTION("""COMPUTED_VALUE"""),43182)</f>
        <v>43182</v>
      </c>
      <c r="J206">
        <f ca="1">IFERROR(__xludf.DUMMYFUNCTION("""COMPUTED_VALUE"""),3)</f>
        <v>3</v>
      </c>
      <c r="K206">
        <f ca="1">IFERROR(__xludf.DUMMYFUNCTION("""COMPUTED_VALUE"""),1145285014702)</f>
        <v>1145285014702</v>
      </c>
      <c r="L206" t="str">
        <f ca="1">IFERROR(__xludf.DUMMYFUNCTION("""COMPUTED_VALUE"""),"Kadakkavoor")</f>
        <v>Kadakkavoor</v>
      </c>
      <c r="M206" t="str">
        <f ca="1">IFERROR(__xludf.DUMMYFUNCTION("""COMPUTED_VALUE"""),"I Accept")</f>
        <v>I Accept</v>
      </c>
      <c r="N206" s="4">
        <f ca="1">IFERROR(__xludf.DUMMYFUNCTION("""COMPUTED_VALUE"""),43181)</f>
        <v>43181</v>
      </c>
      <c r="O206" s="4">
        <f ca="1">IFERROR(__xludf.DUMMYFUNCTION("""COMPUTED_VALUE"""),43181)</f>
        <v>43181</v>
      </c>
      <c r="P206">
        <f ca="1">IFERROR(__xludf.DUMMYFUNCTION("""COMPUTED_VALUE"""),3)</f>
        <v>3</v>
      </c>
      <c r="Q206" t="str">
        <f ca="1">IFERROR(__xludf.DUMMYFUNCTION("""COMPUTED_VALUE"""),"lakshararayan@gmail.com")</f>
        <v>lakshararayan@gmail.com</v>
      </c>
      <c r="R206" s="2" t="s">
        <v>2620</v>
      </c>
    </row>
    <row r="207" spans="1:18" ht="13" x14ac:dyDescent="0.15">
      <c r="A207" s="3">
        <f ca="1">IFERROR(__xludf.DUMMYFUNCTION("""COMPUTED_VALUE"""),43182.6194509027)</f>
        <v>43182.619450902697</v>
      </c>
      <c r="B207" t="str">
        <f ca="1">IFERROR(__xludf.DUMMYFUNCTION("""COMPUTED_VALUE"""),"lakshararayan@gmail.com")</f>
        <v>lakshararayan@gmail.com</v>
      </c>
      <c r="C207">
        <f ca="1">IFERROR(__xludf.DUMMYFUNCTION("""COMPUTED_VALUE"""),398)</f>
        <v>398</v>
      </c>
      <c r="D207" t="str">
        <f ca="1">IFERROR(__xludf.DUMMYFUNCTION("""COMPUTED_VALUE"""),"Josephine")</f>
        <v>Josephine</v>
      </c>
      <c r="E207">
        <f ca="1">IFERROR(__xludf.DUMMYFUNCTION("""COMPUTED_VALUE"""),7736806968)</f>
        <v>7736806968</v>
      </c>
      <c r="F207" t="str">
        <f ca="1">IFERROR(__xludf.DUMMYFUNCTION("""COMPUTED_VALUE"""),"Thiruvananthapuram")</f>
        <v>Thiruvananthapuram</v>
      </c>
      <c r="G207" t="str">
        <f ca="1">IFERROR(__xludf.DUMMYFUNCTION("""COMPUTED_VALUE"""),"Renergy Systems India Pvt Ltd")</f>
        <v>Renergy Systems India Pvt Ltd</v>
      </c>
      <c r="H207">
        <f ca="1">IFERROR(__xludf.DUMMYFUNCTION("""COMPUTED_VALUE"""),38)</f>
        <v>38</v>
      </c>
      <c r="I207" s="4">
        <f ca="1">IFERROR(__xludf.DUMMYFUNCTION("""COMPUTED_VALUE"""),43182)</f>
        <v>43182</v>
      </c>
      <c r="J207">
        <f ca="1">IFERROR(__xludf.DUMMYFUNCTION("""COMPUTED_VALUE"""),3)</f>
        <v>3</v>
      </c>
      <c r="K207">
        <f ca="1">IFERROR(__xludf.DUMMYFUNCTION("""COMPUTED_VALUE"""),1145284012039)</f>
        <v>1145284012039</v>
      </c>
      <c r="L207" t="str">
        <f ca="1">IFERROR(__xludf.DUMMYFUNCTION("""COMPUTED_VALUE"""),"Kadakkavoor")</f>
        <v>Kadakkavoor</v>
      </c>
      <c r="M207" t="str">
        <f ca="1">IFERROR(__xludf.DUMMYFUNCTION("""COMPUTED_VALUE"""),"I Accept")</f>
        <v>I Accept</v>
      </c>
      <c r="N207" s="4">
        <f ca="1">IFERROR(__xludf.DUMMYFUNCTION("""COMPUTED_VALUE"""),43181)</f>
        <v>43181</v>
      </c>
      <c r="O207" s="4">
        <f ca="1">IFERROR(__xludf.DUMMYFUNCTION("""COMPUTED_VALUE"""),43181)</f>
        <v>43181</v>
      </c>
      <c r="P207">
        <f ca="1">IFERROR(__xludf.DUMMYFUNCTION("""COMPUTED_VALUE"""),3)</f>
        <v>3</v>
      </c>
      <c r="Q207" t="str">
        <f ca="1">IFERROR(__xludf.DUMMYFUNCTION("""COMPUTED_VALUE"""),"lakshararayan@gmail.com")</f>
        <v>lakshararayan@gmail.com</v>
      </c>
      <c r="R207" s="2" t="s">
        <v>2621</v>
      </c>
    </row>
    <row r="208" spans="1:18" ht="13" x14ac:dyDescent="0.15">
      <c r="A208" s="3">
        <f ca="1">IFERROR(__xludf.DUMMYFUNCTION("""COMPUTED_VALUE"""),43182.6248963888)</f>
        <v>43182.624896388799</v>
      </c>
      <c r="B208" t="str">
        <f ca="1">IFERROR(__xludf.DUMMYFUNCTION("""COMPUTED_VALUE"""),"lakshararayan@gmail.com")</f>
        <v>lakshararayan@gmail.com</v>
      </c>
      <c r="C208">
        <f ca="1">IFERROR(__xludf.DUMMYFUNCTION("""COMPUTED_VALUE"""),345)</f>
        <v>345</v>
      </c>
      <c r="D208" t="str">
        <f ca="1">IFERROR(__xludf.DUMMYFUNCTION("""COMPUTED_VALUE"""),"Dr.Aneesh")</f>
        <v>Dr.Aneesh</v>
      </c>
      <c r="E208">
        <f ca="1">IFERROR(__xludf.DUMMYFUNCTION("""COMPUTED_VALUE"""),7034322221)</f>
        <v>7034322221</v>
      </c>
      <c r="F208" t="str">
        <f ca="1">IFERROR(__xludf.DUMMYFUNCTION("""COMPUTED_VALUE"""),"Thiruvananthapuram")</f>
        <v>Thiruvananthapuram</v>
      </c>
      <c r="G208" t="str">
        <f ca="1">IFERROR(__xludf.DUMMYFUNCTION("""COMPUTED_VALUE"""),"Renergy Systems India Pvt Ltd")</f>
        <v>Renergy Systems India Pvt Ltd</v>
      </c>
      <c r="H208">
        <f ca="1">IFERROR(__xludf.DUMMYFUNCTION("""COMPUTED_VALUE"""),38)</f>
        <v>38</v>
      </c>
      <c r="I208" s="4">
        <f ca="1">IFERROR(__xludf.DUMMYFUNCTION("""COMPUTED_VALUE"""),43182)</f>
        <v>43182</v>
      </c>
      <c r="J208">
        <f ca="1">IFERROR(__xludf.DUMMYFUNCTION("""COMPUTED_VALUE"""),3)</f>
        <v>3</v>
      </c>
      <c r="K208">
        <f ca="1">IFERROR(__xludf.DUMMYFUNCTION("""COMPUTED_VALUE"""),1145318026476)</f>
        <v>1145318026476</v>
      </c>
      <c r="L208" t="str">
        <f ca="1">IFERROR(__xludf.DUMMYFUNCTION("""COMPUTED_VALUE"""),"Attingal")</f>
        <v>Attingal</v>
      </c>
      <c r="M208" t="str">
        <f ca="1">IFERROR(__xludf.DUMMYFUNCTION("""COMPUTED_VALUE"""),"I Accept")</f>
        <v>I Accept</v>
      </c>
      <c r="N208" s="4">
        <f ca="1">IFERROR(__xludf.DUMMYFUNCTION("""COMPUTED_VALUE"""),43176)</f>
        <v>43176</v>
      </c>
      <c r="O208" s="4">
        <f ca="1">IFERROR(__xludf.DUMMYFUNCTION("""COMPUTED_VALUE"""),43176)</f>
        <v>43176</v>
      </c>
      <c r="P208">
        <f ca="1">IFERROR(__xludf.DUMMYFUNCTION("""COMPUTED_VALUE"""),3)</f>
        <v>3</v>
      </c>
      <c r="Q208" t="str">
        <f ca="1">IFERROR(__xludf.DUMMYFUNCTION("""COMPUTED_VALUE"""),"lakshararayan@gmail.com")</f>
        <v>lakshararayan@gmail.com</v>
      </c>
      <c r="R208" s="2" t="s">
        <v>2622</v>
      </c>
    </row>
    <row r="209" spans="1:18" ht="13" x14ac:dyDescent="0.15">
      <c r="A209" s="3">
        <f ca="1">IFERROR(__xludf.DUMMYFUNCTION("""COMPUTED_VALUE"""),43182.6527047337)</f>
        <v>43182.6527047337</v>
      </c>
      <c r="B209" t="str">
        <f ca="1">IFERROR(__xludf.DUMMYFUNCTION("""COMPUTED_VALUE"""),"Kbmncy@gmail.com")</f>
        <v>Kbmncy@gmail.com</v>
      </c>
      <c r="C209">
        <f ca="1">IFERROR(__xludf.DUMMYFUNCTION("""COMPUTED_VALUE"""),459)</f>
        <v>459</v>
      </c>
      <c r="D209" t="str">
        <f ca="1">IFERROR(__xludf.DUMMYFUNCTION("""COMPUTED_VALUE"""),"Amaredran")</f>
        <v>Amaredran</v>
      </c>
      <c r="E209">
        <f ca="1">IFERROR(__xludf.DUMMYFUNCTION("""COMPUTED_VALUE"""),9539740106)</f>
        <v>9539740106</v>
      </c>
      <c r="F209" t="str">
        <f ca="1">IFERROR(__xludf.DUMMYFUNCTION("""COMPUTED_VALUE"""),"Alappuzha")</f>
        <v>Alappuzha</v>
      </c>
      <c r="G209" t="str">
        <f ca="1">IFERROR(__xludf.DUMMYFUNCTION("""COMPUTED_VALUE"""),"TATA POWER SOLAR SYSTEMS LTD")</f>
        <v>TATA POWER SOLAR SYSTEMS LTD</v>
      </c>
      <c r="H209">
        <f ca="1">IFERROR(__xludf.DUMMYFUNCTION("""COMPUTED_VALUE"""),20)</f>
        <v>20</v>
      </c>
      <c r="I209" s="4">
        <f ca="1">IFERROR(__xludf.DUMMYFUNCTION("""COMPUTED_VALUE"""),43159)</f>
        <v>43159</v>
      </c>
      <c r="J209">
        <f ca="1">IFERROR(__xludf.DUMMYFUNCTION("""COMPUTED_VALUE"""),3)</f>
        <v>3</v>
      </c>
      <c r="K209">
        <f ca="1">IFERROR(__xludf.DUMMYFUNCTION("""COMPUTED_VALUE"""),1155201019651)</f>
        <v>1155201019651</v>
      </c>
      <c r="L209" t="str">
        <f ca="1">IFERROR(__xludf.DUMMYFUNCTION("""COMPUTED_VALUE"""),"5520")</f>
        <v>5520</v>
      </c>
      <c r="M209" t="str">
        <f ca="1">IFERROR(__xludf.DUMMYFUNCTION("""COMPUTED_VALUE"""),"I Accept")</f>
        <v>I Accept</v>
      </c>
      <c r="N209" s="4">
        <f ca="1">IFERROR(__xludf.DUMMYFUNCTION("""COMPUTED_VALUE"""),43165)</f>
        <v>43165</v>
      </c>
      <c r="O209" s="4">
        <f ca="1">IFERROR(__xludf.DUMMYFUNCTION("""COMPUTED_VALUE"""),43165)</f>
        <v>43165</v>
      </c>
      <c r="P209">
        <f ca="1">IFERROR(__xludf.DUMMYFUNCTION("""COMPUTED_VALUE"""),3)</f>
        <v>3</v>
      </c>
      <c r="Q209" t="str">
        <f ca="1">IFERROR(__xludf.DUMMYFUNCTION("""COMPUTED_VALUE"""),"kbmncy@gmail.com")</f>
        <v>kbmncy@gmail.com</v>
      </c>
      <c r="R209" s="2" t="s">
        <v>2623</v>
      </c>
    </row>
    <row r="210" spans="1:18" ht="13" x14ac:dyDescent="0.15">
      <c r="A210" s="3">
        <f ca="1">IFERROR(__xludf.DUMMYFUNCTION("""COMPUTED_VALUE"""),43182.6650755208)</f>
        <v>43182.665075520803</v>
      </c>
      <c r="B210" t="str">
        <f ca="1">IFERROR(__xludf.DUMMYFUNCTION("""COMPUTED_VALUE"""),"George.alp@gmail.com")</f>
        <v>George.alp@gmail.com</v>
      </c>
      <c r="C210">
        <f ca="1">IFERROR(__xludf.DUMMYFUNCTION("""COMPUTED_VALUE"""),193)</f>
        <v>193</v>
      </c>
      <c r="D210" t="str">
        <f ca="1">IFERROR(__xludf.DUMMYFUNCTION("""COMPUTED_VALUE"""),"George k jhon")</f>
        <v>George k jhon</v>
      </c>
      <c r="E210">
        <f ca="1">IFERROR(__xludf.DUMMYFUNCTION("""COMPUTED_VALUE"""),9447566357)</f>
        <v>9447566357</v>
      </c>
      <c r="F210" t="str">
        <f ca="1">IFERROR(__xludf.DUMMYFUNCTION("""COMPUTED_VALUE"""),"Alappuzha")</f>
        <v>Alappuzha</v>
      </c>
      <c r="G210" t="str">
        <f ca="1">IFERROR(__xludf.DUMMYFUNCTION("""COMPUTED_VALUE"""),"TATA POWER SOLAR SYSTEMS LTD")</f>
        <v>TATA POWER SOLAR SYSTEMS LTD</v>
      </c>
      <c r="H210">
        <f ca="1">IFERROR(__xludf.DUMMYFUNCTION("""COMPUTED_VALUE"""),20)</f>
        <v>20</v>
      </c>
      <c r="I210" s="4">
        <f ca="1">IFERROR(__xludf.DUMMYFUNCTION("""COMPUTED_VALUE"""),43172)</f>
        <v>43172</v>
      </c>
      <c r="J210">
        <f ca="1">IFERROR(__xludf.DUMMYFUNCTION("""COMPUTED_VALUE"""),3)</f>
        <v>3</v>
      </c>
      <c r="K210">
        <f ca="1">IFERROR(__xludf.DUMMYFUNCTION("""COMPUTED_VALUE"""),1155016016970)</f>
        <v>1155016016970</v>
      </c>
      <c r="L210" t="str">
        <f ca="1">IFERROR(__xludf.DUMMYFUNCTION("""COMPUTED_VALUE"""),"5501")</f>
        <v>5501</v>
      </c>
      <c r="M210" t="str">
        <f ca="1">IFERROR(__xludf.DUMMYFUNCTION("""COMPUTED_VALUE"""),"I Accept")</f>
        <v>I Accept</v>
      </c>
      <c r="N210" s="4">
        <f ca="1">IFERROR(__xludf.DUMMYFUNCTION("""COMPUTED_VALUE"""),43154)</f>
        <v>43154</v>
      </c>
      <c r="O210" s="4">
        <f ca="1">IFERROR(__xludf.DUMMYFUNCTION("""COMPUTED_VALUE"""),43154)</f>
        <v>43154</v>
      </c>
      <c r="P210">
        <f ca="1">IFERROR(__xludf.DUMMYFUNCTION("""COMPUTED_VALUE"""),3)</f>
        <v>3</v>
      </c>
      <c r="Q210" t="str">
        <f ca="1">IFERROR(__xludf.DUMMYFUNCTION("""COMPUTED_VALUE"""),"george.alp@gmail.com")</f>
        <v>george.alp@gmail.com</v>
      </c>
      <c r="R210" s="2" t="s">
        <v>2624</v>
      </c>
    </row>
    <row r="211" spans="1:18" ht="13" x14ac:dyDescent="0.15">
      <c r="A211" s="3">
        <f ca="1">IFERROR(__xludf.DUMMYFUNCTION("""COMPUTED_VALUE"""),43182.6654961226)</f>
        <v>43182.665496122601</v>
      </c>
      <c r="B211" t="str">
        <f ca="1">IFERROR(__xludf.DUMMYFUNCTION("""COMPUTED_VALUE"""),"georgie777@gmail.com")</f>
        <v>georgie777@gmail.com</v>
      </c>
      <c r="C211">
        <f ca="1">IFERROR(__xludf.DUMMYFUNCTION("""COMPUTED_VALUE"""),525)</f>
        <v>525</v>
      </c>
      <c r="D211" t="str">
        <f ca="1">IFERROR(__xludf.DUMMYFUNCTION("""COMPUTED_VALUE"""),"Dr.P.V George")</f>
        <v>Dr.P.V George</v>
      </c>
      <c r="E211">
        <f ca="1">IFERROR(__xludf.DUMMYFUNCTION("""COMPUTED_VALUE"""),8547852640)</f>
        <v>8547852640</v>
      </c>
      <c r="F211" t="str">
        <f ca="1">IFERROR(__xludf.DUMMYFUNCTION("""COMPUTED_VALUE"""),"Thiruvananthapuram")</f>
        <v>Thiruvananthapuram</v>
      </c>
      <c r="G211" t="str">
        <f ca="1">IFERROR(__xludf.DUMMYFUNCTION("""COMPUTED_VALUE"""),"Smart Solar Homes")</f>
        <v>Smart Solar Homes</v>
      </c>
      <c r="H211">
        <f ca="1">IFERROR(__xludf.DUMMYFUNCTION("""COMPUTED_VALUE"""),65)</f>
        <v>65</v>
      </c>
      <c r="I211" s="4">
        <f ca="1">IFERROR(__xludf.DUMMYFUNCTION("""COMPUTED_VALUE"""),43182)</f>
        <v>43182</v>
      </c>
      <c r="J211">
        <f ca="1">IFERROR(__xludf.DUMMYFUNCTION("""COMPUTED_VALUE"""),5)</f>
        <v>5</v>
      </c>
      <c r="K211">
        <f ca="1">IFERROR(__xludf.DUMMYFUNCTION("""COMPUTED_VALUE"""),1146763008749)</f>
        <v>1146763008749</v>
      </c>
      <c r="L211" t="str">
        <f ca="1">IFERROR(__xludf.DUMMYFUNCTION("""COMPUTED_VALUE"""),"Kudappanakkunnu")</f>
        <v>Kudappanakkunnu</v>
      </c>
      <c r="M211" t="str">
        <f ca="1">IFERROR(__xludf.DUMMYFUNCTION("""COMPUTED_VALUE"""),"I Accept")</f>
        <v>I Accept</v>
      </c>
      <c r="N211" s="4">
        <f ca="1">IFERROR(__xludf.DUMMYFUNCTION("""COMPUTED_VALUE"""),43181)</f>
        <v>43181</v>
      </c>
      <c r="O211" s="4">
        <f ca="1">IFERROR(__xludf.DUMMYFUNCTION("""COMPUTED_VALUE"""),43181)</f>
        <v>43181</v>
      </c>
      <c r="P211">
        <f ca="1">IFERROR(__xludf.DUMMYFUNCTION("""COMPUTED_VALUE"""),13)</f>
        <v>13</v>
      </c>
      <c r="Q211" t="str">
        <f ca="1">IFERROR(__xludf.DUMMYFUNCTION("""COMPUTED_VALUE"""),"georgie777@gmail.com")</f>
        <v>georgie777@gmail.com</v>
      </c>
      <c r="R211" s="2" t="s">
        <v>2625</v>
      </c>
    </row>
    <row r="212" spans="1:18" ht="13" x14ac:dyDescent="0.15">
      <c r="A212" s="3">
        <f ca="1">IFERROR(__xludf.DUMMYFUNCTION("""COMPUTED_VALUE"""),43182.6785631597)</f>
        <v>43182.678563159701</v>
      </c>
      <c r="B212" t="str">
        <f ca="1">IFERROR(__xludf.DUMMYFUNCTION("""COMPUTED_VALUE"""),"okkodungallur@yahoo.in")</f>
        <v>okkodungallur@yahoo.in</v>
      </c>
      <c r="C212">
        <f ca="1">IFERROR(__xludf.DUMMYFUNCTION("""COMPUTED_VALUE"""),501)</f>
        <v>501</v>
      </c>
      <c r="D212" t="str">
        <f ca="1">IFERROR(__xludf.DUMMYFUNCTION("""COMPUTED_VALUE"""),"The Secretary")</f>
        <v>The Secretary</v>
      </c>
      <c r="E212">
        <f ca="1">IFERROR(__xludf.DUMMYFUNCTION("""COMPUTED_VALUE"""),9447113466)</f>
        <v>9447113466</v>
      </c>
      <c r="F212" t="str">
        <f ca="1">IFERROR(__xludf.DUMMYFUNCTION("""COMPUTED_VALUE"""),"Thrissur")</f>
        <v>Thrissur</v>
      </c>
      <c r="G212" t="str">
        <f ca="1">IFERROR(__xludf.DUMMYFUNCTION("""COMPUTED_VALUE"""),"Kraftwork Solar Pvt. Ltd.")</f>
        <v>Kraftwork Solar Pvt. Ltd.</v>
      </c>
      <c r="H212">
        <f ca="1">IFERROR(__xludf.DUMMYFUNCTION("""COMPUTED_VALUE"""),26)</f>
        <v>26</v>
      </c>
      <c r="I212" s="4">
        <f ca="1">IFERROR(__xludf.DUMMYFUNCTION("""COMPUTED_VALUE"""),43178)</f>
        <v>43178</v>
      </c>
      <c r="J212">
        <f ca="1">IFERROR(__xludf.DUMMYFUNCTION("""COMPUTED_VALUE"""),3)</f>
        <v>3</v>
      </c>
      <c r="K212">
        <f ca="1">IFERROR(__xludf.DUMMYFUNCTION("""COMPUTED_VALUE"""),1156642025013)</f>
        <v>1156642025013</v>
      </c>
      <c r="L212" t="str">
        <f ca="1">IFERROR(__xludf.DUMMYFUNCTION("""COMPUTED_VALUE"""),"Kodungalloor-II")</f>
        <v>Kodungalloor-II</v>
      </c>
      <c r="M212" t="str">
        <f ca="1">IFERROR(__xludf.DUMMYFUNCTION("""COMPUTED_VALUE"""),"I Accept")</f>
        <v>I Accept</v>
      </c>
      <c r="N212" s="4">
        <f ca="1">IFERROR(__xludf.DUMMYFUNCTION("""COMPUTED_VALUE"""),43157)</f>
        <v>43157</v>
      </c>
      <c r="O212" s="4">
        <f ca="1">IFERROR(__xludf.DUMMYFUNCTION("""COMPUTED_VALUE"""),43157)</f>
        <v>43157</v>
      </c>
      <c r="P212">
        <f ca="1">IFERROR(__xludf.DUMMYFUNCTION("""COMPUTED_VALUE"""),3)</f>
        <v>3</v>
      </c>
      <c r="Q212" t="str">
        <f ca="1">IFERROR(__xludf.DUMMYFUNCTION("""COMPUTED_VALUE"""),"info@kraftworksolar.com")</f>
        <v>info@kraftworksolar.com</v>
      </c>
      <c r="R212" s="2" t="s">
        <v>2626</v>
      </c>
    </row>
    <row r="213" spans="1:18" ht="13" x14ac:dyDescent="0.15">
      <c r="A213" s="3">
        <f ca="1">IFERROR(__xludf.DUMMYFUNCTION("""COMPUTED_VALUE"""),43182.6872441435)</f>
        <v>43182.687244143497</v>
      </c>
      <c r="B213" t="str">
        <f ca="1">IFERROR(__xludf.DUMMYFUNCTION("""COMPUTED_VALUE"""),"binsmath@gmail.com")</f>
        <v>binsmath@gmail.com</v>
      </c>
      <c r="C213">
        <f ca="1">IFERROR(__xludf.DUMMYFUNCTION("""COMPUTED_VALUE"""),218)</f>
        <v>218</v>
      </c>
      <c r="D213" t="str">
        <f ca="1">IFERROR(__xludf.DUMMYFUNCTION("""COMPUTED_VALUE"""),"Binu Mathew ")</f>
        <v xml:space="preserve">Binu Mathew </v>
      </c>
      <c r="E213">
        <f ca="1">IFERROR(__xludf.DUMMYFUNCTION("""COMPUTED_VALUE"""),9961473479)</f>
        <v>9961473479</v>
      </c>
      <c r="F213" t="str">
        <f ca="1">IFERROR(__xludf.DUMMYFUNCTION("""COMPUTED_VALUE"""),"Alappuzha")</f>
        <v>Alappuzha</v>
      </c>
      <c r="G213" t="str">
        <f ca="1">IFERROR(__xludf.DUMMYFUNCTION("""COMPUTED_VALUE"""),"TATA POWER SOLAR SYSTEMS LTD")</f>
        <v>TATA POWER SOLAR SYSTEMS LTD</v>
      </c>
      <c r="H213">
        <f ca="1">IFERROR(__xludf.DUMMYFUNCTION("""COMPUTED_VALUE"""),20)</f>
        <v>20</v>
      </c>
      <c r="I213" s="4">
        <f ca="1">IFERROR(__xludf.DUMMYFUNCTION("""COMPUTED_VALUE"""),43181)</f>
        <v>43181</v>
      </c>
      <c r="J213">
        <f ca="1">IFERROR(__xludf.DUMMYFUNCTION("""COMPUTED_VALUE"""),3)</f>
        <v>3</v>
      </c>
      <c r="K213">
        <f ca="1">IFERROR(__xludf.DUMMYFUNCTION("""COMPUTED_VALUE"""),25589)</f>
        <v>25589</v>
      </c>
      <c r="L213" t="str">
        <f ca="1">IFERROR(__xludf.DUMMYFUNCTION("""COMPUTED_VALUE"""),"5501")</f>
        <v>5501</v>
      </c>
      <c r="M213" t="str">
        <f ca="1">IFERROR(__xludf.DUMMYFUNCTION("""COMPUTED_VALUE"""),"I Accept")</f>
        <v>I Accept</v>
      </c>
      <c r="N213" s="4">
        <f ca="1">IFERROR(__xludf.DUMMYFUNCTION("""COMPUTED_VALUE"""),43159)</f>
        <v>43159</v>
      </c>
      <c r="O213" s="4">
        <f ca="1">IFERROR(__xludf.DUMMYFUNCTION("""COMPUTED_VALUE"""),43159)</f>
        <v>43159</v>
      </c>
      <c r="P213">
        <f ca="1">IFERROR(__xludf.DUMMYFUNCTION("""COMPUTED_VALUE"""),5)</f>
        <v>5</v>
      </c>
      <c r="Q213" t="str">
        <f ca="1">IFERROR(__xludf.DUMMYFUNCTION("""COMPUTED_VALUE"""),"binsmath@gmail.com")</f>
        <v>binsmath@gmail.com</v>
      </c>
      <c r="R213" s="2" t="s">
        <v>2627</v>
      </c>
    </row>
    <row r="214" spans="1:18" ht="13" x14ac:dyDescent="0.15">
      <c r="A214" s="3">
        <f ca="1">IFERROR(__xludf.DUMMYFUNCTION("""COMPUTED_VALUE"""),43182.6980974768)</f>
        <v>43182.698097476801</v>
      </c>
      <c r="B214" t="str">
        <f ca="1">IFERROR(__xludf.DUMMYFUNCTION("""COMPUTED_VALUE"""),"Smatdecorations@gmail.com")</f>
        <v>Smatdecorations@gmail.com</v>
      </c>
      <c r="C214">
        <f ca="1">IFERROR(__xludf.DUMMYFUNCTION("""COMPUTED_VALUE"""),217)</f>
        <v>217</v>
      </c>
      <c r="D214" t="str">
        <f ca="1">IFERROR(__xludf.DUMMYFUNCTION("""COMPUTED_VALUE"""),"Thajudeen")</f>
        <v>Thajudeen</v>
      </c>
      <c r="E214">
        <f ca="1">IFERROR(__xludf.DUMMYFUNCTION("""COMPUTED_VALUE"""),9446274227)</f>
        <v>9446274227</v>
      </c>
      <c r="F214" t="str">
        <f ca="1">IFERROR(__xludf.DUMMYFUNCTION("""COMPUTED_VALUE"""),"Alappuzha")</f>
        <v>Alappuzha</v>
      </c>
      <c r="G214" t="str">
        <f ca="1">IFERROR(__xludf.DUMMYFUNCTION("""COMPUTED_VALUE"""),"TATA POWER SOLAR SYSTEMS LTD")</f>
        <v>TATA POWER SOLAR SYSTEMS LTD</v>
      </c>
      <c r="H214">
        <f ca="1">IFERROR(__xludf.DUMMYFUNCTION("""COMPUTED_VALUE"""),20)</f>
        <v>20</v>
      </c>
      <c r="I214" s="4">
        <f ca="1">IFERROR(__xludf.DUMMYFUNCTION("""COMPUTED_VALUE"""),43174)</f>
        <v>43174</v>
      </c>
      <c r="J214">
        <f ca="1">IFERROR(__xludf.DUMMYFUNCTION("""COMPUTED_VALUE"""),2)</f>
        <v>2</v>
      </c>
      <c r="K214">
        <f ca="1">IFERROR(__xludf.DUMMYFUNCTION("""COMPUTED_VALUE"""),1155018026580)</f>
        <v>1155018026580</v>
      </c>
      <c r="L214" t="str">
        <f ca="1">IFERROR(__xludf.DUMMYFUNCTION("""COMPUTED_VALUE"""),"5501")</f>
        <v>5501</v>
      </c>
      <c r="M214" t="str">
        <f ca="1">IFERROR(__xludf.DUMMYFUNCTION("""COMPUTED_VALUE"""),"I Accept")</f>
        <v>I Accept</v>
      </c>
      <c r="N214" s="4">
        <f ca="1">IFERROR(__xludf.DUMMYFUNCTION("""COMPUTED_VALUE"""),43159)</f>
        <v>43159</v>
      </c>
      <c r="O214" s="4">
        <f ca="1">IFERROR(__xludf.DUMMYFUNCTION("""COMPUTED_VALUE"""),43159)</f>
        <v>43159</v>
      </c>
      <c r="P214">
        <f ca="1">IFERROR(__xludf.DUMMYFUNCTION("""COMPUTED_VALUE"""),3)</f>
        <v>3</v>
      </c>
      <c r="Q214" t="str">
        <f ca="1">IFERROR(__xludf.DUMMYFUNCTION("""COMPUTED_VALUE"""),"smatdecorations@gmail.com")</f>
        <v>smatdecorations@gmail.com</v>
      </c>
      <c r="R214" s="2" t="s">
        <v>2628</v>
      </c>
    </row>
    <row r="215" spans="1:18" ht="13" x14ac:dyDescent="0.15">
      <c r="A215" s="3">
        <f ca="1">IFERROR(__xludf.DUMMYFUNCTION("""COMPUTED_VALUE"""),43182.7961313541)</f>
        <v>43182.796131354102</v>
      </c>
      <c r="B215" t="str">
        <f ca="1">IFERROR(__xludf.DUMMYFUNCTION("""COMPUTED_VALUE"""),"lesliejojo190@gmail.com")</f>
        <v>lesliejojo190@gmail.com</v>
      </c>
      <c r="C215">
        <f ca="1">IFERROR(__xludf.DUMMYFUNCTION("""COMPUTED_VALUE"""),316)</f>
        <v>316</v>
      </c>
      <c r="D215" t="str">
        <f ca="1">IFERROR(__xludf.DUMMYFUNCTION("""COMPUTED_VALUE"""),"Girija Devi Padmanivas")</f>
        <v>Girija Devi Padmanivas</v>
      </c>
      <c r="E215">
        <f ca="1">IFERROR(__xludf.DUMMYFUNCTION("""COMPUTED_VALUE"""),9349001255)</f>
        <v>9349001255</v>
      </c>
      <c r="F215" t="str">
        <f ca="1">IFERROR(__xludf.DUMMYFUNCTION("""COMPUTED_VALUE"""),"Thiruvananthapuram")</f>
        <v>Thiruvananthapuram</v>
      </c>
      <c r="G215" t="str">
        <f ca="1">IFERROR(__xludf.DUMMYFUNCTION("""COMPUTED_VALUE"""),"TATA POWER SOLAR SYSTEMS LTD")</f>
        <v>TATA POWER SOLAR SYSTEMS LTD</v>
      </c>
      <c r="H215">
        <f ca="1">IFERROR(__xludf.DUMMYFUNCTION("""COMPUTED_VALUE"""),20)</f>
        <v>20</v>
      </c>
      <c r="I215" s="4">
        <f ca="1">IFERROR(__xludf.DUMMYFUNCTION("""COMPUTED_VALUE"""),43176)</f>
        <v>43176</v>
      </c>
      <c r="J215">
        <f ca="1">IFERROR(__xludf.DUMMYFUNCTION("""COMPUTED_VALUE"""),3)</f>
        <v>3</v>
      </c>
      <c r="K215">
        <f ca="1">IFERROR(__xludf.DUMMYFUNCTION("""COMPUTED_VALUE"""),1145112001974)</f>
        <v>1145112001974</v>
      </c>
      <c r="L215" t="str">
        <f ca="1">IFERROR(__xludf.DUMMYFUNCTION("""COMPUTED_VALUE"""),"Thirumala")</f>
        <v>Thirumala</v>
      </c>
      <c r="M215" t="str">
        <f ca="1">IFERROR(__xludf.DUMMYFUNCTION("""COMPUTED_VALUE"""),"I Accept")</f>
        <v>I Accept</v>
      </c>
      <c r="N215" s="4">
        <f ca="1">IFERROR(__xludf.DUMMYFUNCTION("""COMPUTED_VALUE"""),43175)</f>
        <v>43175</v>
      </c>
      <c r="O215" s="4">
        <f ca="1">IFERROR(__xludf.DUMMYFUNCTION("""COMPUTED_VALUE"""),43175)</f>
        <v>43175</v>
      </c>
      <c r="P215">
        <f ca="1">IFERROR(__xludf.DUMMYFUNCTION("""COMPUTED_VALUE"""),3)</f>
        <v>3</v>
      </c>
      <c r="Q215" t="str">
        <f ca="1">IFERROR(__xludf.DUMMYFUNCTION("""COMPUTED_VALUE"""),"lesliejojo190@gmail.com")</f>
        <v>lesliejojo190@gmail.com</v>
      </c>
      <c r="R215" s="2" t="s">
        <v>2629</v>
      </c>
    </row>
    <row r="216" spans="1:18" ht="13" x14ac:dyDescent="0.15">
      <c r="A216" s="3">
        <f ca="1">IFERROR(__xludf.DUMMYFUNCTION("""COMPUTED_VALUE"""),43182.8086791319)</f>
        <v>43182.8086791319</v>
      </c>
      <c r="B216" t="str">
        <f ca="1">IFERROR(__xludf.DUMMYFUNCTION("""COMPUTED_VALUE"""),"lesliejojo190@gmail.com")</f>
        <v>lesliejojo190@gmail.com</v>
      </c>
      <c r="C216">
        <f ca="1">IFERROR(__xludf.DUMMYFUNCTION("""COMPUTED_VALUE"""),111)</f>
        <v>111</v>
      </c>
      <c r="D216" t="str">
        <f ca="1">IFERROR(__xludf.DUMMYFUNCTION("""COMPUTED_VALUE"""),"Joseph John")</f>
        <v>Joseph John</v>
      </c>
      <c r="E216">
        <f ca="1">IFERROR(__xludf.DUMMYFUNCTION("""COMPUTED_VALUE"""),9961003336)</f>
        <v>9961003336</v>
      </c>
      <c r="F216" t="str">
        <f ca="1">IFERROR(__xludf.DUMMYFUNCTION("""COMPUTED_VALUE"""),"Thiruvananthapuram")</f>
        <v>Thiruvananthapuram</v>
      </c>
      <c r="G216" t="str">
        <f ca="1">IFERROR(__xludf.DUMMYFUNCTION("""COMPUTED_VALUE"""),"TATA POWER SOLAR SYSTEMS LTD")</f>
        <v>TATA POWER SOLAR SYSTEMS LTD</v>
      </c>
      <c r="H216">
        <f ca="1">IFERROR(__xludf.DUMMYFUNCTION("""COMPUTED_VALUE"""),20)</f>
        <v>20</v>
      </c>
      <c r="I216" s="4">
        <f ca="1">IFERROR(__xludf.DUMMYFUNCTION("""COMPUTED_VALUE"""),43146)</f>
        <v>43146</v>
      </c>
      <c r="J216">
        <f ca="1">IFERROR(__xludf.DUMMYFUNCTION("""COMPUTED_VALUE"""),3)</f>
        <v>3</v>
      </c>
      <c r="K216">
        <f ca="1">IFERROR(__xludf.DUMMYFUNCTION("""COMPUTED_VALUE"""),1145119004639)</f>
        <v>1145119004639</v>
      </c>
      <c r="L216" t="str">
        <f ca="1">IFERROR(__xludf.DUMMYFUNCTION("""COMPUTED_VALUE"""),"Thirumala")</f>
        <v>Thirumala</v>
      </c>
      <c r="M216" t="str">
        <f ca="1">IFERROR(__xludf.DUMMYFUNCTION("""COMPUTED_VALUE"""),"I Accept")</f>
        <v>I Accept</v>
      </c>
      <c r="N216" s="4">
        <f ca="1">IFERROR(__xludf.DUMMYFUNCTION("""COMPUTED_VALUE"""),43141)</f>
        <v>43141</v>
      </c>
      <c r="O216" s="4">
        <f ca="1">IFERROR(__xludf.DUMMYFUNCTION("""COMPUTED_VALUE"""),43141)</f>
        <v>43141</v>
      </c>
      <c r="P216">
        <f ca="1">IFERROR(__xludf.DUMMYFUNCTION("""COMPUTED_VALUE"""),3)</f>
        <v>3</v>
      </c>
      <c r="Q216" t="str">
        <f ca="1">IFERROR(__xludf.DUMMYFUNCTION("""COMPUTED_VALUE"""),"lesliejojo190@gmail.com")</f>
        <v>lesliejojo190@gmail.com</v>
      </c>
      <c r="R216" s="2" t="s">
        <v>2630</v>
      </c>
    </row>
    <row r="217" spans="1:18" ht="13" x14ac:dyDescent="0.15">
      <c r="A217" s="3">
        <f ca="1">IFERROR(__xludf.DUMMYFUNCTION("""COMPUTED_VALUE"""),43183.454820787)</f>
        <v>43183.454820787003</v>
      </c>
      <c r="B217" t="str">
        <f ca="1">IFERROR(__xludf.DUMMYFUNCTION("""COMPUTED_VALUE"""),"silverwoodsekm@gmail.com")</f>
        <v>silverwoodsekm@gmail.com</v>
      </c>
      <c r="C217">
        <f ca="1">IFERROR(__xludf.DUMMYFUNCTION("""COMPUTED_VALUE"""),409)</f>
        <v>409</v>
      </c>
      <c r="D217" t="str">
        <f ca="1">IFERROR(__xludf.DUMMYFUNCTION("""COMPUTED_VALUE"""),"O. U. CHERIYAN")</f>
        <v>O. U. CHERIYAN</v>
      </c>
      <c r="E217">
        <f ca="1">IFERROR(__xludf.DUMMYFUNCTION("""COMPUTED_VALUE"""),9895542426)</f>
        <v>9895542426</v>
      </c>
      <c r="F217" t="str">
        <f ca="1">IFERROR(__xludf.DUMMYFUNCTION("""COMPUTED_VALUE"""),"Ernakulam")</f>
        <v>Ernakulam</v>
      </c>
      <c r="G217" t="str">
        <f ca="1">IFERROR(__xludf.DUMMYFUNCTION("""COMPUTED_VALUE"""),"TATA POWER SOLAR SYSTEMS LTD")</f>
        <v>TATA POWER SOLAR SYSTEMS LTD</v>
      </c>
      <c r="H217">
        <f ca="1">IFERROR(__xludf.DUMMYFUNCTION("""COMPUTED_VALUE"""),20)</f>
        <v>20</v>
      </c>
      <c r="I217" s="4">
        <f ca="1">IFERROR(__xludf.DUMMYFUNCTION("""COMPUTED_VALUE"""),43151)</f>
        <v>43151</v>
      </c>
      <c r="J217">
        <f ca="1">IFERROR(__xludf.DUMMYFUNCTION("""COMPUTED_VALUE"""),3)</f>
        <v>3</v>
      </c>
      <c r="K217">
        <f ca="1">IFERROR(__xludf.DUMMYFUNCTION("""COMPUTED_VALUE"""),1155535004663)</f>
        <v>1155535004663</v>
      </c>
      <c r="L217" t="str">
        <f ca="1">IFERROR(__xludf.DUMMYFUNCTION("""COMPUTED_VALUE"""),"ARAKKUNNAM-5553")</f>
        <v>ARAKKUNNAM-5553</v>
      </c>
      <c r="M217" t="str">
        <f ca="1">IFERROR(__xludf.DUMMYFUNCTION("""COMPUTED_VALUE"""),"I Accept")</f>
        <v>I Accept</v>
      </c>
      <c r="N217" s="4">
        <f ca="1">IFERROR(__xludf.DUMMYFUNCTION("""COMPUTED_VALUE"""),43154)</f>
        <v>43154</v>
      </c>
      <c r="O217" s="4">
        <f ca="1">IFERROR(__xludf.DUMMYFUNCTION("""COMPUTED_VALUE"""),43154)</f>
        <v>43154</v>
      </c>
      <c r="P217">
        <f ca="1">IFERROR(__xludf.DUMMYFUNCTION("""COMPUTED_VALUE"""),3)</f>
        <v>3</v>
      </c>
      <c r="Q217" t="str">
        <f ca="1">IFERROR(__xludf.DUMMYFUNCTION("""COMPUTED_VALUE"""),"silverwoodsekm@gmail.com")</f>
        <v>silverwoodsekm@gmail.com</v>
      </c>
      <c r="R217" s="2" t="s">
        <v>2631</v>
      </c>
    </row>
    <row r="218" spans="1:18" ht="13" x14ac:dyDescent="0.15">
      <c r="A218" s="3">
        <f ca="1">IFERROR(__xludf.DUMMYFUNCTION("""COMPUTED_VALUE"""),43183.4651748958)</f>
        <v>43183.465174895799</v>
      </c>
      <c r="B218" t="str">
        <f ca="1">IFERROR(__xludf.DUMMYFUNCTION("""COMPUTED_VALUE"""),"silverwoodsekm@gmail.com")</f>
        <v>silverwoodsekm@gmail.com</v>
      </c>
      <c r="C218">
        <f ca="1">IFERROR(__xludf.DUMMYFUNCTION("""COMPUTED_VALUE"""),713)</f>
        <v>713</v>
      </c>
      <c r="D218" t="str">
        <f ca="1">IFERROR(__xludf.DUMMYFUNCTION("""COMPUTED_VALUE"""),"AMMINI P.K")</f>
        <v>AMMINI P.K</v>
      </c>
      <c r="E218">
        <f ca="1">IFERROR(__xludf.DUMMYFUNCTION("""COMPUTED_VALUE"""),7909184515)</f>
        <v>7909184515</v>
      </c>
      <c r="F218" t="str">
        <f ca="1">IFERROR(__xludf.DUMMYFUNCTION("""COMPUTED_VALUE"""),"Ernakulam")</f>
        <v>Ernakulam</v>
      </c>
      <c r="G218" t="str">
        <f ca="1">IFERROR(__xludf.DUMMYFUNCTION("""COMPUTED_VALUE"""),"TATA POWER SOLAR SYSTEMS LTD")</f>
        <v>TATA POWER SOLAR SYSTEMS LTD</v>
      </c>
      <c r="H218">
        <f ca="1">IFERROR(__xludf.DUMMYFUNCTION("""COMPUTED_VALUE"""),20)</f>
        <v>20</v>
      </c>
      <c r="I218" s="4">
        <f ca="1">IFERROR(__xludf.DUMMYFUNCTION("""COMPUTED_VALUE"""),43173)</f>
        <v>43173</v>
      </c>
      <c r="J218">
        <f ca="1">IFERROR(__xludf.DUMMYFUNCTION("""COMPUTED_VALUE"""),5)</f>
        <v>5</v>
      </c>
      <c r="K218">
        <f ca="1">IFERROR(__xludf.DUMMYFUNCTION("""COMPUTED_VALUE"""),1155979001139)</f>
        <v>1155979001139</v>
      </c>
      <c r="L218" t="str">
        <f ca="1">IFERROR(__xludf.DUMMYFUNCTION("""COMPUTED_VALUE"""),"PIRAVOM-5597")</f>
        <v>PIRAVOM-5597</v>
      </c>
      <c r="M218" t="str">
        <f ca="1">IFERROR(__xludf.DUMMYFUNCTION("""COMPUTED_VALUE"""),"I Accept")</f>
        <v>I Accept</v>
      </c>
      <c r="N218" s="4">
        <f ca="1">IFERROR(__xludf.DUMMYFUNCTION("""COMPUTED_VALUE"""),43175)</f>
        <v>43175</v>
      </c>
      <c r="O218" s="4">
        <f ca="1">IFERROR(__xludf.DUMMYFUNCTION("""COMPUTED_VALUE"""),43175)</f>
        <v>43175</v>
      </c>
      <c r="P218">
        <f ca="1">IFERROR(__xludf.DUMMYFUNCTION("""COMPUTED_VALUE"""),5)</f>
        <v>5</v>
      </c>
      <c r="Q218" t="str">
        <f ca="1">IFERROR(__xludf.DUMMYFUNCTION("""COMPUTED_VALUE"""),"silverwoodsekm@gmail.com")</f>
        <v>silverwoodsekm@gmail.com</v>
      </c>
      <c r="R218" s="2" t="s">
        <v>2632</v>
      </c>
    </row>
    <row r="219" spans="1:18" ht="13" x14ac:dyDescent="0.15">
      <c r="A219" s="3">
        <f ca="1">IFERROR(__xludf.DUMMYFUNCTION("""COMPUTED_VALUE"""),43183.4803092361)</f>
        <v>43183.480309236103</v>
      </c>
      <c r="B219" t="str">
        <f ca="1">IFERROR(__xludf.DUMMYFUNCTION("""COMPUTED_VALUE"""),"info@reecco.com")</f>
        <v>info@reecco.com</v>
      </c>
      <c r="C219">
        <f ca="1">IFERROR(__xludf.DUMMYFUNCTION("""COMPUTED_VALUE"""),443)</f>
        <v>443</v>
      </c>
      <c r="D219" t="str">
        <f ca="1">IFERROR(__xludf.DUMMYFUNCTION("""COMPUTED_VALUE"""),"Anu Vasudevaru")</f>
        <v>Anu Vasudevaru</v>
      </c>
      <c r="E219">
        <f ca="1">IFERROR(__xludf.DUMMYFUNCTION("""COMPUTED_VALUE"""),9744080310)</f>
        <v>9744080310</v>
      </c>
      <c r="F219" t="str">
        <f ca="1">IFERROR(__xludf.DUMMYFUNCTION("""COMPUTED_VALUE"""),"Ernakulam")</f>
        <v>Ernakulam</v>
      </c>
      <c r="G219" t="str">
        <f ca="1">IFERROR(__xludf.DUMMYFUNCTION("""COMPUTED_VALUE"""),"Reecco Energy India Pvt. Ltd")</f>
        <v>Reecco Energy India Pvt. Ltd</v>
      </c>
      <c r="H219">
        <f ca="1">IFERROR(__xludf.DUMMYFUNCTION("""COMPUTED_VALUE"""),47)</f>
        <v>47</v>
      </c>
      <c r="I219" s="4">
        <f ca="1">IFERROR(__xludf.DUMMYFUNCTION("""COMPUTED_VALUE"""),43181)</f>
        <v>43181</v>
      </c>
      <c r="J219">
        <f ca="1">IFERROR(__xludf.DUMMYFUNCTION("""COMPUTED_VALUE"""),3)</f>
        <v>3</v>
      </c>
      <c r="K219">
        <f ca="1">IFERROR(__xludf.DUMMYFUNCTION("""COMPUTED_VALUE"""),1157314023348)</f>
        <v>1157314023348</v>
      </c>
      <c r="L219" t="str">
        <f ca="1">IFERROR(__xludf.DUMMYFUNCTION("""COMPUTED_VALUE"""),"Thrikkakkara West")</f>
        <v>Thrikkakkara West</v>
      </c>
      <c r="M219" t="str">
        <f ca="1">IFERROR(__xludf.DUMMYFUNCTION("""COMPUTED_VALUE"""),"I Accept")</f>
        <v>I Accept</v>
      </c>
      <c r="N219" s="4">
        <f ca="1">IFERROR(__xludf.DUMMYFUNCTION("""COMPUTED_VALUE"""),43182)</f>
        <v>43182</v>
      </c>
      <c r="O219" s="4">
        <f ca="1">IFERROR(__xludf.DUMMYFUNCTION("""COMPUTED_VALUE"""),43182)</f>
        <v>43182</v>
      </c>
      <c r="P219">
        <f ca="1">IFERROR(__xludf.DUMMYFUNCTION("""COMPUTED_VALUE"""),3)</f>
        <v>3</v>
      </c>
      <c r="Q219" t="str">
        <f ca="1">IFERROR(__xludf.DUMMYFUNCTION("""COMPUTED_VALUE"""),"info@reecco.com")</f>
        <v>info@reecco.com</v>
      </c>
      <c r="R219" s="2" t="s">
        <v>2633</v>
      </c>
    </row>
    <row r="220" spans="1:18" ht="13" x14ac:dyDescent="0.15">
      <c r="A220" s="3">
        <f ca="1">IFERROR(__xludf.DUMMYFUNCTION("""COMPUTED_VALUE"""),43183.4806665046)</f>
        <v>43183.480666504598</v>
      </c>
      <c r="B220" t="str">
        <f ca="1">IFERROR(__xludf.DUMMYFUNCTION("""COMPUTED_VALUE"""),"info@solartechind.com")</f>
        <v>info@solartechind.com</v>
      </c>
      <c r="C220">
        <f ca="1">IFERROR(__xludf.DUMMYFUNCTION("""COMPUTED_VALUE"""),527)</f>
        <v>527</v>
      </c>
      <c r="D220" t="str">
        <f ca="1">IFERROR(__xludf.DUMMYFUNCTION("""COMPUTED_VALUE"""),"Manju S")</f>
        <v>Manju S</v>
      </c>
      <c r="E220">
        <f ca="1">IFERROR(__xludf.DUMMYFUNCTION("""COMPUTED_VALUE"""),9387707733)</f>
        <v>9387707733</v>
      </c>
      <c r="F220" t="str">
        <f ca="1">IFERROR(__xludf.DUMMYFUNCTION("""COMPUTED_VALUE"""),"Thiruvananthapuram")</f>
        <v>Thiruvananthapuram</v>
      </c>
      <c r="G220" t="str">
        <f ca="1">IFERROR(__xludf.DUMMYFUNCTION("""COMPUTED_VALUE"""),"SOLARTECH")</f>
        <v>SOLARTECH</v>
      </c>
      <c r="H220">
        <f ca="1">IFERROR(__xludf.DUMMYFUNCTION("""COMPUTED_VALUE"""),4)</f>
        <v>4</v>
      </c>
      <c r="I220" s="4">
        <f ca="1">IFERROR(__xludf.DUMMYFUNCTION("""COMPUTED_VALUE"""),43183)</f>
        <v>43183</v>
      </c>
      <c r="J220">
        <f ca="1">IFERROR(__xludf.DUMMYFUNCTION("""COMPUTED_VALUE"""),2)</f>
        <v>2</v>
      </c>
      <c r="K220">
        <f ca="1">IFERROR(__xludf.DUMMYFUNCTION("""COMPUTED_VALUE"""),1145154013671)</f>
        <v>1145154013671</v>
      </c>
      <c r="L220" t="str">
        <f ca="1">IFERROR(__xludf.DUMMYFUNCTION("""COMPUTED_VALUE"""),"Sreevaraham")</f>
        <v>Sreevaraham</v>
      </c>
      <c r="M220" t="str">
        <f ca="1">IFERROR(__xludf.DUMMYFUNCTION("""COMPUTED_VALUE"""),"I Accept")</f>
        <v>I Accept</v>
      </c>
      <c r="N220" s="4">
        <f ca="1">IFERROR(__xludf.DUMMYFUNCTION("""COMPUTED_VALUE"""),43177)</f>
        <v>43177</v>
      </c>
      <c r="O220" s="4">
        <f ca="1">IFERROR(__xludf.DUMMYFUNCTION("""COMPUTED_VALUE"""),43177)</f>
        <v>43177</v>
      </c>
      <c r="P220">
        <f ca="1">IFERROR(__xludf.DUMMYFUNCTION("""COMPUTED_VALUE"""),2)</f>
        <v>2</v>
      </c>
      <c r="Q220" t="str">
        <f ca="1">IFERROR(__xludf.DUMMYFUNCTION("""COMPUTED_VALUE"""),"info@solartechind.com")</f>
        <v>info@solartechind.com</v>
      </c>
      <c r="R220" s="2" t="s">
        <v>2634</v>
      </c>
    </row>
    <row r="221" spans="1:18" ht="13" x14ac:dyDescent="0.15">
      <c r="A221" s="3">
        <f ca="1">IFERROR(__xludf.DUMMYFUNCTION("""COMPUTED_VALUE"""),43183.4876590972)</f>
        <v>43183.487659097198</v>
      </c>
      <c r="B221" t="str">
        <f ca="1">IFERROR(__xludf.DUMMYFUNCTION("""COMPUTED_VALUE"""),"silverwoodsekm@gmail.com")</f>
        <v>silverwoodsekm@gmail.com</v>
      </c>
      <c r="C221">
        <f ca="1">IFERROR(__xludf.DUMMYFUNCTION("""COMPUTED_VALUE"""),299)</f>
        <v>299</v>
      </c>
      <c r="D221" t="str">
        <f ca="1">IFERROR(__xludf.DUMMYFUNCTION("""COMPUTED_VALUE"""),"ASHA G SREEKUMAR")</f>
        <v>ASHA G SREEKUMAR</v>
      </c>
      <c r="E221">
        <f ca="1">IFERROR(__xludf.DUMMYFUNCTION("""COMPUTED_VALUE"""),9995470933)</f>
        <v>9995470933</v>
      </c>
      <c r="F221" t="str">
        <f ca="1">IFERROR(__xludf.DUMMYFUNCTION("""COMPUTED_VALUE"""),"Ernakulam")</f>
        <v>Ernakulam</v>
      </c>
      <c r="G221" t="str">
        <f ca="1">IFERROR(__xludf.DUMMYFUNCTION("""COMPUTED_VALUE"""),"TATA POWER SOLAR SYSTEMS LTD")</f>
        <v>TATA POWER SOLAR SYSTEMS LTD</v>
      </c>
      <c r="H221">
        <f ca="1">IFERROR(__xludf.DUMMYFUNCTION("""COMPUTED_VALUE"""),20)</f>
        <v>20</v>
      </c>
      <c r="I221" s="4">
        <f ca="1">IFERROR(__xludf.DUMMYFUNCTION("""COMPUTED_VALUE"""),43174)</f>
        <v>43174</v>
      </c>
      <c r="J221">
        <f ca="1">IFERROR(__xludf.DUMMYFUNCTION("""COMPUTED_VALUE"""),3)</f>
        <v>3</v>
      </c>
      <c r="K221">
        <f ca="1">IFERROR(__xludf.DUMMYFUNCTION("""COMPUTED_VALUE"""),1155509027855)</f>
        <v>1155509027855</v>
      </c>
      <c r="L221" t="str">
        <f ca="1">IFERROR(__xludf.DUMMYFUNCTION("""COMPUTED_VALUE"""),"MARADU-5550")</f>
        <v>MARADU-5550</v>
      </c>
      <c r="M221" t="str">
        <f ca="1">IFERROR(__xludf.DUMMYFUNCTION("""COMPUTED_VALUE"""),"I Accept")</f>
        <v>I Accept</v>
      </c>
      <c r="N221" s="4">
        <f ca="1">IFERROR(__xludf.DUMMYFUNCTION("""COMPUTED_VALUE"""),43160)</f>
        <v>43160</v>
      </c>
      <c r="O221" s="4">
        <f ca="1">IFERROR(__xludf.DUMMYFUNCTION("""COMPUTED_VALUE"""),43160)</f>
        <v>43160</v>
      </c>
      <c r="P221">
        <f ca="1">IFERROR(__xludf.DUMMYFUNCTION("""COMPUTED_VALUE"""),3)</f>
        <v>3</v>
      </c>
      <c r="Q221" t="str">
        <f ca="1">IFERROR(__xludf.DUMMYFUNCTION("""COMPUTED_VALUE"""),"silverwoodsekm@gmail.com")</f>
        <v>silverwoodsekm@gmail.com</v>
      </c>
      <c r="R221" s="2" t="s">
        <v>2635</v>
      </c>
    </row>
    <row r="222" spans="1:18" ht="13" x14ac:dyDescent="0.15">
      <c r="A222" s="3">
        <f ca="1">IFERROR(__xludf.DUMMYFUNCTION("""COMPUTED_VALUE"""),43183.5106782986)</f>
        <v>43183.510678298597</v>
      </c>
      <c r="B222" t="str">
        <f ca="1">IFERROR(__xludf.DUMMYFUNCTION("""COMPUTED_VALUE"""),"silverwoodsekm@gmail.com")</f>
        <v>silverwoodsekm@gmail.com</v>
      </c>
      <c r="C222">
        <f ca="1">IFERROR(__xludf.DUMMYFUNCTION("""COMPUTED_VALUE"""),90)</f>
        <v>90</v>
      </c>
      <c r="D222" t="str">
        <f ca="1">IFERROR(__xludf.DUMMYFUNCTION("""COMPUTED_VALUE"""),"JAYAN MATHEW ")</f>
        <v xml:space="preserve">JAYAN MATHEW </v>
      </c>
      <c r="E222">
        <f ca="1">IFERROR(__xludf.DUMMYFUNCTION("""COMPUTED_VALUE"""),9847022123)</f>
        <v>9847022123</v>
      </c>
      <c r="F222" t="str">
        <f ca="1">IFERROR(__xludf.DUMMYFUNCTION("""COMPUTED_VALUE"""),"Ernakulam")</f>
        <v>Ernakulam</v>
      </c>
      <c r="G222" t="str">
        <f ca="1">IFERROR(__xludf.DUMMYFUNCTION("""COMPUTED_VALUE"""),"TATA POWER SOLAR SYSTEMS LTD")</f>
        <v>TATA POWER SOLAR SYSTEMS LTD</v>
      </c>
      <c r="H222">
        <f ca="1">IFERROR(__xludf.DUMMYFUNCTION("""COMPUTED_VALUE"""),20)</f>
        <v>20</v>
      </c>
      <c r="I222" s="4">
        <f ca="1">IFERROR(__xludf.DUMMYFUNCTION("""COMPUTED_VALUE"""),43150)</f>
        <v>43150</v>
      </c>
      <c r="J222">
        <f ca="1">IFERROR(__xludf.DUMMYFUNCTION("""COMPUTED_VALUE"""),5)</f>
        <v>5</v>
      </c>
      <c r="K222">
        <f ca="1">IFERROR(__xludf.DUMMYFUNCTION("""COMPUTED_VALUE"""),1155642013934)</f>
        <v>1155642013934</v>
      </c>
      <c r="L222" t="str">
        <f ca="1">IFERROR(__xludf.DUMMYFUNCTION("""COMPUTED_VALUE"""),"FORT KOCHI")</f>
        <v>FORT KOCHI</v>
      </c>
      <c r="M222" t="str">
        <f ca="1">IFERROR(__xludf.DUMMYFUNCTION("""COMPUTED_VALUE"""),"I Accept")</f>
        <v>I Accept</v>
      </c>
      <c r="N222" s="4">
        <f ca="1">IFERROR(__xludf.DUMMYFUNCTION("""COMPUTED_VALUE"""),43151)</f>
        <v>43151</v>
      </c>
      <c r="O222" s="4">
        <f ca="1">IFERROR(__xludf.DUMMYFUNCTION("""COMPUTED_VALUE"""),43151)</f>
        <v>43151</v>
      </c>
      <c r="P222">
        <f ca="1">IFERROR(__xludf.DUMMYFUNCTION("""COMPUTED_VALUE"""),5)</f>
        <v>5</v>
      </c>
      <c r="Q222" t="str">
        <f ca="1">IFERROR(__xludf.DUMMYFUNCTION("""COMPUTED_VALUE"""),"silverwoodsekm@gmail.com")</f>
        <v>silverwoodsekm@gmail.com</v>
      </c>
      <c r="R222" s="2" t="s">
        <v>2636</v>
      </c>
    </row>
    <row r="223" spans="1:18" ht="13" x14ac:dyDescent="0.15">
      <c r="A223" s="3">
        <f ca="1">IFERROR(__xludf.DUMMYFUNCTION("""COMPUTED_VALUE"""),43183.5288262847)</f>
        <v>43183.528826284703</v>
      </c>
      <c r="B223" t="str">
        <f ca="1">IFERROR(__xludf.DUMMYFUNCTION("""COMPUTED_VALUE"""),"noorakshaya@gmail.com")</f>
        <v>noorakshaya@gmail.com</v>
      </c>
      <c r="C223">
        <f ca="1">IFERROR(__xludf.DUMMYFUNCTION("""COMPUTED_VALUE"""),499)</f>
        <v>499</v>
      </c>
      <c r="D223" t="str">
        <f ca="1">IFERROR(__xludf.DUMMYFUNCTION("""COMPUTED_VALUE"""),"Padmanabha Pillai K")</f>
        <v>Padmanabha Pillai K</v>
      </c>
      <c r="E223">
        <f ca="1">IFERROR(__xludf.DUMMYFUNCTION("""COMPUTED_VALUE"""),9645322229)</f>
        <v>9645322229</v>
      </c>
      <c r="F223" t="str">
        <f ca="1">IFERROR(__xludf.DUMMYFUNCTION("""COMPUTED_VALUE"""),"Thiruvananthapuram")</f>
        <v>Thiruvananthapuram</v>
      </c>
      <c r="G223" t="str">
        <f ca="1">IFERROR(__xludf.DUMMYFUNCTION("""COMPUTED_VALUE"""),"Renergy Systems India Pvt Ltd")</f>
        <v>Renergy Systems India Pvt Ltd</v>
      </c>
      <c r="H223">
        <f ca="1">IFERROR(__xludf.DUMMYFUNCTION("""COMPUTED_VALUE"""),38)</f>
        <v>38</v>
      </c>
      <c r="I223" s="4">
        <f ca="1">IFERROR(__xludf.DUMMYFUNCTION("""COMPUTED_VALUE"""),43183)</f>
        <v>43183</v>
      </c>
      <c r="J223">
        <f ca="1">IFERROR(__xludf.DUMMYFUNCTION("""COMPUTED_VALUE"""),3)</f>
        <v>3</v>
      </c>
      <c r="K223">
        <f ca="1">IFERROR(__xludf.DUMMYFUNCTION("""COMPUTED_VALUE"""),1145050004730)</f>
        <v>1145050004730</v>
      </c>
      <c r="L223" t="str">
        <f ca="1">IFERROR(__xludf.DUMMYFUNCTION("""COMPUTED_VALUE"""),"Thycaud[4505]")</f>
        <v>Thycaud[4505]</v>
      </c>
      <c r="M223" t="str">
        <f ca="1">IFERROR(__xludf.DUMMYFUNCTION("""COMPUTED_VALUE"""),"I Accept")</f>
        <v>I Accept</v>
      </c>
      <c r="N223" s="4">
        <f ca="1">IFERROR(__xludf.DUMMYFUNCTION("""COMPUTED_VALUE"""),43178)</f>
        <v>43178</v>
      </c>
      <c r="O223" s="4">
        <f ca="1">IFERROR(__xludf.DUMMYFUNCTION("""COMPUTED_VALUE"""),43178)</f>
        <v>43178</v>
      </c>
      <c r="P223">
        <f ca="1">IFERROR(__xludf.DUMMYFUNCTION("""COMPUTED_VALUE"""),3)</f>
        <v>3</v>
      </c>
      <c r="Q223" t="str">
        <f ca="1">IFERROR(__xludf.DUMMYFUNCTION("""COMPUTED_VALUE"""),"noorakshaya@gmail.com")</f>
        <v>noorakshaya@gmail.com</v>
      </c>
      <c r="R223" s="2" t="s">
        <v>2637</v>
      </c>
    </row>
    <row r="224" spans="1:18" ht="13" x14ac:dyDescent="0.15">
      <c r="A224" s="3">
        <f ca="1">IFERROR(__xludf.DUMMYFUNCTION("""COMPUTED_VALUE"""),43183.5376395833)</f>
        <v>43183.537639583301</v>
      </c>
      <c r="B224" t="str">
        <f ca="1">IFERROR(__xludf.DUMMYFUNCTION("""COMPUTED_VALUE"""),"ajithtemco@gmail.com")</f>
        <v>ajithtemco@gmail.com</v>
      </c>
      <c r="C224">
        <f ca="1">IFERROR(__xludf.DUMMYFUNCTION("""COMPUTED_VALUE"""),16)</f>
        <v>16</v>
      </c>
      <c r="D224" t="str">
        <f ca="1">IFERROR(__xludf.DUMMYFUNCTION("""COMPUTED_VALUE"""),"Sushama CV")</f>
        <v>Sushama CV</v>
      </c>
      <c r="E224">
        <f ca="1">IFERROR(__xludf.DUMMYFUNCTION("""COMPUTED_VALUE"""),7290902928)</f>
        <v>7290902928</v>
      </c>
      <c r="F224" t="str">
        <f ca="1">IFERROR(__xludf.DUMMYFUNCTION("""COMPUTED_VALUE"""),"Kollam")</f>
        <v>Kollam</v>
      </c>
      <c r="G224" t="str">
        <f ca="1">IFERROR(__xludf.DUMMYFUNCTION("""COMPUTED_VALUE"""),"Temco Renewable Energy Solutions Pvt Ltd")</f>
        <v>Temco Renewable Energy Solutions Pvt Ltd</v>
      </c>
      <c r="H224">
        <f ca="1">IFERROR(__xludf.DUMMYFUNCTION("""COMPUTED_VALUE"""),30)</f>
        <v>30</v>
      </c>
      <c r="I224" s="4">
        <f ca="1">IFERROR(__xludf.DUMMYFUNCTION("""COMPUTED_VALUE"""),43180)</f>
        <v>43180</v>
      </c>
      <c r="J224">
        <f ca="1">IFERROR(__xludf.DUMMYFUNCTION("""COMPUTED_VALUE"""),3)</f>
        <v>3</v>
      </c>
      <c r="K224">
        <f ca="1">IFERROR(__xludf.DUMMYFUNCTION("""COMPUTED_VALUE"""),1145702021662)</f>
        <v>1145702021662</v>
      </c>
      <c r="L224" t="str">
        <f ca="1">IFERROR(__xludf.DUMMYFUNCTION("""COMPUTED_VALUE"""),"karunagapally South")</f>
        <v>karunagapally South</v>
      </c>
      <c r="M224" t="str">
        <f ca="1">IFERROR(__xludf.DUMMYFUNCTION("""COMPUTED_VALUE"""),"I Accept")</f>
        <v>I Accept</v>
      </c>
      <c r="N224" s="4">
        <f ca="1">IFERROR(__xludf.DUMMYFUNCTION("""COMPUTED_VALUE"""),43167)</f>
        <v>43167</v>
      </c>
      <c r="O224" s="4">
        <f ca="1">IFERROR(__xludf.DUMMYFUNCTION("""COMPUTED_VALUE"""),43167)</f>
        <v>43167</v>
      </c>
      <c r="P224">
        <f ca="1">IFERROR(__xludf.DUMMYFUNCTION("""COMPUTED_VALUE"""),3)</f>
        <v>3</v>
      </c>
      <c r="Q224" t="str">
        <f ca="1">IFERROR(__xludf.DUMMYFUNCTION("""COMPUTED_VALUE"""),"ajithtemco@gmail.com")</f>
        <v>ajithtemco@gmail.com</v>
      </c>
      <c r="R224" s="2" t="s">
        <v>2638</v>
      </c>
    </row>
    <row r="225" spans="1:18" ht="13" x14ac:dyDescent="0.15">
      <c r="A225" s="3">
        <f ca="1">IFERROR(__xludf.DUMMYFUNCTION("""COMPUTED_VALUE"""),43183.5438814351)</f>
        <v>43183.5438814351</v>
      </c>
      <c r="B225" t="str">
        <f ca="1">IFERROR(__xludf.DUMMYFUNCTION("""COMPUTED_VALUE"""),"info@wattsun.in")</f>
        <v>info@wattsun.in</v>
      </c>
      <c r="C225">
        <f ca="1">IFERROR(__xludf.DUMMYFUNCTION("""COMPUTED_VALUE"""),80)</f>
        <v>80</v>
      </c>
      <c r="D225" t="str">
        <f ca="1">IFERROR(__xludf.DUMMYFUNCTION("""COMPUTED_VALUE"""),"Kamalam P")</f>
        <v>Kamalam P</v>
      </c>
      <c r="E225">
        <f ca="1">IFERROR(__xludf.DUMMYFUNCTION("""COMPUTED_VALUE"""),9388106363)</f>
        <v>9388106363</v>
      </c>
      <c r="F225" t="str">
        <f ca="1">IFERROR(__xludf.DUMMYFUNCTION("""COMPUTED_VALUE"""),"Thiruvananthapuram")</f>
        <v>Thiruvananthapuram</v>
      </c>
      <c r="G225" t="str">
        <f ca="1">IFERROR(__xludf.DUMMYFUNCTION("""COMPUTED_VALUE"""),"Wattsun Energy India Private Limited")</f>
        <v>Wattsun Energy India Private Limited</v>
      </c>
      <c r="H225">
        <f ca="1">IFERROR(__xludf.DUMMYFUNCTION("""COMPUTED_VALUE"""),54)</f>
        <v>54</v>
      </c>
      <c r="I225" s="4">
        <f ca="1">IFERROR(__xludf.DUMMYFUNCTION("""COMPUTED_VALUE"""),43181)</f>
        <v>43181</v>
      </c>
      <c r="J225">
        <f ca="1">IFERROR(__xludf.DUMMYFUNCTION("""COMPUTED_VALUE"""),5)</f>
        <v>5</v>
      </c>
      <c r="K225">
        <f ca="1">IFERROR(__xludf.DUMMYFUNCTION("""COMPUTED_VALUE"""),1145077002892)</f>
        <v>1145077002892</v>
      </c>
      <c r="L225" t="str">
        <f ca="1">IFERROR(__xludf.DUMMYFUNCTION("""COMPUTED_VALUE"""),"Vellayambalam ")</f>
        <v xml:space="preserve">Vellayambalam </v>
      </c>
      <c r="M225" t="str">
        <f ca="1">IFERROR(__xludf.DUMMYFUNCTION("""COMPUTED_VALUE"""),"I Accept")</f>
        <v>I Accept</v>
      </c>
      <c r="N225" s="4">
        <f ca="1">IFERROR(__xludf.DUMMYFUNCTION("""COMPUTED_VALUE"""),43124)</f>
        <v>43124</v>
      </c>
      <c r="O225" s="4">
        <f ca="1">IFERROR(__xludf.DUMMYFUNCTION("""COMPUTED_VALUE"""),43124)</f>
        <v>43124</v>
      </c>
      <c r="P225">
        <f ca="1">IFERROR(__xludf.DUMMYFUNCTION("""COMPUTED_VALUE"""),5)</f>
        <v>5</v>
      </c>
      <c r="Q225" t="str">
        <f ca="1">IFERROR(__xludf.DUMMYFUNCTION("""COMPUTED_VALUE"""),"info@wattsun.in")</f>
        <v>info@wattsun.in</v>
      </c>
      <c r="R225" s="2" t="s">
        <v>2639</v>
      </c>
    </row>
    <row r="226" spans="1:18" ht="13" x14ac:dyDescent="0.15">
      <c r="A226" s="3">
        <f ca="1">IFERROR(__xludf.DUMMYFUNCTION("""COMPUTED_VALUE"""),43183.5552153703)</f>
        <v>43183.555215370303</v>
      </c>
      <c r="B226" t="str">
        <f ca="1">IFERROR(__xludf.DUMMYFUNCTION("""COMPUTED_VALUE"""),"solarconnect2018@gmail.com")</f>
        <v>solarconnect2018@gmail.com</v>
      </c>
      <c r="C226">
        <f ca="1">IFERROR(__xludf.DUMMYFUNCTION("""COMPUTED_VALUE"""),322)</f>
        <v>322</v>
      </c>
      <c r="D226" t="str">
        <f ca="1">IFERROR(__xludf.DUMMYFUNCTION("""COMPUTED_VALUE"""),"SUNDARAN NATHAN")</f>
        <v>SUNDARAN NATHAN</v>
      </c>
      <c r="E226">
        <f ca="1">IFERROR(__xludf.DUMMYFUNCTION("""COMPUTED_VALUE"""),9400527569)</f>
        <v>9400527569</v>
      </c>
      <c r="F226" t="str">
        <f ca="1">IFERROR(__xludf.DUMMYFUNCTION("""COMPUTED_VALUE"""),"Kannur")</f>
        <v>Kannur</v>
      </c>
      <c r="G226" t="str">
        <f ca="1">IFERROR(__xludf.DUMMYFUNCTION("""COMPUTED_VALUE"""),"SPECTRUM TECHNO PRODUCTS")</f>
        <v>SPECTRUM TECHNO PRODUCTS</v>
      </c>
      <c r="H226">
        <f ca="1">IFERROR(__xludf.DUMMYFUNCTION("""COMPUTED_VALUE"""),66)</f>
        <v>66</v>
      </c>
      <c r="I226" s="4">
        <f ca="1">IFERROR(__xludf.DUMMYFUNCTION("""COMPUTED_VALUE"""),43183)</f>
        <v>43183</v>
      </c>
      <c r="J226">
        <f ca="1">IFERROR(__xludf.DUMMYFUNCTION("""COMPUTED_VALUE"""),2)</f>
        <v>2</v>
      </c>
      <c r="K226">
        <f ca="1">IFERROR(__xludf.DUMMYFUNCTION("""COMPUTED_VALUE"""),1166576010681)</f>
        <v>1166576010681</v>
      </c>
      <c r="L226" t="str">
        <f ca="1">IFERROR(__xludf.DUMMYFUNCTION("""COMPUTED_VALUE"""),"CHOVVA")</f>
        <v>CHOVVA</v>
      </c>
      <c r="M226" t="str">
        <f ca="1">IFERROR(__xludf.DUMMYFUNCTION("""COMPUTED_VALUE"""),"I Accept")</f>
        <v>I Accept</v>
      </c>
      <c r="N226" s="4">
        <f ca="1">IFERROR(__xludf.DUMMYFUNCTION("""COMPUTED_VALUE"""),43159)</f>
        <v>43159</v>
      </c>
      <c r="O226" s="4">
        <f ca="1">IFERROR(__xludf.DUMMYFUNCTION("""COMPUTED_VALUE"""),43159)</f>
        <v>43159</v>
      </c>
      <c r="P226">
        <f ca="1">IFERROR(__xludf.DUMMYFUNCTION("""COMPUTED_VALUE"""),2)</f>
        <v>2</v>
      </c>
      <c r="Q226" t="str">
        <f ca="1">IFERROR(__xludf.DUMMYFUNCTION("""COMPUTED_VALUE"""),"solarconnect2018@gmail.com")</f>
        <v>solarconnect2018@gmail.com</v>
      </c>
      <c r="R226" s="2" t="s">
        <v>2640</v>
      </c>
    </row>
    <row r="227" spans="1:18" ht="13" x14ac:dyDescent="0.15">
      <c r="A227" s="3">
        <f ca="1">IFERROR(__xludf.DUMMYFUNCTION("""COMPUTED_VALUE"""),43183.5623875463)</f>
        <v>43183.562387546299</v>
      </c>
      <c r="B227" t="str">
        <f ca="1">IFERROR(__xludf.DUMMYFUNCTION("""COMPUTED_VALUE"""),"solarconnect2018@gmail.com")</f>
        <v>solarconnect2018@gmail.com</v>
      </c>
      <c r="C227">
        <f ca="1">IFERROR(__xludf.DUMMYFUNCTION("""COMPUTED_VALUE"""),419)</f>
        <v>419</v>
      </c>
      <c r="D227" t="str">
        <f ca="1">IFERROR(__xludf.DUMMYFUNCTION("""COMPUTED_VALUE"""),"T A ABRAHAM")</f>
        <v>T A ABRAHAM</v>
      </c>
      <c r="E227">
        <f ca="1">IFERROR(__xludf.DUMMYFUNCTION("""COMPUTED_VALUE"""),9847001883)</f>
        <v>9847001883</v>
      </c>
      <c r="F227" t="str">
        <f ca="1">IFERROR(__xludf.DUMMYFUNCTION("""COMPUTED_VALUE"""),"Ernakulam")</f>
        <v>Ernakulam</v>
      </c>
      <c r="G227" t="str">
        <f ca="1">IFERROR(__xludf.DUMMYFUNCTION("""COMPUTED_VALUE"""),"SPECTRUM TECHNO PRODUCTS")</f>
        <v>SPECTRUM TECHNO PRODUCTS</v>
      </c>
      <c r="H227">
        <f ca="1">IFERROR(__xludf.DUMMYFUNCTION("""COMPUTED_VALUE"""),66)</f>
        <v>66</v>
      </c>
      <c r="I227" s="4">
        <f ca="1">IFERROR(__xludf.DUMMYFUNCTION("""COMPUTED_VALUE"""),43186)</f>
        <v>43186</v>
      </c>
      <c r="J227">
        <f ca="1">IFERROR(__xludf.DUMMYFUNCTION("""COMPUTED_VALUE"""),3)</f>
        <v>3</v>
      </c>
      <c r="K227">
        <f ca="1">IFERROR(__xludf.DUMMYFUNCTION("""COMPUTED_VALUE"""),1157317001341)</f>
        <v>1157317001341</v>
      </c>
      <c r="L227" t="str">
        <f ca="1">IFERROR(__xludf.DUMMYFUNCTION("""COMPUTED_VALUE"""),"THRIKKAKKARA WEST")</f>
        <v>THRIKKAKKARA WEST</v>
      </c>
      <c r="M227" t="str">
        <f ca="1">IFERROR(__xludf.DUMMYFUNCTION("""COMPUTED_VALUE"""),"I Accept")</f>
        <v>I Accept</v>
      </c>
      <c r="N227" s="4">
        <f ca="1">IFERROR(__xludf.DUMMYFUNCTION("""COMPUTED_VALUE"""),43179)</f>
        <v>43179</v>
      </c>
      <c r="O227" s="4">
        <f ca="1">IFERROR(__xludf.DUMMYFUNCTION("""COMPUTED_VALUE"""),43179)</f>
        <v>43179</v>
      </c>
      <c r="P227">
        <f ca="1">IFERROR(__xludf.DUMMYFUNCTION("""COMPUTED_VALUE"""),3)</f>
        <v>3</v>
      </c>
      <c r="Q227" t="str">
        <f ca="1">IFERROR(__xludf.DUMMYFUNCTION("""COMPUTED_VALUE"""),"solarconnect2018@gmail.com")</f>
        <v>solarconnect2018@gmail.com</v>
      </c>
      <c r="R227" s="2" t="s">
        <v>2641</v>
      </c>
    </row>
    <row r="228" spans="1:18" ht="13" x14ac:dyDescent="0.15">
      <c r="A228" s="3">
        <f ca="1">IFERROR(__xludf.DUMMYFUNCTION("""COMPUTED_VALUE"""),43183.5669738078)</f>
        <v>43183.5669738078</v>
      </c>
      <c r="B228" t="str">
        <f ca="1">IFERROR(__xludf.DUMMYFUNCTION("""COMPUTED_VALUE"""),"solarconnect2018@gmail.com")</f>
        <v>solarconnect2018@gmail.com</v>
      </c>
      <c r="C228">
        <f ca="1">IFERROR(__xludf.DUMMYFUNCTION("""COMPUTED_VALUE"""),424)</f>
        <v>424</v>
      </c>
      <c r="D228" t="str">
        <f ca="1">IFERROR(__xludf.DUMMYFUNCTION("""COMPUTED_VALUE"""),"MATHEW J")</f>
        <v>MATHEW J</v>
      </c>
      <c r="E228">
        <f ca="1">IFERROR(__xludf.DUMMYFUNCTION("""COMPUTED_VALUE"""),9995752290)</f>
        <v>9995752290</v>
      </c>
      <c r="F228" t="str">
        <f ca="1">IFERROR(__xludf.DUMMYFUNCTION("""COMPUTED_VALUE"""),"Kottayam")</f>
        <v>Kottayam</v>
      </c>
      <c r="G228" t="str">
        <f ca="1">IFERROR(__xludf.DUMMYFUNCTION("""COMPUTED_VALUE"""),"SPECTRUM TECHNO PRODUCTS")</f>
        <v>SPECTRUM TECHNO PRODUCTS</v>
      </c>
      <c r="H228">
        <f ca="1">IFERROR(__xludf.DUMMYFUNCTION("""COMPUTED_VALUE"""),66)</f>
        <v>66</v>
      </c>
      <c r="I228" s="4">
        <f ca="1">IFERROR(__xludf.DUMMYFUNCTION("""COMPUTED_VALUE"""),43186)</f>
        <v>43186</v>
      </c>
      <c r="J228">
        <f ca="1">IFERROR(__xludf.DUMMYFUNCTION("""COMPUTED_VALUE"""),3)</f>
        <v>3</v>
      </c>
      <c r="K228">
        <f ca="1">IFERROR(__xludf.DUMMYFUNCTION("""COMPUTED_VALUE"""),1146408016523)</f>
        <v>1146408016523</v>
      </c>
      <c r="L228" t="str">
        <f ca="1">IFERROR(__xludf.DUMMYFUNCTION("""COMPUTED_VALUE"""),"THRIKKODITHANAM")</f>
        <v>THRIKKODITHANAM</v>
      </c>
      <c r="M228" t="str">
        <f ca="1">IFERROR(__xludf.DUMMYFUNCTION("""COMPUTED_VALUE"""),"I Accept")</f>
        <v>I Accept</v>
      </c>
      <c r="N228" s="4">
        <f ca="1">IFERROR(__xludf.DUMMYFUNCTION("""COMPUTED_VALUE"""),43168)</f>
        <v>43168</v>
      </c>
      <c r="O228" s="4">
        <f ca="1">IFERROR(__xludf.DUMMYFUNCTION("""COMPUTED_VALUE"""),43168)</f>
        <v>43168</v>
      </c>
      <c r="P228">
        <f ca="1">IFERROR(__xludf.DUMMYFUNCTION("""COMPUTED_VALUE"""),3)</f>
        <v>3</v>
      </c>
      <c r="Q228" t="str">
        <f ca="1">IFERROR(__xludf.DUMMYFUNCTION("""COMPUTED_VALUE"""),"solarconnect2018@gmail.com")</f>
        <v>solarconnect2018@gmail.com</v>
      </c>
      <c r="R228" s="2" t="s">
        <v>2642</v>
      </c>
    </row>
    <row r="229" spans="1:18" ht="13" x14ac:dyDescent="0.15">
      <c r="A229" s="3">
        <f ca="1">IFERROR(__xludf.DUMMYFUNCTION("""COMPUTED_VALUE"""),43183.5960185185)</f>
        <v>43183.596018518503</v>
      </c>
      <c r="B229" t="str">
        <f ca="1">IFERROR(__xludf.DUMMYFUNCTION("""COMPUTED_VALUE"""),"solarconnect2018@gmail.com")</f>
        <v>solarconnect2018@gmail.com</v>
      </c>
      <c r="C229">
        <f ca="1">IFERROR(__xludf.DUMMYFUNCTION("""COMPUTED_VALUE"""),451)</f>
        <v>451</v>
      </c>
      <c r="D229" t="str">
        <f ca="1">IFERROR(__xludf.DUMMYFUNCTION("""COMPUTED_VALUE"""),"ASHRAF K E")</f>
        <v>ASHRAF K E</v>
      </c>
      <c r="E229">
        <f ca="1">IFERROR(__xludf.DUMMYFUNCTION("""COMPUTED_VALUE"""),9447313917)</f>
        <v>9447313917</v>
      </c>
      <c r="F229" t="str">
        <f ca="1">IFERROR(__xludf.DUMMYFUNCTION("""COMPUTED_VALUE"""),"Kannur")</f>
        <v>Kannur</v>
      </c>
      <c r="G229" t="str">
        <f ca="1">IFERROR(__xludf.DUMMYFUNCTION("""COMPUTED_VALUE"""),"SPECTRUM TECHNO  PRODUCTS")</f>
        <v>SPECTRUM TECHNO  PRODUCTS</v>
      </c>
      <c r="H229">
        <f ca="1">IFERROR(__xludf.DUMMYFUNCTION("""COMPUTED_VALUE"""),66)</f>
        <v>66</v>
      </c>
      <c r="I229" s="4">
        <f ca="1">IFERROR(__xludf.DUMMYFUNCTION("""COMPUTED_VALUE"""),43185)</f>
        <v>43185</v>
      </c>
      <c r="J229">
        <f ca="1">IFERROR(__xludf.DUMMYFUNCTION("""COMPUTED_VALUE"""),3)</f>
        <v>3</v>
      </c>
      <c r="K229">
        <f ca="1">IFERROR(__xludf.DUMMYFUNCTION("""COMPUTED_VALUE"""),1166717033380)</f>
        <v>1166717033380</v>
      </c>
      <c r="L229" t="str">
        <f ca="1">IFERROR(__xludf.DUMMYFUNCTION("""COMPUTED_VALUE"""),"CHOKLI")</f>
        <v>CHOKLI</v>
      </c>
      <c r="M229" t="str">
        <f ca="1">IFERROR(__xludf.DUMMYFUNCTION("""COMPUTED_VALUE"""),"I Accept")</f>
        <v>I Accept</v>
      </c>
      <c r="N229" s="4">
        <f ca="1">IFERROR(__xludf.DUMMYFUNCTION("""COMPUTED_VALUE"""),43171)</f>
        <v>43171</v>
      </c>
      <c r="O229" s="4">
        <f ca="1">IFERROR(__xludf.DUMMYFUNCTION("""COMPUTED_VALUE"""),43171)</f>
        <v>43171</v>
      </c>
      <c r="P229">
        <f ca="1">IFERROR(__xludf.DUMMYFUNCTION("""COMPUTED_VALUE"""),3)</f>
        <v>3</v>
      </c>
      <c r="Q229" t="str">
        <f ca="1">IFERROR(__xludf.DUMMYFUNCTION("""COMPUTED_VALUE"""),"solarconnect2018@gmail.com")</f>
        <v>solarconnect2018@gmail.com</v>
      </c>
      <c r="R229" s="2" t="s">
        <v>2643</v>
      </c>
    </row>
    <row r="230" spans="1:18" ht="13" x14ac:dyDescent="0.15">
      <c r="A230" s="3">
        <f ca="1">IFERROR(__xludf.DUMMYFUNCTION("""COMPUTED_VALUE"""),43183.5996881134)</f>
        <v>43183.599688113398</v>
      </c>
      <c r="B230" t="str">
        <f ca="1">IFERROR(__xludf.DUMMYFUNCTION("""COMPUTED_VALUE"""),"solarconnect2018@gmail.com")</f>
        <v>solarconnect2018@gmail.com</v>
      </c>
      <c r="C230">
        <f ca="1">IFERROR(__xludf.DUMMYFUNCTION("""COMPUTED_VALUE"""),371)</f>
        <v>371</v>
      </c>
      <c r="D230" t="str">
        <f ca="1">IFERROR(__xludf.DUMMYFUNCTION("""COMPUTED_VALUE"""),"AJOSH GEORGE")</f>
        <v>AJOSH GEORGE</v>
      </c>
      <c r="E230">
        <f ca="1">IFERROR(__xludf.DUMMYFUNCTION("""COMPUTED_VALUE"""),994648990)</f>
        <v>994648990</v>
      </c>
      <c r="F230" t="str">
        <f ca="1">IFERROR(__xludf.DUMMYFUNCTION("""COMPUTED_VALUE"""),"Ernakulam")</f>
        <v>Ernakulam</v>
      </c>
      <c r="G230" t="str">
        <f ca="1">IFERROR(__xludf.DUMMYFUNCTION("""COMPUTED_VALUE"""),"SPECTRUM TECHNO PRODUCTS")</f>
        <v>SPECTRUM TECHNO PRODUCTS</v>
      </c>
      <c r="H230">
        <f ca="1">IFERROR(__xludf.DUMMYFUNCTION("""COMPUTED_VALUE"""),66)</f>
        <v>66</v>
      </c>
      <c r="I230" s="4">
        <f ca="1">IFERROR(__xludf.DUMMYFUNCTION("""COMPUTED_VALUE"""),43189)</f>
        <v>43189</v>
      </c>
      <c r="J230">
        <f ca="1">IFERROR(__xludf.DUMMYFUNCTION("""COMPUTED_VALUE"""),5)</f>
        <v>5</v>
      </c>
      <c r="K230">
        <f ca="1">IFERROR(__xludf.DUMMYFUNCTION("""COMPUTED_VALUE"""),1157344003206)</f>
        <v>1157344003206</v>
      </c>
      <c r="L230" t="str">
        <f ca="1">IFERROR(__xludf.DUMMYFUNCTION("""COMPUTED_VALUE"""),"THIRUVANIYOOR")</f>
        <v>THIRUVANIYOOR</v>
      </c>
      <c r="M230" t="str">
        <f ca="1">IFERROR(__xludf.DUMMYFUNCTION("""COMPUTED_VALUE"""),"I Accept")</f>
        <v>I Accept</v>
      </c>
      <c r="N230" s="4">
        <f ca="1">IFERROR(__xludf.DUMMYFUNCTION("""COMPUTED_VALUE"""),43179)</f>
        <v>43179</v>
      </c>
      <c r="O230" s="4">
        <f ca="1">IFERROR(__xludf.DUMMYFUNCTION("""COMPUTED_VALUE"""),43179)</f>
        <v>43179</v>
      </c>
      <c r="P230">
        <f ca="1">IFERROR(__xludf.DUMMYFUNCTION("""COMPUTED_VALUE"""),5)</f>
        <v>5</v>
      </c>
      <c r="Q230" t="str">
        <f ca="1">IFERROR(__xludf.DUMMYFUNCTION("""COMPUTED_VALUE"""),"solarconnect2018@gmail.com")</f>
        <v>solarconnect2018@gmail.com</v>
      </c>
      <c r="R230" s="2" t="s">
        <v>2644</v>
      </c>
    </row>
    <row r="231" spans="1:18" ht="13" x14ac:dyDescent="0.15">
      <c r="A231" s="3">
        <f ca="1">IFERROR(__xludf.DUMMYFUNCTION("""COMPUTED_VALUE"""),43183.6074575925)</f>
        <v>43183.607457592501</v>
      </c>
      <c r="B231" t="str">
        <f ca="1">IFERROR(__xludf.DUMMYFUNCTION("""COMPUTED_VALUE"""),"solarconnect2018@gmail.com")</f>
        <v>solarconnect2018@gmail.com</v>
      </c>
      <c r="C231">
        <f ca="1">IFERROR(__xludf.DUMMYFUNCTION("""COMPUTED_VALUE"""),521)</f>
        <v>521</v>
      </c>
      <c r="D231" t="str">
        <f ca="1">IFERROR(__xludf.DUMMYFUNCTION("""COMPUTED_VALUE"""),"BALACHANDRAN M S")</f>
        <v>BALACHANDRAN M S</v>
      </c>
      <c r="E231">
        <f ca="1">IFERROR(__xludf.DUMMYFUNCTION("""COMPUTED_VALUE"""),9446939322)</f>
        <v>9446939322</v>
      </c>
      <c r="F231" t="str">
        <f ca="1">IFERROR(__xludf.DUMMYFUNCTION("""COMPUTED_VALUE"""),"Thrissur")</f>
        <v>Thrissur</v>
      </c>
      <c r="G231" t="str">
        <f ca="1">IFERROR(__xludf.DUMMYFUNCTION("""COMPUTED_VALUE"""),"SPECTRUM TECHNO PRODUCTS")</f>
        <v>SPECTRUM TECHNO PRODUCTS</v>
      </c>
      <c r="H231">
        <f ca="1">IFERROR(__xludf.DUMMYFUNCTION("""COMPUTED_VALUE"""),66)</f>
        <v>66</v>
      </c>
      <c r="I231" s="4">
        <f ca="1">IFERROR(__xludf.DUMMYFUNCTION("""COMPUTED_VALUE"""),43188)</f>
        <v>43188</v>
      </c>
      <c r="J231">
        <f ca="1">IFERROR(__xludf.DUMMYFUNCTION("""COMPUTED_VALUE"""),5)</f>
        <v>5</v>
      </c>
      <c r="K231">
        <f ca="1">IFERROR(__xludf.DUMMYFUNCTION("""COMPUTED_VALUE"""),1156782002137)</f>
        <v>1156782002137</v>
      </c>
      <c r="L231" t="str">
        <f ca="1">IFERROR(__xludf.DUMMYFUNCTION("""COMPUTED_VALUE"""),"AYYANTHOLE")</f>
        <v>AYYANTHOLE</v>
      </c>
      <c r="M231" t="str">
        <f ca="1">IFERROR(__xludf.DUMMYFUNCTION("""COMPUTED_VALUE"""),"I Accept")</f>
        <v>I Accept</v>
      </c>
      <c r="N231" s="4">
        <f ca="1">IFERROR(__xludf.DUMMYFUNCTION("""COMPUTED_VALUE"""),43178)</f>
        <v>43178</v>
      </c>
      <c r="O231" s="4">
        <f ca="1">IFERROR(__xludf.DUMMYFUNCTION("""COMPUTED_VALUE"""),475441)</f>
        <v>475441</v>
      </c>
      <c r="P231">
        <f ca="1">IFERROR(__xludf.DUMMYFUNCTION("""COMPUTED_VALUE"""),5)</f>
        <v>5</v>
      </c>
      <c r="Q231" t="str">
        <f ca="1">IFERROR(__xludf.DUMMYFUNCTION("""COMPUTED_VALUE"""),"solarconnect2018@gmail.com")</f>
        <v>solarconnect2018@gmail.com</v>
      </c>
      <c r="R231" s="2" t="s">
        <v>2645</v>
      </c>
    </row>
    <row r="232" spans="1:18" ht="13" x14ac:dyDescent="0.15">
      <c r="A232" s="3">
        <f ca="1">IFERROR(__xludf.DUMMYFUNCTION("""COMPUTED_VALUE"""),43183.6854139004)</f>
        <v>43183.685413900399</v>
      </c>
      <c r="B232" t="str">
        <f ca="1">IFERROR(__xludf.DUMMYFUNCTION("""COMPUTED_VALUE"""),"ann90johnny@gmail.com")</f>
        <v>ann90johnny@gmail.com</v>
      </c>
      <c r="C232">
        <f ca="1">IFERROR(__xludf.DUMMYFUNCTION("""COMPUTED_VALUE"""),655)</f>
        <v>655</v>
      </c>
      <c r="D232" t="str">
        <f ca="1">IFERROR(__xludf.DUMMYFUNCTION("""COMPUTED_VALUE"""),"Annie Johnny")</f>
        <v>Annie Johnny</v>
      </c>
      <c r="E232">
        <f ca="1">IFERROR(__xludf.DUMMYFUNCTION("""COMPUTED_VALUE"""),9847897930)</f>
        <v>9847897930</v>
      </c>
      <c r="F232" t="str">
        <f ca="1">IFERROR(__xludf.DUMMYFUNCTION("""COMPUTED_VALUE"""),"Ernakulam")</f>
        <v>Ernakulam</v>
      </c>
      <c r="G232" t="str">
        <f ca="1">IFERROR(__xludf.DUMMYFUNCTION("""COMPUTED_VALUE"""),"ALTERNATE ENERGY CORPORATION")</f>
        <v>ALTERNATE ENERGY CORPORATION</v>
      </c>
      <c r="H232">
        <f ca="1">IFERROR(__xludf.DUMMYFUNCTION("""COMPUTED_VALUE"""),22)</f>
        <v>22</v>
      </c>
      <c r="I232" s="4">
        <f ca="1">IFERROR(__xludf.DUMMYFUNCTION("""COMPUTED_VALUE"""),43183)</f>
        <v>43183</v>
      </c>
      <c r="J232">
        <f ca="1">IFERROR(__xludf.DUMMYFUNCTION("""COMPUTED_VALUE"""),10)</f>
        <v>10</v>
      </c>
      <c r="K232">
        <f ca="1">IFERROR(__xludf.DUMMYFUNCTION("""COMPUTED_VALUE"""),1155795016061)</f>
        <v>1155795016061</v>
      </c>
      <c r="L232" t="str">
        <f ca="1">IFERROR(__xludf.DUMMYFUNCTION("""COMPUTED_VALUE"""),"Angamaly")</f>
        <v>Angamaly</v>
      </c>
      <c r="M232" t="str">
        <f ca="1">IFERROR(__xludf.DUMMYFUNCTION("""COMPUTED_VALUE"""),"I Accept")</f>
        <v>I Accept</v>
      </c>
      <c r="N232" s="4">
        <f ca="1">IFERROR(__xludf.DUMMYFUNCTION("""COMPUTED_VALUE"""),43179)</f>
        <v>43179</v>
      </c>
      <c r="O232" s="4">
        <f ca="1">IFERROR(__xludf.DUMMYFUNCTION("""COMPUTED_VALUE"""),43179)</f>
        <v>43179</v>
      </c>
      <c r="P232">
        <f ca="1">IFERROR(__xludf.DUMMYFUNCTION("""COMPUTED_VALUE"""),10)</f>
        <v>10</v>
      </c>
      <c r="Q232" t="str">
        <f ca="1">IFERROR(__xludf.DUMMYFUNCTION("""COMPUTED_VALUE"""),"ann90johnny@gmail.com")</f>
        <v>ann90johnny@gmail.com</v>
      </c>
      <c r="R232" s="2" t="s">
        <v>2646</v>
      </c>
    </row>
    <row r="233" spans="1:18" ht="13" x14ac:dyDescent="0.15">
      <c r="A233" s="3">
        <f ca="1">IFERROR(__xludf.DUMMYFUNCTION("""COMPUTED_VALUE"""),43183.7138027546)</f>
        <v>43183.713802754603</v>
      </c>
      <c r="B233" t="str">
        <f ca="1">IFERROR(__xludf.DUMMYFUNCTION("""COMPUTED_VALUE"""),"sojanjoseph1965@gmail.com")</f>
        <v>sojanjoseph1965@gmail.com</v>
      </c>
      <c r="C233">
        <f ca="1">IFERROR(__xludf.DUMMYFUNCTION("""COMPUTED_VALUE"""),653)</f>
        <v>653</v>
      </c>
      <c r="D233" t="str">
        <f ca="1">IFERROR(__xludf.DUMMYFUNCTION("""COMPUTED_VALUE"""),"Joseph")</f>
        <v>Joseph</v>
      </c>
      <c r="E233">
        <f ca="1">IFERROR(__xludf.DUMMYFUNCTION("""COMPUTED_VALUE"""),9447665904)</f>
        <v>9447665904</v>
      </c>
      <c r="F233" t="str">
        <f ca="1">IFERROR(__xludf.DUMMYFUNCTION("""COMPUTED_VALUE"""),"Ernakulam")</f>
        <v>Ernakulam</v>
      </c>
      <c r="G233" t="str">
        <f ca="1">IFERROR(__xludf.DUMMYFUNCTION("""COMPUTED_VALUE"""),"ALTERNATE ENERGY CORPORATION")</f>
        <v>ALTERNATE ENERGY CORPORATION</v>
      </c>
      <c r="H233">
        <f ca="1">IFERROR(__xludf.DUMMYFUNCTION("""COMPUTED_VALUE"""),22)</f>
        <v>22</v>
      </c>
      <c r="I233" s="4">
        <f ca="1">IFERROR(__xludf.DUMMYFUNCTION("""COMPUTED_VALUE"""),43183)</f>
        <v>43183</v>
      </c>
      <c r="J233">
        <f ca="1">IFERROR(__xludf.DUMMYFUNCTION("""COMPUTED_VALUE"""),2)</f>
        <v>2</v>
      </c>
      <c r="K233">
        <f ca="1">IFERROR(__xludf.DUMMYFUNCTION("""COMPUTED_VALUE"""),1155792006399)</f>
        <v>1155792006399</v>
      </c>
      <c r="L233" t="str">
        <f ca="1">IFERROR(__xludf.DUMMYFUNCTION("""COMPUTED_VALUE"""),"ANGAMALY")</f>
        <v>ANGAMALY</v>
      </c>
      <c r="M233" t="str">
        <f ca="1">IFERROR(__xludf.DUMMYFUNCTION("""COMPUTED_VALUE"""),"I Accept")</f>
        <v>I Accept</v>
      </c>
      <c r="N233" s="4">
        <f ca="1">IFERROR(__xludf.DUMMYFUNCTION("""COMPUTED_VALUE"""),43179)</f>
        <v>43179</v>
      </c>
      <c r="O233" s="4">
        <f ca="1">IFERROR(__xludf.DUMMYFUNCTION("""COMPUTED_VALUE"""),43179)</f>
        <v>43179</v>
      </c>
      <c r="P233">
        <f ca="1">IFERROR(__xludf.DUMMYFUNCTION("""COMPUTED_VALUE"""),2)</f>
        <v>2</v>
      </c>
      <c r="Q233" t="str">
        <f ca="1">IFERROR(__xludf.DUMMYFUNCTION("""COMPUTED_VALUE"""),"sojanjoseph1965@gmail.com")</f>
        <v>sojanjoseph1965@gmail.com</v>
      </c>
      <c r="R233" s="2" t="s">
        <v>2647</v>
      </c>
    </row>
    <row r="234" spans="1:18" ht="13" x14ac:dyDescent="0.15">
      <c r="A234" s="3">
        <f ca="1">IFERROR(__xludf.DUMMYFUNCTION("""COMPUTED_VALUE"""),43183.8927374652)</f>
        <v>43183.892737465198</v>
      </c>
      <c r="B234" t="str">
        <f ca="1">IFERROR(__xludf.DUMMYFUNCTION("""COMPUTED_VALUE"""),"binoysolgen@gmail.com")</f>
        <v>binoysolgen@gmail.com</v>
      </c>
      <c r="C234">
        <f ca="1">IFERROR(__xludf.DUMMYFUNCTION("""COMPUTED_VALUE"""),638)</f>
        <v>638</v>
      </c>
      <c r="D234" t="str">
        <f ca="1">IFERROR(__xludf.DUMMYFUNCTION("""COMPUTED_VALUE"""),"BALACHANDRAN.C")</f>
        <v>BALACHANDRAN.C</v>
      </c>
      <c r="E234">
        <f ca="1">IFERROR(__xludf.DUMMYFUNCTION("""COMPUTED_VALUE"""),9846542746)</f>
        <v>9846542746</v>
      </c>
      <c r="F234" t="str">
        <f ca="1">IFERROR(__xludf.DUMMYFUNCTION("""COMPUTED_VALUE"""),"Kannur")</f>
        <v>Kannur</v>
      </c>
      <c r="G234" t="str">
        <f ca="1">IFERROR(__xludf.DUMMYFUNCTION("""COMPUTED_VALUE"""),"SOLGEN ENERGY PVT LTD")</f>
        <v>SOLGEN ENERGY PVT LTD</v>
      </c>
      <c r="H234">
        <f ca="1">IFERROR(__xludf.DUMMYFUNCTION("""COMPUTED_VALUE"""),42)</f>
        <v>42</v>
      </c>
      <c r="I234" s="4">
        <f ca="1">IFERROR(__xludf.DUMMYFUNCTION("""COMPUTED_VALUE"""),43183)</f>
        <v>43183</v>
      </c>
      <c r="J234">
        <f ca="1">IFERROR(__xludf.DUMMYFUNCTION("""COMPUTED_VALUE"""),3)</f>
        <v>3</v>
      </c>
      <c r="K234">
        <f ca="1">IFERROR(__xludf.DUMMYFUNCTION("""COMPUTED_VALUE"""),1166659009665)</f>
        <v>1166659009665</v>
      </c>
      <c r="L234" t="str">
        <f ca="1">IFERROR(__xludf.DUMMYFUNCTION("""COMPUTED_VALUE"""),"VALAPATTANAM")</f>
        <v>VALAPATTANAM</v>
      </c>
      <c r="M234" t="str">
        <f ca="1">IFERROR(__xludf.DUMMYFUNCTION("""COMPUTED_VALUE"""),"I Accept")</f>
        <v>I Accept</v>
      </c>
      <c r="N234" s="4">
        <f ca="1">IFERROR(__xludf.DUMMYFUNCTION("""COMPUTED_VALUE"""),43183)</f>
        <v>43183</v>
      </c>
      <c r="O234" s="4">
        <f ca="1">IFERROR(__xludf.DUMMYFUNCTION("""COMPUTED_VALUE"""),43183)</f>
        <v>43183</v>
      </c>
      <c r="P234">
        <f ca="1">IFERROR(__xludf.DUMMYFUNCTION("""COMPUTED_VALUE"""),3)</f>
        <v>3</v>
      </c>
      <c r="Q234" t="str">
        <f ca="1">IFERROR(__xludf.DUMMYFUNCTION("""COMPUTED_VALUE"""),"binoysolgen@gmail.com")</f>
        <v>binoysolgen@gmail.com</v>
      </c>
      <c r="R234" s="2" t="s">
        <v>2648</v>
      </c>
    </row>
    <row r="235" spans="1:18" ht="13" x14ac:dyDescent="0.15">
      <c r="A235" s="3">
        <f ca="1">IFERROR(__xludf.DUMMYFUNCTION("""COMPUTED_VALUE"""),43185.4349181365)</f>
        <v>43185.434918136503</v>
      </c>
      <c r="B235" t="str">
        <f ca="1">IFERROR(__xludf.DUMMYFUNCTION("""COMPUTED_VALUE"""),"silverwoodsekm@gmail.com")</f>
        <v>silverwoodsekm@gmail.com</v>
      </c>
      <c r="C235">
        <f ca="1">IFERROR(__xludf.DUMMYFUNCTION("""COMPUTED_VALUE"""),517)</f>
        <v>517</v>
      </c>
      <c r="D235" t="str">
        <f ca="1">IFERROR(__xludf.DUMMYFUNCTION("""COMPUTED_VALUE"""),"VYAS GEORGE")</f>
        <v>VYAS GEORGE</v>
      </c>
      <c r="E235">
        <f ca="1">IFERROR(__xludf.DUMMYFUNCTION("""COMPUTED_VALUE"""),9846472333)</f>
        <v>9846472333</v>
      </c>
      <c r="F235" t="str">
        <f ca="1">IFERROR(__xludf.DUMMYFUNCTION("""COMPUTED_VALUE"""),"Ernakulam")</f>
        <v>Ernakulam</v>
      </c>
      <c r="G235" t="str">
        <f ca="1">IFERROR(__xludf.DUMMYFUNCTION("""COMPUTED_VALUE"""),"TATA POWER SOLAR SYSTEMS LTD")</f>
        <v>TATA POWER SOLAR SYSTEMS LTD</v>
      </c>
      <c r="H235">
        <f ca="1">IFERROR(__xludf.DUMMYFUNCTION("""COMPUTED_VALUE"""),20)</f>
        <v>20</v>
      </c>
      <c r="I235" s="4">
        <f ca="1">IFERROR(__xludf.DUMMYFUNCTION("""COMPUTED_VALUE"""),43160)</f>
        <v>43160</v>
      </c>
      <c r="J235">
        <f ca="1">IFERROR(__xludf.DUMMYFUNCTION("""COMPUTED_VALUE"""),5)</f>
        <v>5</v>
      </c>
      <c r="K235">
        <f ca="1">IFERROR(__xludf.DUMMYFUNCTION("""COMPUTED_VALUE"""),1155979032189)</f>
        <v>1155979032189</v>
      </c>
      <c r="L235" t="str">
        <f ca="1">IFERROR(__xludf.DUMMYFUNCTION("""COMPUTED_VALUE"""),"PIRAVOM-5597")</f>
        <v>PIRAVOM-5597</v>
      </c>
      <c r="M235" t="str">
        <f ca="1">IFERROR(__xludf.DUMMYFUNCTION("""COMPUTED_VALUE"""),"I Accept")</f>
        <v>I Accept</v>
      </c>
      <c r="N235" s="4">
        <f ca="1">IFERROR(__xludf.DUMMYFUNCTION("""COMPUTED_VALUE"""),43109)</f>
        <v>43109</v>
      </c>
      <c r="O235" s="4">
        <f ca="1">IFERROR(__xludf.DUMMYFUNCTION("""COMPUTED_VALUE"""),43109)</f>
        <v>43109</v>
      </c>
      <c r="P235">
        <f ca="1">IFERROR(__xludf.DUMMYFUNCTION("""COMPUTED_VALUE"""),5)</f>
        <v>5</v>
      </c>
      <c r="Q235" t="str">
        <f ca="1">IFERROR(__xludf.DUMMYFUNCTION("""COMPUTED_VALUE"""),"silverwoodsekm@gmail.com")</f>
        <v>silverwoodsekm@gmail.com</v>
      </c>
      <c r="R235" s="2" t="s">
        <v>2649</v>
      </c>
    </row>
    <row r="236" spans="1:18" ht="13" x14ac:dyDescent="0.15">
      <c r="A236" s="3">
        <f ca="1">IFERROR(__xludf.DUMMYFUNCTION("""COMPUTED_VALUE"""),43185.4873443634)</f>
        <v>43185.487344363399</v>
      </c>
      <c r="B236" s="22" t="str">
        <f ca="1">IFERROR(__xludf.DUMMYFUNCTION("""COMPUTED_VALUE"""),"solarconnect20182gmail.com")</f>
        <v>solarconnect20182gmail.com</v>
      </c>
      <c r="C236">
        <f ca="1">IFERROR(__xludf.DUMMYFUNCTION("""COMPUTED_VALUE"""),487)</f>
        <v>487</v>
      </c>
      <c r="D236" t="str">
        <f ca="1">IFERROR(__xludf.DUMMYFUNCTION("""COMPUTED_VALUE"""),"RASHEEDA K M")</f>
        <v>RASHEEDA K M</v>
      </c>
      <c r="E236">
        <f ca="1">IFERROR(__xludf.DUMMYFUNCTION("""COMPUTED_VALUE"""),9447130726)</f>
        <v>9447130726</v>
      </c>
      <c r="F236" t="str">
        <f ca="1">IFERROR(__xludf.DUMMYFUNCTION("""COMPUTED_VALUE"""),"Kannur")</f>
        <v>Kannur</v>
      </c>
      <c r="G236" t="str">
        <f ca="1">IFERROR(__xludf.DUMMYFUNCTION("""COMPUTED_VALUE"""),"SPECTRUM TECHNO PRODUCTS")</f>
        <v>SPECTRUM TECHNO PRODUCTS</v>
      </c>
      <c r="H236">
        <f ca="1">IFERROR(__xludf.DUMMYFUNCTION("""COMPUTED_VALUE"""),66)</f>
        <v>66</v>
      </c>
      <c r="I236" s="4">
        <f ca="1">IFERROR(__xludf.DUMMYFUNCTION("""COMPUTED_VALUE"""),43188)</f>
        <v>43188</v>
      </c>
      <c r="J236">
        <f ca="1">IFERROR(__xludf.DUMMYFUNCTION("""COMPUTED_VALUE"""),3)</f>
        <v>3</v>
      </c>
      <c r="K236">
        <f ca="1">IFERROR(__xludf.DUMMYFUNCTION("""COMPUTED_VALUE"""),1166658011910)</f>
        <v>1166658011910</v>
      </c>
      <c r="L236" t="str">
        <f ca="1">IFERROR(__xludf.DUMMYFUNCTION("""COMPUTED_VALUE"""),"VALAPPATANAM")</f>
        <v>VALAPPATANAM</v>
      </c>
      <c r="M236" t="str">
        <f ca="1">IFERROR(__xludf.DUMMYFUNCTION("""COMPUTED_VALUE"""),"I Accept")</f>
        <v>I Accept</v>
      </c>
      <c r="N236" s="4">
        <f ca="1">IFERROR(__xludf.DUMMYFUNCTION("""COMPUTED_VALUE"""),43183)</f>
        <v>43183</v>
      </c>
      <c r="O236" s="4">
        <f ca="1">IFERROR(__xludf.DUMMYFUNCTION("""COMPUTED_VALUE"""),43183)</f>
        <v>43183</v>
      </c>
      <c r="P236">
        <f ca="1">IFERROR(__xludf.DUMMYFUNCTION("""COMPUTED_VALUE"""),3)</f>
        <v>3</v>
      </c>
      <c r="Q236" t="str">
        <f ca="1">IFERROR(__xludf.DUMMYFUNCTION("""COMPUTED_VALUE"""),"solarconnect2018@gmail.com")</f>
        <v>solarconnect2018@gmail.com</v>
      </c>
      <c r="R236" s="2" t="s">
        <v>2650</v>
      </c>
    </row>
    <row r="237" spans="1:18" ht="13" x14ac:dyDescent="0.15">
      <c r="A237" s="3">
        <f ca="1">IFERROR(__xludf.DUMMYFUNCTION("""COMPUTED_VALUE"""),43185.4980853125)</f>
        <v>43185.498085312502</v>
      </c>
      <c r="B237" t="str">
        <f ca="1">IFERROR(__xludf.DUMMYFUNCTION("""COMPUTED_VALUE"""),"akhilalezz@gmail.com")</f>
        <v>akhilalezz@gmail.com</v>
      </c>
      <c r="C237">
        <f ca="1">IFERROR(__xludf.DUMMYFUNCTION("""COMPUTED_VALUE"""),657)</f>
        <v>657</v>
      </c>
      <c r="D237" t="str">
        <f ca="1">IFERROR(__xludf.DUMMYFUNCTION("""COMPUTED_VALUE"""),"K A SIMON")</f>
        <v>K A SIMON</v>
      </c>
      <c r="E237">
        <f ca="1">IFERROR(__xludf.DUMMYFUNCTION("""COMPUTED_VALUE"""),7907009190)</f>
        <v>7907009190</v>
      </c>
      <c r="F237" t="str">
        <f ca="1">IFERROR(__xludf.DUMMYFUNCTION("""COMPUTED_VALUE"""),"Ernakulam")</f>
        <v>Ernakulam</v>
      </c>
      <c r="G237" t="str">
        <f ca="1">IFERROR(__xludf.DUMMYFUNCTION("""COMPUTED_VALUE"""),"SOLGEN ENERGY PVT LTD ")</f>
        <v xml:space="preserve">SOLGEN ENERGY PVT LTD </v>
      </c>
      <c r="H237">
        <f ca="1">IFERROR(__xludf.DUMMYFUNCTION("""COMPUTED_VALUE"""),42)</f>
        <v>42</v>
      </c>
      <c r="I237" s="4">
        <f ca="1">IFERROR(__xludf.DUMMYFUNCTION("""COMPUTED_VALUE"""),43185)</f>
        <v>43185</v>
      </c>
      <c r="J237">
        <f ca="1">IFERROR(__xludf.DUMMYFUNCTION("""COMPUTED_VALUE"""),5)</f>
        <v>5</v>
      </c>
      <c r="K237">
        <f ca="1">IFERROR(__xludf.DUMMYFUNCTION("""COMPUTED_VALUE"""),1155417005263)</f>
        <v>1155417005263</v>
      </c>
      <c r="L237" t="str">
        <f ca="1">IFERROR(__xludf.DUMMYFUNCTION("""COMPUTED_VALUE"""),"Thevara")</f>
        <v>Thevara</v>
      </c>
      <c r="M237" t="str">
        <f ca="1">IFERROR(__xludf.DUMMYFUNCTION("""COMPUTED_VALUE"""),"I Accept")</f>
        <v>I Accept</v>
      </c>
      <c r="N237" s="4">
        <f ca="1">IFERROR(__xludf.DUMMYFUNCTION("""COMPUTED_VALUE"""),43185)</f>
        <v>43185</v>
      </c>
      <c r="O237" s="4">
        <f ca="1">IFERROR(__xludf.DUMMYFUNCTION("""COMPUTED_VALUE"""),43185)</f>
        <v>43185</v>
      </c>
      <c r="P237">
        <f ca="1">IFERROR(__xludf.DUMMYFUNCTION("""COMPUTED_VALUE"""),5)</f>
        <v>5</v>
      </c>
      <c r="Q237" t="str">
        <f ca="1">IFERROR(__xludf.DUMMYFUNCTION("""COMPUTED_VALUE"""),"akhilalezz@gmail.com")</f>
        <v>akhilalezz@gmail.com</v>
      </c>
      <c r="R237" s="2" t="s">
        <v>2651</v>
      </c>
    </row>
    <row r="238" spans="1:18" ht="13" x14ac:dyDescent="0.15">
      <c r="A238" s="3">
        <f ca="1">IFERROR(__xludf.DUMMYFUNCTION("""COMPUTED_VALUE"""),43185.5086137615)</f>
        <v>43185.5086137615</v>
      </c>
      <c r="B238" t="str">
        <f ca="1">IFERROR(__xludf.DUMMYFUNCTION("""COMPUTED_VALUE"""),"akhilalezz@gmail.com")</f>
        <v>akhilalezz@gmail.com</v>
      </c>
      <c r="C238">
        <f ca="1">IFERROR(__xludf.DUMMYFUNCTION("""COMPUTED_VALUE"""),640)</f>
        <v>640</v>
      </c>
      <c r="D238" t="str">
        <f ca="1">IFERROR(__xludf.DUMMYFUNCTION("""COMPUTED_VALUE"""),"Fr Reji Mathew")</f>
        <v>Fr Reji Mathew</v>
      </c>
      <c r="E238">
        <f ca="1">IFERROR(__xludf.DUMMYFUNCTION("""COMPUTED_VALUE"""),7907009190)</f>
        <v>7907009190</v>
      </c>
      <c r="F238" t="str">
        <f ca="1">IFERROR(__xludf.DUMMYFUNCTION("""COMPUTED_VALUE"""),"Alappuzha")</f>
        <v>Alappuzha</v>
      </c>
      <c r="G238" t="str">
        <f ca="1">IFERROR(__xludf.DUMMYFUNCTION("""COMPUTED_VALUE"""),"SOLGEN ENERGY PVT LTD")</f>
        <v>SOLGEN ENERGY PVT LTD</v>
      </c>
      <c r="H238">
        <f ca="1">IFERROR(__xludf.DUMMYFUNCTION("""COMPUTED_VALUE"""),42)</f>
        <v>42</v>
      </c>
      <c r="I238" s="4">
        <f ca="1">IFERROR(__xludf.DUMMYFUNCTION("""COMPUTED_VALUE"""),43185)</f>
        <v>43185</v>
      </c>
      <c r="J238">
        <f ca="1">IFERROR(__xludf.DUMMYFUNCTION("""COMPUTED_VALUE"""),10)</f>
        <v>10</v>
      </c>
      <c r="K238">
        <f ca="1">IFERROR(__xludf.DUMMYFUNCTION("""COMPUTED_VALUE"""),1155138001077)</f>
        <v>1155138001077</v>
      </c>
      <c r="L238" t="str">
        <f ca="1">IFERROR(__xludf.DUMMYFUNCTION("""COMPUTED_VALUE"""),"Thannermukom")</f>
        <v>Thannermukom</v>
      </c>
      <c r="M238" t="str">
        <f ca="1">IFERROR(__xludf.DUMMYFUNCTION("""COMPUTED_VALUE"""),"I Accept")</f>
        <v>I Accept</v>
      </c>
      <c r="N238" s="4">
        <f ca="1">IFERROR(__xludf.DUMMYFUNCTION("""COMPUTED_VALUE"""),43175)</f>
        <v>43175</v>
      </c>
      <c r="O238" s="4">
        <f ca="1">IFERROR(__xludf.DUMMYFUNCTION("""COMPUTED_VALUE"""),43175)</f>
        <v>43175</v>
      </c>
      <c r="P238">
        <f ca="1">IFERROR(__xludf.DUMMYFUNCTION("""COMPUTED_VALUE"""),10)</f>
        <v>10</v>
      </c>
      <c r="Q238" t="str">
        <f ca="1">IFERROR(__xludf.DUMMYFUNCTION("""COMPUTED_VALUE"""),"akhilalezz@gmail.com")</f>
        <v>akhilalezz@gmail.com</v>
      </c>
      <c r="R238" s="2" t="s">
        <v>2652</v>
      </c>
    </row>
    <row r="239" spans="1:18" ht="13" x14ac:dyDescent="0.15">
      <c r="A239" s="3">
        <f ca="1">IFERROR(__xludf.DUMMYFUNCTION("""COMPUTED_VALUE"""),43185.5143426388)</f>
        <v>43185.514342638802</v>
      </c>
      <c r="B239" t="str">
        <f ca="1">IFERROR(__xludf.DUMMYFUNCTION("""COMPUTED_VALUE"""),"akhilalezz@gmail.com")</f>
        <v>akhilalezz@gmail.com</v>
      </c>
      <c r="C239">
        <f ca="1">IFERROR(__xludf.DUMMYFUNCTION("""COMPUTED_VALUE"""),641)</f>
        <v>641</v>
      </c>
      <c r="D239" t="str">
        <f ca="1">IFERROR(__xludf.DUMMYFUNCTION("""COMPUTED_VALUE"""),"Raghuvaran T")</f>
        <v>Raghuvaran T</v>
      </c>
      <c r="E239">
        <f ca="1">IFERROR(__xludf.DUMMYFUNCTION("""COMPUTED_VALUE"""),7907009190)</f>
        <v>7907009190</v>
      </c>
      <c r="F239" t="str">
        <f ca="1">IFERROR(__xludf.DUMMYFUNCTION("""COMPUTED_VALUE"""),"Alappuzha")</f>
        <v>Alappuzha</v>
      </c>
      <c r="G239" t="str">
        <f ca="1">IFERROR(__xludf.DUMMYFUNCTION("""COMPUTED_VALUE"""),"SOLGEN ENRGY PVT LTD")</f>
        <v>SOLGEN ENRGY PVT LTD</v>
      </c>
      <c r="H239">
        <f ca="1">IFERROR(__xludf.DUMMYFUNCTION("""COMPUTED_VALUE"""),42)</f>
        <v>42</v>
      </c>
      <c r="I239" s="4">
        <f ca="1">IFERROR(__xludf.DUMMYFUNCTION("""COMPUTED_VALUE"""),43153)</f>
        <v>43153</v>
      </c>
      <c r="J239">
        <f ca="1">IFERROR(__xludf.DUMMYFUNCTION("""COMPUTED_VALUE"""),3)</f>
        <v>3</v>
      </c>
      <c r="K239">
        <f ca="1">IFERROR(__xludf.DUMMYFUNCTION("""COMPUTED_VALUE"""),1155018000739)</f>
        <v>1155018000739</v>
      </c>
      <c r="L239" t="str">
        <f ca="1">IFERROR(__xludf.DUMMYFUNCTION("""COMPUTED_VALUE"""),"ALAPPUZHA NORTH")</f>
        <v>ALAPPUZHA NORTH</v>
      </c>
      <c r="M239" t="str">
        <f ca="1">IFERROR(__xludf.DUMMYFUNCTION("""COMPUTED_VALUE"""),"I Accept")</f>
        <v>I Accept</v>
      </c>
      <c r="N239" s="4">
        <f ca="1">IFERROR(__xludf.DUMMYFUNCTION("""COMPUTED_VALUE"""),43117)</f>
        <v>43117</v>
      </c>
      <c r="O239" s="4">
        <f ca="1">IFERROR(__xludf.DUMMYFUNCTION("""COMPUTED_VALUE"""),43117)</f>
        <v>43117</v>
      </c>
      <c r="P239">
        <f ca="1">IFERROR(__xludf.DUMMYFUNCTION("""COMPUTED_VALUE"""),3)</f>
        <v>3</v>
      </c>
      <c r="Q239" t="str">
        <f ca="1">IFERROR(__xludf.DUMMYFUNCTION("""COMPUTED_VALUE"""),"akhilalezz@gmail.com")</f>
        <v>akhilalezz@gmail.com</v>
      </c>
      <c r="R239" s="2" t="s">
        <v>2653</v>
      </c>
    </row>
    <row r="240" spans="1:18" ht="13" x14ac:dyDescent="0.15">
      <c r="A240" s="3">
        <f ca="1">IFERROR(__xludf.DUMMYFUNCTION("""COMPUTED_VALUE"""),43185.5169258564)</f>
        <v>43185.516925856398</v>
      </c>
      <c r="B240" t="str">
        <f ca="1">IFERROR(__xludf.DUMMYFUNCTION("""COMPUTED_VALUE"""),"akhilalezz@gmail.com")</f>
        <v>akhilalezz@gmail.com</v>
      </c>
      <c r="C240">
        <f ca="1">IFERROR(__xludf.DUMMYFUNCTION("""COMPUTED_VALUE"""),422)</f>
        <v>422</v>
      </c>
      <c r="D240" t="str">
        <f ca="1">IFERROR(__xludf.DUMMYFUNCTION("""COMPUTED_VALUE"""),"Pareeth Jaleel")</f>
        <v>Pareeth Jaleel</v>
      </c>
      <c r="E240">
        <f ca="1">IFERROR(__xludf.DUMMYFUNCTION("""COMPUTED_VALUE"""),7907009190)</f>
        <v>7907009190</v>
      </c>
      <c r="F240" t="str">
        <f ca="1">IFERROR(__xludf.DUMMYFUNCTION("""COMPUTED_VALUE"""),"Alappuzha")</f>
        <v>Alappuzha</v>
      </c>
      <c r="G240" t="str">
        <f ca="1">IFERROR(__xludf.DUMMYFUNCTION("""COMPUTED_VALUE"""),"SOLGEN ENERGY PVT LTD")</f>
        <v>SOLGEN ENERGY PVT LTD</v>
      </c>
      <c r="H240">
        <f ca="1">IFERROR(__xludf.DUMMYFUNCTION("""COMPUTED_VALUE"""),42)</f>
        <v>42</v>
      </c>
      <c r="I240" s="4">
        <f ca="1">IFERROR(__xludf.DUMMYFUNCTION("""COMPUTED_VALUE"""),43185)</f>
        <v>43185</v>
      </c>
      <c r="J240">
        <f ca="1">IFERROR(__xludf.DUMMYFUNCTION("""COMPUTED_VALUE"""),5)</f>
        <v>5</v>
      </c>
      <c r="K240">
        <f ca="1">IFERROR(__xludf.DUMMYFUNCTION("""COMPUTED_VALUE"""),1155025012962)</f>
        <v>1155025012962</v>
      </c>
      <c r="L240" t="str">
        <f ca="1">IFERROR(__xludf.DUMMYFUNCTION("""COMPUTED_VALUE"""),"ALAPPUZHA TOWN")</f>
        <v>ALAPPUZHA TOWN</v>
      </c>
      <c r="M240" t="str">
        <f ca="1">IFERROR(__xludf.DUMMYFUNCTION("""COMPUTED_VALUE"""),"I Accept")</f>
        <v>I Accept</v>
      </c>
      <c r="N240" s="4">
        <f ca="1">IFERROR(__xludf.DUMMYFUNCTION("""COMPUTED_VALUE"""),43139)</f>
        <v>43139</v>
      </c>
      <c r="O240" s="4">
        <f ca="1">IFERROR(__xludf.DUMMYFUNCTION("""COMPUTED_VALUE"""),43151)</f>
        <v>43151</v>
      </c>
      <c r="P240">
        <f ca="1">IFERROR(__xludf.DUMMYFUNCTION("""COMPUTED_VALUE"""),5)</f>
        <v>5</v>
      </c>
      <c r="Q240" t="str">
        <f ca="1">IFERROR(__xludf.DUMMYFUNCTION("""COMPUTED_VALUE"""),"akhilalezz@gmail.com")</f>
        <v>akhilalezz@gmail.com</v>
      </c>
      <c r="R240" s="2" t="s">
        <v>2654</v>
      </c>
    </row>
    <row r="241" spans="1:18" ht="13" x14ac:dyDescent="0.15">
      <c r="A241" s="3">
        <f ca="1">IFERROR(__xludf.DUMMYFUNCTION("""COMPUTED_VALUE"""),43185.5403129398)</f>
        <v>43185.540312939796</v>
      </c>
      <c r="B241" t="str">
        <f ca="1">IFERROR(__xludf.DUMMYFUNCTION("""COMPUTED_VALUE"""),"lakshararayan@gmail.com")</f>
        <v>lakshararayan@gmail.com</v>
      </c>
      <c r="C241">
        <f ca="1">IFERROR(__xludf.DUMMYFUNCTION("""COMPUTED_VALUE"""),621)</f>
        <v>621</v>
      </c>
      <c r="D241" t="str">
        <f ca="1">IFERROR(__xludf.DUMMYFUNCTION("""COMPUTED_VALUE"""),"Nizamudeen A")</f>
        <v>Nizamudeen A</v>
      </c>
      <c r="E241">
        <f ca="1">IFERROR(__xludf.DUMMYFUNCTION("""COMPUTED_VALUE"""),7034322221)</f>
        <v>7034322221</v>
      </c>
      <c r="F241" t="str">
        <f ca="1">IFERROR(__xludf.DUMMYFUNCTION("""COMPUTED_VALUE"""),"Thiruvananthapuram")</f>
        <v>Thiruvananthapuram</v>
      </c>
      <c r="G241" t="str">
        <f ca="1">IFERROR(__xludf.DUMMYFUNCTION("""COMPUTED_VALUE"""),"Renergy Systems India Pvt Ltd")</f>
        <v>Renergy Systems India Pvt Ltd</v>
      </c>
      <c r="H241">
        <f ca="1">IFERROR(__xludf.DUMMYFUNCTION("""COMPUTED_VALUE"""),38)</f>
        <v>38</v>
      </c>
      <c r="I241" s="4">
        <f ca="1">IFERROR(__xludf.DUMMYFUNCTION("""COMPUTED_VALUE"""),43185)</f>
        <v>43185</v>
      </c>
      <c r="J241">
        <f ca="1">IFERROR(__xludf.DUMMYFUNCTION("""COMPUTED_VALUE"""),5)</f>
        <v>5</v>
      </c>
      <c r="K241">
        <f ca="1">IFERROR(__xludf.DUMMYFUNCTION("""COMPUTED_VALUE"""),1145356008460)</f>
        <v>1145356008460</v>
      </c>
      <c r="L241" t="str">
        <f ca="1">IFERROR(__xludf.DUMMYFUNCTION("""COMPUTED_VALUE"""),"Kilimanoor")</f>
        <v>Kilimanoor</v>
      </c>
      <c r="M241" t="str">
        <f ca="1">IFERROR(__xludf.DUMMYFUNCTION("""COMPUTED_VALUE"""),"I Accept")</f>
        <v>I Accept</v>
      </c>
      <c r="N241" s="4">
        <f ca="1">IFERROR(__xludf.DUMMYFUNCTION("""COMPUTED_VALUE"""),43183)</f>
        <v>43183</v>
      </c>
      <c r="O241" s="4">
        <f ca="1">IFERROR(__xludf.DUMMYFUNCTION("""COMPUTED_VALUE"""),43183)</f>
        <v>43183</v>
      </c>
      <c r="P241">
        <f ca="1">IFERROR(__xludf.DUMMYFUNCTION("""COMPUTED_VALUE"""),5)</f>
        <v>5</v>
      </c>
      <c r="Q241" t="str">
        <f ca="1">IFERROR(__xludf.DUMMYFUNCTION("""COMPUTED_VALUE"""),"lakshararayan@gmail.com")</f>
        <v>lakshararayan@gmail.com</v>
      </c>
      <c r="R241" s="2" t="s">
        <v>2655</v>
      </c>
    </row>
    <row r="242" spans="1:18" ht="13" x14ac:dyDescent="0.15">
      <c r="A242" s="3">
        <f ca="1">IFERROR(__xludf.DUMMYFUNCTION("""COMPUTED_VALUE"""),43185.5513035416)</f>
        <v>43185.551303541601</v>
      </c>
      <c r="B242" t="str">
        <f ca="1">IFERROR(__xludf.DUMMYFUNCTION("""COMPUTED_VALUE"""),"sureshbabupr@ymail.com")</f>
        <v>sureshbabupr@ymail.com</v>
      </c>
      <c r="C242">
        <f ca="1">IFERROR(__xludf.DUMMYFUNCTION("""COMPUTED_VALUE"""),1862)</f>
        <v>1862</v>
      </c>
      <c r="D242" t="str">
        <f ca="1">IFERROR(__xludf.DUMMYFUNCTION("""COMPUTED_VALUE"""),"BHAVANAKUMARY D")</f>
        <v>BHAVANAKUMARY D</v>
      </c>
      <c r="E242">
        <f ca="1">IFERROR(__xludf.DUMMYFUNCTION("""COMPUTED_VALUE"""),9495316481)</f>
        <v>9495316481</v>
      </c>
      <c r="F242" t="str">
        <f ca="1">IFERROR(__xludf.DUMMYFUNCTION("""COMPUTED_VALUE"""),"Alappuzha")</f>
        <v>Alappuzha</v>
      </c>
      <c r="G242" t="str">
        <f ca="1">IFERROR(__xludf.DUMMYFUNCTION("""COMPUTED_VALUE"""),"Bosch.Ltd")</f>
        <v>Bosch.Ltd</v>
      </c>
      <c r="H242">
        <f ca="1">IFERROR(__xludf.DUMMYFUNCTION("""COMPUTED_VALUE"""),18)</f>
        <v>18</v>
      </c>
      <c r="I242" s="4">
        <f ca="1">IFERROR(__xludf.DUMMYFUNCTION("""COMPUTED_VALUE"""),43185)</f>
        <v>43185</v>
      </c>
      <c r="J242">
        <f ca="1">IFERROR(__xludf.DUMMYFUNCTION("""COMPUTED_VALUE"""),3)</f>
        <v>3</v>
      </c>
      <c r="K242">
        <f ca="1">IFERROR(__xludf.DUMMYFUNCTION("""COMPUTED_VALUE"""),12365115741)</f>
        <v>12365115741</v>
      </c>
      <c r="L242" t="str">
        <f ca="1">IFERROR(__xludf.DUMMYFUNCTION("""COMPUTED_VALUE"""),"Muthukulam(5741)")</f>
        <v>Muthukulam(5741)</v>
      </c>
      <c r="M242" t="str">
        <f ca="1">IFERROR(__xludf.DUMMYFUNCTION("""COMPUTED_VALUE"""),"I Accept")</f>
        <v>I Accept</v>
      </c>
      <c r="N242" s="4">
        <f ca="1">IFERROR(__xludf.DUMMYFUNCTION("""COMPUTED_VALUE"""),43183)</f>
        <v>43183</v>
      </c>
      <c r="O242" s="4">
        <f ca="1">IFERROR(__xludf.DUMMYFUNCTION("""COMPUTED_VALUE"""),43183)</f>
        <v>43183</v>
      </c>
      <c r="P242">
        <f ca="1">IFERROR(__xludf.DUMMYFUNCTION("""COMPUTED_VALUE"""),3)</f>
        <v>3</v>
      </c>
      <c r="Q242" t="str">
        <f ca="1">IFERROR(__xludf.DUMMYFUNCTION("""COMPUTED_VALUE"""),"sureshbabupr@ymail.com")</f>
        <v>sureshbabupr@ymail.com</v>
      </c>
      <c r="R242" s="2" t="s">
        <v>2656</v>
      </c>
    </row>
    <row r="243" spans="1:18" ht="13" x14ac:dyDescent="0.15">
      <c r="A243" s="3">
        <f ca="1">IFERROR(__xludf.DUMMYFUNCTION("""COMPUTED_VALUE"""),43185.585615949)</f>
        <v>43185.585615948999</v>
      </c>
      <c r="B243" t="str">
        <f ca="1">IFERROR(__xludf.DUMMYFUNCTION("""COMPUTED_VALUE"""),"lakshararayan@gmail.com")</f>
        <v>lakshararayan@gmail.com</v>
      </c>
      <c r="C243">
        <f ca="1">IFERROR(__xludf.DUMMYFUNCTION("""COMPUTED_VALUE"""),730)</f>
        <v>730</v>
      </c>
      <c r="D243" t="str">
        <f ca="1">IFERROR(__xludf.DUMMYFUNCTION("""COMPUTED_VALUE"""),"Noushad")</f>
        <v>Noushad</v>
      </c>
      <c r="E243">
        <f ca="1">IFERROR(__xludf.DUMMYFUNCTION("""COMPUTED_VALUE"""),7034322221)</f>
        <v>7034322221</v>
      </c>
      <c r="F243" t="str">
        <f ca="1">IFERROR(__xludf.DUMMYFUNCTION("""COMPUTED_VALUE"""),"Thiruvananthapuram")</f>
        <v>Thiruvananthapuram</v>
      </c>
      <c r="G243" t="str">
        <f ca="1">IFERROR(__xludf.DUMMYFUNCTION("""COMPUTED_VALUE"""),"Renergy Systems India Pvt Ltd")</f>
        <v>Renergy Systems India Pvt Ltd</v>
      </c>
      <c r="H243">
        <f ca="1">IFERROR(__xludf.DUMMYFUNCTION("""COMPUTED_VALUE"""),38)</f>
        <v>38</v>
      </c>
      <c r="I243" s="4">
        <f ca="1">IFERROR(__xludf.DUMMYFUNCTION("""COMPUTED_VALUE"""),43185)</f>
        <v>43185</v>
      </c>
      <c r="J243">
        <f ca="1">IFERROR(__xludf.DUMMYFUNCTION("""COMPUTED_VALUE"""),5)</f>
        <v>5</v>
      </c>
      <c r="K243">
        <f ca="1">IFERROR(__xludf.DUMMYFUNCTION("""COMPUTED_VALUE"""),1145253010093)</f>
        <v>1145253010093</v>
      </c>
      <c r="L243" t="str">
        <f ca="1">IFERROR(__xludf.DUMMYFUNCTION("""COMPUTED_VALUE"""),"Varkala")</f>
        <v>Varkala</v>
      </c>
      <c r="M243" t="str">
        <f ca="1">IFERROR(__xludf.DUMMYFUNCTION("""COMPUTED_VALUE"""),"I Accept")</f>
        <v>I Accept</v>
      </c>
      <c r="N243" s="4">
        <f ca="1">IFERROR(__xludf.DUMMYFUNCTION("""COMPUTED_VALUE"""),43180)</f>
        <v>43180</v>
      </c>
      <c r="O243" s="4">
        <f ca="1">IFERROR(__xludf.DUMMYFUNCTION("""COMPUTED_VALUE"""),43180)</f>
        <v>43180</v>
      </c>
      <c r="P243">
        <f ca="1">IFERROR(__xludf.DUMMYFUNCTION("""COMPUTED_VALUE"""),5)</f>
        <v>5</v>
      </c>
      <c r="Q243" t="str">
        <f ca="1">IFERROR(__xludf.DUMMYFUNCTION("""COMPUTED_VALUE"""),"lakshararayan@gmail.com")</f>
        <v>lakshararayan@gmail.com</v>
      </c>
      <c r="R243" s="2" t="s">
        <v>2657</v>
      </c>
    </row>
    <row r="244" spans="1:18" ht="13" x14ac:dyDescent="0.15">
      <c r="A244" s="3">
        <f ca="1">IFERROR(__xludf.DUMMYFUNCTION("""COMPUTED_VALUE"""),43185.6316235763)</f>
        <v>43185.631623576301</v>
      </c>
      <c r="B244" t="str">
        <f ca="1">IFERROR(__xludf.DUMMYFUNCTION("""COMPUTED_VALUE"""),"projects.basta@gmail.com")</f>
        <v>projects.basta@gmail.com</v>
      </c>
      <c r="C244">
        <f ca="1">IFERROR(__xludf.DUMMYFUNCTION("""COMPUTED_VALUE"""),753)</f>
        <v>753</v>
      </c>
      <c r="D244" t="str">
        <f ca="1">IFERROR(__xludf.DUMMYFUNCTION("""COMPUTED_VALUE"""),"Vinod MB")</f>
        <v>Vinod MB</v>
      </c>
      <c r="E244">
        <f ca="1">IFERROR(__xludf.DUMMYFUNCTION("""COMPUTED_VALUE"""),9061327111)</f>
        <v>9061327111</v>
      </c>
      <c r="F244" t="str">
        <f ca="1">IFERROR(__xludf.DUMMYFUNCTION("""COMPUTED_VALUE"""),"Kannur")</f>
        <v>Kannur</v>
      </c>
      <c r="G244" t="str">
        <f ca="1">IFERROR(__xludf.DUMMYFUNCTION("""COMPUTED_VALUE"""),"Bosch Ltd")</f>
        <v>Bosch Ltd</v>
      </c>
      <c r="H244">
        <f ca="1">IFERROR(__xludf.DUMMYFUNCTION("""COMPUTED_VALUE"""),18)</f>
        <v>18</v>
      </c>
      <c r="I244" s="4">
        <f ca="1">IFERROR(__xludf.DUMMYFUNCTION("""COMPUTED_VALUE"""),43185)</f>
        <v>43185</v>
      </c>
      <c r="J244">
        <f ca="1">IFERROR(__xludf.DUMMYFUNCTION("""COMPUTED_VALUE"""),3)</f>
        <v>3</v>
      </c>
      <c r="K244">
        <f ca="1">IFERROR(__xludf.DUMMYFUNCTION("""COMPUTED_VALUE"""),1166983031937)</f>
        <v>1166983031937</v>
      </c>
      <c r="L244" t="str">
        <f ca="1">IFERROR(__xludf.DUMMYFUNCTION("""COMPUTED_VALUE"""),"Pilicode")</f>
        <v>Pilicode</v>
      </c>
      <c r="M244" t="str">
        <f ca="1">IFERROR(__xludf.DUMMYFUNCTION("""COMPUTED_VALUE"""),"I Accept")</f>
        <v>I Accept</v>
      </c>
      <c r="N244" s="4">
        <f ca="1">IFERROR(__xludf.DUMMYFUNCTION("""COMPUTED_VALUE"""),43183)</f>
        <v>43183</v>
      </c>
      <c r="O244" s="4">
        <f ca="1">IFERROR(__xludf.DUMMYFUNCTION("""COMPUTED_VALUE"""),43183)</f>
        <v>43183</v>
      </c>
      <c r="P244">
        <f ca="1">IFERROR(__xludf.DUMMYFUNCTION("""COMPUTED_VALUE"""),3)</f>
        <v>3</v>
      </c>
      <c r="Q244" t="str">
        <f ca="1">IFERROR(__xludf.DUMMYFUNCTION("""COMPUTED_VALUE"""),"projects.basta@gmail.com")</f>
        <v>projects.basta@gmail.com</v>
      </c>
      <c r="R244" s="2" t="s">
        <v>2658</v>
      </c>
    </row>
    <row r="245" spans="1:18" ht="13" x14ac:dyDescent="0.15">
      <c r="A245" s="3">
        <f ca="1">IFERROR(__xludf.DUMMYFUNCTION("""COMPUTED_VALUE"""),43185.6356432523)</f>
        <v>43185.635643252303</v>
      </c>
      <c r="B245" t="str">
        <f ca="1">IFERROR(__xludf.DUMMYFUNCTION("""COMPUTED_VALUE"""),"thankappankr0@gmail.com")</f>
        <v>thankappankr0@gmail.com</v>
      </c>
      <c r="C245">
        <f ca="1">IFERROR(__xludf.DUMMYFUNCTION("""COMPUTED_VALUE"""),347)</f>
        <v>347</v>
      </c>
      <c r="D245" t="str">
        <f ca="1">IFERROR(__xludf.DUMMYFUNCTION("""COMPUTED_VALUE"""),"K R Thankappan")</f>
        <v>K R Thankappan</v>
      </c>
      <c r="E245">
        <f ca="1">IFERROR(__xludf.DUMMYFUNCTION("""COMPUTED_VALUE"""),9447072171)</f>
        <v>9447072171</v>
      </c>
      <c r="F245" t="str">
        <f ca="1">IFERROR(__xludf.DUMMYFUNCTION("""COMPUTED_VALUE"""),"Thiruvananthapuram")</f>
        <v>Thiruvananthapuram</v>
      </c>
      <c r="G245" t="str">
        <f ca="1">IFERROR(__xludf.DUMMYFUNCTION("""COMPUTED_VALUE"""),"Reecco Energy India Pvt Ltd")</f>
        <v>Reecco Energy India Pvt Ltd</v>
      </c>
      <c r="H245">
        <f ca="1">IFERROR(__xludf.DUMMYFUNCTION("""COMPUTED_VALUE"""),47)</f>
        <v>47</v>
      </c>
      <c r="I245" s="4">
        <f ca="1">IFERROR(__xludf.DUMMYFUNCTION("""COMPUTED_VALUE"""),43185)</f>
        <v>43185</v>
      </c>
      <c r="J245">
        <f ca="1">IFERROR(__xludf.DUMMYFUNCTION("""COMPUTED_VALUE"""),5)</f>
        <v>5</v>
      </c>
      <c r="K245">
        <f ca="1">IFERROR(__xludf.DUMMYFUNCTION("""COMPUTED_VALUE"""),1145145010957)</f>
        <v>1145145010957</v>
      </c>
      <c r="L245" t="str">
        <f ca="1">IFERROR(__xludf.DUMMYFUNCTION("""COMPUTED_VALUE"""),"pettah")</f>
        <v>pettah</v>
      </c>
      <c r="M245" t="str">
        <f ca="1">IFERROR(__xludf.DUMMYFUNCTION("""COMPUTED_VALUE"""),"I Accept")</f>
        <v>I Accept</v>
      </c>
      <c r="N245" s="4">
        <f ca="1">IFERROR(__xludf.DUMMYFUNCTION("""COMPUTED_VALUE"""),43185)</f>
        <v>43185</v>
      </c>
      <c r="O245" s="4">
        <f ca="1">IFERROR(__xludf.DUMMYFUNCTION("""COMPUTED_VALUE"""),43185)</f>
        <v>43185</v>
      </c>
      <c r="P245">
        <f ca="1">IFERROR(__xludf.DUMMYFUNCTION("""COMPUTED_VALUE"""),5)</f>
        <v>5</v>
      </c>
      <c r="Q245" t="str">
        <f ca="1">IFERROR(__xludf.DUMMYFUNCTION("""COMPUTED_VALUE"""),"thankappankr0@gmail.com")</f>
        <v>thankappankr0@gmail.com</v>
      </c>
      <c r="R245" s="2" t="s">
        <v>2659</v>
      </c>
    </row>
    <row r="246" spans="1:18" ht="13" x14ac:dyDescent="0.15">
      <c r="A246" s="3">
        <f ca="1">IFERROR(__xludf.DUMMYFUNCTION("""COMPUTED_VALUE"""),43185.6365315856)</f>
        <v>43185.636531585602</v>
      </c>
      <c r="B246" t="str">
        <f ca="1">IFERROR(__xludf.DUMMYFUNCTION("""COMPUTED_VALUE"""),"projects.basta@gmail.com")</f>
        <v>projects.basta@gmail.com</v>
      </c>
      <c r="C246">
        <f ca="1">IFERROR(__xludf.DUMMYFUNCTION("""COMPUTED_VALUE"""),492)</f>
        <v>492</v>
      </c>
      <c r="D246" t="str">
        <f ca="1">IFERROR(__xludf.DUMMYFUNCTION("""COMPUTED_VALUE"""),"SURESH BABU M")</f>
        <v>SURESH BABU M</v>
      </c>
      <c r="E246">
        <f ca="1">IFERROR(__xludf.DUMMYFUNCTION("""COMPUTED_VALUE"""),9061327111)</f>
        <v>9061327111</v>
      </c>
      <c r="F246" t="str">
        <f ca="1">IFERROR(__xludf.DUMMYFUNCTION("""COMPUTED_VALUE"""),"Kannur")</f>
        <v>Kannur</v>
      </c>
      <c r="G246" t="str">
        <f ca="1">IFERROR(__xludf.DUMMYFUNCTION("""COMPUTED_VALUE"""),"Bosch Ltd")</f>
        <v>Bosch Ltd</v>
      </c>
      <c r="H246">
        <f ca="1">IFERROR(__xludf.DUMMYFUNCTION("""COMPUTED_VALUE"""),18)</f>
        <v>18</v>
      </c>
      <c r="I246" s="4">
        <f ca="1">IFERROR(__xludf.DUMMYFUNCTION("""COMPUTED_VALUE"""),43185)</f>
        <v>43185</v>
      </c>
      <c r="J246">
        <f ca="1">IFERROR(__xludf.DUMMYFUNCTION("""COMPUTED_VALUE"""),3)</f>
        <v>3</v>
      </c>
      <c r="K246">
        <f ca="1">IFERROR(__xludf.DUMMYFUNCTION("""COMPUTED_VALUE"""),1166460016718)</f>
        <v>1166460016718</v>
      </c>
      <c r="L246" t="str">
        <f ca="1">IFERROR(__xludf.DUMMYFUNCTION("""COMPUTED_VALUE"""),"Dharmasala")</f>
        <v>Dharmasala</v>
      </c>
      <c r="M246" t="str">
        <f ca="1">IFERROR(__xludf.DUMMYFUNCTION("""COMPUTED_VALUE"""),"I Accept")</f>
        <v>I Accept</v>
      </c>
      <c r="N246" s="4">
        <f ca="1">IFERROR(__xludf.DUMMYFUNCTION("""COMPUTED_VALUE"""),43182)</f>
        <v>43182</v>
      </c>
      <c r="O246" s="4">
        <f ca="1">IFERROR(__xludf.DUMMYFUNCTION("""COMPUTED_VALUE"""),43182)</f>
        <v>43182</v>
      </c>
      <c r="P246">
        <f ca="1">IFERROR(__xludf.DUMMYFUNCTION("""COMPUTED_VALUE"""),3)</f>
        <v>3</v>
      </c>
      <c r="Q246" t="str">
        <f ca="1">IFERROR(__xludf.DUMMYFUNCTION("""COMPUTED_VALUE"""),"projects.basta@gmail.com")</f>
        <v>projects.basta@gmail.com</v>
      </c>
      <c r="R246" s="2" t="s">
        <v>2660</v>
      </c>
    </row>
    <row r="247" spans="1:18" ht="13" x14ac:dyDescent="0.15">
      <c r="A247" s="3">
        <f ca="1">IFERROR(__xludf.DUMMYFUNCTION("""COMPUTED_VALUE"""),43185.6409044097)</f>
        <v>43185.640904409702</v>
      </c>
      <c r="B247" t="str">
        <f ca="1">IFERROR(__xludf.DUMMYFUNCTION("""COMPUTED_VALUE"""),"greenlightpala@gmail.com")</f>
        <v>greenlightpala@gmail.com</v>
      </c>
      <c r="C247">
        <f ca="1">IFERROR(__xludf.DUMMYFUNCTION("""COMPUTED_VALUE"""),339)</f>
        <v>339</v>
      </c>
      <c r="D247" t="str">
        <f ca="1">IFERROR(__xludf.DUMMYFUNCTION("""COMPUTED_VALUE"""),"Thomas Joseph")</f>
        <v>Thomas Joseph</v>
      </c>
      <c r="E247">
        <f ca="1">IFERROR(__xludf.DUMMYFUNCTION("""COMPUTED_VALUE"""),9947702248)</f>
        <v>9947702248</v>
      </c>
      <c r="F247" t="str">
        <f ca="1">IFERROR(__xludf.DUMMYFUNCTION("""COMPUTED_VALUE"""),"Kottayam")</f>
        <v>Kottayam</v>
      </c>
      <c r="G247" t="str">
        <f ca="1">IFERROR(__xludf.DUMMYFUNCTION("""COMPUTED_VALUE"""),"SOURA Natural Energy Solutions I Pvt Ltd")</f>
        <v>SOURA Natural Energy Solutions I Pvt Ltd</v>
      </c>
      <c r="H247">
        <f ca="1">IFERROR(__xludf.DUMMYFUNCTION("""COMPUTED_VALUE"""),11)</f>
        <v>11</v>
      </c>
      <c r="I247" s="4">
        <f ca="1">IFERROR(__xludf.DUMMYFUNCTION("""COMPUTED_VALUE"""),43172)</f>
        <v>43172</v>
      </c>
      <c r="J247">
        <f ca="1">IFERROR(__xludf.DUMMYFUNCTION("""COMPUTED_VALUE"""),3)</f>
        <v>3</v>
      </c>
      <c r="K247">
        <f ca="1">IFERROR(__xludf.DUMMYFUNCTION("""COMPUTED_VALUE"""),1156248006063)</f>
        <v>1156248006063</v>
      </c>
      <c r="L247" t="str">
        <f ca="1">IFERROR(__xludf.DUMMYFUNCTION("""COMPUTED_VALUE"""),"PALA")</f>
        <v>PALA</v>
      </c>
      <c r="M247" t="str">
        <f ca="1">IFERROR(__xludf.DUMMYFUNCTION("""COMPUTED_VALUE"""),"I Accept")</f>
        <v>I Accept</v>
      </c>
      <c r="N247" s="4">
        <f ca="1">IFERROR(__xludf.DUMMYFUNCTION("""COMPUTED_VALUE"""),43148)</f>
        <v>43148</v>
      </c>
      <c r="O247" s="4">
        <f ca="1">IFERROR(__xludf.DUMMYFUNCTION("""COMPUTED_VALUE"""),43148)</f>
        <v>43148</v>
      </c>
      <c r="P247">
        <f ca="1">IFERROR(__xludf.DUMMYFUNCTION("""COMPUTED_VALUE"""),3)</f>
        <v>3</v>
      </c>
      <c r="Q247" t="str">
        <f ca="1">IFERROR(__xludf.DUMMYFUNCTION("""COMPUTED_VALUE"""),"greenlightpala@gmail.com")</f>
        <v>greenlightpala@gmail.com</v>
      </c>
      <c r="R247" s="2" t="s">
        <v>2661</v>
      </c>
    </row>
    <row r="248" spans="1:18" ht="13" x14ac:dyDescent="0.15">
      <c r="A248" s="3">
        <f ca="1">IFERROR(__xludf.DUMMYFUNCTION("""COMPUTED_VALUE"""),43185.6428031134)</f>
        <v>43185.642803113398</v>
      </c>
      <c r="B248" t="str">
        <f ca="1">IFERROR(__xludf.DUMMYFUNCTION("""COMPUTED_VALUE"""),"akhilalezz@gmail.com")</f>
        <v>akhilalezz@gmail.com</v>
      </c>
      <c r="C248">
        <f ca="1">IFERROR(__xludf.DUMMYFUNCTION("""COMPUTED_VALUE"""),599)</f>
        <v>599</v>
      </c>
      <c r="D248" t="str">
        <f ca="1">IFERROR(__xludf.DUMMYFUNCTION("""COMPUTED_VALUE"""),"Jacob K J")</f>
        <v>Jacob K J</v>
      </c>
      <c r="E248">
        <f ca="1">IFERROR(__xludf.DUMMYFUNCTION("""COMPUTED_VALUE"""),7907009190)</f>
        <v>7907009190</v>
      </c>
      <c r="F248" t="str">
        <f ca="1">IFERROR(__xludf.DUMMYFUNCTION("""COMPUTED_VALUE"""),"Ernakulam")</f>
        <v>Ernakulam</v>
      </c>
      <c r="G248" t="str">
        <f ca="1">IFERROR(__xludf.DUMMYFUNCTION("""COMPUTED_VALUE"""),"SOLGEN ENERGY PVT LTD")</f>
        <v>SOLGEN ENERGY PVT LTD</v>
      </c>
      <c r="H248">
        <f ca="1">IFERROR(__xludf.DUMMYFUNCTION("""COMPUTED_VALUE"""),42)</f>
        <v>42</v>
      </c>
      <c r="I248" s="4">
        <f ca="1">IFERROR(__xludf.DUMMYFUNCTION("""COMPUTED_VALUE"""),43185)</f>
        <v>43185</v>
      </c>
      <c r="J248">
        <f ca="1">IFERROR(__xludf.DUMMYFUNCTION("""COMPUTED_VALUE"""),3)</f>
        <v>3</v>
      </c>
      <c r="K248">
        <f ca="1">IFERROR(__xludf.DUMMYFUNCTION("""COMPUTED_VALUE"""),1155983003825)</f>
        <v>1155983003825</v>
      </c>
      <c r="L248" t="str">
        <f ca="1">IFERROR(__xludf.DUMMYFUNCTION("""COMPUTED_VALUE"""),"kotthattukulam")</f>
        <v>kotthattukulam</v>
      </c>
      <c r="M248" t="str">
        <f ca="1">IFERROR(__xludf.DUMMYFUNCTION("""COMPUTED_VALUE"""),"I Accept")</f>
        <v>I Accept</v>
      </c>
      <c r="N248" s="4">
        <f ca="1">IFERROR(__xludf.DUMMYFUNCTION("""COMPUTED_VALUE"""),43173)</f>
        <v>43173</v>
      </c>
      <c r="O248" s="4">
        <f ca="1">IFERROR(__xludf.DUMMYFUNCTION("""COMPUTED_VALUE"""),43173)</f>
        <v>43173</v>
      </c>
      <c r="P248">
        <f ca="1">IFERROR(__xludf.DUMMYFUNCTION("""COMPUTED_VALUE"""),3)</f>
        <v>3</v>
      </c>
      <c r="Q248" t="str">
        <f ca="1">IFERROR(__xludf.DUMMYFUNCTION("""COMPUTED_VALUE"""),"akhilalezz@gmail.com")</f>
        <v>akhilalezz@gmail.com</v>
      </c>
      <c r="R248" s="2" t="s">
        <v>2662</v>
      </c>
    </row>
    <row r="249" spans="1:18" ht="13" x14ac:dyDescent="0.15">
      <c r="A249" s="3">
        <f ca="1">IFERROR(__xludf.DUMMYFUNCTION("""COMPUTED_VALUE"""),43185.6454193749)</f>
        <v>43185.645419374901</v>
      </c>
      <c r="B249" t="str">
        <f ca="1">IFERROR(__xludf.DUMMYFUNCTION("""COMPUTED_VALUE"""),"akhilalezz@gmail.com")</f>
        <v>akhilalezz@gmail.com</v>
      </c>
      <c r="C249">
        <f ca="1">IFERROR(__xludf.DUMMYFUNCTION("""COMPUTED_VALUE"""),635)</f>
        <v>635</v>
      </c>
      <c r="D249" t="str">
        <f ca="1">IFERROR(__xludf.DUMMYFUNCTION("""COMPUTED_VALUE"""),"Abraham KM")</f>
        <v>Abraham KM</v>
      </c>
      <c r="E249">
        <f ca="1">IFERROR(__xludf.DUMMYFUNCTION("""COMPUTED_VALUE"""),7907009190)</f>
        <v>7907009190</v>
      </c>
      <c r="F249" t="str">
        <f ca="1">IFERROR(__xludf.DUMMYFUNCTION("""COMPUTED_VALUE"""),"Ernakulam")</f>
        <v>Ernakulam</v>
      </c>
      <c r="G249" t="str">
        <f ca="1">IFERROR(__xludf.DUMMYFUNCTION("""COMPUTED_VALUE"""),"SOLGEN ENERGY PVT LTD")</f>
        <v>SOLGEN ENERGY PVT LTD</v>
      </c>
      <c r="H249">
        <f ca="1">IFERROR(__xludf.DUMMYFUNCTION("""COMPUTED_VALUE"""),42)</f>
        <v>42</v>
      </c>
      <c r="I249" s="4">
        <f ca="1">IFERROR(__xludf.DUMMYFUNCTION("""COMPUTED_VALUE"""),43185)</f>
        <v>43185</v>
      </c>
      <c r="J249">
        <f ca="1">IFERROR(__xludf.DUMMYFUNCTION("""COMPUTED_VALUE"""),5)</f>
        <v>5</v>
      </c>
      <c r="K249">
        <f ca="1">IFERROR(__xludf.DUMMYFUNCTION("""COMPUTED_VALUE"""),1155958010802)</f>
        <v>1155958010802</v>
      </c>
      <c r="L249" t="str">
        <f ca="1">IFERROR(__xludf.DUMMYFUNCTION("""COMPUTED_VALUE"""),"velloorkunnam")</f>
        <v>velloorkunnam</v>
      </c>
      <c r="M249" t="str">
        <f ca="1">IFERROR(__xludf.DUMMYFUNCTION("""COMPUTED_VALUE"""),"I Accept")</f>
        <v>I Accept</v>
      </c>
      <c r="N249" s="4">
        <f ca="1">IFERROR(__xludf.DUMMYFUNCTION("""COMPUTED_VALUE"""),43159)</f>
        <v>43159</v>
      </c>
      <c r="O249" s="4">
        <f ca="1">IFERROR(__xludf.DUMMYFUNCTION("""COMPUTED_VALUE"""),43159)</f>
        <v>43159</v>
      </c>
      <c r="P249">
        <f ca="1">IFERROR(__xludf.DUMMYFUNCTION("""COMPUTED_VALUE"""),5)</f>
        <v>5</v>
      </c>
      <c r="Q249" t="str">
        <f ca="1">IFERROR(__xludf.DUMMYFUNCTION("""COMPUTED_VALUE"""),"akhilalezz@gmail.com")</f>
        <v>akhilalezz@gmail.com</v>
      </c>
      <c r="R249" s="2" t="s">
        <v>2663</v>
      </c>
    </row>
    <row r="250" spans="1:18" ht="13" x14ac:dyDescent="0.15">
      <c r="A250" s="3">
        <f ca="1">IFERROR(__xludf.DUMMYFUNCTION("""COMPUTED_VALUE"""),43185.6466676967)</f>
        <v>43185.646667696703</v>
      </c>
      <c r="B250" t="str">
        <f ca="1">IFERROR(__xludf.DUMMYFUNCTION("""COMPUTED_VALUE"""),"jacobsimon0123@gmail.com")</f>
        <v>jacobsimon0123@gmail.com</v>
      </c>
      <c r="C250">
        <f ca="1">IFERROR(__xludf.DUMMYFUNCTION("""COMPUTED_VALUE"""),710)</f>
        <v>710</v>
      </c>
      <c r="D250" t="str">
        <f ca="1">IFERROR(__xludf.DUMMYFUNCTION("""COMPUTED_VALUE"""),"Simon Jacob")</f>
        <v>Simon Jacob</v>
      </c>
      <c r="E250">
        <f ca="1">IFERROR(__xludf.DUMMYFUNCTION("""COMPUTED_VALUE"""),9562233099)</f>
        <v>9562233099</v>
      </c>
      <c r="F250" t="str">
        <f ca="1">IFERROR(__xludf.DUMMYFUNCTION("""COMPUTED_VALUE"""),"Kottayam")</f>
        <v>Kottayam</v>
      </c>
      <c r="G250" t="str">
        <f ca="1">IFERROR(__xludf.DUMMYFUNCTION("""COMPUTED_VALUE"""),"Reecco Energy India Pvt. Ltd")</f>
        <v>Reecco Energy India Pvt. Ltd</v>
      </c>
      <c r="H250">
        <f ca="1">IFERROR(__xludf.DUMMYFUNCTION("""COMPUTED_VALUE"""),47)</f>
        <v>47</v>
      </c>
      <c r="I250" s="4">
        <f ca="1">IFERROR(__xludf.DUMMYFUNCTION("""COMPUTED_VALUE"""),43185)</f>
        <v>43185</v>
      </c>
      <c r="J250">
        <f ca="1">IFERROR(__xludf.DUMMYFUNCTION("""COMPUTED_VALUE"""),10)</f>
        <v>10</v>
      </c>
      <c r="K250">
        <f ca="1">IFERROR(__xludf.DUMMYFUNCTION("""COMPUTED_VALUE"""),1146480011540)</f>
        <v>1146480011540</v>
      </c>
      <c r="L250" t="str">
        <f ca="1">IFERROR(__xludf.DUMMYFUNCTION("""COMPUTED_VALUE"""),"Neendoor")</f>
        <v>Neendoor</v>
      </c>
      <c r="M250" t="str">
        <f ca="1">IFERROR(__xludf.DUMMYFUNCTION("""COMPUTED_VALUE"""),"I Accept")</f>
        <v>I Accept</v>
      </c>
      <c r="N250" s="4">
        <f ca="1">IFERROR(__xludf.DUMMYFUNCTION("""COMPUTED_VALUE"""),42898)</f>
        <v>42898</v>
      </c>
      <c r="O250" s="4">
        <f ca="1">IFERROR(__xludf.DUMMYFUNCTION("""COMPUTED_VALUE"""),42898)</f>
        <v>42898</v>
      </c>
      <c r="P250">
        <f ca="1">IFERROR(__xludf.DUMMYFUNCTION("""COMPUTED_VALUE"""),10)</f>
        <v>10</v>
      </c>
      <c r="Q250" t="str">
        <f ca="1">IFERROR(__xludf.DUMMYFUNCTION("""COMPUTED_VALUE"""),"jacobsimon0123@gmail.com")</f>
        <v>jacobsimon0123@gmail.com</v>
      </c>
      <c r="R250" s="2" t="s">
        <v>2664</v>
      </c>
    </row>
    <row r="251" spans="1:18" ht="13" x14ac:dyDescent="0.15">
      <c r="A251" s="3">
        <f ca="1">IFERROR(__xludf.DUMMYFUNCTION("""COMPUTED_VALUE"""),43185.6557341898)</f>
        <v>43185.655734189801</v>
      </c>
      <c r="B251" t="str">
        <f ca="1">IFERROR(__xludf.DUMMYFUNCTION("""COMPUTED_VALUE"""),"hykonkollam@gmail.com")</f>
        <v>hykonkollam@gmail.com</v>
      </c>
      <c r="C251">
        <f ca="1">IFERROR(__xludf.DUMMYFUNCTION("""COMPUTED_VALUE"""),244)</f>
        <v>244</v>
      </c>
      <c r="D251" t="str">
        <f ca="1">IFERROR(__xludf.DUMMYFUNCTION("""COMPUTED_VALUE"""),"LIJU G.S.")</f>
        <v>LIJU G.S.</v>
      </c>
      <c r="E251">
        <f ca="1">IFERROR(__xludf.DUMMYFUNCTION("""COMPUTED_VALUE"""),9495336654)</f>
        <v>9495336654</v>
      </c>
      <c r="F251" t="str">
        <f ca="1">IFERROR(__xludf.DUMMYFUNCTION("""COMPUTED_VALUE"""),"Kollam")</f>
        <v>Kollam</v>
      </c>
      <c r="G251" t="str">
        <f ca="1">IFERROR(__xludf.DUMMYFUNCTION("""COMPUTED_VALUE"""),"HYKON INDIA (PVT) LTD")</f>
        <v>HYKON INDIA (PVT) LTD</v>
      </c>
      <c r="H251">
        <f ca="1">IFERROR(__xludf.DUMMYFUNCTION("""COMPUTED_VALUE"""),41)</f>
        <v>41</v>
      </c>
      <c r="I251" s="4">
        <f ca="1">IFERROR(__xludf.DUMMYFUNCTION("""COMPUTED_VALUE"""),43182)</f>
        <v>43182</v>
      </c>
      <c r="J251">
        <f ca="1">IFERROR(__xludf.DUMMYFUNCTION("""COMPUTED_VALUE"""),5)</f>
        <v>5</v>
      </c>
      <c r="K251">
        <f ca="1">IFERROR(__xludf.DUMMYFUNCTION("""COMPUTED_VALUE"""),1146830013300)</f>
        <v>1146830013300</v>
      </c>
      <c r="L251" t="str">
        <f ca="1">IFERROR(__xludf.DUMMYFUNCTION("""COMPUTED_VALUE"""),"Kottarakkara East (4683)")</f>
        <v>Kottarakkara East (4683)</v>
      </c>
      <c r="M251" t="str">
        <f ca="1">IFERROR(__xludf.DUMMYFUNCTION("""COMPUTED_VALUE"""),"I Accept")</f>
        <v>I Accept</v>
      </c>
      <c r="N251" s="4">
        <f ca="1">IFERROR(__xludf.DUMMYFUNCTION("""COMPUTED_VALUE"""),43103)</f>
        <v>43103</v>
      </c>
      <c r="O251" s="4">
        <f ca="1">IFERROR(__xludf.DUMMYFUNCTION("""COMPUTED_VALUE"""),43103)</f>
        <v>43103</v>
      </c>
      <c r="P251">
        <f ca="1">IFERROR(__xludf.DUMMYFUNCTION("""COMPUTED_VALUE"""),5)</f>
        <v>5</v>
      </c>
      <c r="Q251" t="str">
        <f ca="1">IFERROR(__xludf.DUMMYFUNCTION("""COMPUTED_VALUE"""),"hykonkollam@gmail.com")</f>
        <v>hykonkollam@gmail.com</v>
      </c>
      <c r="R251" s="2" t="s">
        <v>2665</v>
      </c>
    </row>
    <row r="252" spans="1:18" ht="13" x14ac:dyDescent="0.15">
      <c r="A252" s="3">
        <f ca="1">IFERROR(__xludf.DUMMYFUNCTION("""COMPUTED_VALUE"""),43185.6906136689)</f>
        <v>43185.690613668899</v>
      </c>
      <c r="B252" t="str">
        <f ca="1">IFERROR(__xludf.DUMMYFUNCTION("""COMPUTED_VALUE"""),"pr.sreeram@gmail.com")</f>
        <v>pr.sreeram@gmail.com</v>
      </c>
      <c r="C252">
        <f ca="1">IFERROR(__xludf.DUMMYFUNCTION("""COMPUTED_VALUE"""),79)</f>
        <v>79</v>
      </c>
      <c r="D252" t="str">
        <f ca="1">IFERROR(__xludf.DUMMYFUNCTION("""COMPUTED_VALUE"""),"Lions Club of Palghat")</f>
        <v>Lions Club of Palghat</v>
      </c>
      <c r="E252">
        <f ca="1">IFERROR(__xludf.DUMMYFUNCTION("""COMPUTED_VALUE"""),9447015741)</f>
        <v>9447015741</v>
      </c>
      <c r="F252" t="str">
        <f ca="1">IFERROR(__xludf.DUMMYFUNCTION("""COMPUTED_VALUE"""),"Palakkad")</f>
        <v>Palakkad</v>
      </c>
      <c r="G252" t="str">
        <f ca="1">IFERROR(__xludf.DUMMYFUNCTION("""COMPUTED_VALUE"""),"Nestro Marketing LLP")</f>
        <v>Nestro Marketing LLP</v>
      </c>
      <c r="H252">
        <f ca="1">IFERROR(__xludf.DUMMYFUNCTION("""COMPUTED_VALUE"""),14)</f>
        <v>14</v>
      </c>
      <c r="I252" s="4">
        <f ca="1">IFERROR(__xludf.DUMMYFUNCTION("""COMPUTED_VALUE"""),43183)</f>
        <v>43183</v>
      </c>
      <c r="J252">
        <f ca="1">IFERROR(__xludf.DUMMYFUNCTION("""COMPUTED_VALUE"""),20)</f>
        <v>20</v>
      </c>
      <c r="K252">
        <f ca="1">IFERROR(__xludf.DUMMYFUNCTION("""COMPUTED_VALUE"""),1165171003962)</f>
        <v>1165171003962</v>
      </c>
      <c r="L252" t="str">
        <f ca="1">IFERROR(__xludf.DUMMYFUNCTION("""COMPUTED_VALUE"""),"Sulthanpet")</f>
        <v>Sulthanpet</v>
      </c>
      <c r="M252" t="str">
        <f ca="1">IFERROR(__xludf.DUMMYFUNCTION("""COMPUTED_VALUE"""),"I Accept")</f>
        <v>I Accept</v>
      </c>
      <c r="N252" s="4">
        <f ca="1">IFERROR(__xludf.DUMMYFUNCTION("""COMPUTED_VALUE"""),43164)</f>
        <v>43164</v>
      </c>
      <c r="O252" s="4">
        <f ca="1">IFERROR(__xludf.DUMMYFUNCTION("""COMPUTED_VALUE"""),43164)</f>
        <v>43164</v>
      </c>
      <c r="P252">
        <f ca="1">IFERROR(__xludf.DUMMYFUNCTION("""COMPUTED_VALUE"""),20)</f>
        <v>20</v>
      </c>
      <c r="Q252" t="str">
        <f ca="1">IFERROR(__xludf.DUMMYFUNCTION("""COMPUTED_VALUE"""),"pr.sreeram@gmail.com")</f>
        <v>pr.sreeram@gmail.com</v>
      </c>
      <c r="R252" s="2" t="s">
        <v>2666</v>
      </c>
    </row>
    <row r="253" spans="1:18" ht="13" x14ac:dyDescent="0.15">
      <c r="A253" s="3">
        <f ca="1">IFERROR(__xludf.DUMMYFUNCTION("""COMPUTED_VALUE"""),43185.7308564699)</f>
        <v>43185.730856469898</v>
      </c>
      <c r="B253" t="str">
        <f ca="1">IFERROR(__xludf.DUMMYFUNCTION("""COMPUTED_VALUE"""),"jose.dilip@gmail.com")</f>
        <v>jose.dilip@gmail.com</v>
      </c>
      <c r="C253">
        <f ca="1">IFERROR(__xludf.DUMMYFUNCTION("""COMPUTED_VALUE"""),249)</f>
        <v>249</v>
      </c>
      <c r="D253" t="str">
        <f ca="1">IFERROR(__xludf.DUMMYFUNCTION("""COMPUTED_VALUE"""),"RAMESH")</f>
        <v>RAMESH</v>
      </c>
      <c r="E253">
        <f ca="1">IFERROR(__xludf.DUMMYFUNCTION("""COMPUTED_VALUE"""),8137874406)</f>
        <v>8137874406</v>
      </c>
      <c r="F253" t="str">
        <f ca="1">IFERROR(__xludf.DUMMYFUNCTION("""COMPUTED_VALUE"""),"Thiruvananthapuram")</f>
        <v>Thiruvananthapuram</v>
      </c>
      <c r="G253" t="str">
        <f ca="1">IFERROR(__xludf.DUMMYFUNCTION("""COMPUTED_VALUE"""),"SOLGEN ENERGY PVT LTD")</f>
        <v>SOLGEN ENERGY PVT LTD</v>
      </c>
      <c r="H253">
        <f ca="1">IFERROR(__xludf.DUMMYFUNCTION("""COMPUTED_VALUE"""),42)</f>
        <v>42</v>
      </c>
      <c r="I253" s="4">
        <f ca="1">IFERROR(__xludf.DUMMYFUNCTION("""COMPUTED_VALUE"""),43149)</f>
        <v>43149</v>
      </c>
      <c r="J253">
        <f ca="1">IFERROR(__xludf.DUMMYFUNCTION("""COMPUTED_VALUE"""),3)</f>
        <v>3</v>
      </c>
      <c r="K253">
        <f ca="1">IFERROR(__xludf.DUMMYFUNCTION("""COMPUTED_VALUE"""),1146768012036)</f>
        <v>1146768012036</v>
      </c>
      <c r="L253" t="str">
        <f ca="1">IFERROR(__xludf.DUMMYFUNCTION("""COMPUTED_VALUE"""),"KUDAPPANAKKUNNU")</f>
        <v>KUDAPPANAKKUNNU</v>
      </c>
      <c r="M253" t="str">
        <f ca="1">IFERROR(__xludf.DUMMYFUNCTION("""COMPUTED_VALUE"""),"I Accept")</f>
        <v>I Accept</v>
      </c>
      <c r="N253" s="4">
        <f ca="1">IFERROR(__xludf.DUMMYFUNCTION("""COMPUTED_VALUE"""),43094)</f>
        <v>43094</v>
      </c>
      <c r="O253" s="4">
        <f ca="1">IFERROR(__xludf.DUMMYFUNCTION("""COMPUTED_VALUE"""),43094)</f>
        <v>43094</v>
      </c>
      <c r="P253">
        <f ca="1">IFERROR(__xludf.DUMMYFUNCTION("""COMPUTED_VALUE"""),3)</f>
        <v>3</v>
      </c>
      <c r="Q253" t="str">
        <f ca="1">IFERROR(__xludf.DUMMYFUNCTION("""COMPUTED_VALUE"""),"jose.dilip@gmail.com")</f>
        <v>jose.dilip@gmail.com</v>
      </c>
      <c r="R253" s="2" t="s">
        <v>2667</v>
      </c>
    </row>
    <row r="254" spans="1:18" ht="13" x14ac:dyDescent="0.15">
      <c r="A254" s="3">
        <f ca="1">IFERROR(__xludf.DUMMYFUNCTION("""COMPUTED_VALUE"""),43186.4341314004)</f>
        <v>43186.434131400398</v>
      </c>
      <c r="B254" t="str">
        <f ca="1">IFERROR(__xludf.DUMMYFUNCTION("""COMPUTED_VALUE"""),"silverwoodsekm@gmail.com")</f>
        <v>silverwoodsekm@gmail.com</v>
      </c>
      <c r="C254">
        <f ca="1">IFERROR(__xludf.DUMMYFUNCTION("""COMPUTED_VALUE"""),254)</f>
        <v>254</v>
      </c>
      <c r="D254" t="str">
        <f ca="1">IFERROR(__xludf.DUMMYFUNCTION("""COMPUTED_VALUE"""),"SUGUMARI V.P")</f>
        <v>SUGUMARI V.P</v>
      </c>
      <c r="E254">
        <f ca="1">IFERROR(__xludf.DUMMYFUNCTION("""COMPUTED_VALUE"""),9526991113)</f>
        <v>9526991113</v>
      </c>
      <c r="F254" t="str">
        <f ca="1">IFERROR(__xludf.DUMMYFUNCTION("""COMPUTED_VALUE"""),"Ernakulam")</f>
        <v>Ernakulam</v>
      </c>
      <c r="G254" t="str">
        <f ca="1">IFERROR(__xludf.DUMMYFUNCTION("""COMPUTED_VALUE"""),"TATA POWER SOLAR SYSTEMS LTD")</f>
        <v>TATA POWER SOLAR SYSTEMS LTD</v>
      </c>
      <c r="H254">
        <f ca="1">IFERROR(__xludf.DUMMYFUNCTION("""COMPUTED_VALUE"""),20)</f>
        <v>20</v>
      </c>
      <c r="I254" s="4">
        <f ca="1">IFERROR(__xludf.DUMMYFUNCTION("""COMPUTED_VALUE"""),43160)</f>
        <v>43160</v>
      </c>
      <c r="J254">
        <f ca="1">IFERROR(__xludf.DUMMYFUNCTION("""COMPUTED_VALUE"""),5)</f>
        <v>5</v>
      </c>
      <c r="K254">
        <f ca="1">IFERROR(__xludf.DUMMYFUNCTION("""COMPUTED_VALUE"""),1155490002911)</f>
        <v>1155490002911</v>
      </c>
      <c r="L254" t="str">
        <f ca="1">IFERROR(__xludf.DUMMYFUNCTION("""COMPUTED_VALUE"""),"5549")</f>
        <v>5549</v>
      </c>
      <c r="M254" t="str">
        <f ca="1">IFERROR(__xludf.DUMMYFUNCTION("""COMPUTED_VALUE"""),"I Accept")</f>
        <v>I Accept</v>
      </c>
      <c r="N254" s="4">
        <f ca="1">IFERROR(__xludf.DUMMYFUNCTION("""COMPUTED_VALUE"""),43183)</f>
        <v>43183</v>
      </c>
      <c r="O254" s="4">
        <f ca="1">IFERROR(__xludf.DUMMYFUNCTION("""COMPUTED_VALUE"""),43183)</f>
        <v>43183</v>
      </c>
      <c r="P254">
        <f ca="1">IFERROR(__xludf.DUMMYFUNCTION("""COMPUTED_VALUE"""),5)</f>
        <v>5</v>
      </c>
      <c r="Q254" t="str">
        <f ca="1">IFERROR(__xludf.DUMMYFUNCTION("""COMPUTED_VALUE"""),"silverwoodsekm@gmail.com")</f>
        <v>silverwoodsekm@gmail.com</v>
      </c>
      <c r="R254" s="2" t="s">
        <v>2668</v>
      </c>
    </row>
    <row r="255" spans="1:18" ht="13" x14ac:dyDescent="0.15">
      <c r="A255" s="3">
        <f ca="1">IFERROR(__xludf.DUMMYFUNCTION("""COMPUTED_VALUE"""),43186.5596059606)</f>
        <v>43186.559605960603</v>
      </c>
      <c r="B255" t="str">
        <f ca="1">IFERROR(__xludf.DUMMYFUNCTION("""COMPUTED_VALUE"""),"rahul.parur@gmail.com")</f>
        <v>rahul.parur@gmail.com</v>
      </c>
      <c r="C255">
        <f ca="1">IFERROR(__xludf.DUMMYFUNCTION("""COMPUTED_VALUE"""),410)</f>
        <v>410</v>
      </c>
      <c r="D255" t="str">
        <f ca="1">IFERROR(__xludf.DUMMYFUNCTION("""COMPUTED_VALUE"""),"K K Padmavathy Amma")</f>
        <v>K K Padmavathy Amma</v>
      </c>
      <c r="E255">
        <f ca="1">IFERROR(__xludf.DUMMYFUNCTION("""COMPUTED_VALUE"""),9995395129)</f>
        <v>9995395129</v>
      </c>
      <c r="F255" t="str">
        <f ca="1">IFERROR(__xludf.DUMMYFUNCTION("""COMPUTED_VALUE"""),"Ernakulam")</f>
        <v>Ernakulam</v>
      </c>
      <c r="G255" t="str">
        <f ca="1">IFERROR(__xludf.DUMMYFUNCTION("""COMPUTED_VALUE"""),"Hykon India Ltd.")</f>
        <v>Hykon India Ltd.</v>
      </c>
      <c r="H255">
        <f ca="1">IFERROR(__xludf.DUMMYFUNCTION("""COMPUTED_VALUE"""),41)</f>
        <v>41</v>
      </c>
      <c r="I255" s="4">
        <f ca="1">IFERROR(__xludf.DUMMYFUNCTION("""COMPUTED_VALUE"""),43183)</f>
        <v>43183</v>
      </c>
      <c r="J255">
        <f ca="1">IFERROR(__xludf.DUMMYFUNCTION("""COMPUTED_VALUE"""),2)</f>
        <v>2</v>
      </c>
      <c r="K255">
        <f ca="1">IFERROR(__xludf.DUMMYFUNCTION("""COMPUTED_VALUE"""),1156044015374)</f>
        <v>1156044015374</v>
      </c>
      <c r="L255" t="str">
        <f ca="1">IFERROR(__xludf.DUMMYFUNCTION("""COMPUTED_VALUE"""),"North Paravur")</f>
        <v>North Paravur</v>
      </c>
      <c r="M255" t="str">
        <f ca="1">IFERROR(__xludf.DUMMYFUNCTION("""COMPUTED_VALUE"""),"I Accept")</f>
        <v>I Accept</v>
      </c>
      <c r="N255" s="4">
        <f ca="1">IFERROR(__xludf.DUMMYFUNCTION("""COMPUTED_VALUE"""),43186)</f>
        <v>43186</v>
      </c>
      <c r="O255" s="4">
        <f ca="1">IFERROR(__xludf.DUMMYFUNCTION("""COMPUTED_VALUE"""),43186)</f>
        <v>43186</v>
      </c>
      <c r="P255">
        <f ca="1">IFERROR(__xludf.DUMMYFUNCTION("""COMPUTED_VALUE"""),2)</f>
        <v>2</v>
      </c>
      <c r="Q255" t="str">
        <f ca="1">IFERROR(__xludf.DUMMYFUNCTION("""COMPUTED_VALUE"""),"rahul.parur@gmail.com")</f>
        <v>rahul.parur@gmail.com</v>
      </c>
      <c r="R255" s="2" t="s">
        <v>2669</v>
      </c>
    </row>
    <row r="256" spans="1:18" ht="13" x14ac:dyDescent="0.15">
      <c r="A256" s="3">
        <f ca="1">IFERROR(__xludf.DUMMYFUNCTION("""COMPUTED_VALUE"""),43186.6817472569)</f>
        <v>43186.681747256902</v>
      </c>
      <c r="B256" t="str">
        <f ca="1">IFERROR(__xludf.DUMMYFUNCTION("""COMPUTED_VALUE"""),"adv.babypaul@gmail.com")</f>
        <v>adv.babypaul@gmail.com</v>
      </c>
      <c r="C256">
        <f ca="1">IFERROR(__xludf.DUMMYFUNCTION("""COMPUTED_VALUE"""),756)</f>
        <v>756</v>
      </c>
      <c r="D256" t="str">
        <f ca="1">IFERROR(__xludf.DUMMYFUNCTION("""COMPUTED_VALUE"""),"Baby Paul")</f>
        <v>Baby Paul</v>
      </c>
      <c r="E256">
        <f ca="1">IFERROR(__xludf.DUMMYFUNCTION("""COMPUTED_VALUE"""),9995022921)</f>
        <v>9995022921</v>
      </c>
      <c r="F256" t="str">
        <f ca="1">IFERROR(__xludf.DUMMYFUNCTION("""COMPUTED_VALUE"""),"Ernakulam")</f>
        <v>Ernakulam</v>
      </c>
      <c r="G256" t="str">
        <f ca="1">IFERROR(__xludf.DUMMYFUNCTION("""COMPUTED_VALUE"""),"ALTERNATE ENERGY CORPORATION")</f>
        <v>ALTERNATE ENERGY CORPORATION</v>
      </c>
      <c r="H256">
        <f ca="1">IFERROR(__xludf.DUMMYFUNCTION("""COMPUTED_VALUE"""),22)</f>
        <v>22</v>
      </c>
      <c r="I256" s="4">
        <f ca="1">IFERROR(__xludf.DUMMYFUNCTION("""COMPUTED_VALUE"""),43183)</f>
        <v>43183</v>
      </c>
      <c r="J256">
        <f ca="1">IFERROR(__xludf.DUMMYFUNCTION("""COMPUTED_VALUE"""),10)</f>
        <v>10</v>
      </c>
      <c r="K256">
        <f ca="1">IFERROR(__xludf.DUMMYFUNCTION("""COMPUTED_VALUE"""),1155791011607)</f>
        <v>1155791011607</v>
      </c>
      <c r="L256" t="str">
        <f ca="1">IFERROR(__xludf.DUMMYFUNCTION("""COMPUTED_VALUE"""),"5579")</f>
        <v>5579</v>
      </c>
      <c r="M256" t="str">
        <f ca="1">IFERROR(__xludf.DUMMYFUNCTION("""COMPUTED_VALUE"""),"I Accept")</f>
        <v>I Accept</v>
      </c>
      <c r="N256" s="4">
        <f ca="1">IFERROR(__xludf.DUMMYFUNCTION("""COMPUTED_VALUE"""),43180)</f>
        <v>43180</v>
      </c>
      <c r="O256" s="4">
        <f ca="1">IFERROR(__xludf.DUMMYFUNCTION("""COMPUTED_VALUE"""),43180)</f>
        <v>43180</v>
      </c>
      <c r="P256">
        <f ca="1">IFERROR(__xludf.DUMMYFUNCTION("""COMPUTED_VALUE"""),10)</f>
        <v>10</v>
      </c>
      <c r="Q256" t="str">
        <f ca="1">IFERROR(__xludf.DUMMYFUNCTION("""COMPUTED_VALUE"""),"adv.babypaul@gmail.com")</f>
        <v>adv.babypaul@gmail.com</v>
      </c>
      <c r="R256" s="2" t="s">
        <v>2670</v>
      </c>
    </row>
    <row r="257" spans="1:18" ht="13" x14ac:dyDescent="0.15">
      <c r="A257" s="3">
        <f ca="1">IFERROR(__xludf.DUMMYFUNCTION("""COMPUTED_VALUE"""),43186.8228548263)</f>
        <v>43186.8228548263</v>
      </c>
      <c r="B257" t="str">
        <f ca="1">IFERROR(__xludf.DUMMYFUNCTION("""COMPUTED_VALUE"""),"gkrishna88@yahoo.com")</f>
        <v>gkrishna88@yahoo.com</v>
      </c>
      <c r="C257">
        <f ca="1">IFERROR(__xludf.DUMMYFUNCTION("""COMPUTED_VALUE"""),466)</f>
        <v>466</v>
      </c>
      <c r="D257" t="str">
        <f ca="1">IFERROR(__xludf.DUMMYFUNCTION("""COMPUTED_VALUE"""),"B GOPALAKRISHNAN")</f>
        <v>B GOPALAKRISHNAN</v>
      </c>
      <c r="E257">
        <f ca="1">IFERROR(__xludf.DUMMYFUNCTION("""COMPUTED_VALUE"""),9446487084)</f>
        <v>9446487084</v>
      </c>
      <c r="F257" t="str">
        <f ca="1">IFERROR(__xludf.DUMMYFUNCTION("""COMPUTED_VALUE"""),"Ernakulam")</f>
        <v>Ernakulam</v>
      </c>
      <c r="G257" t="str">
        <f ca="1">IFERROR(__xludf.DUMMYFUNCTION("""COMPUTED_VALUE"""),"INDEX INFORMATICS SYSTEMS PVT LTD")</f>
        <v>INDEX INFORMATICS SYSTEMS PVT LTD</v>
      </c>
      <c r="H257">
        <f ca="1">IFERROR(__xludf.DUMMYFUNCTION("""COMPUTED_VALUE"""),12)</f>
        <v>12</v>
      </c>
      <c r="I257" s="4">
        <f ca="1">IFERROR(__xludf.DUMMYFUNCTION("""COMPUTED_VALUE"""),43184)</f>
        <v>43184</v>
      </c>
      <c r="J257">
        <f ca="1">IFERROR(__xludf.DUMMYFUNCTION("""COMPUTED_VALUE"""),2)</f>
        <v>2</v>
      </c>
      <c r="K257">
        <f ca="1">IFERROR(__xludf.DUMMYFUNCTION("""COMPUTED_VALUE"""),1155677011163)</f>
        <v>1155677011163</v>
      </c>
      <c r="L257" t="str">
        <f ca="1">IFERROR(__xludf.DUMMYFUNCTION("""COMPUTED_VALUE"""),"ALUVA TOWN")</f>
        <v>ALUVA TOWN</v>
      </c>
      <c r="M257" t="str">
        <f ca="1">IFERROR(__xludf.DUMMYFUNCTION("""COMPUTED_VALUE"""),"I Accept")</f>
        <v>I Accept</v>
      </c>
      <c r="N257" s="4">
        <f ca="1">IFERROR(__xludf.DUMMYFUNCTION("""COMPUTED_VALUE"""),43182)</f>
        <v>43182</v>
      </c>
      <c r="O257" s="4">
        <f ca="1">IFERROR(__xludf.DUMMYFUNCTION("""COMPUTED_VALUE"""),43182)</f>
        <v>43182</v>
      </c>
      <c r="P257">
        <f ca="1">IFERROR(__xludf.DUMMYFUNCTION("""COMPUTED_VALUE"""),2)</f>
        <v>2</v>
      </c>
      <c r="Q257" t="str">
        <f ca="1">IFERROR(__xludf.DUMMYFUNCTION("""COMPUTED_VALUE"""),"gkrishna88@yahoo.com")</f>
        <v>gkrishna88@yahoo.com</v>
      </c>
      <c r="R257" s="2" t="s">
        <v>2671</v>
      </c>
    </row>
    <row r="258" spans="1:18" ht="13" x14ac:dyDescent="0.15">
      <c r="A258" s="3">
        <f ca="1">IFERROR(__xludf.DUMMYFUNCTION("""COMPUTED_VALUE"""),43187.4119904282)</f>
        <v>43187.411990428198</v>
      </c>
      <c r="B258" t="str">
        <f ca="1">IFERROR(__xludf.DUMMYFUNCTION("""COMPUTED_VALUE"""),"kunnilatte@gmail.com")</f>
        <v>kunnilatte@gmail.com</v>
      </c>
      <c r="C258">
        <f ca="1">IFERROR(__xludf.DUMMYFUNCTION("""COMPUTED_VALUE"""),318)</f>
        <v>318</v>
      </c>
      <c r="D258" t="str">
        <f ca="1">IFERROR(__xludf.DUMMYFUNCTION("""COMPUTED_VALUE"""),"LUCKOSE ABRAHAM KUNNILATTE")</f>
        <v>LUCKOSE ABRAHAM KUNNILATTE</v>
      </c>
      <c r="E258">
        <f ca="1">IFERROR(__xludf.DUMMYFUNCTION("""COMPUTED_VALUE"""),9447009364)</f>
        <v>9447009364</v>
      </c>
      <c r="F258" t="str">
        <f ca="1">IFERROR(__xludf.DUMMYFUNCTION("""COMPUTED_VALUE"""),"Thiruvananthapuram")</f>
        <v>Thiruvananthapuram</v>
      </c>
      <c r="G258" t="str">
        <f ca="1">IFERROR(__xludf.DUMMYFUNCTION("""COMPUTED_VALUE"""),"TATA POWER SOLAR SYSTEMS LTD")</f>
        <v>TATA POWER SOLAR SYSTEMS LTD</v>
      </c>
      <c r="H258">
        <f ca="1">IFERROR(__xludf.DUMMYFUNCTION("""COMPUTED_VALUE"""),20)</f>
        <v>20</v>
      </c>
      <c r="I258" s="4">
        <f ca="1">IFERROR(__xludf.DUMMYFUNCTION("""COMPUTED_VALUE"""),43154)</f>
        <v>43154</v>
      </c>
      <c r="J258">
        <f ca="1">IFERROR(__xludf.DUMMYFUNCTION("""COMPUTED_VALUE"""),3)</f>
        <v>3</v>
      </c>
      <c r="K258">
        <f ca="1">IFERROR(__xludf.DUMMYFUNCTION("""COMPUTED_VALUE"""),1145170010461)</f>
        <v>1145170010461</v>
      </c>
      <c r="L258" t="str">
        <f ca="1">IFERROR(__xludf.DUMMYFUNCTION("""COMPUTED_VALUE"""),"Ulloor")</f>
        <v>Ulloor</v>
      </c>
      <c r="M258" t="str">
        <f ca="1">IFERROR(__xludf.DUMMYFUNCTION("""COMPUTED_VALUE"""),"I Accept")</f>
        <v>I Accept</v>
      </c>
      <c r="N258" s="4">
        <f ca="1">IFERROR(__xludf.DUMMYFUNCTION("""COMPUTED_VALUE"""),43143)</f>
        <v>43143</v>
      </c>
      <c r="O258" s="4">
        <f ca="1">IFERROR(__xludf.DUMMYFUNCTION("""COMPUTED_VALUE"""),43143)</f>
        <v>43143</v>
      </c>
      <c r="P258">
        <f ca="1">IFERROR(__xludf.DUMMYFUNCTION("""COMPUTED_VALUE"""),3)</f>
        <v>3</v>
      </c>
      <c r="Q258" t="str">
        <f ca="1">IFERROR(__xludf.DUMMYFUNCTION("""COMPUTED_VALUE"""),"kunnilatte@gmail.com")</f>
        <v>kunnilatte@gmail.com</v>
      </c>
      <c r="R258" s="2" t="s">
        <v>2672</v>
      </c>
    </row>
    <row r="259" spans="1:18" ht="13" x14ac:dyDescent="0.15">
      <c r="A259" s="3">
        <f ca="1">IFERROR(__xludf.DUMMYFUNCTION("""COMPUTED_VALUE"""),43187.4193232523)</f>
        <v>43187.419323252303</v>
      </c>
      <c r="B259" t="str">
        <f ca="1">IFERROR(__xludf.DUMMYFUNCTION("""COMPUTED_VALUE"""),"lesliejojo190@gmail.com")</f>
        <v>lesliejojo190@gmail.com</v>
      </c>
      <c r="C259">
        <f ca="1">IFERROR(__xludf.DUMMYFUNCTION("""COMPUTED_VALUE"""),37)</f>
        <v>37</v>
      </c>
      <c r="D259" t="str">
        <f ca="1">IFERROR(__xludf.DUMMYFUNCTION("""COMPUTED_VALUE"""),"Thomas V J")</f>
        <v>Thomas V J</v>
      </c>
      <c r="E259">
        <f ca="1">IFERROR(__xludf.DUMMYFUNCTION("""COMPUTED_VALUE"""),9446368125)</f>
        <v>9446368125</v>
      </c>
      <c r="F259" t="str">
        <f ca="1">IFERROR(__xludf.DUMMYFUNCTION("""COMPUTED_VALUE"""),"Thiruvananthapuram")</f>
        <v>Thiruvananthapuram</v>
      </c>
      <c r="G259" t="str">
        <f ca="1">IFERROR(__xludf.DUMMYFUNCTION("""COMPUTED_VALUE"""),"TATA POWER SOLAR SYSTEMS LTD")</f>
        <v>TATA POWER SOLAR SYSTEMS LTD</v>
      </c>
      <c r="H259">
        <f ca="1">IFERROR(__xludf.DUMMYFUNCTION("""COMPUTED_VALUE"""),20)</f>
        <v>20</v>
      </c>
      <c r="I259" s="4">
        <f ca="1">IFERROR(__xludf.DUMMYFUNCTION("""COMPUTED_VALUE"""),43145)</f>
        <v>43145</v>
      </c>
      <c r="J259">
        <f ca="1">IFERROR(__xludf.DUMMYFUNCTION("""COMPUTED_VALUE"""),2)</f>
        <v>2</v>
      </c>
      <c r="K259">
        <f ca="1">IFERROR(__xludf.DUMMYFUNCTION("""COMPUTED_VALUE"""),1145060005572)</f>
        <v>1145060005572</v>
      </c>
      <c r="L259" t="str">
        <f ca="1">IFERROR(__xludf.DUMMYFUNCTION("""COMPUTED_VALUE"""),"Cantonment")</f>
        <v>Cantonment</v>
      </c>
      <c r="M259" t="str">
        <f ca="1">IFERROR(__xludf.DUMMYFUNCTION("""COMPUTED_VALUE"""),"I Accept")</f>
        <v>I Accept</v>
      </c>
      <c r="N259" s="4">
        <f ca="1">IFERROR(__xludf.DUMMYFUNCTION("""COMPUTED_VALUE"""),43131)</f>
        <v>43131</v>
      </c>
      <c r="O259" s="4">
        <f ca="1">IFERROR(__xludf.DUMMYFUNCTION("""COMPUTED_VALUE"""),43131)</f>
        <v>43131</v>
      </c>
      <c r="P259">
        <f ca="1">IFERROR(__xludf.DUMMYFUNCTION("""COMPUTED_VALUE"""),2)</f>
        <v>2</v>
      </c>
      <c r="Q259" t="str">
        <f ca="1">IFERROR(__xludf.DUMMYFUNCTION("""COMPUTED_VALUE"""),"lesliejojo190@gmail.com")</f>
        <v>lesliejojo190@gmail.com</v>
      </c>
      <c r="R259" s="2" t="s">
        <v>2673</v>
      </c>
    </row>
    <row r="260" spans="1:18" ht="13" x14ac:dyDescent="0.15">
      <c r="A260" s="3">
        <f ca="1">IFERROR(__xludf.DUMMYFUNCTION("""COMPUTED_VALUE"""),43187.4404526736)</f>
        <v>43187.440452673603</v>
      </c>
      <c r="B260" t="str">
        <f ca="1">IFERROR(__xludf.DUMMYFUNCTION("""COMPUTED_VALUE"""),"sujojk@gmail.com")</f>
        <v>sujojk@gmail.com</v>
      </c>
      <c r="C260">
        <f ca="1">IFERROR(__xludf.DUMMYFUNCTION("""COMPUTED_VALUE"""),157)</f>
        <v>157</v>
      </c>
      <c r="D260" t="str">
        <f ca="1">IFERROR(__xludf.DUMMYFUNCTION("""COMPUTED_VALUE"""),"Sujo Joseph K")</f>
        <v>Sujo Joseph K</v>
      </c>
      <c r="E260">
        <f ca="1">IFERROR(__xludf.DUMMYFUNCTION("""COMPUTED_VALUE"""),9845999981)</f>
        <v>9845999981</v>
      </c>
      <c r="F260" t="str">
        <f ca="1">IFERROR(__xludf.DUMMYFUNCTION("""COMPUTED_VALUE"""),"Thiruvananthapuram")</f>
        <v>Thiruvananthapuram</v>
      </c>
      <c r="G260" t="str">
        <f ca="1">IFERROR(__xludf.DUMMYFUNCTION("""COMPUTED_VALUE"""),"TATA POWER SOLAR SYSTEMS LTD")</f>
        <v>TATA POWER SOLAR SYSTEMS LTD</v>
      </c>
      <c r="H260">
        <f ca="1">IFERROR(__xludf.DUMMYFUNCTION("""COMPUTED_VALUE"""),20)</f>
        <v>20</v>
      </c>
      <c r="I260" s="4">
        <f ca="1">IFERROR(__xludf.DUMMYFUNCTION("""COMPUTED_VALUE"""),43151)</f>
        <v>43151</v>
      </c>
      <c r="J260">
        <f ca="1">IFERROR(__xludf.DUMMYFUNCTION("""COMPUTED_VALUE"""),5)</f>
        <v>5</v>
      </c>
      <c r="K260">
        <f ca="1">IFERROR(__xludf.DUMMYFUNCTION("""COMPUTED_VALUE"""),1146917000400)</f>
        <v>1146917000400</v>
      </c>
      <c r="L260" t="str">
        <f ca="1">IFERROR(__xludf.DUMMYFUNCTION("""COMPUTED_VALUE"""),"Kachani")</f>
        <v>Kachani</v>
      </c>
      <c r="M260" t="str">
        <f ca="1">IFERROR(__xludf.DUMMYFUNCTION("""COMPUTED_VALUE"""),"I Accept")</f>
        <v>I Accept</v>
      </c>
      <c r="N260" s="4">
        <f ca="1">IFERROR(__xludf.DUMMYFUNCTION("""COMPUTED_VALUE"""),43154)</f>
        <v>43154</v>
      </c>
      <c r="O260" s="4">
        <f ca="1">IFERROR(__xludf.DUMMYFUNCTION("""COMPUTED_VALUE"""),43154)</f>
        <v>43154</v>
      </c>
      <c r="P260">
        <f ca="1">IFERROR(__xludf.DUMMYFUNCTION("""COMPUTED_VALUE"""),5)</f>
        <v>5</v>
      </c>
      <c r="Q260" t="str">
        <f ca="1">IFERROR(__xludf.DUMMYFUNCTION("""COMPUTED_VALUE"""),"sujojk@gmail.com")</f>
        <v>sujojk@gmail.com</v>
      </c>
      <c r="R260" s="2" t="s">
        <v>2674</v>
      </c>
    </row>
    <row r="261" spans="1:18" ht="13" x14ac:dyDescent="0.15">
      <c r="A261" s="3">
        <f ca="1">IFERROR(__xludf.DUMMYFUNCTION("""COMPUTED_VALUE"""),43187.4466708449)</f>
        <v>43187.446670844904</v>
      </c>
      <c r="B261" t="str">
        <f ca="1">IFERROR(__xludf.DUMMYFUNCTION("""COMPUTED_VALUE"""),"josephtjohn@gmail.com")</f>
        <v>josephtjohn@gmail.com</v>
      </c>
      <c r="C261">
        <f ca="1">IFERROR(__xludf.DUMMYFUNCTION("""COMPUTED_VALUE"""),111)</f>
        <v>111</v>
      </c>
      <c r="D261" t="str">
        <f ca="1">IFERROR(__xludf.DUMMYFUNCTION("""COMPUTED_VALUE"""),"Joseph John")</f>
        <v>Joseph John</v>
      </c>
      <c r="E261">
        <f ca="1">IFERROR(__xludf.DUMMYFUNCTION("""COMPUTED_VALUE"""),9961177456)</f>
        <v>9961177456</v>
      </c>
      <c r="F261" t="str">
        <f ca="1">IFERROR(__xludf.DUMMYFUNCTION("""COMPUTED_VALUE"""),"Thiruvananthapuram")</f>
        <v>Thiruvananthapuram</v>
      </c>
      <c r="G261" t="str">
        <f ca="1">IFERROR(__xludf.DUMMYFUNCTION("""COMPUTED_VALUE"""),"TATA POWER SOLAR SYSTEMS LTD")</f>
        <v>TATA POWER SOLAR SYSTEMS LTD</v>
      </c>
      <c r="H261">
        <f ca="1">IFERROR(__xludf.DUMMYFUNCTION("""COMPUTED_VALUE"""),20)</f>
        <v>20</v>
      </c>
      <c r="I261" s="4">
        <f ca="1">IFERROR(__xludf.DUMMYFUNCTION("""COMPUTED_VALUE"""),43146)</f>
        <v>43146</v>
      </c>
      <c r="J261">
        <f ca="1">IFERROR(__xludf.DUMMYFUNCTION("""COMPUTED_VALUE"""),3)</f>
        <v>3</v>
      </c>
      <c r="K261">
        <f ca="1">IFERROR(__xludf.DUMMYFUNCTION("""COMPUTED_VALUE"""),1145119004639)</f>
        <v>1145119004639</v>
      </c>
      <c r="L261" t="str">
        <f ca="1">IFERROR(__xludf.DUMMYFUNCTION("""COMPUTED_VALUE"""),"Thirumala")</f>
        <v>Thirumala</v>
      </c>
      <c r="M261" t="str">
        <f ca="1">IFERROR(__xludf.DUMMYFUNCTION("""COMPUTED_VALUE"""),"I Accept")</f>
        <v>I Accept</v>
      </c>
      <c r="N261" s="4">
        <f ca="1">IFERROR(__xludf.DUMMYFUNCTION("""COMPUTED_VALUE"""),43140)</f>
        <v>43140</v>
      </c>
      <c r="O261" s="4">
        <f ca="1">IFERROR(__xludf.DUMMYFUNCTION("""COMPUTED_VALUE"""),43140)</f>
        <v>43140</v>
      </c>
      <c r="P261">
        <f ca="1">IFERROR(__xludf.DUMMYFUNCTION("""COMPUTED_VALUE"""),3)</f>
        <v>3</v>
      </c>
      <c r="Q261" t="str">
        <f ca="1">IFERROR(__xludf.DUMMYFUNCTION("""COMPUTED_VALUE"""),"josephtjohn@gmail.com")</f>
        <v>josephtjohn@gmail.com</v>
      </c>
      <c r="R261" s="2" t="s">
        <v>2675</v>
      </c>
    </row>
    <row r="262" spans="1:18" ht="13" x14ac:dyDescent="0.15">
      <c r="A262" s="3">
        <f ca="1">IFERROR(__xludf.DUMMYFUNCTION("""COMPUTED_VALUE"""),43187.4529146643)</f>
        <v>43187.452914664304</v>
      </c>
      <c r="B262" t="str">
        <f ca="1">IFERROR(__xludf.DUMMYFUNCTION("""COMPUTED_VALUE"""),"aiswaryamr@gmail.com")</f>
        <v>aiswaryamr@gmail.com</v>
      </c>
      <c r="C262">
        <f ca="1">IFERROR(__xludf.DUMMYFUNCTION("""COMPUTED_VALUE"""),60)</f>
        <v>60</v>
      </c>
      <c r="D262" t="str">
        <f ca="1">IFERROR(__xludf.DUMMYFUNCTION("""COMPUTED_VALUE"""),"Aiswarya Menon Rajendran")</f>
        <v>Aiswarya Menon Rajendran</v>
      </c>
      <c r="E262">
        <f ca="1">IFERROR(__xludf.DUMMYFUNCTION("""COMPUTED_VALUE"""),9447270860)</f>
        <v>9447270860</v>
      </c>
      <c r="F262" t="str">
        <f ca="1">IFERROR(__xludf.DUMMYFUNCTION("""COMPUTED_VALUE"""),"Thiruvananthapuram")</f>
        <v>Thiruvananthapuram</v>
      </c>
      <c r="G262" t="str">
        <f ca="1">IFERROR(__xludf.DUMMYFUNCTION("""COMPUTED_VALUE"""),"TATA POWER SOLAR SYSTEMS LTD")</f>
        <v>TATA POWER SOLAR SYSTEMS LTD</v>
      </c>
      <c r="H262">
        <f ca="1">IFERROR(__xludf.DUMMYFUNCTION("""COMPUTED_VALUE"""),20)</f>
        <v>20</v>
      </c>
      <c r="I262" s="4">
        <f ca="1">IFERROR(__xludf.DUMMYFUNCTION("""COMPUTED_VALUE"""),43146)</f>
        <v>43146</v>
      </c>
      <c r="J262">
        <f ca="1">IFERROR(__xludf.DUMMYFUNCTION("""COMPUTED_VALUE"""),5)</f>
        <v>5</v>
      </c>
      <c r="K262">
        <f ca="1">IFERROR(__xludf.DUMMYFUNCTION("""COMPUTED_VALUE"""),1145164004112)</f>
        <v>1145164004112</v>
      </c>
      <c r="L262" t="str">
        <f ca="1">IFERROR(__xludf.DUMMYFUNCTION("""COMPUTED_VALUE"""),"Kesavadasapuram")</f>
        <v>Kesavadasapuram</v>
      </c>
      <c r="M262" t="str">
        <f ca="1">IFERROR(__xludf.DUMMYFUNCTION("""COMPUTED_VALUE"""),"I Accept")</f>
        <v>I Accept</v>
      </c>
      <c r="N262" s="4">
        <f ca="1">IFERROR(__xludf.DUMMYFUNCTION("""COMPUTED_VALUE"""),43173)</f>
        <v>43173</v>
      </c>
      <c r="O262" s="4">
        <f ca="1">IFERROR(__xludf.DUMMYFUNCTION("""COMPUTED_VALUE"""),43173)</f>
        <v>43173</v>
      </c>
      <c r="P262">
        <f ca="1">IFERROR(__xludf.DUMMYFUNCTION("""COMPUTED_VALUE"""),5)</f>
        <v>5</v>
      </c>
      <c r="Q262" t="str">
        <f ca="1">IFERROR(__xludf.DUMMYFUNCTION("""COMPUTED_VALUE"""),"aiswaryamr@gmail.com")</f>
        <v>aiswaryamr@gmail.com</v>
      </c>
      <c r="R262" s="2" t="s">
        <v>2676</v>
      </c>
    </row>
    <row r="263" spans="1:18" ht="13" x14ac:dyDescent="0.15">
      <c r="A263" s="3">
        <f ca="1">IFERROR(__xludf.DUMMYFUNCTION("""COMPUTED_VALUE"""),43187.4636725231)</f>
        <v>43187.463672523103</v>
      </c>
      <c r="B263" t="str">
        <f ca="1">IFERROR(__xludf.DUMMYFUNCTION("""COMPUTED_VALUE"""),"drvrsn@gmail.com")</f>
        <v>drvrsn@gmail.com</v>
      </c>
      <c r="C263">
        <f ca="1">IFERROR(__xludf.DUMMYFUNCTION("""COMPUTED_VALUE"""),319)</f>
        <v>319</v>
      </c>
      <c r="D263" t="str">
        <f ca="1">IFERROR(__xludf.DUMMYFUNCTION("""COMPUTED_VALUE"""),"Raji R")</f>
        <v>Raji R</v>
      </c>
      <c r="E263">
        <f ca="1">IFERROR(__xludf.DUMMYFUNCTION("""COMPUTED_VALUE"""),9388581182)</f>
        <v>9388581182</v>
      </c>
      <c r="F263" t="str">
        <f ca="1">IFERROR(__xludf.DUMMYFUNCTION("""COMPUTED_VALUE"""),"Thiruvananthapuram")</f>
        <v>Thiruvananthapuram</v>
      </c>
      <c r="G263" t="str">
        <f ca="1">IFERROR(__xludf.DUMMYFUNCTION("""COMPUTED_VALUE"""),"TATA POWER SOLAR SYSTEMS LTD")</f>
        <v>TATA POWER SOLAR SYSTEMS LTD</v>
      </c>
      <c r="H263">
        <f ca="1">IFERROR(__xludf.DUMMYFUNCTION("""COMPUTED_VALUE"""),20)</f>
        <v>20</v>
      </c>
      <c r="I263" s="4">
        <f ca="1">IFERROR(__xludf.DUMMYFUNCTION("""COMPUTED_VALUE"""),43157)</f>
        <v>43157</v>
      </c>
      <c r="J263">
        <f ca="1">IFERROR(__xludf.DUMMYFUNCTION("""COMPUTED_VALUE"""),3)</f>
        <v>3</v>
      </c>
      <c r="K263">
        <f ca="1">IFERROR(__xludf.DUMMYFUNCTION("""COMPUTED_VALUE"""),1145179003188)</f>
        <v>1145179003188</v>
      </c>
      <c r="L263" t="str">
        <f ca="1">IFERROR(__xludf.DUMMYFUNCTION("""COMPUTED_VALUE"""),"ulloor")</f>
        <v>ulloor</v>
      </c>
      <c r="M263" t="str">
        <f ca="1">IFERROR(__xludf.DUMMYFUNCTION("""COMPUTED_VALUE"""),"I Accept")</f>
        <v>I Accept</v>
      </c>
      <c r="N263" s="4">
        <f ca="1">IFERROR(__xludf.DUMMYFUNCTION("""COMPUTED_VALUE"""),43151)</f>
        <v>43151</v>
      </c>
      <c r="O263" s="4">
        <f ca="1">IFERROR(__xludf.DUMMYFUNCTION("""COMPUTED_VALUE"""),43151)</f>
        <v>43151</v>
      </c>
      <c r="P263">
        <f ca="1">IFERROR(__xludf.DUMMYFUNCTION("""COMPUTED_VALUE"""),3)</f>
        <v>3</v>
      </c>
      <c r="Q263" t="str">
        <f ca="1">IFERROR(__xludf.DUMMYFUNCTION("""COMPUTED_VALUE"""),"drvrsn@gmail.com")</f>
        <v>drvrsn@gmail.com</v>
      </c>
      <c r="R263" s="2" t="s">
        <v>2677</v>
      </c>
    </row>
    <row r="264" spans="1:18" ht="13" x14ac:dyDescent="0.15">
      <c r="A264" s="3">
        <f ca="1">IFERROR(__xludf.DUMMYFUNCTION("""COMPUTED_VALUE"""),43187.4669209953)</f>
        <v>43187.466920995299</v>
      </c>
      <c r="B264" t="str">
        <f ca="1">IFERROR(__xludf.DUMMYFUNCTION("""COMPUTED_VALUE"""),"nithulxavier@hotmail.com")</f>
        <v>nithulxavier@hotmail.com</v>
      </c>
      <c r="C264">
        <f ca="1">IFERROR(__xludf.DUMMYFUNCTION("""COMPUTED_VALUE"""),500)</f>
        <v>500</v>
      </c>
      <c r="D264" t="str">
        <f ca="1">IFERROR(__xludf.DUMMYFUNCTION("""COMPUTED_VALUE"""),"T F Xavier")</f>
        <v>T F Xavier</v>
      </c>
      <c r="E264">
        <f ca="1">IFERROR(__xludf.DUMMYFUNCTION("""COMPUTED_VALUE"""),7907041878)</f>
        <v>7907041878</v>
      </c>
      <c r="F264" t="str">
        <f ca="1">IFERROR(__xludf.DUMMYFUNCTION("""COMPUTED_VALUE"""),"Thrissur")</f>
        <v>Thrissur</v>
      </c>
      <c r="G264" t="str">
        <f ca="1">IFERROR(__xludf.DUMMYFUNCTION("""COMPUTED_VALUE"""),"Kraftwork Solar Pvt Ltd")</f>
        <v>Kraftwork Solar Pvt Ltd</v>
      </c>
      <c r="H264">
        <f ca="1">IFERROR(__xludf.DUMMYFUNCTION("""COMPUTED_VALUE"""),26)</f>
        <v>26</v>
      </c>
      <c r="I264" s="4">
        <f ca="1">IFERROR(__xludf.DUMMYFUNCTION("""COMPUTED_VALUE"""),43178)</f>
        <v>43178</v>
      </c>
      <c r="J264">
        <f ca="1">IFERROR(__xludf.DUMMYFUNCTION("""COMPUTED_VALUE"""),3)</f>
        <v>3</v>
      </c>
      <c r="K264">
        <f ca="1">IFERROR(__xludf.DUMMYFUNCTION("""COMPUTED_VALUE"""),2156731700216)</f>
        <v>2156731700216</v>
      </c>
      <c r="L264" t="str">
        <f ca="1">IFERROR(__xludf.DUMMYFUNCTION("""COMPUTED_VALUE"""),"Marathakkara")</f>
        <v>Marathakkara</v>
      </c>
      <c r="M264" t="str">
        <f ca="1">IFERROR(__xludf.DUMMYFUNCTION("""COMPUTED_VALUE"""),"I Accept")</f>
        <v>I Accept</v>
      </c>
      <c r="N264" s="4">
        <f ca="1">IFERROR(__xludf.DUMMYFUNCTION("""COMPUTED_VALUE"""),43179)</f>
        <v>43179</v>
      </c>
      <c r="O264" s="4">
        <f ca="1">IFERROR(__xludf.DUMMYFUNCTION("""COMPUTED_VALUE"""),43179)</f>
        <v>43179</v>
      </c>
      <c r="P264">
        <f ca="1">IFERROR(__xludf.DUMMYFUNCTION("""COMPUTED_VALUE"""),33)</f>
        <v>33</v>
      </c>
      <c r="Q264" t="str">
        <f ca="1">IFERROR(__xludf.DUMMYFUNCTION("""COMPUTED_VALUE"""),"info@kraftworksolar.com")</f>
        <v>info@kraftworksolar.com</v>
      </c>
      <c r="R264" s="2" t="s">
        <v>2678</v>
      </c>
    </row>
    <row r="265" spans="1:18" ht="13" x14ac:dyDescent="0.15">
      <c r="A265" s="3">
        <f ca="1">IFERROR(__xludf.DUMMYFUNCTION("""COMPUTED_VALUE"""),43187.4899504166)</f>
        <v>43187.489950416602</v>
      </c>
      <c r="B265" t="str">
        <f ca="1">IFERROR(__xludf.DUMMYFUNCTION("""COMPUTED_VALUE"""),"biji.rani@gmail.com")</f>
        <v>biji.rani@gmail.com</v>
      </c>
      <c r="C265">
        <f ca="1">IFERROR(__xludf.DUMMYFUNCTION("""COMPUTED_VALUE"""),243)</f>
        <v>243</v>
      </c>
      <c r="D265" t="str">
        <f ca="1">IFERROR(__xludf.DUMMYFUNCTION("""COMPUTED_VALUE"""),"Jacob Mathews")</f>
        <v>Jacob Mathews</v>
      </c>
      <c r="E265">
        <f ca="1">IFERROR(__xludf.DUMMYFUNCTION("""COMPUTED_VALUE"""),9400732197)</f>
        <v>9400732197</v>
      </c>
      <c r="F265" t="str">
        <f ca="1">IFERROR(__xludf.DUMMYFUNCTION("""COMPUTED_VALUE"""),"Thiruvananthapuram")</f>
        <v>Thiruvananthapuram</v>
      </c>
      <c r="G265" t="str">
        <f ca="1">IFERROR(__xludf.DUMMYFUNCTION("""COMPUTED_VALUE"""),"TATA POWER SOLAR SYSTEMS LTD")</f>
        <v>TATA POWER SOLAR SYSTEMS LTD</v>
      </c>
      <c r="H265">
        <f ca="1">IFERROR(__xludf.DUMMYFUNCTION("""COMPUTED_VALUE"""),20)</f>
        <v>20</v>
      </c>
      <c r="I265" s="4">
        <f ca="1">IFERROR(__xludf.DUMMYFUNCTION("""COMPUTED_VALUE"""),43160)</f>
        <v>43160</v>
      </c>
      <c r="J265">
        <f ca="1">IFERROR(__xludf.DUMMYFUNCTION("""COMPUTED_VALUE"""),3)</f>
        <v>3</v>
      </c>
      <c r="K265">
        <f ca="1">IFERROR(__xludf.DUMMYFUNCTION("""COMPUTED_VALUE"""),1146765002099)</f>
        <v>1146765002099</v>
      </c>
      <c r="L265" t="str">
        <f ca="1">IFERROR(__xludf.DUMMYFUNCTION("""COMPUTED_VALUE"""),"Kodappanakunnu")</f>
        <v>Kodappanakunnu</v>
      </c>
      <c r="M265" t="str">
        <f ca="1">IFERROR(__xludf.DUMMYFUNCTION("""COMPUTED_VALUE"""),"I Accept")</f>
        <v>I Accept</v>
      </c>
      <c r="N265" s="4">
        <f ca="1">IFERROR(__xludf.DUMMYFUNCTION("""COMPUTED_VALUE"""),43150)</f>
        <v>43150</v>
      </c>
      <c r="O265" s="4">
        <f ca="1">IFERROR(__xludf.DUMMYFUNCTION("""COMPUTED_VALUE"""),43150)</f>
        <v>43150</v>
      </c>
      <c r="P265">
        <f ca="1">IFERROR(__xludf.DUMMYFUNCTION("""COMPUTED_VALUE"""),3)</f>
        <v>3</v>
      </c>
      <c r="Q265" t="str">
        <f ca="1">IFERROR(__xludf.DUMMYFUNCTION("""COMPUTED_VALUE"""),"biji.rani@gmail.com")</f>
        <v>biji.rani@gmail.com</v>
      </c>
      <c r="R265" s="2" t="s">
        <v>2679</v>
      </c>
    </row>
    <row r="266" spans="1:18" ht="13" x14ac:dyDescent="0.15">
      <c r="A266" s="3">
        <f ca="1">IFERROR(__xludf.DUMMYFUNCTION("""COMPUTED_VALUE"""),43187.4938296412)</f>
        <v>43187.4938296412</v>
      </c>
      <c r="B266" t="str">
        <f ca="1">IFERROR(__xludf.DUMMYFUNCTION("""COMPUTED_VALUE"""),"vsscanoop@gmail.com")</f>
        <v>vsscanoop@gmail.com</v>
      </c>
      <c r="C266">
        <f ca="1">IFERROR(__xludf.DUMMYFUNCTION("""COMPUTED_VALUE"""),353)</f>
        <v>353</v>
      </c>
      <c r="D266" t="str">
        <f ca="1">IFERROR(__xludf.DUMMYFUNCTION("""COMPUTED_VALUE"""),"Anoop V")</f>
        <v>Anoop V</v>
      </c>
      <c r="E266">
        <f ca="1">IFERROR(__xludf.DUMMYFUNCTION("""COMPUTED_VALUE"""),9633154618)</f>
        <v>9633154618</v>
      </c>
      <c r="F266" t="str">
        <f ca="1">IFERROR(__xludf.DUMMYFUNCTION("""COMPUTED_VALUE"""),"Thiruvananthapuram")</f>
        <v>Thiruvananthapuram</v>
      </c>
      <c r="G266" t="str">
        <f ca="1">IFERROR(__xludf.DUMMYFUNCTION("""COMPUTED_VALUE"""),"TATA POWER SOLAR SYSTEMS LTD")</f>
        <v>TATA POWER SOLAR SYSTEMS LTD</v>
      </c>
      <c r="H266">
        <f ca="1">IFERROR(__xludf.DUMMYFUNCTION("""COMPUTED_VALUE"""),20)</f>
        <v>20</v>
      </c>
      <c r="I266" s="4">
        <f ca="1">IFERROR(__xludf.DUMMYFUNCTION("""COMPUTED_VALUE"""),43162)</f>
        <v>43162</v>
      </c>
      <c r="J266">
        <f ca="1">IFERROR(__xludf.DUMMYFUNCTION("""COMPUTED_VALUE"""),2)</f>
        <v>2</v>
      </c>
      <c r="K266">
        <f ca="1">IFERROR(__xludf.DUMMYFUNCTION("""COMPUTED_VALUE"""),1145217025351)</f>
        <v>1145217025351</v>
      </c>
      <c r="L266" t="str">
        <f ca="1">IFERROR(__xludf.DUMMYFUNCTION("""COMPUTED_VALUE"""),"Kazhakuttam")</f>
        <v>Kazhakuttam</v>
      </c>
      <c r="M266" t="str">
        <f ca="1">IFERROR(__xludf.DUMMYFUNCTION("""COMPUTED_VALUE"""),"I Accept")</f>
        <v>I Accept</v>
      </c>
      <c r="N266" s="4">
        <f ca="1">IFERROR(__xludf.DUMMYFUNCTION("""COMPUTED_VALUE"""),43176)</f>
        <v>43176</v>
      </c>
      <c r="O266" s="4">
        <f ca="1">IFERROR(__xludf.DUMMYFUNCTION("""COMPUTED_VALUE"""),43173)</f>
        <v>43173</v>
      </c>
      <c r="P266">
        <f ca="1">IFERROR(__xludf.DUMMYFUNCTION("""COMPUTED_VALUE"""),2)</f>
        <v>2</v>
      </c>
      <c r="Q266" t="str">
        <f ca="1">IFERROR(__xludf.DUMMYFUNCTION("""COMPUTED_VALUE"""),"vsscanoop@gmail.com")</f>
        <v>vsscanoop@gmail.com</v>
      </c>
      <c r="R266" s="2" t="s">
        <v>2680</v>
      </c>
    </row>
    <row r="267" spans="1:18" ht="13" x14ac:dyDescent="0.15">
      <c r="A267" s="3">
        <f ca="1">IFERROR(__xludf.DUMMYFUNCTION("""COMPUTED_VALUE"""),43187.5347762384)</f>
        <v>43187.534776238397</v>
      </c>
      <c r="B267" t="str">
        <f ca="1">IFERROR(__xludf.DUMMYFUNCTION("""COMPUTED_VALUE"""),"lesliejojo190@gmail.com")</f>
        <v>lesliejojo190@gmail.com</v>
      </c>
      <c r="C267">
        <f ca="1">IFERROR(__xludf.DUMMYFUNCTION("""COMPUTED_VALUE"""),153)</f>
        <v>153</v>
      </c>
      <c r="D267" t="str">
        <f ca="1">IFERROR(__xludf.DUMMYFUNCTION("""COMPUTED_VALUE"""),"Velammal Harihar")</f>
        <v>Velammal Harihar</v>
      </c>
      <c r="E267">
        <f ca="1">IFERROR(__xludf.DUMMYFUNCTION("""COMPUTED_VALUE"""),9961003336)</f>
        <v>9961003336</v>
      </c>
      <c r="F267" t="str">
        <f ca="1">IFERROR(__xludf.DUMMYFUNCTION("""COMPUTED_VALUE"""),"Thiruvananthapuram")</f>
        <v>Thiruvananthapuram</v>
      </c>
      <c r="G267" t="str">
        <f ca="1">IFERROR(__xludf.DUMMYFUNCTION("""COMPUTED_VALUE"""),"TATA POWER SOLAR SYSTEMS LTD")</f>
        <v>TATA POWER SOLAR SYSTEMS LTD</v>
      </c>
      <c r="H267">
        <f ca="1">IFERROR(__xludf.DUMMYFUNCTION("""COMPUTED_VALUE"""),20)</f>
        <v>20</v>
      </c>
      <c r="I267" s="4">
        <f ca="1">IFERROR(__xludf.DUMMYFUNCTION("""COMPUTED_VALUE"""),43161)</f>
        <v>43161</v>
      </c>
      <c r="J267">
        <f ca="1">IFERROR(__xludf.DUMMYFUNCTION("""COMPUTED_VALUE"""),3)</f>
        <v>3</v>
      </c>
      <c r="K267">
        <f ca="1">IFERROR(__xludf.DUMMYFUNCTION("""COMPUTED_VALUE"""),1145069003477)</f>
        <v>1145069003477</v>
      </c>
      <c r="L267" t="str">
        <f ca="1">IFERROR(__xludf.DUMMYFUNCTION("""COMPUTED_VALUE"""),"Cantonment")</f>
        <v>Cantonment</v>
      </c>
      <c r="M267" t="str">
        <f ca="1">IFERROR(__xludf.DUMMYFUNCTION("""COMPUTED_VALUE"""),"I Accept")</f>
        <v>I Accept</v>
      </c>
      <c r="N267" s="4">
        <f ca="1">IFERROR(__xludf.DUMMYFUNCTION("""COMPUTED_VALUE"""),43147)</f>
        <v>43147</v>
      </c>
      <c r="O267" s="4">
        <f ca="1">IFERROR(__xludf.DUMMYFUNCTION("""COMPUTED_VALUE"""),43147)</f>
        <v>43147</v>
      </c>
      <c r="P267">
        <f ca="1">IFERROR(__xludf.DUMMYFUNCTION("""COMPUTED_VALUE"""),3)</f>
        <v>3</v>
      </c>
      <c r="Q267" t="str">
        <f ca="1">IFERROR(__xludf.DUMMYFUNCTION("""COMPUTED_VALUE"""),"lesliejojo190@gmail.com")</f>
        <v>lesliejojo190@gmail.com</v>
      </c>
      <c r="R267" s="2" t="s">
        <v>2681</v>
      </c>
    </row>
    <row r="268" spans="1:18" ht="13" x14ac:dyDescent="0.15">
      <c r="A268" s="3">
        <f ca="1">IFERROR(__xludf.DUMMYFUNCTION("""COMPUTED_VALUE"""),43187.541350787)</f>
        <v>43187.541350787003</v>
      </c>
      <c r="B268" t="str">
        <f ca="1">IFERROR(__xludf.DUMMYFUNCTION("""COMPUTED_VALUE"""),"haripillailic@yahoo.com")</f>
        <v>haripillailic@yahoo.com</v>
      </c>
      <c r="C268">
        <f ca="1">IFERROR(__xludf.DUMMYFUNCTION("""COMPUTED_VALUE"""),33)</f>
        <v>33</v>
      </c>
      <c r="D268" t="str">
        <f ca="1">IFERROR(__xludf.DUMMYFUNCTION("""COMPUTED_VALUE"""),"Hari T Pillai")</f>
        <v>Hari T Pillai</v>
      </c>
      <c r="E268">
        <f ca="1">IFERROR(__xludf.DUMMYFUNCTION("""COMPUTED_VALUE"""),9447047320)</f>
        <v>9447047320</v>
      </c>
      <c r="F268" t="str">
        <f ca="1">IFERROR(__xludf.DUMMYFUNCTION("""COMPUTED_VALUE"""),"Thiruvananthapuram")</f>
        <v>Thiruvananthapuram</v>
      </c>
      <c r="G268" t="str">
        <f ca="1">IFERROR(__xludf.DUMMYFUNCTION("""COMPUTED_VALUE"""),"TATA POWER SOLAR SYSTEMS LTD")</f>
        <v>TATA POWER SOLAR SYSTEMS LTD</v>
      </c>
      <c r="H268">
        <f ca="1">IFERROR(__xludf.DUMMYFUNCTION("""COMPUTED_VALUE"""),20)</f>
        <v>20</v>
      </c>
      <c r="I268" s="4">
        <f ca="1">IFERROR(__xludf.DUMMYFUNCTION("""COMPUTED_VALUE"""),43167)</f>
        <v>43167</v>
      </c>
      <c r="J268">
        <f ca="1">IFERROR(__xludf.DUMMYFUNCTION("""COMPUTED_VALUE"""),3)</f>
        <v>3</v>
      </c>
      <c r="K268">
        <f ca="1">IFERROR(__xludf.DUMMYFUNCTION("""COMPUTED_VALUE"""),1145041010222)</f>
        <v>1145041010222</v>
      </c>
      <c r="L268" t="str">
        <f ca="1">IFERROR(__xludf.DUMMYFUNCTION("""COMPUTED_VALUE"""),"Puthenchantha")</f>
        <v>Puthenchantha</v>
      </c>
      <c r="M268" t="str">
        <f ca="1">IFERROR(__xludf.DUMMYFUNCTION("""COMPUTED_VALUE"""),"I Accept")</f>
        <v>I Accept</v>
      </c>
      <c r="N268" s="4">
        <f ca="1">IFERROR(__xludf.DUMMYFUNCTION("""COMPUTED_VALUE"""),43162)</f>
        <v>43162</v>
      </c>
      <c r="O268" s="4">
        <f ca="1">IFERROR(__xludf.DUMMYFUNCTION("""COMPUTED_VALUE"""),43162)</f>
        <v>43162</v>
      </c>
      <c r="P268">
        <f ca="1">IFERROR(__xludf.DUMMYFUNCTION("""COMPUTED_VALUE"""),3)</f>
        <v>3</v>
      </c>
      <c r="Q268" t="str">
        <f ca="1">IFERROR(__xludf.DUMMYFUNCTION("""COMPUTED_VALUE"""),"haripillailic@yahoo.com")</f>
        <v>haripillailic@yahoo.com</v>
      </c>
      <c r="R268" s="2" t="s">
        <v>2682</v>
      </c>
    </row>
    <row r="269" spans="1:18" ht="13" x14ac:dyDescent="0.15">
      <c r="A269" s="3">
        <f ca="1">IFERROR(__xludf.DUMMYFUNCTION("""COMPUTED_VALUE"""),43187.5478921759)</f>
        <v>43187.547892175899</v>
      </c>
      <c r="B269" t="str">
        <f ca="1">IFERROR(__xludf.DUMMYFUNCTION("""COMPUTED_VALUE"""),"bijusoman@gmail.com")</f>
        <v>bijusoman@gmail.com</v>
      </c>
      <c r="C269">
        <f ca="1">IFERROR(__xludf.DUMMYFUNCTION("""COMPUTED_VALUE"""),309)</f>
        <v>309</v>
      </c>
      <c r="D269" t="str">
        <f ca="1">IFERROR(__xludf.DUMMYFUNCTION("""COMPUTED_VALUE"""),"Dr. Biju Soman")</f>
        <v>Dr. Biju Soman</v>
      </c>
      <c r="E269">
        <f ca="1">IFERROR(__xludf.DUMMYFUNCTION("""COMPUTED_VALUE"""),9447862736)</f>
        <v>9447862736</v>
      </c>
      <c r="F269" t="str">
        <f ca="1">IFERROR(__xludf.DUMMYFUNCTION("""COMPUTED_VALUE"""),"Thiruvananthapuram")</f>
        <v>Thiruvananthapuram</v>
      </c>
      <c r="G269" t="str">
        <f ca="1">IFERROR(__xludf.DUMMYFUNCTION("""COMPUTED_VALUE"""),"TATA POWER SOLAR SYSTEMS LTD")</f>
        <v>TATA POWER SOLAR SYSTEMS LTD</v>
      </c>
      <c r="H269">
        <f ca="1">IFERROR(__xludf.DUMMYFUNCTION("""COMPUTED_VALUE"""),20)</f>
        <v>20</v>
      </c>
      <c r="I269" s="4">
        <f ca="1">IFERROR(__xludf.DUMMYFUNCTION("""COMPUTED_VALUE"""),43171)</f>
        <v>43171</v>
      </c>
      <c r="J269">
        <f ca="1">IFERROR(__xludf.DUMMYFUNCTION("""COMPUTED_VALUE"""),3)</f>
        <v>3</v>
      </c>
      <c r="K269">
        <f ca="1">IFERROR(__xludf.DUMMYFUNCTION("""COMPUTED_VALUE"""),1145171011186)</f>
        <v>1145171011186</v>
      </c>
      <c r="L269" t="str">
        <f ca="1">IFERROR(__xludf.DUMMYFUNCTION("""COMPUTED_VALUE"""),"Ulloor")</f>
        <v>Ulloor</v>
      </c>
      <c r="M269" t="str">
        <f ca="1">IFERROR(__xludf.DUMMYFUNCTION("""COMPUTED_VALUE"""),"I Accept")</f>
        <v>I Accept</v>
      </c>
      <c r="N269" s="4">
        <f ca="1">IFERROR(__xludf.DUMMYFUNCTION("""COMPUTED_VALUE"""),43152)</f>
        <v>43152</v>
      </c>
      <c r="O269" s="4">
        <f ca="1">IFERROR(__xludf.DUMMYFUNCTION("""COMPUTED_VALUE"""),43152)</f>
        <v>43152</v>
      </c>
      <c r="P269">
        <f ca="1">IFERROR(__xludf.DUMMYFUNCTION("""COMPUTED_VALUE"""),3)</f>
        <v>3</v>
      </c>
      <c r="Q269" t="str">
        <f ca="1">IFERROR(__xludf.DUMMYFUNCTION("""COMPUTED_VALUE"""),"bijusoman@gmail.com")</f>
        <v>bijusoman@gmail.com</v>
      </c>
      <c r="R269" s="2" t="s">
        <v>2683</v>
      </c>
    </row>
    <row r="270" spans="1:18" ht="13" x14ac:dyDescent="0.15">
      <c r="A270" s="3">
        <f ca="1">IFERROR(__xludf.DUMMYFUNCTION("""COMPUTED_VALUE"""),43187.5535593981)</f>
        <v>43187.553559398097</v>
      </c>
      <c r="B270" t="str">
        <f ca="1">IFERROR(__xludf.DUMMYFUNCTION("""COMPUTED_VALUE"""),"sree.kumar@kw.g4s.com")</f>
        <v>sree.kumar@kw.g4s.com</v>
      </c>
      <c r="C270">
        <f ca="1">IFERROR(__xludf.DUMMYFUNCTION("""COMPUTED_VALUE"""),126)</f>
        <v>126</v>
      </c>
      <c r="D270" t="str">
        <f ca="1">IFERROR(__xludf.DUMMYFUNCTION("""COMPUTED_VALUE"""),"Somadevan Sreekumar")</f>
        <v>Somadevan Sreekumar</v>
      </c>
      <c r="E270">
        <f ca="1">IFERROR(__xludf.DUMMYFUNCTION("""COMPUTED_VALUE"""),9496587592)</f>
        <v>9496587592</v>
      </c>
      <c r="F270" t="str">
        <f ca="1">IFERROR(__xludf.DUMMYFUNCTION("""COMPUTED_VALUE"""),"Thiruvananthapuram")</f>
        <v>Thiruvananthapuram</v>
      </c>
      <c r="G270" t="str">
        <f ca="1">IFERROR(__xludf.DUMMYFUNCTION("""COMPUTED_VALUE"""),"TATA POWER SOLAR SYSTEMS LTD")</f>
        <v>TATA POWER SOLAR SYSTEMS LTD</v>
      </c>
      <c r="H270">
        <f ca="1">IFERROR(__xludf.DUMMYFUNCTION("""COMPUTED_VALUE"""),20)</f>
        <v>20</v>
      </c>
      <c r="I270" s="4">
        <f ca="1">IFERROR(__xludf.DUMMYFUNCTION("""COMPUTED_VALUE"""),43171)</f>
        <v>43171</v>
      </c>
      <c r="J270">
        <f ca="1">IFERROR(__xludf.DUMMYFUNCTION("""COMPUTED_VALUE"""),5)</f>
        <v>5</v>
      </c>
      <c r="K270">
        <f ca="1">IFERROR(__xludf.DUMMYFUNCTION("""COMPUTED_VALUE"""),1145199012954)</f>
        <v>1145199012954</v>
      </c>
      <c r="L270" t="str">
        <f ca="1">IFERROR(__xludf.DUMMYFUNCTION("""COMPUTED_VALUE"""),"Sreekariyam")</f>
        <v>Sreekariyam</v>
      </c>
      <c r="M270" t="str">
        <f ca="1">IFERROR(__xludf.DUMMYFUNCTION("""COMPUTED_VALUE"""),"I Accept")</f>
        <v>I Accept</v>
      </c>
      <c r="N270" s="4">
        <f ca="1">IFERROR(__xludf.DUMMYFUNCTION("""COMPUTED_VALUE"""),43158)</f>
        <v>43158</v>
      </c>
      <c r="O270" s="4">
        <f ca="1">IFERROR(__xludf.DUMMYFUNCTION("""COMPUTED_VALUE"""),43158)</f>
        <v>43158</v>
      </c>
      <c r="P270">
        <f ca="1">IFERROR(__xludf.DUMMYFUNCTION("""COMPUTED_VALUE"""),5)</f>
        <v>5</v>
      </c>
      <c r="Q270" t="str">
        <f ca="1">IFERROR(__xludf.DUMMYFUNCTION("""COMPUTED_VALUE"""),"sree.kumar@kw.g4s.com")</f>
        <v>sree.kumar@kw.g4s.com</v>
      </c>
      <c r="R270" s="2" t="s">
        <v>2684</v>
      </c>
    </row>
    <row r="271" spans="1:18" ht="13" x14ac:dyDescent="0.15">
      <c r="A271" s="3">
        <f ca="1">IFERROR(__xludf.DUMMYFUNCTION("""COMPUTED_VALUE"""),43187.5669298611)</f>
        <v>43187.566929861103</v>
      </c>
      <c r="B271" t="str">
        <f ca="1">IFERROR(__xludf.DUMMYFUNCTION("""COMPUTED_VALUE"""),"kdantees@gmail.com")</f>
        <v>kdantees@gmail.com</v>
      </c>
      <c r="C271">
        <f ca="1">IFERROR(__xludf.DUMMYFUNCTION("""COMPUTED_VALUE"""),583)</f>
        <v>583</v>
      </c>
      <c r="D271" t="str">
        <f ca="1">IFERROR(__xludf.DUMMYFUNCTION("""COMPUTED_VALUE"""),"Kalarani D M")</f>
        <v>Kalarani D M</v>
      </c>
      <c r="E271">
        <f ca="1">IFERROR(__xludf.DUMMYFUNCTION("""COMPUTED_VALUE"""),9495517221)</f>
        <v>9495517221</v>
      </c>
      <c r="F271" t="str">
        <f ca="1">IFERROR(__xludf.DUMMYFUNCTION("""COMPUTED_VALUE"""),"Thiruvananthapuram")</f>
        <v>Thiruvananthapuram</v>
      </c>
      <c r="G271" t="str">
        <f ca="1">IFERROR(__xludf.DUMMYFUNCTION("""COMPUTED_VALUE"""),"TATA POWER SOLAR SYSTEMS LTD")</f>
        <v>TATA POWER SOLAR SYSTEMS LTD</v>
      </c>
      <c r="H271">
        <f ca="1">IFERROR(__xludf.DUMMYFUNCTION("""COMPUTED_VALUE"""),20)</f>
        <v>20</v>
      </c>
      <c r="I271" s="4">
        <f ca="1">IFERROR(__xludf.DUMMYFUNCTION("""COMPUTED_VALUE"""),43183)</f>
        <v>43183</v>
      </c>
      <c r="J271">
        <f ca="1">IFERROR(__xludf.DUMMYFUNCTION("""COMPUTED_VALUE"""),5)</f>
        <v>5</v>
      </c>
      <c r="K271">
        <f ca="1">IFERROR(__xludf.DUMMYFUNCTION("""COMPUTED_VALUE"""),1145320025243)</f>
        <v>1145320025243</v>
      </c>
      <c r="L271" t="str">
        <f ca="1">IFERROR(__xludf.DUMMYFUNCTION("""COMPUTED_VALUE"""),"Avanavancherry")</f>
        <v>Avanavancherry</v>
      </c>
      <c r="M271" t="str">
        <f ca="1">IFERROR(__xludf.DUMMYFUNCTION("""COMPUTED_VALUE"""),"I Accept")</f>
        <v>I Accept</v>
      </c>
      <c r="N271" s="4">
        <f ca="1">IFERROR(__xludf.DUMMYFUNCTION("""COMPUTED_VALUE"""),43176)</f>
        <v>43176</v>
      </c>
      <c r="O271" s="4">
        <f ca="1">IFERROR(__xludf.DUMMYFUNCTION("""COMPUTED_VALUE"""),43176)</f>
        <v>43176</v>
      </c>
      <c r="P271">
        <f ca="1">IFERROR(__xludf.DUMMYFUNCTION("""COMPUTED_VALUE"""),5)</f>
        <v>5</v>
      </c>
      <c r="Q271" t="str">
        <f ca="1">IFERROR(__xludf.DUMMYFUNCTION("""COMPUTED_VALUE"""),"kdantees@gmail.com")</f>
        <v>kdantees@gmail.com</v>
      </c>
      <c r="R271" s="2" t="s">
        <v>2685</v>
      </c>
    </row>
    <row r="272" spans="1:18" ht="13" x14ac:dyDescent="0.15">
      <c r="A272" s="3">
        <f ca="1">IFERROR(__xludf.DUMMYFUNCTION("""COMPUTED_VALUE"""),43187.57096125)</f>
        <v>43187.57096125</v>
      </c>
      <c r="B272" t="str">
        <f ca="1">IFERROR(__xludf.DUMMYFUNCTION("""COMPUTED_VALUE"""),"linsalal@gmail.com")</f>
        <v>linsalal@gmail.com</v>
      </c>
      <c r="C272">
        <f ca="1">IFERROR(__xludf.DUMMYFUNCTION("""COMPUTED_VALUE"""),537)</f>
        <v>537</v>
      </c>
      <c r="D272" t="str">
        <f ca="1">IFERROR(__xludf.DUMMYFUNCTION("""COMPUTED_VALUE"""),"Linsa Ratnalal S")</f>
        <v>Linsa Ratnalal S</v>
      </c>
      <c r="E272">
        <f ca="1">IFERROR(__xludf.DUMMYFUNCTION("""COMPUTED_VALUE"""),9447699915)</f>
        <v>9447699915</v>
      </c>
      <c r="F272" t="str">
        <f ca="1">IFERROR(__xludf.DUMMYFUNCTION("""COMPUTED_VALUE"""),"Thiruvananthapuram")</f>
        <v>Thiruvananthapuram</v>
      </c>
      <c r="G272" t="str">
        <f ca="1">IFERROR(__xludf.DUMMYFUNCTION("""COMPUTED_VALUE"""),"TATA POWER SOLAR SYSTEMS LTD")</f>
        <v>TATA POWER SOLAR SYSTEMS LTD</v>
      </c>
      <c r="H272">
        <f ca="1">IFERROR(__xludf.DUMMYFUNCTION("""COMPUTED_VALUE"""),20)</f>
        <v>20</v>
      </c>
      <c r="I272" s="4">
        <f ca="1">IFERROR(__xludf.DUMMYFUNCTION("""COMPUTED_VALUE"""),43172)</f>
        <v>43172</v>
      </c>
      <c r="J272">
        <f ca="1">IFERROR(__xludf.DUMMYFUNCTION("""COMPUTED_VALUE"""),3)</f>
        <v>3</v>
      </c>
      <c r="K272">
        <f ca="1">IFERROR(__xludf.DUMMYFUNCTION("""COMPUTED_VALUE"""),1145068011689)</f>
        <v>1145068011689</v>
      </c>
      <c r="L272" t="str">
        <f ca="1">IFERROR(__xludf.DUMMYFUNCTION("""COMPUTED_VALUE"""),"Cantonment")</f>
        <v>Cantonment</v>
      </c>
      <c r="M272" t="str">
        <f ca="1">IFERROR(__xludf.DUMMYFUNCTION("""COMPUTED_VALUE"""),"I Accept")</f>
        <v>I Accept</v>
      </c>
      <c r="N272" s="4">
        <f ca="1">IFERROR(__xludf.DUMMYFUNCTION("""COMPUTED_VALUE"""),43166)</f>
        <v>43166</v>
      </c>
      <c r="O272" s="4">
        <f ca="1">IFERROR(__xludf.DUMMYFUNCTION("""COMPUTED_VALUE"""),43166)</f>
        <v>43166</v>
      </c>
      <c r="P272">
        <f ca="1">IFERROR(__xludf.DUMMYFUNCTION("""COMPUTED_VALUE"""),3)</f>
        <v>3</v>
      </c>
      <c r="Q272" t="str">
        <f ca="1">IFERROR(__xludf.DUMMYFUNCTION("""COMPUTED_VALUE"""),"linsalal@gmail.com")</f>
        <v>linsalal@gmail.com</v>
      </c>
      <c r="R272" s="2" t="s">
        <v>2686</v>
      </c>
    </row>
    <row r="273" spans="1:18" ht="13" x14ac:dyDescent="0.15">
      <c r="A273" s="3">
        <f ca="1">IFERROR(__xludf.DUMMYFUNCTION("""COMPUTED_VALUE"""),43187.5850517245)</f>
        <v>43187.585051724498</v>
      </c>
      <c r="B273" t="str">
        <f ca="1">IFERROR(__xludf.DUMMYFUNCTION("""COMPUTED_VALUE"""),"roop_asha@yahoo.com")</f>
        <v>roop_asha@yahoo.com</v>
      </c>
      <c r="C273">
        <f ca="1">IFERROR(__xludf.DUMMYFUNCTION("""COMPUTED_VALUE"""),222)</f>
        <v>222</v>
      </c>
      <c r="D273" t="str">
        <f ca="1">IFERROR(__xludf.DUMMYFUNCTION("""COMPUTED_VALUE"""),"Roop Kumar Anacletus")</f>
        <v>Roop Kumar Anacletus</v>
      </c>
      <c r="E273">
        <f ca="1">IFERROR(__xludf.DUMMYFUNCTION("""COMPUTED_VALUE"""),7025093344)</f>
        <v>7025093344</v>
      </c>
      <c r="F273" t="str">
        <f ca="1">IFERROR(__xludf.DUMMYFUNCTION("""COMPUTED_VALUE"""),"Thiruvananthapuram")</f>
        <v>Thiruvananthapuram</v>
      </c>
      <c r="G273" t="str">
        <f ca="1">IFERROR(__xludf.DUMMYFUNCTION("""COMPUTED_VALUE"""),"TATA POWER SOLAR SYSTEMS LTD")</f>
        <v>TATA POWER SOLAR SYSTEMS LTD</v>
      </c>
      <c r="H273">
        <f ca="1">IFERROR(__xludf.DUMMYFUNCTION("""COMPUTED_VALUE"""),20)</f>
        <v>20</v>
      </c>
      <c r="I273" s="4">
        <f ca="1">IFERROR(__xludf.DUMMYFUNCTION("""COMPUTED_VALUE"""),43172)</f>
        <v>43172</v>
      </c>
      <c r="J273">
        <f ca="1">IFERROR(__xludf.DUMMYFUNCTION("""COMPUTED_VALUE"""),5)</f>
        <v>5</v>
      </c>
      <c r="K273">
        <f ca="1">IFERROR(__xludf.DUMMYFUNCTION("""COMPUTED_VALUE"""),1145198019789)</f>
        <v>1145198019789</v>
      </c>
      <c r="L273" t="str">
        <f ca="1">IFERROR(__xludf.DUMMYFUNCTION("""COMPUTED_VALUE"""),"Sreekariyam")</f>
        <v>Sreekariyam</v>
      </c>
      <c r="M273" t="str">
        <f ca="1">IFERROR(__xludf.DUMMYFUNCTION("""COMPUTED_VALUE"""),"I Accept")</f>
        <v>I Accept</v>
      </c>
      <c r="N273" s="4">
        <f ca="1">IFERROR(__xludf.DUMMYFUNCTION("""COMPUTED_VALUE"""),43173)</f>
        <v>43173</v>
      </c>
      <c r="O273" s="4">
        <f ca="1">IFERROR(__xludf.DUMMYFUNCTION("""COMPUTED_VALUE"""),43173)</f>
        <v>43173</v>
      </c>
      <c r="P273">
        <f ca="1">IFERROR(__xludf.DUMMYFUNCTION("""COMPUTED_VALUE"""),5)</f>
        <v>5</v>
      </c>
      <c r="Q273" t="str">
        <f ca="1">IFERROR(__xludf.DUMMYFUNCTION("""COMPUTED_VALUE"""),"roop_asha@yahoo.com")</f>
        <v>roop_asha@yahoo.com</v>
      </c>
      <c r="R273" s="2" t="s">
        <v>2687</v>
      </c>
    </row>
    <row r="274" spans="1:18" ht="13" x14ac:dyDescent="0.15">
      <c r="A274" s="3">
        <f ca="1">IFERROR(__xludf.DUMMYFUNCTION("""COMPUTED_VALUE"""),43187.5884017361)</f>
        <v>43187.588401736102</v>
      </c>
      <c r="B274" t="str">
        <f ca="1">IFERROR(__xludf.DUMMYFUNCTION("""COMPUTED_VALUE"""),"sudleycardoza@gmail.com")</f>
        <v>sudleycardoza@gmail.com</v>
      </c>
      <c r="C274">
        <f ca="1">IFERROR(__xludf.DUMMYFUNCTION("""COMPUTED_VALUE"""),200)</f>
        <v>200</v>
      </c>
      <c r="D274" t="str">
        <f ca="1">IFERROR(__xludf.DUMMYFUNCTION("""COMPUTED_VALUE"""),"Angus Sudley Cardoza")</f>
        <v>Angus Sudley Cardoza</v>
      </c>
      <c r="E274">
        <f ca="1">IFERROR(__xludf.DUMMYFUNCTION("""COMPUTED_VALUE"""),9447011018)</f>
        <v>9447011018</v>
      </c>
      <c r="F274" t="str">
        <f ca="1">IFERROR(__xludf.DUMMYFUNCTION("""COMPUTED_VALUE"""),"Thiruvananthapuram")</f>
        <v>Thiruvananthapuram</v>
      </c>
      <c r="G274" t="str">
        <f ca="1">IFERROR(__xludf.DUMMYFUNCTION("""COMPUTED_VALUE"""),"TATA POWER SOLAR SYSTEMS LTD")</f>
        <v>TATA POWER SOLAR SYSTEMS LTD</v>
      </c>
      <c r="H274">
        <f ca="1">IFERROR(__xludf.DUMMYFUNCTION("""COMPUTED_VALUE"""),20)</f>
        <v>20</v>
      </c>
      <c r="I274" s="4">
        <f ca="1">IFERROR(__xludf.DUMMYFUNCTION("""COMPUTED_VALUE"""),43162)</f>
        <v>43162</v>
      </c>
      <c r="J274">
        <f ca="1">IFERROR(__xludf.DUMMYFUNCTION("""COMPUTED_VALUE"""),3)</f>
        <v>3</v>
      </c>
      <c r="K274">
        <f ca="1">IFERROR(__xludf.DUMMYFUNCTION("""COMPUTED_VALUE"""),1145168012712)</f>
        <v>1145168012712</v>
      </c>
      <c r="L274" t="str">
        <f ca="1">IFERROR(__xludf.DUMMYFUNCTION("""COMPUTED_VALUE"""),"Kesavadasapuram")</f>
        <v>Kesavadasapuram</v>
      </c>
      <c r="M274" t="str">
        <f ca="1">IFERROR(__xludf.DUMMYFUNCTION("""COMPUTED_VALUE"""),"I Accept")</f>
        <v>I Accept</v>
      </c>
      <c r="N274" s="4">
        <f ca="1">IFERROR(__xludf.DUMMYFUNCTION("""COMPUTED_VALUE"""),43159)</f>
        <v>43159</v>
      </c>
      <c r="O274" s="4">
        <f ca="1">IFERROR(__xludf.DUMMYFUNCTION("""COMPUTED_VALUE"""),43159)</f>
        <v>43159</v>
      </c>
      <c r="P274">
        <f ca="1">IFERROR(__xludf.DUMMYFUNCTION("""COMPUTED_VALUE"""),3)</f>
        <v>3</v>
      </c>
      <c r="Q274" t="str">
        <f ca="1">IFERROR(__xludf.DUMMYFUNCTION("""COMPUTED_VALUE"""),"sudleycardoza@gmail.com")</f>
        <v>sudleycardoza@gmail.com</v>
      </c>
      <c r="R274" s="2" t="s">
        <v>2688</v>
      </c>
    </row>
    <row r="275" spans="1:18" ht="13" x14ac:dyDescent="0.15">
      <c r="A275" s="3">
        <f ca="1">IFERROR(__xludf.DUMMYFUNCTION("""COMPUTED_VALUE"""),43187.5956360185)</f>
        <v>43187.595636018501</v>
      </c>
      <c r="B275" t="str">
        <f ca="1">IFERROR(__xludf.DUMMYFUNCTION("""COMPUTED_VALUE"""),"contactvinova@gmail.com")</f>
        <v>contactvinova@gmail.com</v>
      </c>
      <c r="C275">
        <f ca="1">IFERROR(__xludf.DUMMYFUNCTION("""COMPUTED_VALUE"""),495)</f>
        <v>495</v>
      </c>
      <c r="D275" t="str">
        <f ca="1">IFERROR(__xludf.DUMMYFUNCTION("""COMPUTED_VALUE"""),"R J Williams")</f>
        <v>R J Williams</v>
      </c>
      <c r="E275">
        <f ca="1">IFERROR(__xludf.DUMMYFUNCTION("""COMPUTED_VALUE"""),9388155155)</f>
        <v>9388155155</v>
      </c>
      <c r="F275" t="str">
        <f ca="1">IFERROR(__xludf.DUMMYFUNCTION("""COMPUTED_VALUE"""),"Thrissur")</f>
        <v>Thrissur</v>
      </c>
      <c r="G275" t="str">
        <f ca="1">IFERROR(__xludf.DUMMYFUNCTION("""COMPUTED_VALUE"""),"vinova energy systems")</f>
        <v>vinova energy systems</v>
      </c>
      <c r="H275">
        <f ca="1">IFERROR(__xludf.DUMMYFUNCTION("""COMPUTED_VALUE"""),48)</f>
        <v>48</v>
      </c>
      <c r="I275" s="4">
        <f ca="1">IFERROR(__xludf.DUMMYFUNCTION("""COMPUTED_VALUE"""),43187)</f>
        <v>43187</v>
      </c>
      <c r="J275">
        <f ca="1">IFERROR(__xludf.DUMMYFUNCTION("""COMPUTED_VALUE"""),5)</f>
        <v>5</v>
      </c>
      <c r="K275">
        <f ca="1">IFERROR(__xludf.DUMMYFUNCTION("""COMPUTED_VALUE"""),1156722023095)</f>
        <v>1156722023095</v>
      </c>
      <c r="L275" t="str">
        <f ca="1">IFERROR(__xludf.DUMMYFUNCTION("""COMPUTED_VALUE"""),"ollur")</f>
        <v>ollur</v>
      </c>
      <c r="M275" t="str">
        <f ca="1">IFERROR(__xludf.DUMMYFUNCTION("""COMPUTED_VALUE"""),"I Accept")</f>
        <v>I Accept</v>
      </c>
      <c r="N275" s="4">
        <f ca="1">IFERROR(__xludf.DUMMYFUNCTION("""COMPUTED_VALUE"""),43175)</f>
        <v>43175</v>
      </c>
      <c r="O275" s="4">
        <f ca="1">IFERROR(__xludf.DUMMYFUNCTION("""COMPUTED_VALUE"""),43175)</f>
        <v>43175</v>
      </c>
      <c r="P275">
        <f ca="1">IFERROR(__xludf.DUMMYFUNCTION("""COMPUTED_VALUE"""),5)</f>
        <v>5</v>
      </c>
      <c r="Q275" t="str">
        <f ca="1">IFERROR(__xludf.DUMMYFUNCTION("""COMPUTED_VALUE"""),"contactvinova@gmail.com")</f>
        <v>contactvinova@gmail.com</v>
      </c>
      <c r="R275" s="2" t="s">
        <v>2689</v>
      </c>
    </row>
    <row r="276" spans="1:18" ht="13" x14ac:dyDescent="0.15">
      <c r="A276" s="3">
        <f ca="1">IFERROR(__xludf.DUMMYFUNCTION("""COMPUTED_VALUE"""),43187.5960931018)</f>
        <v>43187.596093101798</v>
      </c>
      <c r="B276" t="str">
        <f ca="1">IFERROR(__xludf.DUMMYFUNCTION("""COMPUTED_VALUE"""),"thomsonsanitations@hotmail.com")</f>
        <v>thomsonsanitations@hotmail.com</v>
      </c>
      <c r="C276">
        <f ca="1">IFERROR(__xludf.DUMMYFUNCTION("""COMPUTED_VALUE"""),594)</f>
        <v>594</v>
      </c>
      <c r="D276" t="str">
        <f ca="1">IFERROR(__xludf.DUMMYFUNCTION("""COMPUTED_VALUE"""),"Thomas A Cruz")</f>
        <v>Thomas A Cruz</v>
      </c>
      <c r="E276">
        <f ca="1">IFERROR(__xludf.DUMMYFUNCTION("""COMPUTED_VALUE"""),9995861996)</f>
        <v>9995861996</v>
      </c>
      <c r="F276" t="str">
        <f ca="1">IFERROR(__xludf.DUMMYFUNCTION("""COMPUTED_VALUE"""),"Thiruvananthapuram")</f>
        <v>Thiruvananthapuram</v>
      </c>
      <c r="G276" t="str">
        <f ca="1">IFERROR(__xludf.DUMMYFUNCTION("""COMPUTED_VALUE"""),"TATA POWER SOLAR SYSTEMS LTD")</f>
        <v>TATA POWER SOLAR SYSTEMS LTD</v>
      </c>
      <c r="H276">
        <f ca="1">IFERROR(__xludf.DUMMYFUNCTION("""COMPUTED_VALUE"""),20)</f>
        <v>20</v>
      </c>
      <c r="I276" s="4">
        <f ca="1">IFERROR(__xludf.DUMMYFUNCTION("""COMPUTED_VALUE"""),43173)</f>
        <v>43173</v>
      </c>
      <c r="J276">
        <f ca="1">IFERROR(__xludf.DUMMYFUNCTION("""COMPUTED_VALUE"""),3)</f>
        <v>3</v>
      </c>
      <c r="K276">
        <f ca="1">IFERROR(__xludf.DUMMYFUNCTION("""COMPUTED_VALUE"""),1145144013526)</f>
        <v>1145144013526</v>
      </c>
      <c r="L276" t="str">
        <f ca="1">IFERROR(__xludf.DUMMYFUNCTION("""COMPUTED_VALUE"""),"Pettah")</f>
        <v>Pettah</v>
      </c>
      <c r="M276" t="str">
        <f ca="1">IFERROR(__xludf.DUMMYFUNCTION("""COMPUTED_VALUE"""),"I Accept")</f>
        <v>I Accept</v>
      </c>
      <c r="N276" s="4">
        <f ca="1">IFERROR(__xludf.DUMMYFUNCTION("""COMPUTED_VALUE"""),43181)</f>
        <v>43181</v>
      </c>
      <c r="O276" s="4">
        <f ca="1">IFERROR(__xludf.DUMMYFUNCTION("""COMPUTED_VALUE"""),43181)</f>
        <v>43181</v>
      </c>
      <c r="P276">
        <f ca="1">IFERROR(__xludf.DUMMYFUNCTION("""COMPUTED_VALUE"""),3)</f>
        <v>3</v>
      </c>
      <c r="Q276" t="str">
        <f ca="1">IFERROR(__xludf.DUMMYFUNCTION("""COMPUTED_VALUE"""),"thomsonsanitations@hotmail.com")</f>
        <v>thomsonsanitations@hotmail.com</v>
      </c>
      <c r="R276" s="2" t="s">
        <v>2690</v>
      </c>
    </row>
    <row r="277" spans="1:18" ht="13" x14ac:dyDescent="0.15">
      <c r="A277" s="3">
        <f ca="1">IFERROR(__xludf.DUMMYFUNCTION("""COMPUTED_VALUE"""),43187.602855625)</f>
        <v>43187.602855625002</v>
      </c>
      <c r="B277" t="str">
        <f ca="1">IFERROR(__xludf.DUMMYFUNCTION("""COMPUTED_VALUE"""),"ronsujeff@gmail.com")</f>
        <v>ronsujeff@gmail.com</v>
      </c>
      <c r="C277">
        <f ca="1">IFERROR(__xludf.DUMMYFUNCTION("""COMPUTED_VALUE"""),375)</f>
        <v>375</v>
      </c>
      <c r="D277" t="str">
        <f ca="1">IFERROR(__xludf.DUMMYFUNCTION("""COMPUTED_VALUE"""),"K George Geevarghese")</f>
        <v>K George Geevarghese</v>
      </c>
      <c r="E277">
        <f ca="1">IFERROR(__xludf.DUMMYFUNCTION("""COMPUTED_VALUE"""),9446500107)</f>
        <v>9446500107</v>
      </c>
      <c r="F277" t="str">
        <f ca="1">IFERROR(__xludf.DUMMYFUNCTION("""COMPUTED_VALUE"""),"Thiruvananthapuram")</f>
        <v>Thiruvananthapuram</v>
      </c>
      <c r="G277" t="str">
        <f ca="1">IFERROR(__xludf.DUMMYFUNCTION("""COMPUTED_VALUE"""),"TATA POWER SOLAR SYSTEMS LTD")</f>
        <v>TATA POWER SOLAR SYSTEMS LTD</v>
      </c>
      <c r="H277">
        <f ca="1">IFERROR(__xludf.DUMMYFUNCTION("""COMPUTED_VALUE"""),20)</f>
        <v>20</v>
      </c>
      <c r="I277" s="4">
        <f ca="1">IFERROR(__xludf.DUMMYFUNCTION("""COMPUTED_VALUE"""),43174)</f>
        <v>43174</v>
      </c>
      <c r="J277">
        <f ca="1">IFERROR(__xludf.DUMMYFUNCTION("""COMPUTED_VALUE"""),5)</f>
        <v>5</v>
      </c>
      <c r="K277">
        <f ca="1">IFERROR(__xludf.DUMMYFUNCTION("""COMPUTED_VALUE"""),1145166008786)</f>
        <v>1145166008786</v>
      </c>
      <c r="L277" t="str">
        <f ca="1">IFERROR(__xludf.DUMMYFUNCTION("""COMPUTED_VALUE"""),"Kesavadasapuram")</f>
        <v>Kesavadasapuram</v>
      </c>
      <c r="M277" t="str">
        <f ca="1">IFERROR(__xludf.DUMMYFUNCTION("""COMPUTED_VALUE"""),"I Accept")</f>
        <v>I Accept</v>
      </c>
      <c r="N277" s="4">
        <f ca="1">IFERROR(__xludf.DUMMYFUNCTION("""COMPUTED_VALUE"""),43168)</f>
        <v>43168</v>
      </c>
      <c r="O277" s="4">
        <f ca="1">IFERROR(__xludf.DUMMYFUNCTION("""COMPUTED_VALUE"""),43168)</f>
        <v>43168</v>
      </c>
      <c r="P277">
        <f ca="1">IFERROR(__xludf.DUMMYFUNCTION("""COMPUTED_VALUE"""),5)</f>
        <v>5</v>
      </c>
      <c r="Q277" t="str">
        <f ca="1">IFERROR(__xludf.DUMMYFUNCTION("""COMPUTED_VALUE"""),"ronsujeff@gmail.com")</f>
        <v>ronsujeff@gmail.com</v>
      </c>
      <c r="R277" s="2" t="s">
        <v>2691</v>
      </c>
    </row>
    <row r="278" spans="1:18" ht="13" x14ac:dyDescent="0.15">
      <c r="A278" s="3">
        <f ca="1">IFERROR(__xludf.DUMMYFUNCTION("""COMPUTED_VALUE"""),43187.6126635879)</f>
        <v>43187.612663587897</v>
      </c>
      <c r="B278" t="str">
        <f ca="1">IFERROR(__xludf.DUMMYFUNCTION("""COMPUTED_VALUE"""),"vebinodkumar@gmail.com")</f>
        <v>vebinodkumar@gmail.com</v>
      </c>
      <c r="C278">
        <f ca="1">IFERROR(__xludf.DUMMYFUNCTION("""COMPUTED_VALUE"""),359)</f>
        <v>359</v>
      </c>
      <c r="D278" t="str">
        <f ca="1">IFERROR(__xludf.DUMMYFUNCTION("""COMPUTED_VALUE"""),"V E Binod Kumar")</f>
        <v>V E Binod Kumar</v>
      </c>
      <c r="E278">
        <f ca="1">IFERROR(__xludf.DUMMYFUNCTION("""COMPUTED_VALUE"""),9847117505)</f>
        <v>9847117505</v>
      </c>
      <c r="F278" t="str">
        <f ca="1">IFERROR(__xludf.DUMMYFUNCTION("""COMPUTED_VALUE"""),"Thiruvananthapuram")</f>
        <v>Thiruvananthapuram</v>
      </c>
      <c r="G278" t="str">
        <f ca="1">IFERROR(__xludf.DUMMYFUNCTION("""COMPUTED_VALUE"""),"TATA POWER SOLAR SYSTEMS LTD")</f>
        <v>TATA POWER SOLAR SYSTEMS LTD</v>
      </c>
      <c r="H278">
        <f ca="1">IFERROR(__xludf.DUMMYFUNCTION("""COMPUTED_VALUE"""),20)</f>
        <v>20</v>
      </c>
      <c r="I278" s="4">
        <f ca="1">IFERROR(__xludf.DUMMYFUNCTION("""COMPUTED_VALUE"""),43174)</f>
        <v>43174</v>
      </c>
      <c r="J278">
        <f ca="1">IFERROR(__xludf.DUMMYFUNCTION("""COMPUTED_VALUE"""),3)</f>
        <v>3</v>
      </c>
      <c r="K278">
        <f ca="1">IFERROR(__xludf.DUMMYFUNCTION("""COMPUTED_VALUE"""),1145082000422)</f>
        <v>1145082000422</v>
      </c>
      <c r="L278" t="str">
        <f ca="1">IFERROR(__xludf.DUMMYFUNCTION("""COMPUTED_VALUE"""),"Peroorkada")</f>
        <v>Peroorkada</v>
      </c>
      <c r="M278" t="str">
        <f ca="1">IFERROR(__xludf.DUMMYFUNCTION("""COMPUTED_VALUE"""),"I Accept")</f>
        <v>I Accept</v>
      </c>
      <c r="N278" s="4">
        <f ca="1">IFERROR(__xludf.DUMMYFUNCTION("""COMPUTED_VALUE"""),43173)</f>
        <v>43173</v>
      </c>
      <c r="O278" s="4">
        <f ca="1">IFERROR(__xludf.DUMMYFUNCTION("""COMPUTED_VALUE"""),43173)</f>
        <v>43173</v>
      </c>
      <c r="P278">
        <f ca="1">IFERROR(__xludf.DUMMYFUNCTION("""COMPUTED_VALUE"""),3)</f>
        <v>3</v>
      </c>
      <c r="Q278" t="str">
        <f ca="1">IFERROR(__xludf.DUMMYFUNCTION("""COMPUTED_VALUE"""),"vebinodkumar@gmail.com")</f>
        <v>vebinodkumar@gmail.com</v>
      </c>
      <c r="R278" s="2" t="s">
        <v>2692</v>
      </c>
    </row>
    <row r="279" spans="1:18" ht="13" x14ac:dyDescent="0.15">
      <c r="A279" s="3">
        <f ca="1">IFERROR(__xludf.DUMMYFUNCTION("""COMPUTED_VALUE"""),43187.6193850925)</f>
        <v>43187.619385092497</v>
      </c>
      <c r="B279" t="str">
        <f ca="1">IFERROR(__xludf.DUMMYFUNCTION("""COMPUTED_VALUE"""),"muraleekrishna1960@gmail.com")</f>
        <v>muraleekrishna1960@gmail.com</v>
      </c>
      <c r="C279">
        <f ca="1">IFERROR(__xludf.DUMMYFUNCTION("""COMPUTED_VALUE"""),678)</f>
        <v>678</v>
      </c>
      <c r="D279" t="str">
        <f ca="1">IFERROR(__xludf.DUMMYFUNCTION("""COMPUTED_VALUE"""),"Usha N K")</f>
        <v>Usha N K</v>
      </c>
      <c r="E279">
        <f ca="1">IFERROR(__xludf.DUMMYFUNCTION("""COMPUTED_VALUE"""),9496994304)</f>
        <v>9496994304</v>
      </c>
      <c r="F279" t="str">
        <f ca="1">IFERROR(__xludf.DUMMYFUNCTION("""COMPUTED_VALUE"""),"Thiruvananthapuram")</f>
        <v>Thiruvananthapuram</v>
      </c>
      <c r="G279" t="str">
        <f ca="1">IFERROR(__xludf.DUMMYFUNCTION("""COMPUTED_VALUE"""),"TATA POWER SOLAR SYSTEMS LTD")</f>
        <v>TATA POWER SOLAR SYSTEMS LTD</v>
      </c>
      <c r="H279">
        <f ca="1">IFERROR(__xludf.DUMMYFUNCTION("""COMPUTED_VALUE"""),20)</f>
        <v>20</v>
      </c>
      <c r="I279" s="4">
        <f ca="1">IFERROR(__xludf.DUMMYFUNCTION("""COMPUTED_VALUE"""),43179)</f>
        <v>43179</v>
      </c>
      <c r="J279">
        <f ca="1">IFERROR(__xludf.DUMMYFUNCTION("""COMPUTED_VALUE"""),3)</f>
        <v>3</v>
      </c>
      <c r="K279">
        <f ca="1">IFERROR(__xludf.DUMMYFUNCTION("""COMPUTED_VALUE"""),1145432016776)</f>
        <v>1145432016776</v>
      </c>
      <c r="L279" t="str">
        <f ca="1">IFERROR(__xludf.DUMMYFUNCTION("""COMPUTED_VALUE"""),"Nemom")</f>
        <v>Nemom</v>
      </c>
      <c r="M279" t="str">
        <f ca="1">IFERROR(__xludf.DUMMYFUNCTION("""COMPUTED_VALUE"""),"I Accept")</f>
        <v>I Accept</v>
      </c>
      <c r="N279" s="4">
        <f ca="1">IFERROR(__xludf.DUMMYFUNCTION("""COMPUTED_VALUE"""),43172)</f>
        <v>43172</v>
      </c>
      <c r="O279" s="4">
        <f ca="1">IFERROR(__xludf.DUMMYFUNCTION("""COMPUTED_VALUE"""),43172)</f>
        <v>43172</v>
      </c>
      <c r="P279">
        <f ca="1">IFERROR(__xludf.DUMMYFUNCTION("""COMPUTED_VALUE"""),3)</f>
        <v>3</v>
      </c>
      <c r="Q279" t="str">
        <f ca="1">IFERROR(__xludf.DUMMYFUNCTION("""COMPUTED_VALUE"""),"muraleekrishna1960@gmail.com")</f>
        <v>muraleekrishna1960@gmail.com</v>
      </c>
      <c r="R279" s="2" t="s">
        <v>2693</v>
      </c>
    </row>
    <row r="280" spans="1:18" ht="13" x14ac:dyDescent="0.15">
      <c r="A280" s="3">
        <f ca="1">IFERROR(__xludf.DUMMYFUNCTION("""COMPUTED_VALUE"""),43187.6227359375)</f>
        <v>43187.622735937497</v>
      </c>
      <c r="B280" t="str">
        <f ca="1">IFERROR(__xludf.DUMMYFUNCTION("""COMPUTED_VALUE"""),"jovarkripabhavan@hotmail.com")</f>
        <v>jovarkripabhavan@hotmail.com</v>
      </c>
      <c r="C280">
        <f ca="1">IFERROR(__xludf.DUMMYFUNCTION("""COMPUTED_VALUE"""),408)</f>
        <v>408</v>
      </c>
      <c r="D280" t="str">
        <f ca="1">IFERROR(__xludf.DUMMYFUNCTION("""COMPUTED_VALUE"""),"Jovar K")</f>
        <v>Jovar K</v>
      </c>
      <c r="E280">
        <f ca="1">IFERROR(__xludf.DUMMYFUNCTION("""COMPUTED_VALUE"""),9496172725)</f>
        <v>9496172725</v>
      </c>
      <c r="F280" t="str">
        <f ca="1">IFERROR(__xludf.DUMMYFUNCTION("""COMPUTED_VALUE"""),"Thiruvananthapuram")</f>
        <v>Thiruvananthapuram</v>
      </c>
      <c r="G280" t="str">
        <f ca="1">IFERROR(__xludf.DUMMYFUNCTION("""COMPUTED_VALUE"""),"TATA POWER SOLAR SYSTEMS LTD")</f>
        <v>TATA POWER SOLAR SYSTEMS LTD</v>
      </c>
      <c r="H280">
        <f ca="1">IFERROR(__xludf.DUMMYFUNCTION("""COMPUTED_VALUE"""),20)</f>
        <v>20</v>
      </c>
      <c r="I280" s="4">
        <f ca="1">IFERROR(__xludf.DUMMYFUNCTION("""COMPUTED_VALUE"""),43179)</f>
        <v>43179</v>
      </c>
      <c r="J280">
        <f ca="1">IFERROR(__xludf.DUMMYFUNCTION("""COMPUTED_VALUE"""),3)</f>
        <v>3</v>
      </c>
      <c r="K280">
        <f ca="1">IFERROR(__xludf.DUMMYFUNCTION("""COMPUTED_VALUE"""),1145169005674)</f>
        <v>1145169005674</v>
      </c>
      <c r="L280" t="str">
        <f ca="1">IFERROR(__xludf.DUMMYFUNCTION("""COMPUTED_VALUE"""),"Kesavadasapuram")</f>
        <v>Kesavadasapuram</v>
      </c>
      <c r="M280" t="str">
        <f ca="1">IFERROR(__xludf.DUMMYFUNCTION("""COMPUTED_VALUE"""),"I Accept")</f>
        <v>I Accept</v>
      </c>
      <c r="N280" s="4">
        <f ca="1">IFERROR(__xludf.DUMMYFUNCTION("""COMPUTED_VALUE"""),43174)</f>
        <v>43174</v>
      </c>
      <c r="O280" s="4">
        <f ca="1">IFERROR(__xludf.DUMMYFUNCTION("""COMPUTED_VALUE"""),43174)</f>
        <v>43174</v>
      </c>
      <c r="P280">
        <f ca="1">IFERROR(__xludf.DUMMYFUNCTION("""COMPUTED_VALUE"""),3)</f>
        <v>3</v>
      </c>
      <c r="Q280" t="str">
        <f ca="1">IFERROR(__xludf.DUMMYFUNCTION("""COMPUTED_VALUE"""),"jovarkripabhavan@hotmail.com")</f>
        <v>jovarkripabhavan@hotmail.com</v>
      </c>
      <c r="R280" s="2" t="s">
        <v>2694</v>
      </c>
    </row>
    <row r="281" spans="1:18" ht="13" x14ac:dyDescent="0.15">
      <c r="A281" s="3">
        <f ca="1">IFERROR(__xludf.DUMMYFUNCTION("""COMPUTED_VALUE"""),43187.6269620717)</f>
        <v>43187.626962071699</v>
      </c>
      <c r="B281" t="str">
        <f ca="1">IFERROR(__xludf.DUMMYFUNCTION("""COMPUTED_VALUE"""),"francisjacob2206@gmail.com")</f>
        <v>francisjacob2206@gmail.com</v>
      </c>
      <c r="C281">
        <f ca="1">IFERROR(__xludf.DUMMYFUNCTION("""COMPUTED_VALUE"""),434)</f>
        <v>434</v>
      </c>
      <c r="D281" t="str">
        <f ca="1">IFERROR(__xludf.DUMMYFUNCTION("""COMPUTED_VALUE"""),"FRANCIS JACOB")</f>
        <v>FRANCIS JACOB</v>
      </c>
      <c r="E281">
        <f ca="1">IFERROR(__xludf.DUMMYFUNCTION("""COMPUTED_VALUE"""),9847424452)</f>
        <v>9847424452</v>
      </c>
      <c r="F281" t="str">
        <f ca="1">IFERROR(__xludf.DUMMYFUNCTION("""COMPUTED_VALUE"""),"Thrissur")</f>
        <v>Thrissur</v>
      </c>
      <c r="G281" t="str">
        <f ca="1">IFERROR(__xludf.DUMMYFUNCTION("""COMPUTED_VALUE"""),"TATA POWER SOLAR SYSTEMS LTD")</f>
        <v>TATA POWER SOLAR SYSTEMS LTD</v>
      </c>
      <c r="H281">
        <f ca="1">IFERROR(__xludf.DUMMYFUNCTION("""COMPUTED_VALUE"""),20)</f>
        <v>20</v>
      </c>
      <c r="I281" s="4">
        <f ca="1">IFERROR(__xludf.DUMMYFUNCTION("""COMPUTED_VALUE"""),43182)</f>
        <v>43182</v>
      </c>
      <c r="J281">
        <f ca="1">IFERROR(__xludf.DUMMYFUNCTION("""COMPUTED_VALUE"""),5)</f>
        <v>5</v>
      </c>
      <c r="K281">
        <f ca="1">IFERROR(__xludf.DUMMYFUNCTION("""COMPUTED_VALUE"""),1156713012553)</f>
        <v>1156713012553</v>
      </c>
      <c r="L281" t="str">
        <f ca="1">IFERROR(__xludf.DUMMYFUNCTION("""COMPUTED_VALUE"""),"KURIACHIRA")</f>
        <v>KURIACHIRA</v>
      </c>
      <c r="M281" t="str">
        <f ca="1">IFERROR(__xludf.DUMMYFUNCTION("""COMPUTED_VALUE"""),"I Accept")</f>
        <v>I Accept</v>
      </c>
      <c r="N281" s="4">
        <f ca="1">IFERROR(__xludf.DUMMYFUNCTION("""COMPUTED_VALUE"""),43182)</f>
        <v>43182</v>
      </c>
      <c r="O281" s="4">
        <f ca="1">IFERROR(__xludf.DUMMYFUNCTION("""COMPUTED_VALUE"""),43182)</f>
        <v>43182</v>
      </c>
      <c r="P281">
        <f ca="1">IFERROR(__xludf.DUMMYFUNCTION("""COMPUTED_VALUE"""),5)</f>
        <v>5</v>
      </c>
      <c r="Q281" t="str">
        <f ca="1">IFERROR(__xludf.DUMMYFUNCTION("""COMPUTED_VALUE"""),"francisjacob2206@gmail.com")</f>
        <v>francisjacob2206@gmail.com</v>
      </c>
      <c r="R281" s="2" t="s">
        <v>2695</v>
      </c>
    </row>
    <row r="282" spans="1:18" ht="13" x14ac:dyDescent="0.15">
      <c r="A282" s="3">
        <f ca="1">IFERROR(__xludf.DUMMYFUNCTION("""COMPUTED_VALUE"""),43187.6269687963)</f>
        <v>43187.626968796299</v>
      </c>
      <c r="B282" t="str">
        <f ca="1">IFERROR(__xludf.DUMMYFUNCTION("""COMPUTED_VALUE"""),"aswinvijay@gmail.com")</f>
        <v>aswinvijay@gmail.com</v>
      </c>
      <c r="C282">
        <f ca="1">IFERROR(__xludf.DUMMYFUNCTION("""COMPUTED_VALUE"""),538)</f>
        <v>538</v>
      </c>
      <c r="D282" t="str">
        <f ca="1">IFERROR(__xludf.DUMMYFUNCTION("""COMPUTED_VALUE"""),"Vijayakumar P V")</f>
        <v>Vijayakumar P V</v>
      </c>
      <c r="E282">
        <f ca="1">IFERROR(__xludf.DUMMYFUNCTION("""COMPUTED_VALUE"""),9745535374)</f>
        <v>9745535374</v>
      </c>
      <c r="F282" t="str">
        <f ca="1">IFERROR(__xludf.DUMMYFUNCTION("""COMPUTED_VALUE"""),"Thiruvananthapuram")</f>
        <v>Thiruvananthapuram</v>
      </c>
      <c r="G282" t="str">
        <f ca="1">IFERROR(__xludf.DUMMYFUNCTION("""COMPUTED_VALUE"""),"TATA POWER SOLAR SYSTEMS LTD")</f>
        <v>TATA POWER SOLAR SYSTEMS LTD</v>
      </c>
      <c r="H282">
        <f ca="1">IFERROR(__xludf.DUMMYFUNCTION("""COMPUTED_VALUE"""),20)</f>
        <v>20</v>
      </c>
      <c r="I282" s="4">
        <f ca="1">IFERROR(__xludf.DUMMYFUNCTION("""COMPUTED_VALUE"""),43179)</f>
        <v>43179</v>
      </c>
      <c r="J282">
        <f ca="1">IFERROR(__xludf.DUMMYFUNCTION("""COMPUTED_VALUE"""),5)</f>
        <v>5</v>
      </c>
      <c r="K282">
        <f ca="1">IFERROR(__xludf.DUMMYFUNCTION("""COMPUTED_VALUE"""),1145128030088)</f>
        <v>1145128030088</v>
      </c>
      <c r="L282" t="str">
        <f ca="1">IFERROR(__xludf.DUMMYFUNCTION("""COMPUTED_VALUE"""),"Poojapura")</f>
        <v>Poojapura</v>
      </c>
      <c r="M282" t="str">
        <f ca="1">IFERROR(__xludf.DUMMYFUNCTION("""COMPUTED_VALUE"""),"I Accept")</f>
        <v>I Accept</v>
      </c>
      <c r="N282" s="4">
        <f ca="1">IFERROR(__xludf.DUMMYFUNCTION("""COMPUTED_VALUE"""),43179)</f>
        <v>43179</v>
      </c>
      <c r="O282" s="4">
        <f ca="1">IFERROR(__xludf.DUMMYFUNCTION("""COMPUTED_VALUE"""),43179)</f>
        <v>43179</v>
      </c>
      <c r="P282">
        <f ca="1">IFERROR(__xludf.DUMMYFUNCTION("""COMPUTED_VALUE"""),5)</f>
        <v>5</v>
      </c>
      <c r="Q282" t="str">
        <f ca="1">IFERROR(__xludf.DUMMYFUNCTION("""COMPUTED_VALUE"""),"aswinvijay@gmail.com")</f>
        <v>aswinvijay@gmail.com</v>
      </c>
      <c r="R282" s="2" t="s">
        <v>2696</v>
      </c>
    </row>
    <row r="283" spans="1:18" ht="13" x14ac:dyDescent="0.15">
      <c r="A283" s="3">
        <f ca="1">IFERROR(__xludf.DUMMYFUNCTION("""COMPUTED_VALUE"""),43187.6417115509)</f>
        <v>43187.641711550903</v>
      </c>
      <c r="B283" t="str">
        <f ca="1">IFERROR(__xludf.DUMMYFUNCTION("""COMPUTED_VALUE"""),"abyvarkey_sapna@yahoo.com")</f>
        <v>abyvarkey_sapna@yahoo.com</v>
      </c>
      <c r="C283">
        <f ca="1">IFERROR(__xludf.DUMMYFUNCTION("""COMPUTED_VALUE"""),596)</f>
        <v>596</v>
      </c>
      <c r="D283" t="str">
        <f ca="1">IFERROR(__xludf.DUMMYFUNCTION("""COMPUTED_VALUE"""),"Asha T Varkey")</f>
        <v>Asha T Varkey</v>
      </c>
      <c r="E283">
        <f ca="1">IFERROR(__xludf.DUMMYFUNCTION("""COMPUTED_VALUE"""),9746187900)</f>
        <v>9746187900</v>
      </c>
      <c r="F283" t="str">
        <f ca="1">IFERROR(__xludf.DUMMYFUNCTION("""COMPUTED_VALUE"""),"Thiruvananthapuram")</f>
        <v>Thiruvananthapuram</v>
      </c>
      <c r="G283" t="str">
        <f ca="1">IFERROR(__xludf.DUMMYFUNCTION("""COMPUTED_VALUE"""),"TATA POWER SOLAR SYSTEMS LTD")</f>
        <v>TATA POWER SOLAR SYSTEMS LTD</v>
      </c>
      <c r="H283">
        <f ca="1">IFERROR(__xludf.DUMMYFUNCTION("""COMPUTED_VALUE"""),20)</f>
        <v>20</v>
      </c>
      <c r="I283" s="4">
        <f ca="1">IFERROR(__xludf.DUMMYFUNCTION("""COMPUTED_VALUE"""),43180)</f>
        <v>43180</v>
      </c>
      <c r="J283">
        <f ca="1">IFERROR(__xludf.DUMMYFUNCTION("""COMPUTED_VALUE"""),2)</f>
        <v>2</v>
      </c>
      <c r="K283">
        <f ca="1">IFERROR(__xludf.DUMMYFUNCTION("""COMPUTED_VALUE"""),1145079010891)</f>
        <v>1145079010891</v>
      </c>
      <c r="L283" t="str">
        <f ca="1">IFERROR(__xludf.DUMMYFUNCTION("""COMPUTED_VALUE"""),"Vellayambalam")</f>
        <v>Vellayambalam</v>
      </c>
      <c r="M283" t="str">
        <f ca="1">IFERROR(__xludf.DUMMYFUNCTION("""COMPUTED_VALUE"""),"I Accept")</f>
        <v>I Accept</v>
      </c>
      <c r="N283" s="4">
        <f ca="1">IFERROR(__xludf.DUMMYFUNCTION("""COMPUTED_VALUE"""),43178)</f>
        <v>43178</v>
      </c>
      <c r="O283" s="4">
        <f ca="1">IFERROR(__xludf.DUMMYFUNCTION("""COMPUTED_VALUE"""),43178)</f>
        <v>43178</v>
      </c>
      <c r="P283">
        <f ca="1">IFERROR(__xludf.DUMMYFUNCTION("""COMPUTED_VALUE"""),2)</f>
        <v>2</v>
      </c>
      <c r="Q283" t="str">
        <f ca="1">IFERROR(__xludf.DUMMYFUNCTION("""COMPUTED_VALUE"""),"abyvarkey_sapna@yahoo.com")</f>
        <v>abyvarkey_sapna@yahoo.com</v>
      </c>
      <c r="R283" s="2" t="s">
        <v>2697</v>
      </c>
    </row>
    <row r="284" spans="1:18" ht="13" x14ac:dyDescent="0.15">
      <c r="A284" s="3">
        <f ca="1">IFERROR(__xludf.DUMMYFUNCTION("""COMPUTED_VALUE"""),43187.6359167245)</f>
        <v>43187.635916724503</v>
      </c>
      <c r="B284" t="str">
        <f ca="1">IFERROR(__xludf.DUMMYFUNCTION("""COMPUTED_VALUE"""),"abyvarkey_sapna@yahoo.com")</f>
        <v>abyvarkey_sapna@yahoo.com</v>
      </c>
      <c r="C284">
        <f ca="1">IFERROR(__xludf.DUMMYFUNCTION("""COMPUTED_VALUE"""),597)</f>
        <v>597</v>
      </c>
      <c r="D284" t="str">
        <f ca="1">IFERROR(__xludf.DUMMYFUNCTION("""COMPUTED_VALUE"""),"T A Varkey")</f>
        <v>T A Varkey</v>
      </c>
      <c r="E284">
        <f ca="1">IFERROR(__xludf.DUMMYFUNCTION("""COMPUTED_VALUE"""),9746187900)</f>
        <v>9746187900</v>
      </c>
      <c r="F284" t="str">
        <f ca="1">IFERROR(__xludf.DUMMYFUNCTION("""COMPUTED_VALUE"""),"Thiruvananthapuram")</f>
        <v>Thiruvananthapuram</v>
      </c>
      <c r="G284" t="str">
        <f ca="1">IFERROR(__xludf.DUMMYFUNCTION("""COMPUTED_VALUE"""),"TATA POWER SOLAR SYSTEMS LTD")</f>
        <v>TATA POWER SOLAR SYSTEMS LTD</v>
      </c>
      <c r="H284">
        <f ca="1">IFERROR(__xludf.DUMMYFUNCTION("""COMPUTED_VALUE"""),20)</f>
        <v>20</v>
      </c>
      <c r="I284" s="4">
        <f ca="1">IFERROR(__xludf.DUMMYFUNCTION("""COMPUTED_VALUE"""),43180)</f>
        <v>43180</v>
      </c>
      <c r="J284">
        <f ca="1">IFERROR(__xludf.DUMMYFUNCTION("""COMPUTED_VALUE"""),3)</f>
        <v>3</v>
      </c>
      <c r="K284">
        <f ca="1">IFERROR(__xludf.DUMMYFUNCTION("""COMPUTED_VALUE"""),1145073010890)</f>
        <v>1145073010890</v>
      </c>
      <c r="L284" t="str">
        <f ca="1">IFERROR(__xludf.DUMMYFUNCTION("""COMPUTED_VALUE"""),"Vellayambalam")</f>
        <v>Vellayambalam</v>
      </c>
      <c r="M284" t="str">
        <f ca="1">IFERROR(__xludf.DUMMYFUNCTION("""COMPUTED_VALUE"""),"I Accept")</f>
        <v>I Accept</v>
      </c>
      <c r="N284" s="4">
        <f ca="1">IFERROR(__xludf.DUMMYFUNCTION("""COMPUTED_VALUE"""),43178)</f>
        <v>43178</v>
      </c>
      <c r="O284" s="4">
        <f ca="1">IFERROR(__xludf.DUMMYFUNCTION("""COMPUTED_VALUE"""),43178)</f>
        <v>43178</v>
      </c>
      <c r="P284">
        <f ca="1">IFERROR(__xludf.DUMMYFUNCTION("""COMPUTED_VALUE"""),3)</f>
        <v>3</v>
      </c>
      <c r="Q284" t="str">
        <f ca="1">IFERROR(__xludf.DUMMYFUNCTION("""COMPUTED_VALUE"""),"abyvarkey_sapna@yahoo.com")</f>
        <v>abyvarkey_sapna@yahoo.com</v>
      </c>
      <c r="R284" s="2" t="s">
        <v>2698</v>
      </c>
    </row>
    <row r="285" spans="1:18" ht="13" x14ac:dyDescent="0.15">
      <c r="A285" s="3">
        <f ca="1">IFERROR(__xludf.DUMMYFUNCTION("""COMPUTED_VALUE"""),43187.6649609722)</f>
        <v>43187.664960972201</v>
      </c>
      <c r="B285" t="str">
        <f ca="1">IFERROR(__xludf.DUMMYFUNCTION("""COMPUTED_VALUE"""),"smitha.soura@gmail.com")</f>
        <v>smitha.soura@gmail.com</v>
      </c>
      <c r="C285">
        <f ca="1">IFERROR(__xludf.DUMMYFUNCTION("""COMPUTED_VALUE"""),616)</f>
        <v>616</v>
      </c>
      <c r="D285" t="str">
        <f ca="1">IFERROR(__xludf.DUMMYFUNCTION("""COMPUTED_VALUE"""),"KK Mathew")</f>
        <v>KK Mathew</v>
      </c>
      <c r="E285">
        <f ca="1">IFERROR(__xludf.DUMMYFUNCTION("""COMPUTED_VALUE"""),8281610064)</f>
        <v>8281610064</v>
      </c>
      <c r="F285" t="str">
        <f ca="1">IFERROR(__xludf.DUMMYFUNCTION("""COMPUTED_VALUE"""),"Kottayam")</f>
        <v>Kottayam</v>
      </c>
      <c r="G285" t="str">
        <f ca="1">IFERROR(__xludf.DUMMYFUNCTION("""COMPUTED_VALUE"""),"SOURA Natural Energy Solutions I Pvt Ltd")</f>
        <v>SOURA Natural Energy Solutions I Pvt Ltd</v>
      </c>
      <c r="H285">
        <f ca="1">IFERROR(__xludf.DUMMYFUNCTION("""COMPUTED_VALUE"""),11)</f>
        <v>11</v>
      </c>
      <c r="I285" s="4">
        <f ca="1">IFERROR(__xludf.DUMMYFUNCTION("""COMPUTED_VALUE"""),43182)</f>
        <v>43182</v>
      </c>
      <c r="J285">
        <f ca="1">IFERROR(__xludf.DUMMYFUNCTION("""COMPUTED_VALUE"""),3)</f>
        <v>3</v>
      </c>
      <c r="K285">
        <f ca="1">IFERROR(__xludf.DUMMYFUNCTION("""COMPUTED_VALUE"""),1146314009783)</f>
        <v>1146314009783</v>
      </c>
      <c r="L285" t="str">
        <f ca="1">IFERROR(__xludf.DUMMYFUNCTION("""COMPUTED_VALUE"""),"Manarcadu")</f>
        <v>Manarcadu</v>
      </c>
      <c r="M285" t="str">
        <f ca="1">IFERROR(__xludf.DUMMYFUNCTION("""COMPUTED_VALUE"""),"I Accept")</f>
        <v>I Accept</v>
      </c>
      <c r="N285" s="4">
        <f ca="1">IFERROR(__xludf.DUMMYFUNCTION("""COMPUTED_VALUE"""),43176)</f>
        <v>43176</v>
      </c>
      <c r="O285" s="4">
        <f ca="1">IFERROR(__xludf.DUMMYFUNCTION("""COMPUTED_VALUE"""),43176)</f>
        <v>43176</v>
      </c>
      <c r="P285">
        <f ca="1">IFERROR(__xludf.DUMMYFUNCTION("""COMPUTED_VALUE"""),3)</f>
        <v>3</v>
      </c>
      <c r="Q285" t="str">
        <f ca="1">IFERROR(__xludf.DUMMYFUNCTION("""COMPUTED_VALUE"""),"smitha.soura@gmail.com")</f>
        <v>smitha.soura@gmail.com</v>
      </c>
      <c r="R285" s="2" t="s">
        <v>2699</v>
      </c>
    </row>
    <row r="286" spans="1:18" ht="13" x14ac:dyDescent="0.15">
      <c r="A286" s="3">
        <f ca="1">IFERROR(__xludf.DUMMYFUNCTION("""COMPUTED_VALUE"""),43187.6832526504)</f>
        <v>43187.6832526504</v>
      </c>
      <c r="B286" t="str">
        <f ca="1">IFERROR(__xludf.DUMMYFUNCTION("""COMPUTED_VALUE"""),"smitha.soura@gmail.com")</f>
        <v>smitha.soura@gmail.com</v>
      </c>
      <c r="C286">
        <f ca="1">IFERROR(__xludf.DUMMYFUNCTION("""COMPUTED_VALUE"""),341)</f>
        <v>341</v>
      </c>
      <c r="D286" t="str">
        <f ca="1">IFERROR(__xludf.DUMMYFUNCTION("""COMPUTED_VALUE"""),"Thomas Varkey")</f>
        <v>Thomas Varkey</v>
      </c>
      <c r="E286">
        <f ca="1">IFERROR(__xludf.DUMMYFUNCTION("""COMPUTED_VALUE"""),9072626009)</f>
        <v>9072626009</v>
      </c>
      <c r="F286" t="str">
        <f ca="1">IFERROR(__xludf.DUMMYFUNCTION("""COMPUTED_VALUE"""),"Pathanamthitta")</f>
        <v>Pathanamthitta</v>
      </c>
      <c r="G286" t="str">
        <f ca="1">IFERROR(__xludf.DUMMYFUNCTION("""COMPUTED_VALUE"""),"SOURA Natural Energy Solutions I Pvt Ltd")</f>
        <v>SOURA Natural Energy Solutions I Pvt Ltd</v>
      </c>
      <c r="H286">
        <f ca="1">IFERROR(__xludf.DUMMYFUNCTION("""COMPUTED_VALUE"""),11)</f>
        <v>11</v>
      </c>
      <c r="I286" s="4">
        <f ca="1">IFERROR(__xludf.DUMMYFUNCTION("""COMPUTED_VALUE"""),43169)</f>
        <v>43169</v>
      </c>
      <c r="J286">
        <f ca="1">IFERROR(__xludf.DUMMYFUNCTION("""COMPUTED_VALUE"""),3)</f>
        <v>3</v>
      </c>
      <c r="K286">
        <f ca="1">IFERROR(__xludf.DUMMYFUNCTION("""COMPUTED_VALUE"""),1146173012875)</f>
        <v>1146173012875</v>
      </c>
      <c r="L286" t="str">
        <f ca="1">IFERROR(__xludf.DUMMYFUNCTION("""COMPUTED_VALUE"""),"Thiruvalla")</f>
        <v>Thiruvalla</v>
      </c>
      <c r="M286" t="str">
        <f ca="1">IFERROR(__xludf.DUMMYFUNCTION("""COMPUTED_VALUE"""),"I Accept")</f>
        <v>I Accept</v>
      </c>
      <c r="N286" s="4">
        <f ca="1">IFERROR(__xludf.DUMMYFUNCTION("""COMPUTED_VALUE"""),43156)</f>
        <v>43156</v>
      </c>
      <c r="O286" s="4">
        <f ca="1">IFERROR(__xludf.DUMMYFUNCTION("""COMPUTED_VALUE"""),43156)</f>
        <v>43156</v>
      </c>
      <c r="P286">
        <f ca="1">IFERROR(__xludf.DUMMYFUNCTION("""COMPUTED_VALUE"""),3)</f>
        <v>3</v>
      </c>
      <c r="Q286" t="str">
        <f ca="1">IFERROR(__xludf.DUMMYFUNCTION("""COMPUTED_VALUE"""),"smitha.soura@gmail.com")</f>
        <v>smitha.soura@gmail.com</v>
      </c>
      <c r="R286" s="2" t="s">
        <v>2700</v>
      </c>
    </row>
    <row r="287" spans="1:18" ht="13" x14ac:dyDescent="0.15">
      <c r="A287" s="3">
        <f ca="1">IFERROR(__xludf.DUMMYFUNCTION("""COMPUTED_VALUE"""),43187.6909145833)</f>
        <v>43187.690914583298</v>
      </c>
      <c r="B287" t="str">
        <f ca="1">IFERROR(__xludf.DUMMYFUNCTION("""COMPUTED_VALUE"""),"contactvinova@gmail.com")</f>
        <v>contactvinova@gmail.com</v>
      </c>
      <c r="C287">
        <f ca="1">IFERROR(__xludf.DUMMYFUNCTION("""COMPUTED_VALUE"""),494)</f>
        <v>494</v>
      </c>
      <c r="D287" t="str">
        <f ca="1">IFERROR(__xludf.DUMMYFUNCTION("""COMPUTED_VALUE"""),"Rajani Vasudevan")</f>
        <v>Rajani Vasudevan</v>
      </c>
      <c r="E287">
        <f ca="1">IFERROR(__xludf.DUMMYFUNCTION("""COMPUTED_VALUE"""),9388155155)</f>
        <v>9388155155</v>
      </c>
      <c r="F287" t="str">
        <f ca="1">IFERROR(__xludf.DUMMYFUNCTION("""COMPUTED_VALUE"""),"Thrissur")</f>
        <v>Thrissur</v>
      </c>
      <c r="G287" t="str">
        <f ca="1">IFERROR(__xludf.DUMMYFUNCTION("""COMPUTED_VALUE"""),"vinova energy systems")</f>
        <v>vinova energy systems</v>
      </c>
      <c r="H287">
        <f ca="1">IFERROR(__xludf.DUMMYFUNCTION("""COMPUTED_VALUE"""),48)</f>
        <v>48</v>
      </c>
      <c r="I287" s="4">
        <f ca="1">IFERROR(__xludf.DUMMYFUNCTION("""COMPUTED_VALUE"""),43187)</f>
        <v>43187</v>
      </c>
      <c r="J287">
        <f ca="1">IFERROR(__xludf.DUMMYFUNCTION("""COMPUTED_VALUE"""),3)</f>
        <v>3</v>
      </c>
      <c r="K287">
        <f ca="1">IFERROR(__xludf.DUMMYFUNCTION("""COMPUTED_VALUE"""),1156887002181)</f>
        <v>1156887002181</v>
      </c>
      <c r="L287" t="str">
        <f ca="1">IFERROR(__xludf.DUMMYFUNCTION("""COMPUTED_VALUE"""),"vadanappally")</f>
        <v>vadanappally</v>
      </c>
      <c r="M287" t="str">
        <f ca="1">IFERROR(__xludf.DUMMYFUNCTION("""COMPUTED_VALUE"""),"I Accept")</f>
        <v>I Accept</v>
      </c>
      <c r="N287" s="4">
        <f ca="1">IFERROR(__xludf.DUMMYFUNCTION("""COMPUTED_VALUE"""),43185)</f>
        <v>43185</v>
      </c>
      <c r="O287" s="4">
        <f ca="1">IFERROR(__xludf.DUMMYFUNCTION("""COMPUTED_VALUE"""),43185)</f>
        <v>43185</v>
      </c>
      <c r="P287">
        <f ca="1">IFERROR(__xludf.DUMMYFUNCTION("""COMPUTED_VALUE"""),3)</f>
        <v>3</v>
      </c>
      <c r="Q287" t="str">
        <f ca="1">IFERROR(__xludf.DUMMYFUNCTION("""COMPUTED_VALUE"""),"contactvinova@gmail.com")</f>
        <v>contactvinova@gmail.com</v>
      </c>
      <c r="R287" s="2" t="s">
        <v>2701</v>
      </c>
    </row>
    <row r="288" spans="1:18" ht="13" x14ac:dyDescent="0.15">
      <c r="A288" s="3">
        <f ca="1">IFERROR(__xludf.DUMMYFUNCTION("""COMPUTED_VALUE"""),43187.740282118)</f>
        <v>43187.740282118</v>
      </c>
      <c r="B288" t="str">
        <f ca="1">IFERROR(__xludf.DUMMYFUNCTION("""COMPUTED_VALUE"""),"smitha.soura@gmail.com")</f>
        <v>smitha.soura@gmail.com</v>
      </c>
      <c r="C288">
        <f ca="1">IFERROR(__xludf.DUMMYFUNCTION("""COMPUTED_VALUE"""),340)</f>
        <v>340</v>
      </c>
      <c r="D288" t="str">
        <f ca="1">IFERROR(__xludf.DUMMYFUNCTION("""COMPUTED_VALUE"""),"Jose Kanjamala")</f>
        <v>Jose Kanjamala</v>
      </c>
      <c r="E288">
        <f ca="1">IFERROR(__xludf.DUMMYFUNCTION("""COMPUTED_VALUE"""),9496028092)</f>
        <v>9496028092</v>
      </c>
      <c r="F288" t="str">
        <f ca="1">IFERROR(__xludf.DUMMYFUNCTION("""COMPUTED_VALUE"""),"Kannur")</f>
        <v>Kannur</v>
      </c>
      <c r="G288" t="str">
        <f ca="1">IFERROR(__xludf.DUMMYFUNCTION("""COMPUTED_VALUE"""),"SOURA Natural Energy Solutions I Pvt Ltd")</f>
        <v>SOURA Natural Energy Solutions I Pvt Ltd</v>
      </c>
      <c r="H288">
        <f ca="1">IFERROR(__xludf.DUMMYFUNCTION("""COMPUTED_VALUE"""),11)</f>
        <v>11</v>
      </c>
      <c r="I288" s="4">
        <f ca="1">IFERROR(__xludf.DUMMYFUNCTION("""COMPUTED_VALUE"""),43108)</f>
        <v>43108</v>
      </c>
      <c r="J288">
        <f ca="1">IFERROR(__xludf.DUMMYFUNCTION("""COMPUTED_VALUE"""),5)</f>
        <v>5</v>
      </c>
      <c r="K288">
        <f ca="1">IFERROR(__xludf.DUMMYFUNCTION("""COMPUTED_VALUE"""),1166483027197)</f>
        <v>1166483027197</v>
      </c>
      <c r="L288" t="str">
        <f ca="1">IFERROR(__xludf.DUMMYFUNCTION("""COMPUTED_VALUE"""),"alakode")</f>
        <v>alakode</v>
      </c>
      <c r="M288" t="str">
        <f ca="1">IFERROR(__xludf.DUMMYFUNCTION("""COMPUTED_VALUE"""),"I Accept")</f>
        <v>I Accept</v>
      </c>
      <c r="N288" s="4">
        <f ca="1">IFERROR(__xludf.DUMMYFUNCTION("""COMPUTED_VALUE"""),43108)</f>
        <v>43108</v>
      </c>
      <c r="O288" s="4">
        <f ca="1">IFERROR(__xludf.DUMMYFUNCTION("""COMPUTED_VALUE"""),43108)</f>
        <v>43108</v>
      </c>
      <c r="P288">
        <f ca="1">IFERROR(__xludf.DUMMYFUNCTION("""COMPUTED_VALUE"""),5)</f>
        <v>5</v>
      </c>
      <c r="Q288" t="str">
        <f ca="1">IFERROR(__xludf.DUMMYFUNCTION("""COMPUTED_VALUE"""),"smitha.soura@gmail.com")</f>
        <v>smitha.soura@gmail.com</v>
      </c>
      <c r="R288" s="2" t="s">
        <v>2702</v>
      </c>
    </row>
    <row r="289" spans="1:18" ht="13" x14ac:dyDescent="0.15">
      <c r="A289" s="3">
        <f ca="1">IFERROR(__xludf.DUMMYFUNCTION("""COMPUTED_VALUE"""),43187.8979694675)</f>
        <v>43187.8979694675</v>
      </c>
      <c r="B289" t="str">
        <f ca="1">IFERROR(__xludf.DUMMYFUNCTION("""COMPUTED_VALUE"""),"kmprabhakaran49@gmail.com")</f>
        <v>kmprabhakaran49@gmail.com</v>
      </c>
      <c r="C289">
        <f ca="1">IFERROR(__xludf.DUMMYFUNCTION("""COMPUTED_VALUE"""),683)</f>
        <v>683</v>
      </c>
      <c r="D289" t="str">
        <f ca="1">IFERROR(__xludf.DUMMYFUNCTION("""COMPUTED_VALUE"""),"K M Prabhakaran")</f>
        <v>K M Prabhakaran</v>
      </c>
      <c r="E289">
        <f ca="1">IFERROR(__xludf.DUMMYFUNCTION("""COMPUTED_VALUE"""),9447586439)</f>
        <v>9447586439</v>
      </c>
      <c r="F289" t="str">
        <f ca="1">IFERROR(__xludf.DUMMYFUNCTION("""COMPUTED_VALUE"""),"Thiruvananthapuram")</f>
        <v>Thiruvananthapuram</v>
      </c>
      <c r="G289" t="str">
        <f ca="1">IFERROR(__xludf.DUMMYFUNCTION("""COMPUTED_VALUE"""),"TATA POWER SOLAR SYSTEMS LTD")</f>
        <v>TATA POWER SOLAR SYSTEMS LTD</v>
      </c>
      <c r="H289">
        <f ca="1">IFERROR(__xludf.DUMMYFUNCTION("""COMPUTED_VALUE"""),20)</f>
        <v>20</v>
      </c>
      <c r="I289" s="4">
        <f ca="1">IFERROR(__xludf.DUMMYFUNCTION("""COMPUTED_VALUE"""),43185)</f>
        <v>43185</v>
      </c>
      <c r="J289">
        <f ca="1">IFERROR(__xludf.DUMMYFUNCTION("""COMPUTED_VALUE"""),3)</f>
        <v>3</v>
      </c>
      <c r="K289">
        <f ca="1">IFERROR(__xludf.DUMMYFUNCTION("""COMPUTED_VALUE"""),1145056001369)</f>
        <v>1145056001369</v>
      </c>
      <c r="L289" t="str">
        <f ca="1">IFERROR(__xludf.DUMMYFUNCTION("""COMPUTED_VALUE"""),"Thycaud")</f>
        <v>Thycaud</v>
      </c>
      <c r="M289" t="str">
        <f ca="1">IFERROR(__xludf.DUMMYFUNCTION("""COMPUTED_VALUE"""),"I Accept")</f>
        <v>I Accept</v>
      </c>
      <c r="N289" s="4">
        <f ca="1">IFERROR(__xludf.DUMMYFUNCTION("""COMPUTED_VALUE"""),43181)</f>
        <v>43181</v>
      </c>
      <c r="O289" s="4">
        <f ca="1">IFERROR(__xludf.DUMMYFUNCTION("""COMPUTED_VALUE"""),43181)</f>
        <v>43181</v>
      </c>
      <c r="P289">
        <f ca="1">IFERROR(__xludf.DUMMYFUNCTION("""COMPUTED_VALUE"""),3)</f>
        <v>3</v>
      </c>
      <c r="Q289" t="str">
        <f ca="1">IFERROR(__xludf.DUMMYFUNCTION("""COMPUTED_VALUE"""),"kmprabhakaran49@gmail.com")</f>
        <v>kmprabhakaran49@gmail.com</v>
      </c>
      <c r="R289" s="2" t="s">
        <v>2703</v>
      </c>
    </row>
    <row r="290" spans="1:18" ht="13" x14ac:dyDescent="0.15">
      <c r="A290" s="3">
        <f ca="1">IFERROR(__xludf.DUMMYFUNCTION("""COMPUTED_VALUE"""),43187.9055694907)</f>
        <v>43187.9055694907</v>
      </c>
      <c r="B290" t="str">
        <f ca="1">IFERROR(__xludf.DUMMYFUNCTION("""COMPUTED_VALUE"""),"krajeshkumar456@gmail.com")</f>
        <v>krajeshkumar456@gmail.com</v>
      </c>
      <c r="C290">
        <f ca="1">IFERROR(__xludf.DUMMYFUNCTION("""COMPUTED_VALUE"""),304)</f>
        <v>304</v>
      </c>
      <c r="D290" t="str">
        <f ca="1">IFERROR(__xludf.DUMMYFUNCTION("""COMPUTED_VALUE"""),"K Rajesh Kumar")</f>
        <v>K Rajesh Kumar</v>
      </c>
      <c r="E290">
        <f ca="1">IFERROR(__xludf.DUMMYFUNCTION("""COMPUTED_VALUE"""),8281143377)</f>
        <v>8281143377</v>
      </c>
      <c r="F290" t="str">
        <f ca="1">IFERROR(__xludf.DUMMYFUNCTION("""COMPUTED_VALUE"""),"Thiruvananthapuram")</f>
        <v>Thiruvananthapuram</v>
      </c>
      <c r="G290" t="str">
        <f ca="1">IFERROR(__xludf.DUMMYFUNCTION("""COMPUTED_VALUE"""),"TATA POWER SOLAR SYSTEMS LTD")</f>
        <v>TATA POWER SOLAR SYSTEMS LTD</v>
      </c>
      <c r="H290">
        <f ca="1">IFERROR(__xludf.DUMMYFUNCTION("""COMPUTED_VALUE"""),20)</f>
        <v>20</v>
      </c>
      <c r="I290" s="4">
        <f ca="1">IFERROR(__xludf.DUMMYFUNCTION("""COMPUTED_VALUE"""),43181)</f>
        <v>43181</v>
      </c>
      <c r="J290">
        <f ca="1">IFERROR(__xludf.DUMMYFUNCTION("""COMPUTED_VALUE"""),3)</f>
        <v>3</v>
      </c>
      <c r="K290">
        <f ca="1">IFERROR(__xludf.DUMMYFUNCTION("""COMPUTED_VALUE"""),1145127020907)</f>
        <v>1145127020907</v>
      </c>
      <c r="L290" t="str">
        <f ca="1">IFERROR(__xludf.DUMMYFUNCTION("""COMPUTED_VALUE"""),"Poojapura")</f>
        <v>Poojapura</v>
      </c>
      <c r="M290" t="str">
        <f ca="1">IFERROR(__xludf.DUMMYFUNCTION("""COMPUTED_VALUE"""),"I Accept")</f>
        <v>I Accept</v>
      </c>
      <c r="N290" s="4">
        <f ca="1">IFERROR(__xludf.DUMMYFUNCTION("""COMPUTED_VALUE"""),43172)</f>
        <v>43172</v>
      </c>
      <c r="O290" s="4">
        <f ca="1">IFERROR(__xludf.DUMMYFUNCTION("""COMPUTED_VALUE"""),43172)</f>
        <v>43172</v>
      </c>
      <c r="P290">
        <f ca="1">IFERROR(__xludf.DUMMYFUNCTION("""COMPUTED_VALUE"""),3)</f>
        <v>3</v>
      </c>
      <c r="Q290" t="str">
        <f ca="1">IFERROR(__xludf.DUMMYFUNCTION("""COMPUTED_VALUE"""),"krajeshkumar456@gmail.com")</f>
        <v>krajeshkumar456@gmail.com</v>
      </c>
      <c r="R290" s="2" t="s">
        <v>2704</v>
      </c>
    </row>
    <row r="291" spans="1:18" ht="13" x14ac:dyDescent="0.15">
      <c r="A291" s="3">
        <f ca="1">IFERROR(__xludf.DUMMYFUNCTION("""COMPUTED_VALUE"""),43187.9240244328)</f>
        <v>43187.924024432803</v>
      </c>
      <c r="B291" t="str">
        <f ca="1">IFERROR(__xludf.DUMMYFUNCTION("""COMPUTED_VALUE"""),"bimal.achu009@yahoo.in")</f>
        <v>bimal.achu009@yahoo.in</v>
      </c>
      <c r="C291">
        <f ca="1">IFERROR(__xludf.DUMMYFUNCTION("""COMPUTED_VALUE"""),582)</f>
        <v>582</v>
      </c>
      <c r="D291" t="str">
        <f ca="1">IFERROR(__xludf.DUMMYFUNCTION("""COMPUTED_VALUE"""),"N B Jayachandran")</f>
        <v>N B Jayachandran</v>
      </c>
      <c r="E291">
        <f ca="1">IFERROR(__xludf.DUMMYFUNCTION("""COMPUTED_VALUE"""),9497234788)</f>
        <v>9497234788</v>
      </c>
      <c r="F291" t="str">
        <f ca="1">IFERROR(__xludf.DUMMYFUNCTION("""COMPUTED_VALUE"""),"Thiruvananthapuram")</f>
        <v>Thiruvananthapuram</v>
      </c>
      <c r="G291" t="str">
        <f ca="1">IFERROR(__xludf.DUMMYFUNCTION("""COMPUTED_VALUE"""),"TATA POWER SOLAR SYSTEMS LTD")</f>
        <v>TATA POWER SOLAR SYSTEMS LTD</v>
      </c>
      <c r="H291">
        <f ca="1">IFERROR(__xludf.DUMMYFUNCTION("""COMPUTED_VALUE"""),20)</f>
        <v>20</v>
      </c>
      <c r="I291" s="4">
        <f ca="1">IFERROR(__xludf.DUMMYFUNCTION("""COMPUTED_VALUE"""),43181)</f>
        <v>43181</v>
      </c>
      <c r="J291">
        <f ca="1">IFERROR(__xludf.DUMMYFUNCTION("""COMPUTED_VALUE"""),5)</f>
        <v>5</v>
      </c>
      <c r="K291">
        <f ca="1">IFERROR(__xludf.DUMMYFUNCTION("""COMPUTED_VALUE"""),1145137001052)</f>
        <v>1145137001052</v>
      </c>
      <c r="L291" t="str">
        <f ca="1">IFERROR(__xludf.DUMMYFUNCTION("""COMPUTED_VALUE"""),"Beach, TVM")</f>
        <v>Beach, TVM</v>
      </c>
      <c r="M291" t="str">
        <f ca="1">IFERROR(__xludf.DUMMYFUNCTION("""COMPUTED_VALUE"""),"I Accept")</f>
        <v>I Accept</v>
      </c>
      <c r="N291" s="4">
        <f ca="1">IFERROR(__xludf.DUMMYFUNCTION("""COMPUTED_VALUE"""),43179)</f>
        <v>43179</v>
      </c>
      <c r="O291" s="4">
        <f ca="1">IFERROR(__xludf.DUMMYFUNCTION("""COMPUTED_VALUE"""),43179)</f>
        <v>43179</v>
      </c>
      <c r="P291">
        <f ca="1">IFERROR(__xludf.DUMMYFUNCTION("""COMPUTED_VALUE"""),5)</f>
        <v>5</v>
      </c>
      <c r="Q291" t="str">
        <f ca="1">IFERROR(__xludf.DUMMYFUNCTION("""COMPUTED_VALUE"""),"bimal.achu009@yahoo.in")</f>
        <v>bimal.achu009@yahoo.in</v>
      </c>
      <c r="R291" s="2" t="s">
        <v>2705</v>
      </c>
    </row>
    <row r="292" spans="1:18" ht="13" x14ac:dyDescent="0.15">
      <c r="A292" s="3">
        <f ca="1">IFERROR(__xludf.DUMMYFUNCTION("""COMPUTED_VALUE"""),43187.9289920717)</f>
        <v>43187.928992071698</v>
      </c>
      <c r="B292" t="str">
        <f ca="1">IFERROR(__xludf.DUMMYFUNCTION("""COMPUTED_VALUE"""),"gopinathanish@gmail.com")</f>
        <v>gopinathanish@gmail.com</v>
      </c>
      <c r="C292">
        <f ca="1">IFERROR(__xludf.DUMMYFUNCTION("""COMPUTED_VALUE"""),741)</f>
        <v>741</v>
      </c>
      <c r="D292" t="str">
        <f ca="1">IFERROR(__xludf.DUMMYFUNCTION("""COMPUTED_VALUE"""),"Darly Gopinath")</f>
        <v>Darly Gopinath</v>
      </c>
      <c r="E292">
        <f ca="1">IFERROR(__xludf.DUMMYFUNCTION("""COMPUTED_VALUE"""),9447244774)</f>
        <v>9447244774</v>
      </c>
      <c r="F292" t="str">
        <f ca="1">IFERROR(__xludf.DUMMYFUNCTION("""COMPUTED_VALUE"""),"Thiruvananthapuram")</f>
        <v>Thiruvananthapuram</v>
      </c>
      <c r="G292" t="str">
        <f ca="1">IFERROR(__xludf.DUMMYFUNCTION("""COMPUTED_VALUE"""),"TATA POWER SOLAR SYSTEMS LTD")</f>
        <v>TATA POWER SOLAR SYSTEMS LTD</v>
      </c>
      <c r="H292">
        <f ca="1">IFERROR(__xludf.DUMMYFUNCTION("""COMPUTED_VALUE"""),20)</f>
        <v>20</v>
      </c>
      <c r="I292" s="4">
        <f ca="1">IFERROR(__xludf.DUMMYFUNCTION("""COMPUTED_VALUE"""),43184)</f>
        <v>43184</v>
      </c>
      <c r="J292">
        <f ca="1">IFERROR(__xludf.DUMMYFUNCTION("""COMPUTED_VALUE"""),3)</f>
        <v>3</v>
      </c>
      <c r="K292">
        <f ca="1">IFERROR(__xludf.DUMMYFUNCTION("""COMPUTED_VALUE"""),1145066006362)</f>
        <v>1145066006362</v>
      </c>
      <c r="L292" t="str">
        <f ca="1">IFERROR(__xludf.DUMMYFUNCTION("""COMPUTED_VALUE"""),"Cantonment")</f>
        <v>Cantonment</v>
      </c>
      <c r="M292" t="str">
        <f ca="1">IFERROR(__xludf.DUMMYFUNCTION("""COMPUTED_VALUE"""),"I Accept")</f>
        <v>I Accept</v>
      </c>
      <c r="N292" s="4">
        <f ca="1">IFERROR(__xludf.DUMMYFUNCTION("""COMPUTED_VALUE"""),43183)</f>
        <v>43183</v>
      </c>
      <c r="O292" s="4">
        <f ca="1">IFERROR(__xludf.DUMMYFUNCTION("""COMPUTED_VALUE"""),43183)</f>
        <v>43183</v>
      </c>
      <c r="P292">
        <f ca="1">IFERROR(__xludf.DUMMYFUNCTION("""COMPUTED_VALUE"""),3)</f>
        <v>3</v>
      </c>
      <c r="Q292" t="str">
        <f ca="1">IFERROR(__xludf.DUMMYFUNCTION("""COMPUTED_VALUE"""),"gopinathanish@gmail.com")</f>
        <v>gopinathanish@gmail.com</v>
      </c>
      <c r="R292" s="2" t="s">
        <v>2706</v>
      </c>
    </row>
    <row r="293" spans="1:18" ht="13" x14ac:dyDescent="0.15">
      <c r="A293" s="3">
        <f ca="1">IFERROR(__xludf.DUMMYFUNCTION("""COMPUTED_VALUE"""),43187.9369194097)</f>
        <v>43187.936919409702</v>
      </c>
      <c r="B293" t="str">
        <f ca="1">IFERROR(__xludf.DUMMYFUNCTION("""COMPUTED_VALUE"""),"lesliejojo190@gmail.com")</f>
        <v>lesliejojo190@gmail.com</v>
      </c>
      <c r="C293">
        <f ca="1">IFERROR(__xludf.DUMMYFUNCTION("""COMPUTED_VALUE"""),242)</f>
        <v>242</v>
      </c>
      <c r="D293" t="str">
        <f ca="1">IFERROR(__xludf.DUMMYFUNCTION("""COMPUTED_VALUE"""),"Abraham Thomas")</f>
        <v>Abraham Thomas</v>
      </c>
      <c r="E293">
        <f ca="1">IFERROR(__xludf.DUMMYFUNCTION("""COMPUTED_VALUE"""),8547989462)</f>
        <v>8547989462</v>
      </c>
      <c r="F293" t="str">
        <f ca="1">IFERROR(__xludf.DUMMYFUNCTION("""COMPUTED_VALUE"""),"Thiruvananthapuram")</f>
        <v>Thiruvananthapuram</v>
      </c>
      <c r="G293" t="str">
        <f ca="1">IFERROR(__xludf.DUMMYFUNCTION("""COMPUTED_VALUE"""),"TATA POWER SOLAR SYSTEMS LTD")</f>
        <v>TATA POWER SOLAR SYSTEMS LTD</v>
      </c>
      <c r="H293">
        <f ca="1">IFERROR(__xludf.DUMMYFUNCTION("""COMPUTED_VALUE"""),20)</f>
        <v>20</v>
      </c>
      <c r="I293" s="4">
        <f ca="1">IFERROR(__xludf.DUMMYFUNCTION("""COMPUTED_VALUE"""),43164)</f>
        <v>43164</v>
      </c>
      <c r="J293">
        <f ca="1">IFERROR(__xludf.DUMMYFUNCTION("""COMPUTED_VALUE"""),3)</f>
        <v>3</v>
      </c>
      <c r="K293">
        <f ca="1">IFERROR(__xludf.DUMMYFUNCTION("""COMPUTED_VALUE"""),1145065001499)</f>
        <v>1145065001499</v>
      </c>
      <c r="L293" t="str">
        <f ca="1">IFERROR(__xludf.DUMMYFUNCTION("""COMPUTED_VALUE"""),"Cantonment")</f>
        <v>Cantonment</v>
      </c>
      <c r="M293" t="str">
        <f ca="1">IFERROR(__xludf.DUMMYFUNCTION("""COMPUTED_VALUE"""),"I Accept")</f>
        <v>I Accept</v>
      </c>
      <c r="N293" s="4">
        <f ca="1">IFERROR(__xludf.DUMMYFUNCTION("""COMPUTED_VALUE"""),43157)</f>
        <v>43157</v>
      </c>
      <c r="O293" s="4">
        <f ca="1">IFERROR(__xludf.DUMMYFUNCTION("""COMPUTED_VALUE"""),43157)</f>
        <v>43157</v>
      </c>
      <c r="P293">
        <f ca="1">IFERROR(__xludf.DUMMYFUNCTION("""COMPUTED_VALUE"""),3)</f>
        <v>3</v>
      </c>
      <c r="Q293" t="str">
        <f ca="1">IFERROR(__xludf.DUMMYFUNCTION("""COMPUTED_VALUE"""),"lesliejojo190@gmail.com")</f>
        <v>lesliejojo190@gmail.com</v>
      </c>
      <c r="R293" s="2" t="s">
        <v>2707</v>
      </c>
    </row>
    <row r="294" spans="1:18" ht="13" x14ac:dyDescent="0.15">
      <c r="A294" s="3">
        <f ca="1">IFERROR(__xludf.DUMMYFUNCTION("""COMPUTED_VALUE"""),43187.9411826504)</f>
        <v>43187.9411826504</v>
      </c>
      <c r="B294" t="str">
        <f ca="1">IFERROR(__xludf.DUMMYFUNCTION("""COMPUTED_VALUE"""),"lesliejojo190@gmail.com")</f>
        <v>lesliejojo190@gmail.com</v>
      </c>
      <c r="C294">
        <f ca="1">IFERROR(__xludf.DUMMYFUNCTION("""COMPUTED_VALUE"""),258)</f>
        <v>258</v>
      </c>
      <c r="D294" t="str">
        <f ca="1">IFERROR(__xludf.DUMMYFUNCTION("""COMPUTED_VALUE"""),"Leelamma Mathew")</f>
        <v>Leelamma Mathew</v>
      </c>
      <c r="E294">
        <f ca="1">IFERROR(__xludf.DUMMYFUNCTION("""COMPUTED_VALUE"""),9447697705)</f>
        <v>9447697705</v>
      </c>
      <c r="F294" t="str">
        <f ca="1">IFERROR(__xludf.DUMMYFUNCTION("""COMPUTED_VALUE"""),"Thiruvananthapuram")</f>
        <v>Thiruvananthapuram</v>
      </c>
      <c r="G294" t="str">
        <f ca="1">IFERROR(__xludf.DUMMYFUNCTION("""COMPUTED_VALUE"""),"TATA POWER SOLAR SYSTEMS LTD")</f>
        <v>TATA POWER SOLAR SYSTEMS LTD</v>
      </c>
      <c r="H294">
        <f ca="1">IFERROR(__xludf.DUMMYFUNCTION("""COMPUTED_VALUE"""),20)</f>
        <v>20</v>
      </c>
      <c r="I294" s="4">
        <f ca="1">IFERROR(__xludf.DUMMYFUNCTION("""COMPUTED_VALUE"""),43164)</f>
        <v>43164</v>
      </c>
      <c r="J294">
        <f ca="1">IFERROR(__xludf.DUMMYFUNCTION("""COMPUTED_VALUE"""),2)</f>
        <v>2</v>
      </c>
      <c r="K294">
        <f ca="1">IFERROR(__xludf.DUMMYFUNCTION("""COMPUTED_VALUE"""),1145068006776)</f>
        <v>1145068006776</v>
      </c>
      <c r="L294" t="str">
        <f ca="1">IFERROR(__xludf.DUMMYFUNCTION("""COMPUTED_VALUE"""),"Cantonment")</f>
        <v>Cantonment</v>
      </c>
      <c r="M294" t="str">
        <f ca="1">IFERROR(__xludf.DUMMYFUNCTION("""COMPUTED_VALUE"""),"I Accept")</f>
        <v>I Accept</v>
      </c>
      <c r="N294" s="4">
        <f ca="1">IFERROR(__xludf.DUMMYFUNCTION("""COMPUTED_VALUE"""),43153)</f>
        <v>43153</v>
      </c>
      <c r="O294" s="4">
        <f ca="1">IFERROR(__xludf.DUMMYFUNCTION("""COMPUTED_VALUE"""),43153)</f>
        <v>43153</v>
      </c>
      <c r="P294">
        <f ca="1">IFERROR(__xludf.DUMMYFUNCTION("""COMPUTED_VALUE"""),2)</f>
        <v>2</v>
      </c>
      <c r="Q294" t="str">
        <f ca="1">IFERROR(__xludf.DUMMYFUNCTION("""COMPUTED_VALUE"""),"lesliejojo190@gmail.com")</f>
        <v>lesliejojo190@gmail.com</v>
      </c>
      <c r="R294" s="2" t="s">
        <v>2708</v>
      </c>
    </row>
    <row r="295" spans="1:18" ht="13" x14ac:dyDescent="0.15">
      <c r="A295" s="3">
        <f ca="1">IFERROR(__xludf.DUMMYFUNCTION("""COMPUTED_VALUE"""),43187.9451724884)</f>
        <v>43187.945172488398</v>
      </c>
      <c r="B295" t="str">
        <f ca="1">IFERROR(__xludf.DUMMYFUNCTION("""COMPUTED_VALUE"""),"lesliejojo190@gmail.com")</f>
        <v>lesliejojo190@gmail.com</v>
      </c>
      <c r="C295">
        <f ca="1">IFERROR(__xludf.DUMMYFUNCTION("""COMPUTED_VALUE"""),257)</f>
        <v>257</v>
      </c>
      <c r="D295" t="str">
        <f ca="1">IFERROR(__xludf.DUMMYFUNCTION("""COMPUTED_VALUE"""),"Leelamma Mathew")</f>
        <v>Leelamma Mathew</v>
      </c>
      <c r="E295">
        <f ca="1">IFERROR(__xludf.DUMMYFUNCTION("""COMPUTED_VALUE"""),9447697705)</f>
        <v>9447697705</v>
      </c>
      <c r="F295" t="str">
        <f ca="1">IFERROR(__xludf.DUMMYFUNCTION("""COMPUTED_VALUE"""),"Thiruvananthapuram")</f>
        <v>Thiruvananthapuram</v>
      </c>
      <c r="G295" t="str">
        <f ca="1">IFERROR(__xludf.DUMMYFUNCTION("""COMPUTED_VALUE"""),"TATA POWER SOLAR SYSTEMS LTD")</f>
        <v>TATA POWER SOLAR SYSTEMS LTD</v>
      </c>
      <c r="H295">
        <f ca="1">IFERROR(__xludf.DUMMYFUNCTION("""COMPUTED_VALUE"""),20)</f>
        <v>20</v>
      </c>
      <c r="I295" s="4">
        <f ca="1">IFERROR(__xludf.DUMMYFUNCTION("""COMPUTED_VALUE"""),43164)</f>
        <v>43164</v>
      </c>
      <c r="J295">
        <f ca="1">IFERROR(__xludf.DUMMYFUNCTION("""COMPUTED_VALUE"""),3)</f>
        <v>3</v>
      </c>
      <c r="K295">
        <f ca="1">IFERROR(__xludf.DUMMYFUNCTION("""COMPUTED_VALUE"""),1145068001429)</f>
        <v>1145068001429</v>
      </c>
      <c r="L295" t="str">
        <f ca="1">IFERROR(__xludf.DUMMYFUNCTION("""COMPUTED_VALUE"""),"Cantonment")</f>
        <v>Cantonment</v>
      </c>
      <c r="M295" t="str">
        <f ca="1">IFERROR(__xludf.DUMMYFUNCTION("""COMPUTED_VALUE"""),"I Accept")</f>
        <v>I Accept</v>
      </c>
      <c r="N295" s="4">
        <f ca="1">IFERROR(__xludf.DUMMYFUNCTION("""COMPUTED_VALUE"""),43153)</f>
        <v>43153</v>
      </c>
      <c r="O295" s="4">
        <f ca="1">IFERROR(__xludf.DUMMYFUNCTION("""COMPUTED_VALUE"""),43153)</f>
        <v>43153</v>
      </c>
      <c r="P295">
        <f ca="1">IFERROR(__xludf.DUMMYFUNCTION("""COMPUTED_VALUE"""),3)</f>
        <v>3</v>
      </c>
      <c r="Q295" t="str">
        <f ca="1">IFERROR(__xludf.DUMMYFUNCTION("""COMPUTED_VALUE"""),"lesliejojo190@gmail.com")</f>
        <v>lesliejojo190@gmail.com</v>
      </c>
      <c r="R295" s="2" t="s">
        <v>2709</v>
      </c>
    </row>
    <row r="296" spans="1:18" ht="13" x14ac:dyDescent="0.15">
      <c r="A296" s="3">
        <f ca="1">IFERROR(__xludf.DUMMYFUNCTION("""COMPUTED_VALUE"""),43188.530684618)</f>
        <v>43188.530684618003</v>
      </c>
      <c r="B296" t="str">
        <f ca="1">IFERROR(__xludf.DUMMYFUNCTION("""COMPUTED_VALUE"""),"info@wattsun.in")</f>
        <v>info@wattsun.in</v>
      </c>
      <c r="C296">
        <f ca="1">IFERROR(__xludf.DUMMYFUNCTION("""COMPUTED_VALUE"""),170)</f>
        <v>170</v>
      </c>
      <c r="D296" t="str">
        <f ca="1">IFERROR(__xludf.DUMMYFUNCTION("""COMPUTED_VALUE"""),"Seema K R")</f>
        <v>Seema K R</v>
      </c>
      <c r="E296">
        <f ca="1">IFERROR(__xludf.DUMMYFUNCTION("""COMPUTED_VALUE"""),9388106363)</f>
        <v>9388106363</v>
      </c>
      <c r="F296" t="str">
        <f ca="1">IFERROR(__xludf.DUMMYFUNCTION("""COMPUTED_VALUE"""),"Thiruvananthapuram")</f>
        <v>Thiruvananthapuram</v>
      </c>
      <c r="G296" t="str">
        <f ca="1">IFERROR(__xludf.DUMMYFUNCTION("""COMPUTED_VALUE"""),"Wattsun Energy India Pvt Ltd")</f>
        <v>Wattsun Energy India Pvt Ltd</v>
      </c>
      <c r="H296">
        <f ca="1">IFERROR(__xludf.DUMMYFUNCTION("""COMPUTED_VALUE"""),54)</f>
        <v>54</v>
      </c>
      <c r="I296" s="4">
        <f ca="1">IFERROR(__xludf.DUMMYFUNCTION("""COMPUTED_VALUE"""),43188)</f>
        <v>43188</v>
      </c>
      <c r="J296">
        <f ca="1">IFERROR(__xludf.DUMMYFUNCTION("""COMPUTED_VALUE"""),10)</f>
        <v>10</v>
      </c>
      <c r="K296">
        <f ca="1">IFERROR(__xludf.DUMMYFUNCTION("""COMPUTED_VALUE"""),1145097004609)</f>
        <v>1145097004609</v>
      </c>
      <c r="L296" t="str">
        <f ca="1">IFERROR(__xludf.DUMMYFUNCTION("""COMPUTED_VALUE"""),"Vattiyoorkavu")</f>
        <v>Vattiyoorkavu</v>
      </c>
      <c r="M296" t="str">
        <f ca="1">IFERROR(__xludf.DUMMYFUNCTION("""COMPUTED_VALUE"""),"I Accept")</f>
        <v>I Accept</v>
      </c>
      <c r="N296" s="4">
        <f ca="1">IFERROR(__xludf.DUMMYFUNCTION("""COMPUTED_VALUE"""),43158)</f>
        <v>43158</v>
      </c>
      <c r="O296" s="4">
        <f ca="1">IFERROR(__xludf.DUMMYFUNCTION("""COMPUTED_VALUE"""),43158)</f>
        <v>43158</v>
      </c>
      <c r="P296">
        <f ca="1">IFERROR(__xludf.DUMMYFUNCTION("""COMPUTED_VALUE"""),10)</f>
        <v>10</v>
      </c>
      <c r="Q296" t="str">
        <f ca="1">IFERROR(__xludf.DUMMYFUNCTION("""COMPUTED_VALUE"""),"info@wattsun.in")</f>
        <v>info@wattsun.in</v>
      </c>
      <c r="R296" s="2" t="s">
        <v>2710</v>
      </c>
    </row>
    <row r="297" spans="1:18" ht="13" x14ac:dyDescent="0.15">
      <c r="A297" s="3">
        <f ca="1">IFERROR(__xludf.DUMMYFUNCTION("""COMPUTED_VALUE"""),43188.717276956)</f>
        <v>43188.717276955998</v>
      </c>
      <c r="B297" t="str">
        <f ca="1">IFERROR(__xludf.DUMMYFUNCTION("""COMPUTED_VALUE"""),"gkrishna88@yahoo.com")</f>
        <v>gkrishna88@yahoo.com</v>
      </c>
      <c r="C297">
        <f ca="1">IFERROR(__xludf.DUMMYFUNCTION("""COMPUTED_VALUE"""),466)</f>
        <v>466</v>
      </c>
      <c r="D297" t="str">
        <f ca="1">IFERROR(__xludf.DUMMYFUNCTION("""COMPUTED_VALUE"""),"B GOPALAKRISHNAN")</f>
        <v>B GOPALAKRISHNAN</v>
      </c>
      <c r="E297">
        <f ca="1">IFERROR(__xludf.DUMMYFUNCTION("""COMPUTED_VALUE"""),9446487084)</f>
        <v>9446487084</v>
      </c>
      <c r="F297" t="str">
        <f ca="1">IFERROR(__xludf.DUMMYFUNCTION("""COMPUTED_VALUE"""),"Ernakulam")</f>
        <v>Ernakulam</v>
      </c>
      <c r="G297" t="str">
        <f ca="1">IFERROR(__xludf.DUMMYFUNCTION("""COMPUTED_VALUE"""),"INDEX INFORMATICS SYSTEMS PVT LTD")</f>
        <v>INDEX INFORMATICS SYSTEMS PVT LTD</v>
      </c>
      <c r="H297">
        <f ca="1">IFERROR(__xludf.DUMMYFUNCTION("""COMPUTED_VALUE"""),12)</f>
        <v>12</v>
      </c>
      <c r="I297" s="4">
        <f ca="1">IFERROR(__xludf.DUMMYFUNCTION("""COMPUTED_VALUE"""),43184)</f>
        <v>43184</v>
      </c>
      <c r="J297">
        <f ca="1">IFERROR(__xludf.DUMMYFUNCTION("""COMPUTED_VALUE"""),2)</f>
        <v>2</v>
      </c>
      <c r="K297">
        <f ca="1">IFERROR(__xludf.DUMMYFUNCTION("""COMPUTED_VALUE"""),1155677011163)</f>
        <v>1155677011163</v>
      </c>
      <c r="L297" t="str">
        <f ca="1">IFERROR(__xludf.DUMMYFUNCTION("""COMPUTED_VALUE"""),"ALUVA TOWN")</f>
        <v>ALUVA TOWN</v>
      </c>
      <c r="M297" t="str">
        <f ca="1">IFERROR(__xludf.DUMMYFUNCTION("""COMPUTED_VALUE"""),"I Accept")</f>
        <v>I Accept</v>
      </c>
      <c r="N297" s="4">
        <f ca="1">IFERROR(__xludf.DUMMYFUNCTION("""COMPUTED_VALUE"""),43182)</f>
        <v>43182</v>
      </c>
      <c r="O297" s="4">
        <f ca="1">IFERROR(__xludf.DUMMYFUNCTION("""COMPUTED_VALUE"""),43182)</f>
        <v>43182</v>
      </c>
      <c r="P297">
        <f ca="1">IFERROR(__xludf.DUMMYFUNCTION("""COMPUTED_VALUE"""),2)</f>
        <v>2</v>
      </c>
      <c r="Q297" t="str">
        <f ca="1">IFERROR(__xludf.DUMMYFUNCTION("""COMPUTED_VALUE"""),"gkrishna88@yahoo.com")</f>
        <v>gkrishna88@yahoo.com</v>
      </c>
      <c r="R297" s="2" t="s">
        <v>2711</v>
      </c>
    </row>
    <row r="298" spans="1:18" ht="13" x14ac:dyDescent="0.15">
      <c r="A298" s="3">
        <f ca="1">IFERROR(__xludf.DUMMYFUNCTION("""COMPUTED_VALUE"""),43188.7181054629)</f>
        <v>43188.718105462904</v>
      </c>
      <c r="B298" t="str">
        <f ca="1">IFERROR(__xludf.DUMMYFUNCTION("""COMPUTED_VALUE"""),"jose.dilip@gmail.com")</f>
        <v>jose.dilip@gmail.com</v>
      </c>
      <c r="C298">
        <f ca="1">IFERROR(__xludf.DUMMYFUNCTION("""COMPUTED_VALUE"""),156)</f>
        <v>156</v>
      </c>
      <c r="D298" t="str">
        <f ca="1">IFERROR(__xludf.DUMMYFUNCTION("""COMPUTED_VALUE"""),"LAKSHMI S")</f>
        <v>LAKSHMI S</v>
      </c>
      <c r="E298">
        <f ca="1">IFERROR(__xludf.DUMMYFUNCTION("""COMPUTED_VALUE"""),8137874406)</f>
        <v>8137874406</v>
      </c>
      <c r="F298" t="str">
        <f ca="1">IFERROR(__xludf.DUMMYFUNCTION("""COMPUTED_VALUE"""),"Thiruvananthapuram")</f>
        <v>Thiruvananthapuram</v>
      </c>
      <c r="G298" t="str">
        <f ca="1">IFERROR(__xludf.DUMMYFUNCTION("""COMPUTED_VALUE"""),"SOLGEN ENERGY PVT LTD")</f>
        <v>SOLGEN ENERGY PVT LTD</v>
      </c>
      <c r="H298">
        <f ca="1">IFERROR(__xludf.DUMMYFUNCTION("""COMPUTED_VALUE"""),42)</f>
        <v>42</v>
      </c>
      <c r="I298" s="4">
        <f ca="1">IFERROR(__xludf.DUMMYFUNCTION("""COMPUTED_VALUE"""),43188)</f>
        <v>43188</v>
      </c>
      <c r="J298">
        <f ca="1">IFERROR(__xludf.DUMMYFUNCTION("""COMPUTED_VALUE"""),3)</f>
        <v>3</v>
      </c>
      <c r="K298">
        <f ca="1">IFERROR(__xludf.DUMMYFUNCTION("""COMPUTED_VALUE"""),1145069000034)</f>
        <v>1145069000034</v>
      </c>
      <c r="L298" t="str">
        <f ca="1">IFERROR(__xludf.DUMMYFUNCTION("""COMPUTED_VALUE"""),"CANTONMENT")</f>
        <v>CANTONMENT</v>
      </c>
      <c r="M298" t="str">
        <f ca="1">IFERROR(__xludf.DUMMYFUNCTION("""COMPUTED_VALUE"""),"I Accept")</f>
        <v>I Accept</v>
      </c>
      <c r="N298" s="4">
        <f ca="1">IFERROR(__xludf.DUMMYFUNCTION("""COMPUTED_VALUE"""),43171)</f>
        <v>43171</v>
      </c>
      <c r="O298" s="4">
        <f ca="1">IFERROR(__xludf.DUMMYFUNCTION("""COMPUTED_VALUE"""),43171)</f>
        <v>43171</v>
      </c>
      <c r="P298">
        <f ca="1">IFERROR(__xludf.DUMMYFUNCTION("""COMPUTED_VALUE"""),3)</f>
        <v>3</v>
      </c>
      <c r="Q298" t="str">
        <f ca="1">IFERROR(__xludf.DUMMYFUNCTION("""COMPUTED_VALUE"""),"jose.dilip@gmail.com")</f>
        <v>jose.dilip@gmail.com</v>
      </c>
      <c r="R298" s="2" t="s">
        <v>2712</v>
      </c>
    </row>
    <row r="299" spans="1:18" ht="13" x14ac:dyDescent="0.15">
      <c r="A299" s="3">
        <f ca="1">IFERROR(__xludf.DUMMYFUNCTION("""COMPUTED_VALUE"""),43188.7239331944)</f>
        <v>43188.7239331944</v>
      </c>
      <c r="B299" t="str">
        <f ca="1">IFERROR(__xludf.DUMMYFUNCTION("""COMPUTED_VALUE"""),"babujacobpb@gmail.com")</f>
        <v>babujacobpb@gmail.com</v>
      </c>
      <c r="C299">
        <f ca="1">IFERROR(__xludf.DUMMYFUNCTION("""COMPUTED_VALUE"""),607)</f>
        <v>607</v>
      </c>
      <c r="D299" t="str">
        <f ca="1">IFERROR(__xludf.DUMMYFUNCTION("""COMPUTED_VALUE"""),"Babu Jacob")</f>
        <v>Babu Jacob</v>
      </c>
      <c r="E299">
        <f ca="1">IFERROR(__xludf.DUMMYFUNCTION("""COMPUTED_VALUE"""),9745007037)</f>
        <v>9745007037</v>
      </c>
      <c r="F299" t="str">
        <f ca="1">IFERROR(__xludf.DUMMYFUNCTION("""COMPUTED_VALUE"""),"Thrissur")</f>
        <v>Thrissur</v>
      </c>
      <c r="G299" t="str">
        <f ca="1">IFERROR(__xludf.DUMMYFUNCTION("""COMPUTED_VALUE"""),"TATA POWER SOLAR SYSTEMS LTD")</f>
        <v>TATA POWER SOLAR SYSTEMS LTD</v>
      </c>
      <c r="H299">
        <f ca="1">IFERROR(__xludf.DUMMYFUNCTION("""COMPUTED_VALUE"""),20)</f>
        <v>20</v>
      </c>
      <c r="I299" s="4">
        <f ca="1">IFERROR(__xludf.DUMMYFUNCTION("""COMPUTED_VALUE"""),43185)</f>
        <v>43185</v>
      </c>
      <c r="J299">
        <f ca="1">IFERROR(__xludf.DUMMYFUNCTION("""COMPUTED_VALUE"""),3)</f>
        <v>3</v>
      </c>
      <c r="K299">
        <f ca="1">IFERROR(__xludf.DUMMYFUNCTION("""COMPUTED_VALUE"""),1156695018279)</f>
        <v>1156695018279</v>
      </c>
      <c r="L299" t="str">
        <f ca="1">IFERROR(__xludf.DUMMYFUNCTION("""COMPUTED_VALUE"""),"KOORKANCHERRY")</f>
        <v>KOORKANCHERRY</v>
      </c>
      <c r="M299" t="str">
        <f ca="1">IFERROR(__xludf.DUMMYFUNCTION("""COMPUTED_VALUE"""),"I Accept")</f>
        <v>I Accept</v>
      </c>
      <c r="N299" s="4">
        <f ca="1">IFERROR(__xludf.DUMMYFUNCTION("""COMPUTED_VALUE"""),43184)</f>
        <v>43184</v>
      </c>
      <c r="O299" s="4">
        <f ca="1">IFERROR(__xludf.DUMMYFUNCTION("""COMPUTED_VALUE"""),43184)</f>
        <v>43184</v>
      </c>
      <c r="P299">
        <f ca="1">IFERROR(__xludf.DUMMYFUNCTION("""COMPUTED_VALUE"""),3)</f>
        <v>3</v>
      </c>
      <c r="Q299" t="str">
        <f ca="1">IFERROR(__xludf.DUMMYFUNCTION("""COMPUTED_VALUE"""),"babujacobpb@gmail.com")</f>
        <v>babujacobpb@gmail.com</v>
      </c>
      <c r="R299" s="2" t="s">
        <v>2713</v>
      </c>
    </row>
    <row r="300" spans="1:18" ht="13" x14ac:dyDescent="0.15">
      <c r="A300" s="3">
        <f ca="1">IFERROR(__xludf.DUMMYFUNCTION("""COMPUTED_VALUE"""),43188.7255358796)</f>
        <v>43188.725535879603</v>
      </c>
      <c r="B300" t="str">
        <f ca="1">IFERROR(__xludf.DUMMYFUNCTION("""COMPUTED_VALUE"""),"jose.dilip@gmail.com")</f>
        <v>jose.dilip@gmail.com</v>
      </c>
      <c r="C300">
        <f ca="1">IFERROR(__xludf.DUMMYFUNCTION("""COMPUTED_VALUE"""),656)</f>
        <v>656</v>
      </c>
      <c r="D300" t="str">
        <f ca="1">IFERROR(__xludf.DUMMYFUNCTION("""COMPUTED_VALUE"""),"SREEKUMAR V PILLAI")</f>
        <v>SREEKUMAR V PILLAI</v>
      </c>
      <c r="E300">
        <f ca="1">IFERROR(__xludf.DUMMYFUNCTION("""COMPUTED_VALUE"""),8137874406)</f>
        <v>8137874406</v>
      </c>
      <c r="F300" t="str">
        <f ca="1">IFERROR(__xludf.DUMMYFUNCTION("""COMPUTED_VALUE"""),"Thiruvananthapuram")</f>
        <v>Thiruvananthapuram</v>
      </c>
      <c r="G300" t="str">
        <f ca="1">IFERROR(__xludf.DUMMYFUNCTION("""COMPUTED_VALUE"""),"SOLGEN ENERGY PVT LTD")</f>
        <v>SOLGEN ENERGY PVT LTD</v>
      </c>
      <c r="H300">
        <f ca="1">IFERROR(__xludf.DUMMYFUNCTION("""COMPUTED_VALUE"""),42)</f>
        <v>42</v>
      </c>
      <c r="I300" s="4">
        <f ca="1">IFERROR(__xludf.DUMMYFUNCTION("""COMPUTED_VALUE"""),43188)</f>
        <v>43188</v>
      </c>
      <c r="J300">
        <f ca="1">IFERROR(__xludf.DUMMYFUNCTION("""COMPUTED_VALUE"""),3)</f>
        <v>3</v>
      </c>
      <c r="K300">
        <f ca="1">IFERROR(__xludf.DUMMYFUNCTION("""COMPUTED_VALUE"""),1145113011828)</f>
        <v>1145113011828</v>
      </c>
      <c r="L300" t="str">
        <f ca="1">IFERROR(__xludf.DUMMYFUNCTION("""COMPUTED_VALUE"""),"THIRUMALA")</f>
        <v>THIRUMALA</v>
      </c>
      <c r="M300" t="str">
        <f ca="1">IFERROR(__xludf.DUMMYFUNCTION("""COMPUTED_VALUE"""),"I Accept")</f>
        <v>I Accept</v>
      </c>
      <c r="N300" s="4">
        <f ca="1">IFERROR(__xludf.DUMMYFUNCTION("""COMPUTED_VALUE"""),43180)</f>
        <v>43180</v>
      </c>
      <c r="O300" s="4">
        <f ca="1">IFERROR(__xludf.DUMMYFUNCTION("""COMPUTED_VALUE"""),43180)</f>
        <v>43180</v>
      </c>
      <c r="P300">
        <f ca="1">IFERROR(__xludf.DUMMYFUNCTION("""COMPUTED_VALUE"""),3)</f>
        <v>3</v>
      </c>
      <c r="Q300" t="str">
        <f ca="1">IFERROR(__xludf.DUMMYFUNCTION("""COMPUTED_VALUE"""),"jose.dilip@gmail.com")</f>
        <v>jose.dilip@gmail.com</v>
      </c>
      <c r="R300" s="2" t="s">
        <v>2714</v>
      </c>
    </row>
    <row r="301" spans="1:18" ht="13" x14ac:dyDescent="0.15">
      <c r="A301" s="3">
        <f ca="1">IFERROR(__xludf.DUMMYFUNCTION("""COMPUTED_VALUE"""),43188.7279738078)</f>
        <v>43188.7279738078</v>
      </c>
      <c r="B301" t="str">
        <f ca="1">IFERROR(__xludf.DUMMYFUNCTION("""COMPUTED_VALUE"""),"jose.dilip@gmail.com")</f>
        <v>jose.dilip@gmail.com</v>
      </c>
      <c r="C301">
        <f ca="1">IFERROR(__xludf.DUMMYFUNCTION("""COMPUTED_VALUE"""),563)</f>
        <v>563</v>
      </c>
      <c r="D301" t="str">
        <f ca="1">IFERROR(__xludf.DUMMYFUNCTION("""COMPUTED_VALUE"""),"REJI NAIR")</f>
        <v>REJI NAIR</v>
      </c>
      <c r="E301">
        <f ca="1">IFERROR(__xludf.DUMMYFUNCTION("""COMPUTED_VALUE"""),8137874406)</f>
        <v>8137874406</v>
      </c>
      <c r="F301" t="str">
        <f ca="1">IFERROR(__xludf.DUMMYFUNCTION("""COMPUTED_VALUE"""),"Thiruvananthapuram")</f>
        <v>Thiruvananthapuram</v>
      </c>
      <c r="G301" t="str">
        <f ca="1">IFERROR(__xludf.DUMMYFUNCTION("""COMPUTED_VALUE"""),"SOLGEN ENERGY PVT LTD")</f>
        <v>SOLGEN ENERGY PVT LTD</v>
      </c>
      <c r="H301">
        <f ca="1">IFERROR(__xludf.DUMMYFUNCTION("""COMPUTED_VALUE"""),42)</f>
        <v>42</v>
      </c>
      <c r="I301" s="4">
        <f ca="1">IFERROR(__xludf.DUMMYFUNCTION("""COMPUTED_VALUE"""),43187)</f>
        <v>43187</v>
      </c>
      <c r="J301">
        <f ca="1">IFERROR(__xludf.DUMMYFUNCTION("""COMPUTED_VALUE"""),3)</f>
        <v>3</v>
      </c>
      <c r="K301">
        <f ca="1">IFERROR(__xludf.DUMMYFUNCTION("""COMPUTED_VALUE"""),1145073002524)</f>
        <v>1145073002524</v>
      </c>
      <c r="L301" t="str">
        <f ca="1">IFERROR(__xludf.DUMMYFUNCTION("""COMPUTED_VALUE"""),"VELLAYAMBALAM")</f>
        <v>VELLAYAMBALAM</v>
      </c>
      <c r="M301" t="str">
        <f ca="1">IFERROR(__xludf.DUMMYFUNCTION("""COMPUTED_VALUE"""),"I Accept")</f>
        <v>I Accept</v>
      </c>
      <c r="N301" s="4">
        <f ca="1">IFERROR(__xludf.DUMMYFUNCTION("""COMPUTED_VALUE"""),43140)</f>
        <v>43140</v>
      </c>
      <c r="O301" s="4">
        <f ca="1">IFERROR(__xludf.DUMMYFUNCTION("""COMPUTED_VALUE"""),43140)</f>
        <v>43140</v>
      </c>
      <c r="P301">
        <f ca="1">IFERROR(__xludf.DUMMYFUNCTION("""COMPUTED_VALUE"""),3)</f>
        <v>3</v>
      </c>
      <c r="Q301" t="str">
        <f ca="1">IFERROR(__xludf.DUMMYFUNCTION("""COMPUTED_VALUE"""),"jose.dilip@gmail.com")</f>
        <v>jose.dilip@gmail.com</v>
      </c>
      <c r="R301" s="2" t="s">
        <v>2715</v>
      </c>
    </row>
    <row r="302" spans="1:18" ht="13" x14ac:dyDescent="0.15">
      <c r="A302" s="3">
        <f ca="1">IFERROR(__xludf.DUMMYFUNCTION("""COMPUTED_VALUE"""),43188.7298375578)</f>
        <v>43188.729837557803</v>
      </c>
      <c r="B302" t="str">
        <f ca="1">IFERROR(__xludf.DUMMYFUNCTION("""COMPUTED_VALUE"""),"jose.dilip@gmail.com")</f>
        <v>jose.dilip@gmail.com</v>
      </c>
      <c r="C302">
        <f ca="1">IFERROR(__xludf.DUMMYFUNCTION("""COMPUTED_VALUE"""),564)</f>
        <v>564</v>
      </c>
      <c r="D302" t="str">
        <f ca="1">IFERROR(__xludf.DUMMYFUNCTION("""COMPUTED_VALUE"""),"CHANDRAN POOVANPALLIL ACHUTHAN")</f>
        <v>CHANDRAN POOVANPALLIL ACHUTHAN</v>
      </c>
      <c r="E302">
        <f ca="1">IFERROR(__xludf.DUMMYFUNCTION("""COMPUTED_VALUE"""),8137874406)</f>
        <v>8137874406</v>
      </c>
      <c r="F302" t="str">
        <f ca="1">IFERROR(__xludf.DUMMYFUNCTION("""COMPUTED_VALUE"""),"Thiruvananthapuram")</f>
        <v>Thiruvananthapuram</v>
      </c>
      <c r="G302" t="str">
        <f ca="1">IFERROR(__xludf.DUMMYFUNCTION("""COMPUTED_VALUE"""),"SOLGEN ENERGY PVT LTD")</f>
        <v>SOLGEN ENERGY PVT LTD</v>
      </c>
      <c r="H302">
        <f ca="1">IFERROR(__xludf.DUMMYFUNCTION("""COMPUTED_VALUE"""),42)</f>
        <v>42</v>
      </c>
      <c r="I302" s="4">
        <f ca="1">IFERROR(__xludf.DUMMYFUNCTION("""COMPUTED_VALUE"""),43188)</f>
        <v>43188</v>
      </c>
      <c r="J302">
        <f ca="1">IFERROR(__xludf.DUMMYFUNCTION("""COMPUTED_VALUE"""),5)</f>
        <v>5</v>
      </c>
      <c r="K302">
        <f ca="1">IFERROR(__xludf.DUMMYFUNCTION("""COMPUTED_VALUE"""),1145078002525)</f>
        <v>1145078002525</v>
      </c>
      <c r="L302" t="str">
        <f ca="1">IFERROR(__xludf.DUMMYFUNCTION("""COMPUTED_VALUE"""),"VELLAYAMBALAM")</f>
        <v>VELLAYAMBALAM</v>
      </c>
      <c r="M302" t="str">
        <f ca="1">IFERROR(__xludf.DUMMYFUNCTION("""COMPUTED_VALUE"""),"I Accept")</f>
        <v>I Accept</v>
      </c>
      <c r="N302" s="4">
        <f ca="1">IFERROR(__xludf.DUMMYFUNCTION("""COMPUTED_VALUE"""),43140)</f>
        <v>43140</v>
      </c>
      <c r="O302" s="4">
        <f ca="1">IFERROR(__xludf.DUMMYFUNCTION("""COMPUTED_VALUE"""),43140)</f>
        <v>43140</v>
      </c>
      <c r="P302">
        <f ca="1">IFERROR(__xludf.DUMMYFUNCTION("""COMPUTED_VALUE"""),5)</f>
        <v>5</v>
      </c>
      <c r="Q302" t="str">
        <f ca="1">IFERROR(__xludf.DUMMYFUNCTION("""COMPUTED_VALUE"""),"jose.dilip@gmail.com")</f>
        <v>jose.dilip@gmail.com</v>
      </c>
      <c r="R302" s="2" t="s">
        <v>2716</v>
      </c>
    </row>
    <row r="303" spans="1:18" ht="13" x14ac:dyDescent="0.15">
      <c r="A303" s="3">
        <f ca="1">IFERROR(__xludf.DUMMYFUNCTION("""COMPUTED_VALUE"""),43188.7774593402)</f>
        <v>43188.777459340199</v>
      </c>
      <c r="B303" t="str">
        <f ca="1">IFERROR(__xludf.DUMMYFUNCTION("""COMPUTED_VALUE"""),"jaya@cusat.ac.in")</f>
        <v>jaya@cusat.ac.in</v>
      </c>
      <c r="C303">
        <f ca="1">IFERROR(__xludf.DUMMYFUNCTION("""COMPUTED_VALUE"""),386)</f>
        <v>386</v>
      </c>
      <c r="D303" t="str">
        <f ca="1">IFERROR(__xludf.DUMMYFUNCTION("""COMPUTED_VALUE"""),"RAJEEV P N")</f>
        <v>RAJEEV P N</v>
      </c>
      <c r="E303">
        <f ca="1">IFERROR(__xludf.DUMMYFUNCTION("""COMPUTED_VALUE"""),8547439290)</f>
        <v>8547439290</v>
      </c>
      <c r="F303" t="str">
        <f ca="1">IFERROR(__xludf.DUMMYFUNCTION("""COMPUTED_VALUE"""),"Ernakulam")</f>
        <v>Ernakulam</v>
      </c>
      <c r="G303" t="str">
        <f ca="1">IFERROR(__xludf.DUMMYFUNCTION("""COMPUTED_VALUE"""),"INDEX INFORMATICS SYSTEMS PVT LTD")</f>
        <v>INDEX INFORMATICS SYSTEMS PVT LTD</v>
      </c>
      <c r="H303">
        <f ca="1">IFERROR(__xludf.DUMMYFUNCTION("""COMPUTED_VALUE"""),12)</f>
        <v>12</v>
      </c>
      <c r="I303" s="4">
        <f ca="1">IFERROR(__xludf.DUMMYFUNCTION("""COMPUTED_VALUE"""),43179)</f>
        <v>43179</v>
      </c>
      <c r="J303">
        <f ca="1">IFERROR(__xludf.DUMMYFUNCTION("""COMPUTED_VALUE"""),2)</f>
        <v>2</v>
      </c>
      <c r="K303">
        <f ca="1">IFERROR(__xludf.DUMMYFUNCTION("""COMPUTED_VALUE"""),1155514012833)</f>
        <v>1155514012833</v>
      </c>
      <c r="L303" t="str">
        <f ca="1">IFERROR(__xludf.DUMMYFUNCTION("""COMPUTED_VALUE"""),"CHOTTANIKKARA")</f>
        <v>CHOTTANIKKARA</v>
      </c>
      <c r="M303" t="str">
        <f ca="1">IFERROR(__xludf.DUMMYFUNCTION("""COMPUTED_VALUE"""),"I Accept")</f>
        <v>I Accept</v>
      </c>
      <c r="N303" s="4">
        <f ca="1">IFERROR(__xludf.DUMMYFUNCTION("""COMPUTED_VALUE"""),43180)</f>
        <v>43180</v>
      </c>
      <c r="O303" s="4">
        <f ca="1">IFERROR(__xludf.DUMMYFUNCTION("""COMPUTED_VALUE"""),43180)</f>
        <v>43180</v>
      </c>
      <c r="P303">
        <f ca="1">IFERROR(__xludf.DUMMYFUNCTION("""COMPUTED_VALUE"""),2)</f>
        <v>2</v>
      </c>
      <c r="Q303" t="str">
        <f ca="1">IFERROR(__xludf.DUMMYFUNCTION("""COMPUTED_VALUE"""),"jaya@cusat.ac.in")</f>
        <v>jaya@cusat.ac.in</v>
      </c>
      <c r="R303" s="2" t="s">
        <v>2717</v>
      </c>
    </row>
    <row r="304" spans="1:18" ht="13" x14ac:dyDescent="0.15">
      <c r="A304" s="3">
        <f ca="1">IFERROR(__xludf.DUMMYFUNCTION("""COMPUTED_VALUE"""),43188.7849052314)</f>
        <v>43188.784905231398</v>
      </c>
      <c r="B304" t="str">
        <f ca="1">IFERROR(__xludf.DUMMYFUNCTION("""COMPUTED_VALUE"""),"sales.ecomate@gmail.com")</f>
        <v>sales.ecomate@gmail.com</v>
      </c>
      <c r="C304">
        <f ca="1">IFERROR(__xludf.DUMMYFUNCTION("""COMPUTED_VALUE"""),636)</f>
        <v>636</v>
      </c>
      <c r="D304" t="str">
        <f ca="1">IFERROR(__xludf.DUMMYFUNCTION("""COMPUTED_VALUE"""),"Reji Mathew")</f>
        <v>Reji Mathew</v>
      </c>
      <c r="E304">
        <f ca="1">IFERROR(__xludf.DUMMYFUNCTION("""COMPUTED_VALUE"""),9747583876)</f>
        <v>9747583876</v>
      </c>
      <c r="F304" t="str">
        <f ca="1">IFERROR(__xludf.DUMMYFUNCTION("""COMPUTED_VALUE"""),"Ernakulam")</f>
        <v>Ernakulam</v>
      </c>
      <c r="G304" t="str">
        <f ca="1">IFERROR(__xludf.DUMMYFUNCTION("""COMPUTED_VALUE"""),"Ecomate Energy Solutions")</f>
        <v>Ecomate Energy Solutions</v>
      </c>
      <c r="H304">
        <f ca="1">IFERROR(__xludf.DUMMYFUNCTION("""COMPUTED_VALUE"""),33)</f>
        <v>33</v>
      </c>
      <c r="I304" s="4">
        <f ca="1">IFERROR(__xludf.DUMMYFUNCTION("""COMPUTED_VALUE"""),43188)</f>
        <v>43188</v>
      </c>
      <c r="J304">
        <f ca="1">IFERROR(__xludf.DUMMYFUNCTION("""COMPUTED_VALUE"""),3)</f>
        <v>3</v>
      </c>
      <c r="K304">
        <f ca="1">IFERROR(__xludf.DUMMYFUNCTION("""COMPUTED_VALUE"""),1156018021383)</f>
        <v>1156018021383</v>
      </c>
      <c r="L304" t="str">
        <f ca="1">IFERROR(__xludf.DUMMYFUNCTION("""COMPUTED_VALUE"""),"Kothamangalam")</f>
        <v>Kothamangalam</v>
      </c>
      <c r="M304" t="str">
        <f ca="1">IFERROR(__xludf.DUMMYFUNCTION("""COMPUTED_VALUE"""),"I Accept")</f>
        <v>I Accept</v>
      </c>
      <c r="N304" s="4">
        <f ca="1">IFERROR(__xludf.DUMMYFUNCTION("""COMPUTED_VALUE"""),43188)</f>
        <v>43188</v>
      </c>
      <c r="O304" s="4">
        <f ca="1">IFERROR(__xludf.DUMMYFUNCTION("""COMPUTED_VALUE"""),43188)</f>
        <v>43188</v>
      </c>
      <c r="P304">
        <f ca="1">IFERROR(__xludf.DUMMYFUNCTION("""COMPUTED_VALUE"""),3)</f>
        <v>3</v>
      </c>
      <c r="Q304" t="str">
        <f ca="1">IFERROR(__xludf.DUMMYFUNCTION("""COMPUTED_VALUE"""),"sales.ecomate@gmail.com")</f>
        <v>sales.ecomate@gmail.com</v>
      </c>
      <c r="R304" s="2" t="s">
        <v>2718</v>
      </c>
    </row>
    <row r="305" spans="1:18" ht="13" x14ac:dyDescent="0.15">
      <c r="A305" s="3">
        <f ca="1">IFERROR(__xludf.DUMMYFUNCTION("""COMPUTED_VALUE"""),43188.7881434953)</f>
        <v>43188.788143495301</v>
      </c>
      <c r="B305" t="str">
        <f ca="1">IFERROR(__xludf.DUMMYFUNCTION("""COMPUTED_VALUE"""),"spalap@gmail.com")</f>
        <v>spalap@gmail.com</v>
      </c>
      <c r="C305">
        <f ca="1">IFERROR(__xludf.DUMMYFUNCTION("""COMPUTED_VALUE"""),526)</f>
        <v>526</v>
      </c>
      <c r="D305" t="str">
        <f ca="1">IFERROR(__xludf.DUMMYFUNCTION("""COMPUTED_VALUE"""),"SIRAJUDEEN V A")</f>
        <v>SIRAJUDEEN V A</v>
      </c>
      <c r="E305">
        <f ca="1">IFERROR(__xludf.DUMMYFUNCTION("""COMPUTED_VALUE"""),9544394449)</f>
        <v>9544394449</v>
      </c>
      <c r="F305" t="str">
        <f ca="1">IFERROR(__xludf.DUMMYFUNCTION("""COMPUTED_VALUE"""),"Ernakulam")</f>
        <v>Ernakulam</v>
      </c>
      <c r="G305" t="str">
        <f ca="1">IFERROR(__xludf.DUMMYFUNCTION("""COMPUTED_VALUE"""),"INDEX INFORMATICS SYSTEMS PVT LTD")</f>
        <v>INDEX INFORMATICS SYSTEMS PVT LTD</v>
      </c>
      <c r="H305">
        <f ca="1">IFERROR(__xludf.DUMMYFUNCTION("""COMPUTED_VALUE"""),12)</f>
        <v>12</v>
      </c>
      <c r="I305" s="4">
        <f ca="1">IFERROR(__xludf.DUMMYFUNCTION("""COMPUTED_VALUE"""),43173)</f>
        <v>43173</v>
      </c>
      <c r="J305">
        <f ca="1">IFERROR(__xludf.DUMMYFUNCTION("""COMPUTED_VALUE"""),3)</f>
        <v>3</v>
      </c>
      <c r="K305">
        <f ca="1">IFERROR(__xludf.DUMMYFUNCTION("""COMPUTED_VALUE"""),1155718005444)</f>
        <v>1155718005444</v>
      </c>
      <c r="L305" t="str">
        <f ca="1">IFERROR(__xludf.DUMMYFUNCTION("""COMPUTED_VALUE"""),"CHENGAMANAD")</f>
        <v>CHENGAMANAD</v>
      </c>
      <c r="M305" t="str">
        <f ca="1">IFERROR(__xludf.DUMMYFUNCTION("""COMPUTED_VALUE"""),"I Accept")</f>
        <v>I Accept</v>
      </c>
      <c r="N305" s="4">
        <f ca="1">IFERROR(__xludf.DUMMYFUNCTION("""COMPUTED_VALUE"""),43182)</f>
        <v>43182</v>
      </c>
      <c r="O305" s="4">
        <f ca="1">IFERROR(__xludf.DUMMYFUNCTION("""COMPUTED_VALUE"""),43182)</f>
        <v>43182</v>
      </c>
      <c r="P305">
        <f ca="1">IFERROR(__xludf.DUMMYFUNCTION("""COMPUTED_VALUE"""),3)</f>
        <v>3</v>
      </c>
      <c r="Q305" t="str">
        <f ca="1">IFERROR(__xludf.DUMMYFUNCTION("""COMPUTED_VALUE"""),"spalap@gmail.com")</f>
        <v>spalap@gmail.com</v>
      </c>
      <c r="R305" s="2" t="s">
        <v>2719</v>
      </c>
    </row>
    <row r="306" spans="1:18" ht="13" x14ac:dyDescent="0.15">
      <c r="A306" s="3">
        <f ca="1">IFERROR(__xludf.DUMMYFUNCTION("""COMPUTED_VALUE"""),43188.7940491782)</f>
        <v>43188.794049178199</v>
      </c>
      <c r="B306" t="str">
        <f ca="1">IFERROR(__xludf.DUMMYFUNCTION("""COMPUTED_VALUE"""),"sales.ecomate@gmail.com")</f>
        <v>sales.ecomate@gmail.com</v>
      </c>
      <c r="C306">
        <f ca="1">IFERROR(__xludf.DUMMYFUNCTION("""COMPUTED_VALUE"""),639)</f>
        <v>639</v>
      </c>
      <c r="D306" t="str">
        <f ca="1">IFERROR(__xludf.DUMMYFUNCTION("""COMPUTED_VALUE"""),"VARGHESE P K")</f>
        <v>VARGHESE P K</v>
      </c>
      <c r="E306">
        <f ca="1">IFERROR(__xludf.DUMMYFUNCTION("""COMPUTED_VALUE"""),9446207463)</f>
        <v>9446207463</v>
      </c>
      <c r="F306" t="str">
        <f ca="1">IFERROR(__xludf.DUMMYFUNCTION("""COMPUTED_VALUE"""),"Ernakulam")</f>
        <v>Ernakulam</v>
      </c>
      <c r="G306" t="str">
        <f ca="1">IFERROR(__xludf.DUMMYFUNCTION("""COMPUTED_VALUE"""),"Ecomate Energy Solutions")</f>
        <v>Ecomate Energy Solutions</v>
      </c>
      <c r="H306">
        <f ca="1">IFERROR(__xludf.DUMMYFUNCTION("""COMPUTED_VALUE"""),33)</f>
        <v>33</v>
      </c>
      <c r="I306" s="4">
        <f ca="1">IFERROR(__xludf.DUMMYFUNCTION("""COMPUTED_VALUE"""),43188)</f>
        <v>43188</v>
      </c>
      <c r="J306">
        <f ca="1">IFERROR(__xludf.DUMMYFUNCTION("""COMPUTED_VALUE"""),3)</f>
        <v>3</v>
      </c>
      <c r="K306">
        <f ca="1">IFERROR(__xludf.DUMMYFUNCTION("""COMPUTED_VALUE"""),1155565004124)</f>
        <v>1155565004124</v>
      </c>
      <c r="L306" t="str">
        <f ca="1">IFERROR(__xludf.DUMMYFUNCTION("""COMPUTED_VALUE"""),"VYTTILA")</f>
        <v>VYTTILA</v>
      </c>
      <c r="M306" t="str">
        <f ca="1">IFERROR(__xludf.DUMMYFUNCTION("""COMPUTED_VALUE"""),"I Accept")</f>
        <v>I Accept</v>
      </c>
      <c r="N306" s="4">
        <f ca="1">IFERROR(__xludf.DUMMYFUNCTION("""COMPUTED_VALUE"""),43188)</f>
        <v>43188</v>
      </c>
      <c r="O306" s="4">
        <f ca="1">IFERROR(__xludf.DUMMYFUNCTION("""COMPUTED_VALUE"""),43188)</f>
        <v>43188</v>
      </c>
      <c r="P306">
        <f ca="1">IFERROR(__xludf.DUMMYFUNCTION("""COMPUTED_VALUE"""),3)</f>
        <v>3</v>
      </c>
      <c r="Q306" t="str">
        <f ca="1">IFERROR(__xludf.DUMMYFUNCTION("""COMPUTED_VALUE"""),"sales.ecomate@gmail.com")</f>
        <v>sales.ecomate@gmail.com</v>
      </c>
      <c r="R306" s="2" t="s">
        <v>2720</v>
      </c>
    </row>
    <row r="307" spans="1:18" ht="13" x14ac:dyDescent="0.15">
      <c r="A307" s="3">
        <f ca="1">IFERROR(__xludf.DUMMYFUNCTION("""COMPUTED_VALUE"""),43188.8009491203)</f>
        <v>43188.800949120297</v>
      </c>
      <c r="B307" t="str">
        <f ca="1">IFERROR(__xludf.DUMMYFUNCTION("""COMPUTED_VALUE"""),"sales.ecomate@gmail.com")</f>
        <v>sales.ecomate@gmail.com</v>
      </c>
      <c r="C307">
        <f ca="1">IFERROR(__xludf.DUMMYFUNCTION("""COMPUTED_VALUE"""),571)</f>
        <v>571</v>
      </c>
      <c r="D307" t="str">
        <f ca="1">IFERROR(__xludf.DUMMYFUNCTION("""COMPUTED_VALUE"""),"GEORGE JACOB")</f>
        <v>GEORGE JACOB</v>
      </c>
      <c r="E307">
        <f ca="1">IFERROR(__xludf.DUMMYFUNCTION("""COMPUTED_VALUE"""),9446607260)</f>
        <v>9446607260</v>
      </c>
      <c r="F307" t="str">
        <f ca="1">IFERROR(__xludf.DUMMYFUNCTION("""COMPUTED_VALUE"""),"Ernakulam")</f>
        <v>Ernakulam</v>
      </c>
      <c r="G307" t="str">
        <f ca="1">IFERROR(__xludf.DUMMYFUNCTION("""COMPUTED_VALUE"""),"Ecomate Energy Solutions")</f>
        <v>Ecomate Energy Solutions</v>
      </c>
      <c r="H307">
        <f ca="1">IFERROR(__xludf.DUMMYFUNCTION("""COMPUTED_VALUE"""),33)</f>
        <v>33</v>
      </c>
      <c r="I307" s="4">
        <f ca="1">IFERROR(__xludf.DUMMYFUNCTION("""COMPUTED_VALUE"""),43188)</f>
        <v>43188</v>
      </c>
      <c r="J307">
        <f ca="1">IFERROR(__xludf.DUMMYFUNCTION("""COMPUTED_VALUE"""),5)</f>
        <v>5</v>
      </c>
      <c r="K307">
        <f ca="1">IFERROR(__xludf.DUMMYFUNCTION("""COMPUTED_VALUE"""),1155962007422)</f>
        <v>1155962007422</v>
      </c>
      <c r="L307" t="str">
        <f ca="1">IFERROR(__xludf.DUMMYFUNCTION("""COMPUTED_VALUE"""),"Valayanchirangara")</f>
        <v>Valayanchirangara</v>
      </c>
      <c r="M307" t="str">
        <f ca="1">IFERROR(__xludf.DUMMYFUNCTION("""COMPUTED_VALUE"""),"I Accept")</f>
        <v>I Accept</v>
      </c>
      <c r="N307" s="4">
        <f ca="1">IFERROR(__xludf.DUMMYFUNCTION("""COMPUTED_VALUE"""),43180)</f>
        <v>43180</v>
      </c>
      <c r="O307" s="4">
        <f ca="1">IFERROR(__xludf.DUMMYFUNCTION("""COMPUTED_VALUE"""),43180)</f>
        <v>43180</v>
      </c>
      <c r="P307">
        <f ca="1">IFERROR(__xludf.DUMMYFUNCTION("""COMPUTED_VALUE"""),5)</f>
        <v>5</v>
      </c>
      <c r="Q307" t="str">
        <f ca="1">IFERROR(__xludf.DUMMYFUNCTION("""COMPUTED_VALUE"""),"sales.ecomate@gmail.com")</f>
        <v>sales.ecomate@gmail.com</v>
      </c>
      <c r="R307" s="2" t="s">
        <v>2721</v>
      </c>
    </row>
    <row r="308" spans="1:18" ht="13" x14ac:dyDescent="0.15">
      <c r="A308" s="3">
        <f ca="1">IFERROR(__xludf.DUMMYFUNCTION("""COMPUTED_VALUE"""),43189.4602641319)</f>
        <v>43189.4602641319</v>
      </c>
      <c r="B308" t="str">
        <f ca="1">IFERROR(__xludf.DUMMYFUNCTION("""COMPUTED_VALUE"""),"info@solartechind.com")</f>
        <v>info@solartechind.com</v>
      </c>
      <c r="C308">
        <f ca="1">IFERROR(__xludf.DUMMYFUNCTION("""COMPUTED_VALUE"""),412)</f>
        <v>412</v>
      </c>
      <c r="D308" t="str">
        <f ca="1">IFERROR(__xludf.DUMMYFUNCTION("""COMPUTED_VALUE"""),"V GANGADHARAN")</f>
        <v>V GANGADHARAN</v>
      </c>
      <c r="E308">
        <f ca="1">IFERROR(__xludf.DUMMYFUNCTION("""COMPUTED_VALUE"""),9387707733)</f>
        <v>9387707733</v>
      </c>
      <c r="F308" t="str">
        <f ca="1">IFERROR(__xludf.DUMMYFUNCTION("""COMPUTED_VALUE"""),"Palakkad")</f>
        <v>Palakkad</v>
      </c>
      <c r="G308" t="str">
        <f ca="1">IFERROR(__xludf.DUMMYFUNCTION("""COMPUTED_VALUE"""),"SOLARTECH")</f>
        <v>SOLARTECH</v>
      </c>
      <c r="H308">
        <f ca="1">IFERROR(__xludf.DUMMYFUNCTION("""COMPUTED_VALUE"""),4)</f>
        <v>4</v>
      </c>
      <c r="I308" s="4">
        <f ca="1">IFERROR(__xludf.DUMMYFUNCTION("""COMPUTED_VALUE"""),43181)</f>
        <v>43181</v>
      </c>
      <c r="J308">
        <f ca="1">IFERROR(__xludf.DUMMYFUNCTION("""COMPUTED_VALUE"""),3)</f>
        <v>3</v>
      </c>
      <c r="K308">
        <f ca="1">IFERROR(__xludf.DUMMYFUNCTION("""COMPUTED_VALUE"""),1167055012674)</f>
        <v>1167055012674</v>
      </c>
      <c r="L308" t="str">
        <f ca="1">IFERROR(__xludf.DUMMYFUNCTION("""COMPUTED_VALUE"""),"PERINGODE")</f>
        <v>PERINGODE</v>
      </c>
      <c r="M308" t="str">
        <f ca="1">IFERROR(__xludf.DUMMYFUNCTION("""COMPUTED_VALUE"""),"I Accept")</f>
        <v>I Accept</v>
      </c>
      <c r="N308" s="4">
        <f ca="1">IFERROR(__xludf.DUMMYFUNCTION("""COMPUTED_VALUE"""),43178)</f>
        <v>43178</v>
      </c>
      <c r="O308" s="4">
        <f ca="1">IFERROR(__xludf.DUMMYFUNCTION("""COMPUTED_VALUE"""),43178)</f>
        <v>43178</v>
      </c>
      <c r="P308">
        <f ca="1">IFERROR(__xludf.DUMMYFUNCTION("""COMPUTED_VALUE"""),3)</f>
        <v>3</v>
      </c>
      <c r="Q308" t="str">
        <f ca="1">IFERROR(__xludf.DUMMYFUNCTION("""COMPUTED_VALUE"""),"info@solartechind.com")</f>
        <v>info@solartechind.com</v>
      </c>
      <c r="R308" s="2" t="s">
        <v>2722</v>
      </c>
    </row>
    <row r="309" spans="1:18" ht="13" x14ac:dyDescent="0.15">
      <c r="A309" s="3">
        <f ca="1">IFERROR(__xludf.DUMMYFUNCTION("""COMPUTED_VALUE"""),43189.5079885532)</f>
        <v>43189.507988553203</v>
      </c>
      <c r="B309" t="str">
        <f ca="1">IFERROR(__xludf.DUMMYFUNCTION("""COMPUTED_VALUE"""),"info@solartechind.com")</f>
        <v>info@solartechind.com</v>
      </c>
      <c r="C309">
        <f ca="1">IFERROR(__xludf.DUMMYFUNCTION("""COMPUTED_VALUE"""),579)</f>
        <v>579</v>
      </c>
      <c r="D309" t="str">
        <f ca="1">IFERROR(__xludf.DUMMYFUNCTION("""COMPUTED_VALUE"""),"JOHN PJ")</f>
        <v>JOHN PJ</v>
      </c>
      <c r="E309">
        <f ca="1">IFERROR(__xludf.DUMMYFUNCTION("""COMPUTED_VALUE"""),9387707733)</f>
        <v>9387707733</v>
      </c>
      <c r="F309" t="str">
        <f ca="1">IFERROR(__xludf.DUMMYFUNCTION("""COMPUTED_VALUE"""),"Thrissur")</f>
        <v>Thrissur</v>
      </c>
      <c r="G309" t="str">
        <f ca="1">IFERROR(__xludf.DUMMYFUNCTION("""COMPUTED_VALUE"""),"SOLARTECH")</f>
        <v>SOLARTECH</v>
      </c>
      <c r="H309">
        <f ca="1">IFERROR(__xludf.DUMMYFUNCTION("""COMPUTED_VALUE"""),4)</f>
        <v>4</v>
      </c>
      <c r="I309" s="4">
        <f ca="1">IFERROR(__xludf.DUMMYFUNCTION("""COMPUTED_VALUE"""),43175)</f>
        <v>43175</v>
      </c>
      <c r="J309">
        <f ca="1">IFERROR(__xludf.DUMMYFUNCTION("""COMPUTED_VALUE"""),3)</f>
        <v>3</v>
      </c>
      <c r="K309">
        <f ca="1">IFERROR(__xludf.DUMMYFUNCTION("""COMPUTED_VALUE"""),13577)</f>
        <v>13577</v>
      </c>
      <c r="L309" t="str">
        <f ca="1">IFERROR(__xludf.DUMMYFUNCTION("""COMPUTED_VALUE"""),"W10")</f>
        <v>W10</v>
      </c>
      <c r="M309" t="str">
        <f ca="1">IFERROR(__xludf.DUMMYFUNCTION("""COMPUTED_VALUE"""),"I Accept")</f>
        <v>I Accept</v>
      </c>
      <c r="N309" s="4">
        <f ca="1">IFERROR(__xludf.DUMMYFUNCTION("""COMPUTED_VALUE"""),43176)</f>
        <v>43176</v>
      </c>
      <c r="O309" s="4">
        <f ca="1">IFERROR(__xludf.DUMMYFUNCTION("""COMPUTED_VALUE"""),43176)</f>
        <v>43176</v>
      </c>
      <c r="P309">
        <f ca="1">IFERROR(__xludf.DUMMYFUNCTION("""COMPUTED_VALUE"""),3)</f>
        <v>3</v>
      </c>
      <c r="Q309" t="str">
        <f ca="1">IFERROR(__xludf.DUMMYFUNCTION("""COMPUTED_VALUE"""),"info@solartechind.com")</f>
        <v>info@solartechind.com</v>
      </c>
      <c r="R309" s="2" t="s">
        <v>2723</v>
      </c>
    </row>
    <row r="310" spans="1:18" ht="13" x14ac:dyDescent="0.15">
      <c r="A310" s="3">
        <f ca="1">IFERROR(__xludf.DUMMYFUNCTION("""COMPUTED_VALUE"""),43189.5307646412)</f>
        <v>43189.530764641197</v>
      </c>
      <c r="B310" t="str">
        <f ca="1">IFERROR(__xludf.DUMMYFUNCTION("""COMPUTED_VALUE"""),"sunnyphm501@gmail.com")</f>
        <v>sunnyphm501@gmail.com</v>
      </c>
      <c r="C310">
        <f ca="1">IFERROR(__xludf.DUMMYFUNCTION("""COMPUTED_VALUE"""),623)</f>
        <v>623</v>
      </c>
      <c r="D310" t="str">
        <f ca="1">IFERROR(__xludf.DUMMYFUNCTION("""COMPUTED_VALUE"""),"SUNNY M P")</f>
        <v>SUNNY M P</v>
      </c>
      <c r="E310">
        <f ca="1">IFERROR(__xludf.DUMMYFUNCTION("""COMPUTED_VALUE"""),9495047482)</f>
        <v>9495047482</v>
      </c>
      <c r="F310" t="str">
        <f ca="1">IFERROR(__xludf.DUMMYFUNCTION("""COMPUTED_VALUE"""),"Thrissur")</f>
        <v>Thrissur</v>
      </c>
      <c r="G310" t="str">
        <f ca="1">IFERROR(__xludf.DUMMYFUNCTION("""COMPUTED_VALUE"""),"TATA POWER SOLAR SYSTEMS LTD")</f>
        <v>TATA POWER SOLAR SYSTEMS LTD</v>
      </c>
      <c r="H310">
        <f ca="1">IFERROR(__xludf.DUMMYFUNCTION("""COMPUTED_VALUE"""),20)</f>
        <v>20</v>
      </c>
      <c r="I310" s="4">
        <f ca="1">IFERROR(__xludf.DUMMYFUNCTION("""COMPUTED_VALUE"""),43186)</f>
        <v>43186</v>
      </c>
      <c r="J310">
        <f ca="1">IFERROR(__xludf.DUMMYFUNCTION("""COMPUTED_VALUE"""),3)</f>
        <v>3</v>
      </c>
      <c r="K310">
        <f ca="1">IFERROR(__xludf.DUMMYFUNCTION("""COMPUTED_VALUE"""),1157184005466)</f>
        <v>1157184005466</v>
      </c>
      <c r="L310" t="str">
        <f ca="1">IFERROR(__xludf.DUMMYFUNCTION("""COMPUTED_VALUE"""),"PUNNAMPARAMBU")</f>
        <v>PUNNAMPARAMBU</v>
      </c>
      <c r="M310" t="str">
        <f ca="1">IFERROR(__xludf.DUMMYFUNCTION("""COMPUTED_VALUE"""),"I Accept")</f>
        <v>I Accept</v>
      </c>
      <c r="N310" s="4">
        <f ca="1">IFERROR(__xludf.DUMMYFUNCTION("""COMPUTED_VALUE"""),43186)</f>
        <v>43186</v>
      </c>
      <c r="O310" s="4">
        <f ca="1">IFERROR(__xludf.DUMMYFUNCTION("""COMPUTED_VALUE"""),43186)</f>
        <v>43186</v>
      </c>
      <c r="P310">
        <f ca="1">IFERROR(__xludf.DUMMYFUNCTION("""COMPUTED_VALUE"""),3)</f>
        <v>3</v>
      </c>
      <c r="Q310" t="str">
        <f ca="1">IFERROR(__xludf.DUMMYFUNCTION("""COMPUTED_VALUE"""),"sunnyphm501@gmail.com")</f>
        <v>sunnyphm501@gmail.com</v>
      </c>
      <c r="R310" s="2" t="s">
        <v>2724</v>
      </c>
    </row>
    <row r="311" spans="1:18" ht="13" x14ac:dyDescent="0.15">
      <c r="A311" s="3">
        <f ca="1">IFERROR(__xludf.DUMMYFUNCTION("""COMPUTED_VALUE"""),43189.6503058912)</f>
        <v>43189.650305891199</v>
      </c>
      <c r="B311" t="str">
        <f ca="1">IFERROR(__xludf.DUMMYFUNCTION("""COMPUTED_VALUE"""),"shinysib@gmail.com")</f>
        <v>shinysib@gmail.com</v>
      </c>
      <c r="C311">
        <f ca="1">IFERROR(__xludf.DUMMYFUNCTION("""COMPUTED_VALUE"""),561)</f>
        <v>561</v>
      </c>
      <c r="D311" t="str">
        <f ca="1">IFERROR(__xludf.DUMMYFUNCTION("""COMPUTED_VALUE"""),"SHINY J MENACHERY")</f>
        <v>SHINY J MENACHERY</v>
      </c>
      <c r="E311">
        <f ca="1">IFERROR(__xludf.DUMMYFUNCTION("""COMPUTED_VALUE"""),9895496697)</f>
        <v>9895496697</v>
      </c>
      <c r="F311" t="str">
        <f ca="1">IFERROR(__xludf.DUMMYFUNCTION("""COMPUTED_VALUE"""),"Thrissur")</f>
        <v>Thrissur</v>
      </c>
      <c r="G311" t="str">
        <f ca="1">IFERROR(__xludf.DUMMYFUNCTION("""COMPUTED_VALUE"""),"TATA POWER SOLAR SYSTEMS LTD")</f>
        <v>TATA POWER SOLAR SYSTEMS LTD</v>
      </c>
      <c r="H311">
        <f ca="1">IFERROR(__xludf.DUMMYFUNCTION("""COMPUTED_VALUE"""),20)</f>
        <v>20</v>
      </c>
      <c r="I311" s="4">
        <f ca="1">IFERROR(__xludf.DUMMYFUNCTION("""COMPUTED_VALUE"""),43185)</f>
        <v>43185</v>
      </c>
      <c r="J311">
        <f ca="1">IFERROR(__xludf.DUMMYFUNCTION("""COMPUTED_VALUE"""),3)</f>
        <v>3</v>
      </c>
      <c r="K311">
        <f ca="1">IFERROR(__xludf.DUMMYFUNCTION("""COMPUTED_VALUE"""),1156755015696)</f>
        <v>1156755015696</v>
      </c>
      <c r="L311" t="str">
        <f ca="1">IFERROR(__xludf.DUMMYFUNCTION("""COMPUTED_VALUE"""),"MANNUTHY")</f>
        <v>MANNUTHY</v>
      </c>
      <c r="M311" t="str">
        <f ca="1">IFERROR(__xludf.DUMMYFUNCTION("""COMPUTED_VALUE"""),"I Accept")</f>
        <v>I Accept</v>
      </c>
      <c r="N311" s="4">
        <f ca="1">IFERROR(__xludf.DUMMYFUNCTION("""COMPUTED_VALUE"""),43449)</f>
        <v>43449</v>
      </c>
      <c r="O311" s="4">
        <f ca="1">IFERROR(__xludf.DUMMYFUNCTION("""COMPUTED_VALUE"""),43449)</f>
        <v>43449</v>
      </c>
      <c r="P311">
        <f ca="1">IFERROR(__xludf.DUMMYFUNCTION("""COMPUTED_VALUE"""),3)</f>
        <v>3</v>
      </c>
      <c r="Q311" t="str">
        <f ca="1">IFERROR(__xludf.DUMMYFUNCTION("""COMPUTED_VALUE"""),"shinysib@gmail.com")</f>
        <v>shinysib@gmail.com</v>
      </c>
      <c r="R311" s="2" t="s">
        <v>2725</v>
      </c>
    </row>
    <row r="312" spans="1:18" ht="13" x14ac:dyDescent="0.15">
      <c r="A312" s="3">
        <f ca="1">IFERROR(__xludf.DUMMYFUNCTION("""COMPUTED_VALUE"""),43189.6538123148)</f>
        <v>43189.653812314798</v>
      </c>
      <c r="B312" t="str">
        <f ca="1">IFERROR(__xludf.DUMMYFUNCTION("""COMPUTED_VALUE"""),"info@solartechind.com")</f>
        <v>info@solartechind.com</v>
      </c>
      <c r="C312">
        <f ca="1">IFERROR(__xludf.DUMMYFUNCTION("""COMPUTED_VALUE"""),475)</f>
        <v>475</v>
      </c>
      <c r="D312" t="str">
        <f ca="1">IFERROR(__xludf.DUMMYFUNCTION("""COMPUTED_VALUE"""),"PM FATHIMA")</f>
        <v>PM FATHIMA</v>
      </c>
      <c r="E312">
        <f ca="1">IFERROR(__xludf.DUMMYFUNCTION("""COMPUTED_VALUE"""),9387707733)</f>
        <v>9387707733</v>
      </c>
      <c r="F312" t="str">
        <f ca="1">IFERROR(__xludf.DUMMYFUNCTION("""COMPUTED_VALUE"""),"Kannur")</f>
        <v>Kannur</v>
      </c>
      <c r="G312" t="str">
        <f ca="1">IFERROR(__xludf.DUMMYFUNCTION("""COMPUTED_VALUE"""),"SOLARTECH")</f>
        <v>SOLARTECH</v>
      </c>
      <c r="H312">
        <f ca="1">IFERROR(__xludf.DUMMYFUNCTION("""COMPUTED_VALUE"""),4)</f>
        <v>4</v>
      </c>
      <c r="I312" s="4">
        <f ca="1">IFERROR(__xludf.DUMMYFUNCTION("""COMPUTED_VALUE"""),43182)</f>
        <v>43182</v>
      </c>
      <c r="J312">
        <f ca="1">IFERROR(__xludf.DUMMYFUNCTION("""COMPUTED_VALUE"""),5)</f>
        <v>5</v>
      </c>
      <c r="K312">
        <f ca="1">IFERROR(__xludf.DUMMYFUNCTION("""COMPUTED_VALUE"""),1166692007127)</f>
        <v>1166692007127</v>
      </c>
      <c r="L312" t="str">
        <f ca="1">IFERROR(__xludf.DUMMYFUNCTION("""COMPUTED_VALUE"""),"THALASSERY NORTH")</f>
        <v>THALASSERY NORTH</v>
      </c>
      <c r="M312" t="str">
        <f ca="1">IFERROR(__xludf.DUMMYFUNCTION("""COMPUTED_VALUE"""),"I Accept")</f>
        <v>I Accept</v>
      </c>
      <c r="N312" s="4">
        <f ca="1">IFERROR(__xludf.DUMMYFUNCTION("""COMPUTED_VALUE"""),43047)</f>
        <v>43047</v>
      </c>
      <c r="O312" s="4">
        <f ca="1">IFERROR(__xludf.DUMMYFUNCTION("""COMPUTED_VALUE"""),43047)</f>
        <v>43047</v>
      </c>
      <c r="P312">
        <f ca="1">IFERROR(__xludf.DUMMYFUNCTION("""COMPUTED_VALUE"""),5)</f>
        <v>5</v>
      </c>
      <c r="Q312" t="str">
        <f ca="1">IFERROR(__xludf.DUMMYFUNCTION("""COMPUTED_VALUE"""),"info@solartechind.com")</f>
        <v>info@solartechind.com</v>
      </c>
      <c r="R312" s="2" t="s">
        <v>2726</v>
      </c>
    </row>
    <row r="313" spans="1:18" ht="13" x14ac:dyDescent="0.15">
      <c r="A313" s="3">
        <f ca="1">IFERROR(__xludf.DUMMYFUNCTION("""COMPUTED_VALUE"""),43189.6573038425)</f>
        <v>43189.657303842498</v>
      </c>
      <c r="B313" t="str">
        <f ca="1">IFERROR(__xludf.DUMMYFUNCTION("""COMPUTED_VALUE"""),"info@solartechind.com")</f>
        <v>info@solartechind.com</v>
      </c>
      <c r="C313">
        <f ca="1">IFERROR(__xludf.DUMMYFUNCTION("""COMPUTED_VALUE"""),476)</f>
        <v>476</v>
      </c>
      <c r="D313" t="str">
        <f ca="1">IFERROR(__xludf.DUMMYFUNCTION("""COMPUTED_VALUE"""),"M MOHAMMAD KOYA")</f>
        <v>M MOHAMMAD KOYA</v>
      </c>
      <c r="E313">
        <f ca="1">IFERROR(__xludf.DUMMYFUNCTION("""COMPUTED_VALUE"""),9387707733)</f>
        <v>9387707733</v>
      </c>
      <c r="F313" t="str">
        <f ca="1">IFERROR(__xludf.DUMMYFUNCTION("""COMPUTED_VALUE"""),"Kozhikode")</f>
        <v>Kozhikode</v>
      </c>
      <c r="G313" t="str">
        <f ca="1">IFERROR(__xludf.DUMMYFUNCTION("""COMPUTED_VALUE"""),"SOLARTECH")</f>
        <v>SOLARTECH</v>
      </c>
      <c r="H313">
        <f ca="1">IFERROR(__xludf.DUMMYFUNCTION("""COMPUTED_VALUE"""),4)</f>
        <v>4</v>
      </c>
      <c r="I313" s="4">
        <f ca="1">IFERROR(__xludf.DUMMYFUNCTION("""COMPUTED_VALUE"""),43185)</f>
        <v>43185</v>
      </c>
      <c r="J313">
        <f ca="1">IFERROR(__xludf.DUMMYFUNCTION("""COMPUTED_VALUE"""),5)</f>
        <v>5</v>
      </c>
      <c r="K313">
        <f ca="1">IFERROR(__xludf.DUMMYFUNCTION("""COMPUTED_VALUE"""),1166056006258)</f>
        <v>1166056006258</v>
      </c>
      <c r="L313" t="str">
        <f ca="1">IFERROR(__xludf.DUMMYFUNCTION("""COMPUTED_VALUE"""),"VELLIMADUKUNNU")</f>
        <v>VELLIMADUKUNNU</v>
      </c>
      <c r="M313" t="str">
        <f ca="1">IFERROR(__xludf.DUMMYFUNCTION("""COMPUTED_VALUE"""),"I Accept")</f>
        <v>I Accept</v>
      </c>
      <c r="N313" s="4">
        <f ca="1">IFERROR(__xludf.DUMMYFUNCTION("""COMPUTED_VALUE"""),43161)</f>
        <v>43161</v>
      </c>
      <c r="O313" s="4">
        <f ca="1">IFERROR(__xludf.DUMMYFUNCTION("""COMPUTED_VALUE"""),43161)</f>
        <v>43161</v>
      </c>
      <c r="P313">
        <f ca="1">IFERROR(__xludf.DUMMYFUNCTION("""COMPUTED_VALUE"""),5)</f>
        <v>5</v>
      </c>
      <c r="Q313" t="str">
        <f ca="1">IFERROR(__xludf.DUMMYFUNCTION("""COMPUTED_VALUE"""),"info@solartechind.com")</f>
        <v>info@solartechind.com</v>
      </c>
      <c r="R313" s="2" t="s">
        <v>2727</v>
      </c>
    </row>
    <row r="314" spans="1:18" ht="13" x14ac:dyDescent="0.15">
      <c r="A314" s="3">
        <f ca="1">IFERROR(__xludf.DUMMYFUNCTION("""COMPUTED_VALUE"""),43189.6616407291)</f>
        <v>43189.6616407291</v>
      </c>
      <c r="B314" t="str">
        <f ca="1">IFERROR(__xludf.DUMMYFUNCTION("""COMPUTED_VALUE"""),"info@solartechind.com")</f>
        <v>info@solartechind.com</v>
      </c>
      <c r="C314">
        <f ca="1">IFERROR(__xludf.DUMMYFUNCTION("""COMPUTED_VALUE"""),57)</f>
        <v>57</v>
      </c>
      <c r="D314" t="str">
        <f ca="1">IFERROR(__xludf.DUMMYFUNCTION("""COMPUTED_VALUE"""),"NOUSHITHA VM")</f>
        <v>NOUSHITHA VM</v>
      </c>
      <c r="E314">
        <f ca="1">IFERROR(__xludf.DUMMYFUNCTION("""COMPUTED_VALUE"""),9387707733)</f>
        <v>9387707733</v>
      </c>
      <c r="F314" t="str">
        <f ca="1">IFERROR(__xludf.DUMMYFUNCTION("""COMPUTED_VALUE"""),"Kozhikode")</f>
        <v>Kozhikode</v>
      </c>
      <c r="G314" t="str">
        <f ca="1">IFERROR(__xludf.DUMMYFUNCTION("""COMPUTED_VALUE"""),"SOLARTECH")</f>
        <v>SOLARTECH</v>
      </c>
      <c r="H314">
        <f ca="1">IFERROR(__xludf.DUMMYFUNCTION("""COMPUTED_VALUE"""),4)</f>
        <v>4</v>
      </c>
      <c r="I314" s="4">
        <f ca="1">IFERROR(__xludf.DUMMYFUNCTION("""COMPUTED_VALUE"""),43185)</f>
        <v>43185</v>
      </c>
      <c r="J314">
        <f ca="1">IFERROR(__xludf.DUMMYFUNCTION("""COMPUTED_VALUE"""),5)</f>
        <v>5</v>
      </c>
      <c r="K314">
        <f ca="1">IFERROR(__xludf.DUMMYFUNCTION("""COMPUTED_VALUE"""),15466)</f>
        <v>15466</v>
      </c>
      <c r="L314" t="str">
        <f ca="1">IFERROR(__xludf.DUMMYFUNCTION("""COMPUTED_VALUE"""),"ERANHIKKAL")</f>
        <v>ERANHIKKAL</v>
      </c>
      <c r="M314" t="str">
        <f ca="1">IFERROR(__xludf.DUMMYFUNCTION("""COMPUTED_VALUE"""),"I Accept")</f>
        <v>I Accept</v>
      </c>
      <c r="N314" s="4">
        <f ca="1">IFERROR(__xludf.DUMMYFUNCTION("""COMPUTED_VALUE"""),43185)</f>
        <v>43185</v>
      </c>
      <c r="O314" s="4">
        <f ca="1">IFERROR(__xludf.DUMMYFUNCTION("""COMPUTED_VALUE"""),43185)</f>
        <v>43185</v>
      </c>
      <c r="P314">
        <f ca="1">IFERROR(__xludf.DUMMYFUNCTION("""COMPUTED_VALUE"""),5)</f>
        <v>5</v>
      </c>
      <c r="Q314" t="str">
        <f ca="1">IFERROR(__xludf.DUMMYFUNCTION("""COMPUTED_VALUE"""),"info@solartechind.com")</f>
        <v>info@solartechind.com</v>
      </c>
      <c r="R314" s="2" t="s">
        <v>2728</v>
      </c>
    </row>
    <row r="315" spans="1:18" ht="13" x14ac:dyDescent="0.15">
      <c r="A315" s="3">
        <f ca="1">IFERROR(__xludf.DUMMYFUNCTION("""COMPUTED_VALUE"""),43190.5354160763)</f>
        <v>43190.535416076302</v>
      </c>
      <c r="B315" t="str">
        <f ca="1">IFERROR(__xludf.DUMMYFUNCTION("""COMPUTED_VALUE"""),"tdncustomercare@gmail.com")</f>
        <v>tdncustomercare@gmail.com</v>
      </c>
      <c r="C315">
        <f ca="1">IFERROR(__xludf.DUMMYFUNCTION("""COMPUTED_VALUE"""),338)</f>
        <v>338</v>
      </c>
      <c r="D315" t="str">
        <f ca="1">IFERROR(__xludf.DUMMYFUNCTION("""COMPUTED_VALUE"""),"Jose mathew")</f>
        <v>Jose mathew</v>
      </c>
      <c r="E315">
        <f ca="1">IFERROR(__xludf.DUMMYFUNCTION("""COMPUTED_VALUE"""),9847286765)</f>
        <v>9847286765</v>
      </c>
      <c r="F315" t="str">
        <f ca="1">IFERROR(__xludf.DUMMYFUNCTION("""COMPUTED_VALUE"""),"Kottayam")</f>
        <v>Kottayam</v>
      </c>
      <c r="G315" t="str">
        <f ca="1">IFERROR(__xludf.DUMMYFUNCTION("""COMPUTED_VALUE"""),"SOURA Natural Energy Solutions I Pvt Ltd")</f>
        <v>SOURA Natural Energy Solutions I Pvt Ltd</v>
      </c>
      <c r="H315">
        <f ca="1">IFERROR(__xludf.DUMMYFUNCTION("""COMPUTED_VALUE"""),11)</f>
        <v>11</v>
      </c>
      <c r="I315" s="4">
        <f ca="1">IFERROR(__xludf.DUMMYFUNCTION("""COMPUTED_VALUE"""),43166)</f>
        <v>43166</v>
      </c>
      <c r="J315">
        <f ca="1">IFERROR(__xludf.DUMMYFUNCTION("""COMPUTED_VALUE"""),3)</f>
        <v>3</v>
      </c>
      <c r="K315">
        <f ca="1">IFERROR(__xludf.DUMMYFUNCTION("""COMPUTED_VALUE"""),1157073012076)</f>
        <v>1157073012076</v>
      </c>
      <c r="L315" t="str">
        <f ca="1">IFERROR(__xludf.DUMMYFUNCTION("""COMPUTED_VALUE"""),"pallikkathode")</f>
        <v>pallikkathode</v>
      </c>
      <c r="M315" t="str">
        <f ca="1">IFERROR(__xludf.DUMMYFUNCTION("""COMPUTED_VALUE"""),"I Accept")</f>
        <v>I Accept</v>
      </c>
      <c r="N315" s="4">
        <f ca="1">IFERROR(__xludf.DUMMYFUNCTION("""COMPUTED_VALUE"""),43113)</f>
        <v>43113</v>
      </c>
      <c r="O315" s="4">
        <f ca="1">IFERROR(__xludf.DUMMYFUNCTION("""COMPUTED_VALUE"""),43113)</f>
        <v>43113</v>
      </c>
      <c r="P315">
        <f ca="1">IFERROR(__xludf.DUMMYFUNCTION("""COMPUTED_VALUE"""),3)</f>
        <v>3</v>
      </c>
      <c r="Q315" t="str">
        <f ca="1">IFERROR(__xludf.DUMMYFUNCTION("""COMPUTED_VALUE"""),"tdncustomercare@gmail.com")</f>
        <v>tdncustomercare@gmail.com</v>
      </c>
      <c r="R315" s="2" t="s">
        <v>2729</v>
      </c>
    </row>
    <row r="316" spans="1:18" ht="13" x14ac:dyDescent="0.15">
      <c r="A316" s="3">
        <f ca="1">IFERROR(__xludf.DUMMYFUNCTION("""COMPUTED_VALUE"""),43190.5868053356)</f>
        <v>43190.586805335603</v>
      </c>
      <c r="B316" t="str">
        <f ca="1">IFERROR(__xludf.DUMMYFUNCTION("""COMPUTED_VALUE"""),"info@wattsun.in")</f>
        <v>info@wattsun.in</v>
      </c>
      <c r="C316">
        <f ca="1">IFERROR(__xludf.DUMMYFUNCTION("""COMPUTED_VALUE"""),321)</f>
        <v>321</v>
      </c>
      <c r="D316" t="str">
        <f ca="1">IFERROR(__xludf.DUMMYFUNCTION("""COMPUTED_VALUE"""),"Nita Kumari T")</f>
        <v>Nita Kumari T</v>
      </c>
      <c r="E316">
        <f ca="1">IFERROR(__xludf.DUMMYFUNCTION("""COMPUTED_VALUE"""),9388106363)</f>
        <v>9388106363</v>
      </c>
      <c r="F316" t="str">
        <f ca="1">IFERROR(__xludf.DUMMYFUNCTION("""COMPUTED_VALUE"""),"Thiruvananthapuram")</f>
        <v>Thiruvananthapuram</v>
      </c>
      <c r="G316" t="str">
        <f ca="1">IFERROR(__xludf.DUMMYFUNCTION("""COMPUTED_VALUE"""),"Wattsun Energy India Private Limited")</f>
        <v>Wattsun Energy India Private Limited</v>
      </c>
      <c r="H316">
        <f ca="1">IFERROR(__xludf.DUMMYFUNCTION("""COMPUTED_VALUE"""),54)</f>
        <v>54</v>
      </c>
      <c r="I316" s="4">
        <f ca="1">IFERROR(__xludf.DUMMYFUNCTION("""COMPUTED_VALUE"""),43178)</f>
        <v>43178</v>
      </c>
      <c r="J316">
        <f ca="1">IFERROR(__xludf.DUMMYFUNCTION("""COMPUTED_VALUE"""),3)</f>
        <v>3</v>
      </c>
      <c r="K316">
        <f ca="1">IFERROR(__xludf.DUMMYFUNCTION("""COMPUTED_VALUE"""),1145140003455)</f>
        <v>1145140003455</v>
      </c>
      <c r="L316" t="str">
        <f ca="1">IFERROR(__xludf.DUMMYFUNCTION("""COMPUTED_VALUE"""),"Pettah")</f>
        <v>Pettah</v>
      </c>
      <c r="M316" t="str">
        <f ca="1">IFERROR(__xludf.DUMMYFUNCTION("""COMPUTED_VALUE"""),"I Accept")</f>
        <v>I Accept</v>
      </c>
      <c r="N316" s="4">
        <f ca="1">IFERROR(__xludf.DUMMYFUNCTION("""COMPUTED_VALUE"""),43171)</f>
        <v>43171</v>
      </c>
      <c r="O316" s="4">
        <f ca="1">IFERROR(__xludf.DUMMYFUNCTION("""COMPUTED_VALUE"""),43171)</f>
        <v>43171</v>
      </c>
      <c r="P316">
        <f ca="1">IFERROR(__xludf.DUMMYFUNCTION("""COMPUTED_VALUE"""),3)</f>
        <v>3</v>
      </c>
      <c r="Q316" t="str">
        <f ca="1">IFERROR(__xludf.DUMMYFUNCTION("""COMPUTED_VALUE"""),"info@wattsun.in")</f>
        <v>info@wattsun.in</v>
      </c>
      <c r="R316" s="2" t="s">
        <v>2730</v>
      </c>
    </row>
    <row r="317" spans="1:18" ht="13" x14ac:dyDescent="0.15">
      <c r="A317" s="3">
        <f ca="1">IFERROR(__xludf.DUMMYFUNCTION("""COMPUTED_VALUE"""),43190.6458284027)</f>
        <v>43190.645828402703</v>
      </c>
      <c r="B317" t="str">
        <f ca="1">IFERROR(__xludf.DUMMYFUNCTION("""COMPUTED_VALUE"""),"purunni@gmail.com")</f>
        <v>purunni@gmail.com</v>
      </c>
      <c r="C317">
        <f ca="1">IFERROR(__xludf.DUMMYFUNCTION("""COMPUTED_VALUE"""),81)</f>
        <v>81</v>
      </c>
      <c r="D317" t="str">
        <f ca="1">IFERROR(__xludf.DUMMYFUNCTION("""COMPUTED_VALUE"""),"NARAYANAN UNNI. P")</f>
        <v>NARAYANAN UNNI. P</v>
      </c>
      <c r="E317">
        <f ca="1">IFERROR(__xludf.DUMMYFUNCTION("""COMPUTED_VALUE"""),9846121789)</f>
        <v>9846121789</v>
      </c>
      <c r="F317" t="str">
        <f ca="1">IFERROR(__xludf.DUMMYFUNCTION("""COMPUTED_VALUE"""),"Palakkad")</f>
        <v>Palakkad</v>
      </c>
      <c r="G317" t="str">
        <f ca="1">IFERROR(__xludf.DUMMYFUNCTION("""COMPUTED_VALUE"""),"TATA POWER SOLAR SYSTEMS LTD")</f>
        <v>TATA POWER SOLAR SYSTEMS LTD</v>
      </c>
      <c r="H317">
        <f ca="1">IFERROR(__xludf.DUMMYFUNCTION("""COMPUTED_VALUE"""),20)</f>
        <v>20</v>
      </c>
      <c r="I317" s="4">
        <f ca="1">IFERROR(__xludf.DUMMYFUNCTION("""COMPUTED_VALUE"""),43169)</f>
        <v>43169</v>
      </c>
      <c r="J317">
        <f ca="1">IFERROR(__xludf.DUMMYFUNCTION("""COMPUTED_VALUE"""),3)</f>
        <v>3</v>
      </c>
      <c r="K317">
        <f ca="1">IFERROR(__xludf.DUMMYFUNCTION("""COMPUTED_VALUE"""),1165294001251)</f>
        <v>1165294001251</v>
      </c>
      <c r="L317" t="str">
        <f ca="1">IFERROR(__xludf.DUMMYFUNCTION("""COMPUTED_VALUE"""),"MARUTHAROAD ELECTRICAL SECTION")</f>
        <v>MARUTHAROAD ELECTRICAL SECTION</v>
      </c>
      <c r="M317" t="str">
        <f ca="1">IFERROR(__xludf.DUMMYFUNCTION("""COMPUTED_VALUE"""),"I Accept")</f>
        <v>I Accept</v>
      </c>
      <c r="N317" s="4">
        <f ca="1">IFERROR(__xludf.DUMMYFUNCTION("""COMPUTED_VALUE"""),43186)</f>
        <v>43186</v>
      </c>
      <c r="O317" s="4">
        <f ca="1">IFERROR(__xludf.DUMMYFUNCTION("""COMPUTED_VALUE"""),43186)</f>
        <v>43186</v>
      </c>
      <c r="P317">
        <f ca="1">IFERROR(__xludf.DUMMYFUNCTION("""COMPUTED_VALUE"""),3)</f>
        <v>3</v>
      </c>
      <c r="Q317" t="str">
        <f ca="1">IFERROR(__xludf.DUMMYFUNCTION("""COMPUTED_VALUE"""),"purunni@gmail.com")</f>
        <v>purunni@gmail.com</v>
      </c>
      <c r="R317" s="2" t="s">
        <v>2731</v>
      </c>
    </row>
    <row r="318" spans="1:18" ht="13" x14ac:dyDescent="0.15">
      <c r="A318" s="3">
        <f ca="1">IFERROR(__xludf.DUMMYFUNCTION("""COMPUTED_VALUE"""),43190.6899835416)</f>
        <v>43190.689983541597</v>
      </c>
      <c r="B318" t="str">
        <f ca="1">IFERROR(__xludf.DUMMYFUNCTION("""COMPUTED_VALUE"""),"info@wattsun.in")</f>
        <v>info@wattsun.in</v>
      </c>
      <c r="C318">
        <f ca="1">IFERROR(__xludf.DUMMYFUNCTION("""COMPUTED_VALUE"""),539)</f>
        <v>539</v>
      </c>
      <c r="D318" t="str">
        <f ca="1">IFERROR(__xludf.DUMMYFUNCTION("""COMPUTED_VALUE"""),"Dr.R Rajkumar")</f>
        <v>Dr.R Rajkumar</v>
      </c>
      <c r="E318">
        <f ca="1">IFERROR(__xludf.DUMMYFUNCTION("""COMPUTED_VALUE"""),9388106363)</f>
        <v>9388106363</v>
      </c>
      <c r="F318" t="str">
        <f ca="1">IFERROR(__xludf.DUMMYFUNCTION("""COMPUTED_VALUE"""),"Thiruvananthapuram")</f>
        <v>Thiruvananthapuram</v>
      </c>
      <c r="G318" t="str">
        <f ca="1">IFERROR(__xludf.DUMMYFUNCTION("""COMPUTED_VALUE"""),"Wattsun Energy India Private Limited")</f>
        <v>Wattsun Energy India Private Limited</v>
      </c>
      <c r="H318">
        <f ca="1">IFERROR(__xludf.DUMMYFUNCTION("""COMPUTED_VALUE"""),54)</f>
        <v>54</v>
      </c>
      <c r="I318" s="4">
        <f ca="1">IFERROR(__xludf.DUMMYFUNCTION("""COMPUTED_VALUE"""),43190)</f>
        <v>43190</v>
      </c>
      <c r="J318">
        <f ca="1">IFERROR(__xludf.DUMMYFUNCTION("""COMPUTED_VALUE"""),5)</f>
        <v>5</v>
      </c>
      <c r="K318">
        <f ca="1">IFERROR(__xludf.DUMMYFUNCTION("""COMPUTED_VALUE"""),1145464030134)</f>
        <v>1145464030134</v>
      </c>
      <c r="L318" t="str">
        <f ca="1">IFERROR(__xludf.DUMMYFUNCTION("""COMPUTED_VALUE"""),"Vizhinjam")</f>
        <v>Vizhinjam</v>
      </c>
      <c r="M318" t="str">
        <f ca="1">IFERROR(__xludf.DUMMYFUNCTION("""COMPUTED_VALUE"""),"I Accept")</f>
        <v>I Accept</v>
      </c>
      <c r="N318" s="4">
        <f ca="1">IFERROR(__xludf.DUMMYFUNCTION("""COMPUTED_VALUE"""),43169)</f>
        <v>43169</v>
      </c>
      <c r="O318" s="4">
        <f ca="1">IFERROR(__xludf.DUMMYFUNCTION("""COMPUTED_VALUE"""),43169)</f>
        <v>43169</v>
      </c>
      <c r="P318">
        <f ca="1">IFERROR(__xludf.DUMMYFUNCTION("""COMPUTED_VALUE"""),5)</f>
        <v>5</v>
      </c>
      <c r="Q318" t="str">
        <f ca="1">IFERROR(__xludf.DUMMYFUNCTION("""COMPUTED_VALUE"""),"info@wattsun.in")</f>
        <v>info@wattsun.in</v>
      </c>
      <c r="R318" s="2" t="s">
        <v>2732</v>
      </c>
    </row>
    <row r="319" spans="1:18" ht="13" x14ac:dyDescent="0.15">
      <c r="A319" s="3">
        <f ca="1">IFERROR(__xludf.DUMMYFUNCTION("""COMPUTED_VALUE"""),43190.6948850578)</f>
        <v>43190.694885057797</v>
      </c>
      <c r="B319" t="str">
        <f ca="1">IFERROR(__xludf.DUMMYFUNCTION("""COMPUTED_VALUE"""),"solarconnect2018@gmail.com")</f>
        <v>solarconnect2018@gmail.com</v>
      </c>
      <c r="C319">
        <f ca="1">IFERROR(__xludf.DUMMYFUNCTION("""COMPUTED_VALUE"""),323)</f>
        <v>323</v>
      </c>
      <c r="D319" t="str">
        <f ca="1">IFERROR(__xludf.DUMMYFUNCTION("""COMPUTED_VALUE"""),"MOHAN JAIDAS")</f>
        <v>MOHAN JAIDAS</v>
      </c>
      <c r="E319">
        <f ca="1">IFERROR(__xludf.DUMMYFUNCTION("""COMPUTED_VALUE"""),9847010462)</f>
        <v>9847010462</v>
      </c>
      <c r="F319" t="str">
        <f ca="1">IFERROR(__xludf.DUMMYFUNCTION("""COMPUTED_VALUE"""),"Kannur")</f>
        <v>Kannur</v>
      </c>
      <c r="G319" t="str">
        <f ca="1">IFERROR(__xludf.DUMMYFUNCTION("""COMPUTED_VALUE"""),"SPECTRUM TECHNO PRODUCTS")</f>
        <v>SPECTRUM TECHNO PRODUCTS</v>
      </c>
      <c r="H319">
        <f ca="1">IFERROR(__xludf.DUMMYFUNCTION("""COMPUTED_VALUE"""),66)</f>
        <v>66</v>
      </c>
      <c r="I319" s="4">
        <f ca="1">IFERROR(__xludf.DUMMYFUNCTION("""COMPUTED_VALUE"""),43197)</f>
        <v>43197</v>
      </c>
      <c r="J319">
        <f ca="1">IFERROR(__xludf.DUMMYFUNCTION("""COMPUTED_VALUE"""),5)</f>
        <v>5</v>
      </c>
      <c r="K319">
        <f ca="1">IFERROR(__xludf.DUMMYFUNCTION("""COMPUTED_VALUE"""),1166543016037)</f>
        <v>1166543016037</v>
      </c>
      <c r="L319" t="str">
        <f ca="1">IFERROR(__xludf.DUMMYFUNCTION("""COMPUTED_VALUE"""),"KANNUR")</f>
        <v>KANNUR</v>
      </c>
      <c r="M319" t="str">
        <f ca="1">IFERROR(__xludf.DUMMYFUNCTION("""COMPUTED_VALUE"""),"I Accept")</f>
        <v>I Accept</v>
      </c>
      <c r="N319" s="4">
        <f ca="1">IFERROR(__xludf.DUMMYFUNCTION("""COMPUTED_VALUE"""),43166)</f>
        <v>43166</v>
      </c>
      <c r="O319" s="4">
        <f ca="1">IFERROR(__xludf.DUMMYFUNCTION("""COMPUTED_VALUE"""),43166)</f>
        <v>43166</v>
      </c>
      <c r="P319">
        <f ca="1">IFERROR(__xludf.DUMMYFUNCTION("""COMPUTED_VALUE"""),5)</f>
        <v>5</v>
      </c>
      <c r="Q319" t="str">
        <f ca="1">IFERROR(__xludf.DUMMYFUNCTION("""COMPUTED_VALUE"""),"solarconnect2018@gmail.com")</f>
        <v>solarconnect2018@gmail.com</v>
      </c>
      <c r="R319" s="2" t="s">
        <v>2733</v>
      </c>
    </row>
    <row r="320" spans="1:18" ht="13" x14ac:dyDescent="0.15">
      <c r="A320" s="3">
        <f ca="1">IFERROR(__xludf.DUMMYFUNCTION("""COMPUTED_VALUE"""),43190.7038500925)</f>
        <v>43190.703850092497</v>
      </c>
      <c r="B320" t="str">
        <f ca="1">IFERROR(__xludf.DUMMYFUNCTION("""COMPUTED_VALUE"""),"solarconnect2018@gmail.com")</f>
        <v>solarconnect2018@gmail.com</v>
      </c>
      <c r="C320">
        <f ca="1">IFERROR(__xludf.DUMMYFUNCTION("""COMPUTED_VALUE"""),430)</f>
        <v>430</v>
      </c>
      <c r="D320" t="str">
        <f ca="1">IFERROR(__xludf.DUMMYFUNCTION("""COMPUTED_VALUE"""),"RAFEEK AT")</f>
        <v>RAFEEK AT</v>
      </c>
      <c r="E320">
        <f ca="1">IFERROR(__xludf.DUMMYFUNCTION("""COMPUTED_VALUE"""),9633251931)</f>
        <v>9633251931</v>
      </c>
      <c r="F320" t="str">
        <f ca="1">IFERROR(__xludf.DUMMYFUNCTION("""COMPUTED_VALUE"""),"Kannur")</f>
        <v>Kannur</v>
      </c>
      <c r="G320" t="str">
        <f ca="1">IFERROR(__xludf.DUMMYFUNCTION("""COMPUTED_VALUE"""),"SPECTRUM TECHNO PRODUCTS")</f>
        <v>SPECTRUM TECHNO PRODUCTS</v>
      </c>
      <c r="H320">
        <f ca="1">IFERROR(__xludf.DUMMYFUNCTION("""COMPUTED_VALUE"""),66)</f>
        <v>66</v>
      </c>
      <c r="I320" s="4">
        <f ca="1">IFERROR(__xludf.DUMMYFUNCTION("""COMPUTED_VALUE"""),43189)</f>
        <v>43189</v>
      </c>
      <c r="J320">
        <f ca="1">IFERROR(__xludf.DUMMYFUNCTION("""COMPUTED_VALUE"""),3)</f>
        <v>3</v>
      </c>
      <c r="K320">
        <f ca="1">IFERROR(__xludf.DUMMYFUNCTION("""COMPUTED_VALUE"""),1166639015755)</f>
        <v>1166639015755</v>
      </c>
      <c r="L320" t="str">
        <f ca="1">IFERROR(__xludf.DUMMYFUNCTION("""COMPUTED_VALUE"""),"PAPPINISSERI")</f>
        <v>PAPPINISSERI</v>
      </c>
      <c r="M320" t="str">
        <f ca="1">IFERROR(__xludf.DUMMYFUNCTION("""COMPUTED_VALUE"""),"I Accept")</f>
        <v>I Accept</v>
      </c>
      <c r="N320" s="4">
        <f ca="1">IFERROR(__xludf.DUMMYFUNCTION("""COMPUTED_VALUE"""),43166)</f>
        <v>43166</v>
      </c>
      <c r="O320" s="4">
        <f ca="1">IFERROR(__xludf.DUMMYFUNCTION("""COMPUTED_VALUE"""),43166)</f>
        <v>43166</v>
      </c>
      <c r="P320">
        <f ca="1">IFERROR(__xludf.DUMMYFUNCTION("""COMPUTED_VALUE"""),3)</f>
        <v>3</v>
      </c>
      <c r="Q320" t="str">
        <f ca="1">IFERROR(__xludf.DUMMYFUNCTION("""COMPUTED_VALUE"""),"solarconnect2018@gmail.com")</f>
        <v>solarconnect2018@gmail.com</v>
      </c>
      <c r="R320" s="2" t="s">
        <v>2734</v>
      </c>
    </row>
    <row r="321" spans="1:18" ht="13" x14ac:dyDescent="0.15">
      <c r="A321" s="3">
        <f ca="1">IFERROR(__xludf.DUMMYFUNCTION("""COMPUTED_VALUE"""),43190.7325589699)</f>
        <v>43190.732558969903</v>
      </c>
      <c r="B321" t="str">
        <f ca="1">IFERROR(__xludf.DUMMYFUNCTION("""COMPUTED_VALUE"""),"info@solartechind.com")</f>
        <v>info@solartechind.com</v>
      </c>
      <c r="C321">
        <f ca="1">IFERROR(__xludf.DUMMYFUNCTION("""COMPUTED_VALUE"""),477)</f>
        <v>477</v>
      </c>
      <c r="D321" t="str">
        <f ca="1">IFERROR(__xludf.DUMMYFUNCTION("""COMPUTED_VALUE"""),"A.K.S HAMEED")</f>
        <v>A.K.S HAMEED</v>
      </c>
      <c r="E321">
        <f ca="1">IFERROR(__xludf.DUMMYFUNCTION("""COMPUTED_VALUE"""),9387707733)</f>
        <v>9387707733</v>
      </c>
      <c r="F321" t="str">
        <f ca="1">IFERROR(__xludf.DUMMYFUNCTION("""COMPUTED_VALUE"""),"Kozhikode")</f>
        <v>Kozhikode</v>
      </c>
      <c r="G321" t="str">
        <f ca="1">IFERROR(__xludf.DUMMYFUNCTION("""COMPUTED_VALUE"""),"SOLARTECH")</f>
        <v>SOLARTECH</v>
      </c>
      <c r="H321">
        <f ca="1">IFERROR(__xludf.DUMMYFUNCTION("""COMPUTED_VALUE"""),4)</f>
        <v>4</v>
      </c>
      <c r="I321" s="4">
        <f ca="1">IFERROR(__xludf.DUMMYFUNCTION("""COMPUTED_VALUE"""),43185)</f>
        <v>43185</v>
      </c>
      <c r="J321">
        <f ca="1">IFERROR(__xludf.DUMMYFUNCTION("""COMPUTED_VALUE"""),5)</f>
        <v>5</v>
      </c>
      <c r="K321">
        <f ca="1">IFERROR(__xludf.DUMMYFUNCTION("""COMPUTED_VALUE"""),1165970015904)</f>
        <v>1165970015904</v>
      </c>
      <c r="L321" t="str">
        <f ca="1">IFERROR(__xludf.DUMMYFUNCTION("""COMPUTED_VALUE"""),"POTTAMMAL")</f>
        <v>POTTAMMAL</v>
      </c>
      <c r="M321" t="str">
        <f ca="1">IFERROR(__xludf.DUMMYFUNCTION("""COMPUTED_VALUE"""),"I Accept")</f>
        <v>I Accept</v>
      </c>
      <c r="N321" s="4">
        <f ca="1">IFERROR(__xludf.DUMMYFUNCTION("""COMPUTED_VALUE"""),43186)</f>
        <v>43186</v>
      </c>
      <c r="O321" s="4">
        <f ca="1">IFERROR(__xludf.DUMMYFUNCTION("""COMPUTED_VALUE"""),43186)</f>
        <v>43186</v>
      </c>
      <c r="P321">
        <f ca="1">IFERROR(__xludf.DUMMYFUNCTION("""COMPUTED_VALUE"""),5)</f>
        <v>5</v>
      </c>
      <c r="Q321" t="str">
        <f ca="1">IFERROR(__xludf.DUMMYFUNCTION("""COMPUTED_VALUE"""),"info@solartechind.com")</f>
        <v>info@solartechind.com</v>
      </c>
      <c r="R321" s="2" t="s">
        <v>2735</v>
      </c>
    </row>
    <row r="322" spans="1:18" ht="13" x14ac:dyDescent="0.15">
      <c r="A322" s="3">
        <f ca="1">IFERROR(__xludf.DUMMYFUNCTION("""COMPUTED_VALUE"""),43192.4133076041)</f>
        <v>43192.413307604103</v>
      </c>
      <c r="B322" t="str">
        <f ca="1">IFERROR(__xludf.DUMMYFUNCTION("""COMPUTED_VALUE"""),"jolly1951@gmail.com")</f>
        <v>jolly1951@gmail.com</v>
      </c>
      <c r="C322">
        <f ca="1">IFERROR(__xludf.DUMMYFUNCTION("""COMPUTED_VALUE"""),483)</f>
        <v>483</v>
      </c>
      <c r="D322" t="str">
        <f ca="1">IFERROR(__xludf.DUMMYFUNCTION("""COMPUTED_VALUE"""),"WILSON V M")</f>
        <v>WILSON V M</v>
      </c>
      <c r="E322">
        <f ca="1">IFERROR(__xludf.DUMMYFUNCTION("""COMPUTED_VALUE"""),9846576545)</f>
        <v>9846576545</v>
      </c>
      <c r="F322" t="str">
        <f ca="1">IFERROR(__xludf.DUMMYFUNCTION("""COMPUTED_VALUE"""),"Ernakulam")</f>
        <v>Ernakulam</v>
      </c>
      <c r="G322" t="str">
        <f ca="1">IFERROR(__xludf.DUMMYFUNCTION("""COMPUTED_VALUE"""),"SPECTRUM TECHNO PRODUCTS")</f>
        <v>SPECTRUM TECHNO PRODUCTS</v>
      </c>
      <c r="H322">
        <f ca="1">IFERROR(__xludf.DUMMYFUNCTION("""COMPUTED_VALUE"""),66)</f>
        <v>66</v>
      </c>
      <c r="I322" s="4">
        <f ca="1">IFERROR(__xludf.DUMMYFUNCTION("""COMPUTED_VALUE"""),43192)</f>
        <v>43192</v>
      </c>
      <c r="J322">
        <f ca="1">IFERROR(__xludf.DUMMYFUNCTION("""COMPUTED_VALUE"""),3)</f>
        <v>3</v>
      </c>
      <c r="K322">
        <f ca="1">IFERROR(__xludf.DUMMYFUNCTION("""COMPUTED_VALUE"""),1155737011436)</f>
        <v>1155737011436</v>
      </c>
      <c r="L322" t="str">
        <f ca="1">IFERROR(__xludf.DUMMYFUNCTION("""COMPUTED_VALUE"""),"KALAMASSERY")</f>
        <v>KALAMASSERY</v>
      </c>
      <c r="M322" t="str">
        <f ca="1">IFERROR(__xludf.DUMMYFUNCTION("""COMPUTED_VALUE"""),"I Accept")</f>
        <v>I Accept</v>
      </c>
      <c r="N322" s="4">
        <f ca="1">IFERROR(__xludf.DUMMYFUNCTION("""COMPUTED_VALUE"""),43182)</f>
        <v>43182</v>
      </c>
      <c r="O322" s="4">
        <f ca="1">IFERROR(__xludf.DUMMYFUNCTION("""COMPUTED_VALUE"""),43182)</f>
        <v>43182</v>
      </c>
      <c r="P322">
        <f ca="1">IFERROR(__xludf.DUMMYFUNCTION("""COMPUTED_VALUE"""),3)</f>
        <v>3</v>
      </c>
      <c r="Q322" t="str">
        <f ca="1">IFERROR(__xludf.DUMMYFUNCTION("""COMPUTED_VALUE"""),"jolly1951@gmail.com")</f>
        <v>jolly1951@gmail.com</v>
      </c>
      <c r="R322" s="2" t="s">
        <v>2736</v>
      </c>
    </row>
    <row r="323" spans="1:18" ht="13" x14ac:dyDescent="0.15">
      <c r="A323" s="3">
        <f ca="1">IFERROR(__xludf.DUMMYFUNCTION("""COMPUTED_VALUE"""),43192.4457449189)</f>
        <v>43192.445744918899</v>
      </c>
      <c r="B323" t="str">
        <f ca="1">IFERROR(__xludf.DUMMYFUNCTION("""COMPUTED_VALUE"""),"bobivenmony@gmail.com")</f>
        <v>bobivenmony@gmail.com</v>
      </c>
      <c r="C323">
        <f ca="1">IFERROR(__xludf.DUMMYFUNCTION("""COMPUTED_VALUE"""),482)</f>
        <v>482</v>
      </c>
      <c r="D323" t="str">
        <f ca="1">IFERROR(__xludf.DUMMYFUNCTION("""COMPUTED_VALUE"""),"THOMAS GEORGE")</f>
        <v>THOMAS GEORGE</v>
      </c>
      <c r="E323">
        <f ca="1">IFERROR(__xludf.DUMMYFUNCTION("""COMPUTED_VALUE"""),8943235466)</f>
        <v>8943235466</v>
      </c>
      <c r="F323" t="str">
        <f ca="1">IFERROR(__xludf.DUMMYFUNCTION("""COMPUTED_VALUE"""),"Ernakulam")</f>
        <v>Ernakulam</v>
      </c>
      <c r="G323" t="str">
        <f ca="1">IFERROR(__xludf.DUMMYFUNCTION("""COMPUTED_VALUE"""),"SPECTRUM TECHNO PRODUCTS")</f>
        <v>SPECTRUM TECHNO PRODUCTS</v>
      </c>
      <c r="H323">
        <f ca="1">IFERROR(__xludf.DUMMYFUNCTION("""COMPUTED_VALUE"""),66)</f>
        <v>66</v>
      </c>
      <c r="I323" s="4">
        <f ca="1">IFERROR(__xludf.DUMMYFUNCTION("""COMPUTED_VALUE"""),43192)</f>
        <v>43192</v>
      </c>
      <c r="J323">
        <f ca="1">IFERROR(__xludf.DUMMYFUNCTION("""COMPUTED_VALUE"""),3)</f>
        <v>3</v>
      </c>
      <c r="K323">
        <f ca="1">IFERROR(__xludf.DUMMYFUNCTION("""COMPUTED_VALUE"""),1157317000716)</f>
        <v>1157317000716</v>
      </c>
      <c r="L323" t="str">
        <f ca="1">IFERROR(__xludf.DUMMYFUNCTION("""COMPUTED_VALUE"""),"THRIKKAKARA WEST")</f>
        <v>THRIKKAKARA WEST</v>
      </c>
      <c r="M323" t="str">
        <f ca="1">IFERROR(__xludf.DUMMYFUNCTION("""COMPUTED_VALUE"""),"I Accept")</f>
        <v>I Accept</v>
      </c>
      <c r="N323" s="4">
        <f ca="1">IFERROR(__xludf.DUMMYFUNCTION("""COMPUTED_VALUE"""),43181)</f>
        <v>43181</v>
      </c>
      <c r="O323" s="4">
        <f ca="1">IFERROR(__xludf.DUMMYFUNCTION("""COMPUTED_VALUE"""),43181)</f>
        <v>43181</v>
      </c>
      <c r="P323">
        <f ca="1">IFERROR(__xludf.DUMMYFUNCTION("""COMPUTED_VALUE"""),3)</f>
        <v>3</v>
      </c>
      <c r="Q323" t="str">
        <f ca="1">IFERROR(__xludf.DUMMYFUNCTION("""COMPUTED_VALUE"""),"bobivenmony@gmail.com")</f>
        <v>bobivenmony@gmail.com</v>
      </c>
      <c r="R323" s="2" t="s">
        <v>2737</v>
      </c>
    </row>
    <row r="324" spans="1:18" ht="13" x14ac:dyDescent="0.15">
      <c r="A324" s="3">
        <f ca="1">IFERROR(__xludf.DUMMYFUNCTION("""COMPUTED_VALUE"""),43192.4868062615)</f>
        <v>43192.486806261499</v>
      </c>
      <c r="B324" t="str">
        <f ca="1">IFERROR(__xludf.DUMMYFUNCTION("""COMPUTED_VALUE"""),"nayaknitha@gmail.com")</f>
        <v>nayaknitha@gmail.com</v>
      </c>
      <c r="C324">
        <f ca="1">IFERROR(__xludf.DUMMYFUNCTION("""COMPUTED_VALUE"""),588)</f>
        <v>588</v>
      </c>
      <c r="D324" t="str">
        <f ca="1">IFERROR(__xludf.DUMMYFUNCTION("""COMPUTED_VALUE"""),"NIRMALA PRABHU")</f>
        <v>NIRMALA PRABHU</v>
      </c>
      <c r="E324">
        <f ca="1">IFERROR(__xludf.DUMMYFUNCTION("""COMPUTED_VALUE"""),9995275186)</f>
        <v>9995275186</v>
      </c>
      <c r="F324" t="str">
        <f ca="1">IFERROR(__xludf.DUMMYFUNCTION("""COMPUTED_VALUE"""),"Ernakulam")</f>
        <v>Ernakulam</v>
      </c>
      <c r="G324" t="str">
        <f ca="1">IFERROR(__xludf.DUMMYFUNCTION("""COMPUTED_VALUE"""),"SPECTRUM TECHNO PRODUCTS")</f>
        <v>SPECTRUM TECHNO PRODUCTS</v>
      </c>
      <c r="H324">
        <f ca="1">IFERROR(__xludf.DUMMYFUNCTION("""COMPUTED_VALUE"""),66)</f>
        <v>66</v>
      </c>
      <c r="I324" s="4">
        <f ca="1">IFERROR(__xludf.DUMMYFUNCTION("""COMPUTED_VALUE"""),43192)</f>
        <v>43192</v>
      </c>
      <c r="J324">
        <f ca="1">IFERROR(__xludf.DUMMYFUNCTION("""COMPUTED_VALUE"""),3)</f>
        <v>3</v>
      </c>
      <c r="K324">
        <f ca="1">IFERROR(__xludf.DUMMYFUNCTION("""COMPUTED_VALUE"""),1155641005273)</f>
        <v>1155641005273</v>
      </c>
      <c r="L324" t="str">
        <f ca="1">IFERROR(__xludf.DUMMYFUNCTION("""COMPUTED_VALUE"""),"FORT COCHIN")</f>
        <v>FORT COCHIN</v>
      </c>
      <c r="M324" t="str">
        <f ca="1">IFERROR(__xludf.DUMMYFUNCTION("""COMPUTED_VALUE"""),"I Accept")</f>
        <v>I Accept</v>
      </c>
      <c r="N324" s="4">
        <f ca="1">IFERROR(__xludf.DUMMYFUNCTION("""COMPUTED_VALUE"""),43190)</f>
        <v>43190</v>
      </c>
      <c r="O324" s="4">
        <f ca="1">IFERROR(__xludf.DUMMYFUNCTION("""COMPUTED_VALUE"""),43190)</f>
        <v>43190</v>
      </c>
      <c r="P324">
        <f ca="1">IFERROR(__xludf.DUMMYFUNCTION("""COMPUTED_VALUE"""),3)</f>
        <v>3</v>
      </c>
      <c r="Q324" t="str">
        <f ca="1">IFERROR(__xludf.DUMMYFUNCTION("""COMPUTED_VALUE"""),"nayaknitha@gmail.com")</f>
        <v>nayaknitha@gmail.com</v>
      </c>
      <c r="R324" s="2" t="s">
        <v>2738</v>
      </c>
    </row>
    <row r="325" spans="1:18" ht="13" x14ac:dyDescent="0.15">
      <c r="A325" s="3">
        <f ca="1">IFERROR(__xludf.DUMMYFUNCTION("""COMPUTED_VALUE"""),43192.5081609722)</f>
        <v>43192.508160972196</v>
      </c>
      <c r="B325" t="str">
        <f ca="1">IFERROR(__xludf.DUMMYFUNCTION("""COMPUTED_VALUE"""),"leelammamulerikal53@gmail.com")</f>
        <v>leelammamulerikal53@gmail.com</v>
      </c>
      <c r="C325">
        <f ca="1">IFERROR(__xludf.DUMMYFUNCTION("""COMPUTED_VALUE"""),531)</f>
        <v>531</v>
      </c>
      <c r="D325" t="str">
        <f ca="1">IFERROR(__xludf.DUMMYFUNCTION("""COMPUTED_VALUE"""),"E K FRANCIS")</f>
        <v>E K FRANCIS</v>
      </c>
      <c r="E325">
        <f ca="1">IFERROR(__xludf.DUMMYFUNCTION("""COMPUTED_VALUE"""),9387894381)</f>
        <v>9387894381</v>
      </c>
      <c r="F325" t="str">
        <f ca="1">IFERROR(__xludf.DUMMYFUNCTION("""COMPUTED_VALUE"""),"Ernakulam")</f>
        <v>Ernakulam</v>
      </c>
      <c r="G325" t="str">
        <f ca="1">IFERROR(__xludf.DUMMYFUNCTION("""COMPUTED_VALUE"""),"SPECTRUM TECHNO PRODUCTS")</f>
        <v>SPECTRUM TECHNO PRODUCTS</v>
      </c>
      <c r="H325">
        <f ca="1">IFERROR(__xludf.DUMMYFUNCTION("""COMPUTED_VALUE"""),66)</f>
        <v>66</v>
      </c>
      <c r="I325" s="4">
        <f ca="1">IFERROR(__xludf.DUMMYFUNCTION("""COMPUTED_VALUE"""),43192)</f>
        <v>43192</v>
      </c>
      <c r="J325">
        <f ca="1">IFERROR(__xludf.DUMMYFUNCTION("""COMPUTED_VALUE"""),3)</f>
        <v>3</v>
      </c>
      <c r="K325">
        <f ca="1">IFERROR(__xludf.DUMMYFUNCTION("""COMPUTED_VALUE"""),1155433010997)</f>
        <v>1155433010997</v>
      </c>
      <c r="L325" t="str">
        <f ca="1">IFERROR(__xludf.DUMMYFUNCTION("""COMPUTED_VALUE"""),"PALARIVATTOM")</f>
        <v>PALARIVATTOM</v>
      </c>
      <c r="M325" t="str">
        <f ca="1">IFERROR(__xludf.DUMMYFUNCTION("""COMPUTED_VALUE"""),"I Accept")</f>
        <v>I Accept</v>
      </c>
      <c r="N325" s="4">
        <f ca="1">IFERROR(__xludf.DUMMYFUNCTION("""COMPUTED_VALUE"""),43178)</f>
        <v>43178</v>
      </c>
      <c r="O325" s="4">
        <f ca="1">IFERROR(__xludf.DUMMYFUNCTION("""COMPUTED_VALUE"""),43178)</f>
        <v>43178</v>
      </c>
      <c r="P325">
        <f ca="1">IFERROR(__xludf.DUMMYFUNCTION("""COMPUTED_VALUE"""),3)</f>
        <v>3</v>
      </c>
      <c r="Q325" t="str">
        <f ca="1">IFERROR(__xludf.DUMMYFUNCTION("""COMPUTED_VALUE"""),"leelammamulerikal53@gmail.com")</f>
        <v>leelammamulerikal53@gmail.com</v>
      </c>
      <c r="R325" s="2" t="s">
        <v>2739</v>
      </c>
    </row>
    <row r="326" spans="1:18" ht="13" x14ac:dyDescent="0.15">
      <c r="A326" s="3">
        <f ca="1">IFERROR(__xludf.DUMMYFUNCTION("""COMPUTED_VALUE"""),43192.5110678935)</f>
        <v>43192.511067893502</v>
      </c>
      <c r="B326" t="str">
        <f ca="1">IFERROR(__xludf.DUMMYFUNCTION("""COMPUTED_VALUE"""),"vigimichael@gmail.com")</f>
        <v>vigimichael@gmail.com</v>
      </c>
      <c r="C326">
        <f ca="1">IFERROR(__xludf.DUMMYFUNCTION("""COMPUTED_VALUE"""),692)</f>
        <v>692</v>
      </c>
      <c r="D326" t="str">
        <f ca="1">IFERROR(__xludf.DUMMYFUNCTION("""COMPUTED_VALUE"""),"VIGI MICHAEL")</f>
        <v>VIGI MICHAEL</v>
      </c>
      <c r="E326">
        <f ca="1">IFERROR(__xludf.DUMMYFUNCTION("""COMPUTED_VALUE"""),954979006)</f>
        <v>954979006</v>
      </c>
      <c r="F326" t="str">
        <f ca="1">IFERROR(__xludf.DUMMYFUNCTION("""COMPUTED_VALUE"""),"Ernakulam")</f>
        <v>Ernakulam</v>
      </c>
      <c r="G326" t="str">
        <f ca="1">IFERROR(__xludf.DUMMYFUNCTION("""COMPUTED_VALUE"""),"SPECTRUM TECHNO PRODUCTS")</f>
        <v>SPECTRUM TECHNO PRODUCTS</v>
      </c>
      <c r="H326">
        <f ca="1">IFERROR(__xludf.DUMMYFUNCTION("""COMPUTED_VALUE"""),66)</f>
        <v>66</v>
      </c>
      <c r="I326" s="4">
        <f ca="1">IFERROR(__xludf.DUMMYFUNCTION("""COMPUTED_VALUE"""),43192)</f>
        <v>43192</v>
      </c>
      <c r="J326">
        <f ca="1">IFERROR(__xludf.DUMMYFUNCTION("""COMPUTED_VALUE"""),3)</f>
        <v>3</v>
      </c>
      <c r="K326">
        <f ca="1">IFERROR(__xludf.DUMMYFUNCTION("""COMPUTED_VALUE"""),1155476027330)</f>
        <v>1155476027330</v>
      </c>
      <c r="L326" t="str">
        <f ca="1">IFERROR(__xludf.DUMMYFUNCTION("""COMPUTED_VALUE"""),"VADUTHALA")</f>
        <v>VADUTHALA</v>
      </c>
      <c r="M326" t="str">
        <f ca="1">IFERROR(__xludf.DUMMYFUNCTION("""COMPUTED_VALUE"""),"I Accept")</f>
        <v>I Accept</v>
      </c>
      <c r="N326" s="4">
        <f ca="1">IFERROR(__xludf.DUMMYFUNCTION("""COMPUTED_VALUE"""),43120)</f>
        <v>43120</v>
      </c>
      <c r="O326" s="4">
        <f ca="1">IFERROR(__xludf.DUMMYFUNCTION("""COMPUTED_VALUE"""),43120)</f>
        <v>43120</v>
      </c>
      <c r="P326">
        <f ca="1">IFERROR(__xludf.DUMMYFUNCTION("""COMPUTED_VALUE"""),3)</f>
        <v>3</v>
      </c>
      <c r="Q326" t="str">
        <f ca="1">IFERROR(__xludf.DUMMYFUNCTION("""COMPUTED_VALUE"""),"vigimichael@gmail.com")</f>
        <v>vigimichael@gmail.com</v>
      </c>
      <c r="R326" s="2" t="s">
        <v>2740</v>
      </c>
    </row>
    <row r="327" spans="1:18" ht="13" x14ac:dyDescent="0.15">
      <c r="A327" s="3">
        <f ca="1">IFERROR(__xludf.DUMMYFUNCTION("""COMPUTED_VALUE"""),43192.5136055671)</f>
        <v>43192.513605567103</v>
      </c>
      <c r="B327" t="str">
        <f ca="1">IFERROR(__xludf.DUMMYFUNCTION("""COMPUTED_VALUE"""),"sheelaolickal63@hotmail.com")</f>
        <v>sheelaolickal63@hotmail.com</v>
      </c>
      <c r="C327">
        <f ca="1">IFERROR(__xludf.DUMMYFUNCTION("""COMPUTED_VALUE"""),590)</f>
        <v>590</v>
      </c>
      <c r="D327" t="str">
        <f ca="1">IFERROR(__xludf.DUMMYFUNCTION("""COMPUTED_VALUE"""),"JAISON JOSEPH")</f>
        <v>JAISON JOSEPH</v>
      </c>
      <c r="E327">
        <f ca="1">IFERROR(__xludf.DUMMYFUNCTION("""COMPUTED_VALUE"""),8943037840)</f>
        <v>8943037840</v>
      </c>
      <c r="F327" t="str">
        <f ca="1">IFERROR(__xludf.DUMMYFUNCTION("""COMPUTED_VALUE"""),"Ernakulam")</f>
        <v>Ernakulam</v>
      </c>
      <c r="G327" t="str">
        <f ca="1">IFERROR(__xludf.DUMMYFUNCTION("""COMPUTED_VALUE"""),"SPECTRUM TECHNO PRODUCTS")</f>
        <v>SPECTRUM TECHNO PRODUCTS</v>
      </c>
      <c r="H327">
        <f ca="1">IFERROR(__xludf.DUMMYFUNCTION("""COMPUTED_VALUE"""),66)</f>
        <v>66</v>
      </c>
      <c r="I327" s="4">
        <f ca="1">IFERROR(__xludf.DUMMYFUNCTION("""COMPUTED_VALUE"""),43192)</f>
        <v>43192</v>
      </c>
      <c r="J327">
        <f ca="1">IFERROR(__xludf.DUMMYFUNCTION("""COMPUTED_VALUE"""),3)</f>
        <v>3</v>
      </c>
      <c r="K327">
        <f ca="1">IFERROR(__xludf.DUMMYFUNCTION("""COMPUTED_VALUE"""),1155955013672)</f>
        <v>1155955013672</v>
      </c>
      <c r="L327" t="str">
        <f ca="1">IFERROR(__xludf.DUMMYFUNCTION("""COMPUTED_VALUE"""),"VELLOORKUNNAM")</f>
        <v>VELLOORKUNNAM</v>
      </c>
      <c r="M327" t="str">
        <f ca="1">IFERROR(__xludf.DUMMYFUNCTION("""COMPUTED_VALUE"""),"I Accept")</f>
        <v>I Accept</v>
      </c>
      <c r="N327" s="4">
        <f ca="1">IFERROR(__xludf.DUMMYFUNCTION("""COMPUTED_VALUE"""),43185)</f>
        <v>43185</v>
      </c>
      <c r="O327" s="4">
        <f ca="1">IFERROR(__xludf.DUMMYFUNCTION("""COMPUTED_VALUE"""),43185)</f>
        <v>43185</v>
      </c>
      <c r="P327">
        <f ca="1">IFERROR(__xludf.DUMMYFUNCTION("""COMPUTED_VALUE"""),3)</f>
        <v>3</v>
      </c>
      <c r="Q327" t="str">
        <f ca="1">IFERROR(__xludf.DUMMYFUNCTION("""COMPUTED_VALUE"""),"sheelaolickal63@hotmail.com")</f>
        <v>sheelaolickal63@hotmail.com</v>
      </c>
      <c r="R327" s="2" t="s">
        <v>2741</v>
      </c>
    </row>
    <row r="328" spans="1:18" ht="13" x14ac:dyDescent="0.15">
      <c r="A328" s="3">
        <f ca="1">IFERROR(__xludf.DUMMYFUNCTION("""COMPUTED_VALUE"""),43192.722800243)</f>
        <v>43192.722800242998</v>
      </c>
      <c r="B328" t="str">
        <f ca="1">IFERROR(__xludf.DUMMYFUNCTION("""COMPUTED_VALUE"""),"sales@energivops.com")</f>
        <v>sales@energivops.com</v>
      </c>
      <c r="C328">
        <f ca="1">IFERROR(__xludf.DUMMYFUNCTION("""COMPUTED_VALUE"""),194)</f>
        <v>194</v>
      </c>
      <c r="D328" t="str">
        <f ca="1">IFERROR(__xludf.DUMMYFUNCTION("""COMPUTED_VALUE"""),"T.S. Jayan")</f>
        <v>T.S. Jayan</v>
      </c>
      <c r="E328">
        <f ca="1">IFERROR(__xludf.DUMMYFUNCTION("""COMPUTED_VALUE"""),9061536777)</f>
        <v>9061536777</v>
      </c>
      <c r="F328" t="str">
        <f ca="1">IFERROR(__xludf.DUMMYFUNCTION("""COMPUTED_VALUE"""),"Thiruvananthapuram")</f>
        <v>Thiruvananthapuram</v>
      </c>
      <c r="G328" t="str">
        <f ca="1">IFERROR(__xludf.DUMMYFUNCTION("""COMPUTED_VALUE"""),"SOURA Natural Energy Solutions I Pvt Ltd")</f>
        <v>SOURA Natural Energy Solutions I Pvt Ltd</v>
      </c>
      <c r="H328">
        <f ca="1">IFERROR(__xludf.DUMMYFUNCTION("""COMPUTED_VALUE"""),11)</f>
        <v>11</v>
      </c>
      <c r="I328" s="4">
        <f ca="1">IFERROR(__xludf.DUMMYFUNCTION("""COMPUTED_VALUE"""),43182)</f>
        <v>43182</v>
      </c>
      <c r="J328">
        <f ca="1">IFERROR(__xludf.DUMMYFUNCTION("""COMPUTED_VALUE"""),3)</f>
        <v>3</v>
      </c>
      <c r="K328">
        <f ca="1">IFERROR(__xludf.DUMMYFUNCTION("""COMPUTED_VALUE"""),1145177013462)</f>
        <v>1145177013462</v>
      </c>
      <c r="L328" t="str">
        <f ca="1">IFERROR(__xludf.DUMMYFUNCTION("""COMPUTED_VALUE"""),"ulloor")</f>
        <v>ulloor</v>
      </c>
      <c r="M328" t="str">
        <f ca="1">IFERROR(__xludf.DUMMYFUNCTION("""COMPUTED_VALUE"""),"I Accept")</f>
        <v>I Accept</v>
      </c>
      <c r="N328" s="4">
        <f ca="1">IFERROR(__xludf.DUMMYFUNCTION("""COMPUTED_VALUE"""),43192)</f>
        <v>43192</v>
      </c>
      <c r="O328" s="4">
        <f ca="1">IFERROR(__xludf.DUMMYFUNCTION("""COMPUTED_VALUE"""),43192)</f>
        <v>43192</v>
      </c>
      <c r="P328">
        <f ca="1">IFERROR(__xludf.DUMMYFUNCTION("""COMPUTED_VALUE"""),3)</f>
        <v>3</v>
      </c>
      <c r="Q328" t="str">
        <f ca="1">IFERROR(__xludf.DUMMYFUNCTION("""COMPUTED_VALUE"""),"sales@energivops.com")</f>
        <v>sales@energivops.com</v>
      </c>
      <c r="R328" s="2" t="s">
        <v>2742</v>
      </c>
    </row>
    <row r="329" spans="1:18" ht="13" x14ac:dyDescent="0.15">
      <c r="A329" s="3">
        <f ca="1">IFERROR(__xludf.DUMMYFUNCTION("""COMPUTED_VALUE"""),43193.4987623032)</f>
        <v>43193.498762303199</v>
      </c>
      <c r="B329" t="str">
        <f ca="1">IFERROR(__xludf.DUMMYFUNCTION("""COMPUTED_VALUE"""),"lakshararayan@gmail.com")</f>
        <v>lakshararayan@gmail.com</v>
      </c>
      <c r="C329">
        <f ca="1">IFERROR(__xludf.DUMMYFUNCTION("""COMPUTED_VALUE"""),401)</f>
        <v>401</v>
      </c>
      <c r="D329" t="str">
        <f ca="1">IFERROR(__xludf.DUMMYFUNCTION("""COMPUTED_VALUE"""),"Shimmi Rajeev")</f>
        <v>Shimmi Rajeev</v>
      </c>
      <c r="E329">
        <f ca="1">IFERROR(__xludf.DUMMYFUNCTION("""COMPUTED_VALUE"""),7034322221)</f>
        <v>7034322221</v>
      </c>
      <c r="F329" t="str">
        <f ca="1">IFERROR(__xludf.DUMMYFUNCTION("""COMPUTED_VALUE"""),"Thiruvananthapuram")</f>
        <v>Thiruvananthapuram</v>
      </c>
      <c r="G329" t="str">
        <f ca="1">IFERROR(__xludf.DUMMYFUNCTION("""COMPUTED_VALUE"""),"Renergy Systems India Pvt Ltd")</f>
        <v>Renergy Systems India Pvt Ltd</v>
      </c>
      <c r="H329">
        <f ca="1">IFERROR(__xludf.DUMMYFUNCTION("""COMPUTED_VALUE"""),38)</f>
        <v>38</v>
      </c>
      <c r="I329" s="4">
        <f ca="1">IFERROR(__xludf.DUMMYFUNCTION("""COMPUTED_VALUE"""),43193)</f>
        <v>43193</v>
      </c>
      <c r="J329">
        <f ca="1">IFERROR(__xludf.DUMMYFUNCTION("""COMPUTED_VALUE"""),3)</f>
        <v>3</v>
      </c>
      <c r="K329">
        <f ca="1">IFERROR(__xludf.DUMMYFUNCTION("""COMPUTED_VALUE"""),1145302007832)</f>
        <v>1145302007832</v>
      </c>
      <c r="L329" t="str">
        <f ca="1">IFERROR(__xludf.DUMMYFUNCTION("""COMPUTED_VALUE"""),"Kavalayoor")</f>
        <v>Kavalayoor</v>
      </c>
      <c r="M329" t="str">
        <f ca="1">IFERROR(__xludf.DUMMYFUNCTION("""COMPUTED_VALUE"""),"I Accept")</f>
        <v>I Accept</v>
      </c>
      <c r="N329" s="4">
        <f ca="1">IFERROR(__xludf.DUMMYFUNCTION("""COMPUTED_VALUE"""),43179)</f>
        <v>43179</v>
      </c>
      <c r="O329" s="4">
        <f ca="1">IFERROR(__xludf.DUMMYFUNCTION("""COMPUTED_VALUE"""),43179)</f>
        <v>43179</v>
      </c>
      <c r="P329">
        <f ca="1">IFERROR(__xludf.DUMMYFUNCTION("""COMPUTED_VALUE"""),3)</f>
        <v>3</v>
      </c>
      <c r="Q329" t="str">
        <f ca="1">IFERROR(__xludf.DUMMYFUNCTION("""COMPUTED_VALUE"""),"lakshararayan@gmail.com")</f>
        <v>lakshararayan@gmail.com</v>
      </c>
      <c r="R329" s="2" t="s">
        <v>2743</v>
      </c>
    </row>
    <row r="330" spans="1:18" ht="13" x14ac:dyDescent="0.15">
      <c r="A330" s="3">
        <f ca="1">IFERROR(__xludf.DUMMYFUNCTION("""COMPUTED_VALUE"""),43193.5033100231)</f>
        <v>43193.503310023101</v>
      </c>
      <c r="B330" t="str">
        <f ca="1">IFERROR(__xludf.DUMMYFUNCTION("""COMPUTED_VALUE"""),"info@wattsun.in")</f>
        <v>info@wattsun.in</v>
      </c>
      <c r="C330">
        <f ca="1">IFERROR(__xludf.DUMMYFUNCTION("""COMPUTED_VALUE"""),580)</f>
        <v>580</v>
      </c>
      <c r="D330" t="str">
        <f ca="1">IFERROR(__xludf.DUMMYFUNCTION("""COMPUTED_VALUE"""),"Aravind R")</f>
        <v>Aravind R</v>
      </c>
      <c r="E330">
        <f ca="1">IFERROR(__xludf.DUMMYFUNCTION("""COMPUTED_VALUE"""),9388106363)</f>
        <v>9388106363</v>
      </c>
      <c r="F330" t="str">
        <f ca="1">IFERROR(__xludf.DUMMYFUNCTION("""COMPUTED_VALUE"""),"Thiruvananthapuram")</f>
        <v>Thiruvananthapuram</v>
      </c>
      <c r="G330" t="str">
        <f ca="1">IFERROR(__xludf.DUMMYFUNCTION("""COMPUTED_VALUE"""),"Wattsun Energy India Private Limited")</f>
        <v>Wattsun Energy India Private Limited</v>
      </c>
      <c r="H330">
        <f ca="1">IFERROR(__xludf.DUMMYFUNCTION("""COMPUTED_VALUE"""),54)</f>
        <v>54</v>
      </c>
      <c r="I330" s="4">
        <f ca="1">IFERROR(__xludf.DUMMYFUNCTION("""COMPUTED_VALUE"""),43193)</f>
        <v>43193</v>
      </c>
      <c r="J330">
        <f ca="1">IFERROR(__xludf.DUMMYFUNCTION("""COMPUTED_VALUE"""),3)</f>
        <v>3</v>
      </c>
      <c r="K330">
        <f ca="1">IFERROR(__xludf.DUMMYFUNCTION("""COMPUTED_VALUE"""),1145115018573)</f>
        <v>1145115018573</v>
      </c>
      <c r="L330" t="str">
        <f ca="1">IFERROR(__xludf.DUMMYFUNCTION("""COMPUTED_VALUE"""),"Thirumala")</f>
        <v>Thirumala</v>
      </c>
      <c r="M330" t="str">
        <f ca="1">IFERROR(__xludf.DUMMYFUNCTION("""COMPUTED_VALUE"""),"I Accept")</f>
        <v>I Accept</v>
      </c>
      <c r="N330" s="4">
        <f ca="1">IFERROR(__xludf.DUMMYFUNCTION("""COMPUTED_VALUE"""),43177)</f>
        <v>43177</v>
      </c>
      <c r="O330" s="4">
        <f ca="1">IFERROR(__xludf.DUMMYFUNCTION("""COMPUTED_VALUE"""),43177)</f>
        <v>43177</v>
      </c>
      <c r="P330">
        <f ca="1">IFERROR(__xludf.DUMMYFUNCTION("""COMPUTED_VALUE"""),3)</f>
        <v>3</v>
      </c>
      <c r="Q330" t="str">
        <f ca="1">IFERROR(__xludf.DUMMYFUNCTION("""COMPUTED_VALUE"""),"info@wattsun.in")</f>
        <v>info@wattsun.in</v>
      </c>
      <c r="R330" s="2" t="s">
        <v>2744</v>
      </c>
    </row>
    <row r="331" spans="1:18" ht="13" x14ac:dyDescent="0.15">
      <c r="A331" s="3">
        <f ca="1">IFERROR(__xludf.DUMMYFUNCTION("""COMPUTED_VALUE"""),43193.5073304282)</f>
        <v>43193.507330428198</v>
      </c>
      <c r="B331" t="str">
        <f ca="1">IFERROR(__xludf.DUMMYFUNCTION("""COMPUTED_VALUE"""),"info@solartechind.com")</f>
        <v>info@solartechind.com</v>
      </c>
      <c r="C331">
        <f ca="1">IFERROR(__xludf.DUMMYFUNCTION("""COMPUTED_VALUE"""),802)</f>
        <v>802</v>
      </c>
      <c r="D331" t="str">
        <f ca="1">IFERROR(__xludf.DUMMYFUNCTION("""COMPUTED_VALUE"""),"CS BALAN")</f>
        <v>CS BALAN</v>
      </c>
      <c r="E331">
        <f ca="1">IFERROR(__xludf.DUMMYFUNCTION("""COMPUTED_VALUE"""),9387707733)</f>
        <v>9387707733</v>
      </c>
      <c r="F331" t="str">
        <f ca="1">IFERROR(__xludf.DUMMYFUNCTION("""COMPUTED_VALUE"""),"Thiruvananthapuram")</f>
        <v>Thiruvananthapuram</v>
      </c>
      <c r="G331" t="str">
        <f ca="1">IFERROR(__xludf.DUMMYFUNCTION("""COMPUTED_VALUE"""),"SOLARTECH")</f>
        <v>SOLARTECH</v>
      </c>
      <c r="H331">
        <f ca="1">IFERROR(__xludf.DUMMYFUNCTION("""COMPUTED_VALUE"""),4)</f>
        <v>4</v>
      </c>
      <c r="I331" s="4">
        <f ca="1">IFERROR(__xludf.DUMMYFUNCTION("""COMPUTED_VALUE"""),43193)</f>
        <v>43193</v>
      </c>
      <c r="J331">
        <f ca="1">IFERROR(__xludf.DUMMYFUNCTION("""COMPUTED_VALUE"""),2)</f>
        <v>2</v>
      </c>
      <c r="K331">
        <f ca="1">IFERROR(__xludf.DUMMYFUNCTION("""COMPUTED_VALUE"""),1145183016703)</f>
        <v>1145183016703</v>
      </c>
      <c r="L331" t="str">
        <f ca="1">IFERROR(__xludf.DUMMYFUNCTION("""COMPUTED_VALUE"""),"NALANCHIRA")</f>
        <v>NALANCHIRA</v>
      </c>
      <c r="M331" t="str">
        <f ca="1">IFERROR(__xludf.DUMMYFUNCTION("""COMPUTED_VALUE"""),"I Accept")</f>
        <v>I Accept</v>
      </c>
      <c r="N331" s="4">
        <f ca="1">IFERROR(__xludf.DUMMYFUNCTION("""COMPUTED_VALUE"""),43186)</f>
        <v>43186</v>
      </c>
      <c r="O331" s="4">
        <f ca="1">IFERROR(__xludf.DUMMYFUNCTION("""COMPUTED_VALUE"""),43186)</f>
        <v>43186</v>
      </c>
      <c r="P331">
        <f ca="1">IFERROR(__xludf.DUMMYFUNCTION("""COMPUTED_VALUE"""),2)</f>
        <v>2</v>
      </c>
      <c r="Q331" t="str">
        <f ca="1">IFERROR(__xludf.DUMMYFUNCTION("""COMPUTED_VALUE"""),"info@solartechind.com")</f>
        <v>info@solartechind.com</v>
      </c>
      <c r="R331" s="2" t="s">
        <v>2745</v>
      </c>
    </row>
    <row r="332" spans="1:18" ht="13" x14ac:dyDescent="0.15">
      <c r="A332" s="3">
        <f ca="1">IFERROR(__xludf.DUMMYFUNCTION("""COMPUTED_VALUE"""),43193.514182037)</f>
        <v>43193.514182036997</v>
      </c>
      <c r="B332" t="str">
        <f ca="1">IFERROR(__xludf.DUMMYFUNCTION("""COMPUTED_VALUE"""),"info@solartechind.com")</f>
        <v>info@solartechind.com</v>
      </c>
      <c r="C332">
        <f ca="1">IFERROR(__xludf.DUMMYFUNCTION("""COMPUTED_VALUE"""),800)</f>
        <v>800</v>
      </c>
      <c r="D332" t="str">
        <f ca="1">IFERROR(__xludf.DUMMYFUNCTION("""COMPUTED_VALUE"""),"BABY THOMAS")</f>
        <v>BABY THOMAS</v>
      </c>
      <c r="E332">
        <f ca="1">IFERROR(__xludf.DUMMYFUNCTION("""COMPUTED_VALUE"""),9387707733)</f>
        <v>9387707733</v>
      </c>
      <c r="F332" t="str">
        <f ca="1">IFERROR(__xludf.DUMMYFUNCTION("""COMPUTED_VALUE"""),"Thiruvananthapuram")</f>
        <v>Thiruvananthapuram</v>
      </c>
      <c r="G332" t="str">
        <f ca="1">IFERROR(__xludf.DUMMYFUNCTION("""COMPUTED_VALUE"""),"SOLARTECH")</f>
        <v>SOLARTECH</v>
      </c>
      <c r="H332">
        <f ca="1">IFERROR(__xludf.DUMMYFUNCTION("""COMPUTED_VALUE"""),4)</f>
        <v>4</v>
      </c>
      <c r="I332" s="4">
        <f ca="1">IFERROR(__xludf.DUMMYFUNCTION("""COMPUTED_VALUE"""),43193)</f>
        <v>43193</v>
      </c>
      <c r="J332">
        <f ca="1">IFERROR(__xludf.DUMMYFUNCTION("""COMPUTED_VALUE"""),2)</f>
        <v>2</v>
      </c>
      <c r="K332">
        <f ca="1">IFERROR(__xludf.DUMMYFUNCTION("""COMPUTED_VALUE"""),1145183012822)</f>
        <v>1145183012822</v>
      </c>
      <c r="L332" t="str">
        <f ca="1">IFERROR(__xludf.DUMMYFUNCTION("""COMPUTED_VALUE"""),"NALANCHIRA")</f>
        <v>NALANCHIRA</v>
      </c>
      <c r="M332" t="str">
        <f ca="1">IFERROR(__xludf.DUMMYFUNCTION("""COMPUTED_VALUE"""),"I Accept")</f>
        <v>I Accept</v>
      </c>
      <c r="N332" s="4">
        <f ca="1">IFERROR(__xludf.DUMMYFUNCTION("""COMPUTED_VALUE"""),43186)</f>
        <v>43186</v>
      </c>
      <c r="O332" s="4">
        <f ca="1">IFERROR(__xludf.DUMMYFUNCTION("""COMPUTED_VALUE"""),43186)</f>
        <v>43186</v>
      </c>
      <c r="P332">
        <f ca="1">IFERROR(__xludf.DUMMYFUNCTION("""COMPUTED_VALUE"""),2)</f>
        <v>2</v>
      </c>
      <c r="Q332" t="str">
        <f ca="1">IFERROR(__xludf.DUMMYFUNCTION("""COMPUTED_VALUE"""),"info@solartechind.com")</f>
        <v>info@solartechind.com</v>
      </c>
      <c r="R332" s="2" t="s">
        <v>2746</v>
      </c>
    </row>
    <row r="333" spans="1:18" ht="13" x14ac:dyDescent="0.15">
      <c r="A333" s="3">
        <f ca="1">IFERROR(__xludf.DUMMYFUNCTION("""COMPUTED_VALUE"""),43193.7237792592)</f>
        <v>43193.723779259199</v>
      </c>
      <c r="B333" t="str">
        <f ca="1">IFERROR(__xludf.DUMMYFUNCTION("""COMPUTED_VALUE"""),"info@wattsun.in")</f>
        <v>info@wattsun.in</v>
      </c>
      <c r="C333">
        <f ca="1">IFERROR(__xludf.DUMMYFUNCTION("""COMPUTED_VALUE"""),826)</f>
        <v>826</v>
      </c>
      <c r="D333" t="str">
        <f ca="1">IFERROR(__xludf.DUMMYFUNCTION("""COMPUTED_VALUE"""),"Ayyappadasan Pillai")</f>
        <v>Ayyappadasan Pillai</v>
      </c>
      <c r="E333">
        <f ca="1">IFERROR(__xludf.DUMMYFUNCTION("""COMPUTED_VALUE"""),9388106363)</f>
        <v>9388106363</v>
      </c>
      <c r="F333" t="str">
        <f ca="1">IFERROR(__xludf.DUMMYFUNCTION("""COMPUTED_VALUE"""),"Thiruvananthapuram")</f>
        <v>Thiruvananthapuram</v>
      </c>
      <c r="G333" t="str">
        <f ca="1">IFERROR(__xludf.DUMMYFUNCTION("""COMPUTED_VALUE"""),"Wattsun Energy India Private Limited")</f>
        <v>Wattsun Energy India Private Limited</v>
      </c>
      <c r="H333">
        <f ca="1">IFERROR(__xludf.DUMMYFUNCTION("""COMPUTED_VALUE"""),54)</f>
        <v>54</v>
      </c>
      <c r="I333" s="4">
        <f ca="1">IFERROR(__xludf.DUMMYFUNCTION("""COMPUTED_VALUE"""),43193)</f>
        <v>43193</v>
      </c>
      <c r="J333">
        <f ca="1">IFERROR(__xludf.DUMMYFUNCTION("""COMPUTED_VALUE"""),3)</f>
        <v>3</v>
      </c>
      <c r="K333">
        <f ca="1">IFERROR(__xludf.DUMMYFUNCTION("""COMPUTED_VALUE"""),5596)</f>
        <v>5596</v>
      </c>
      <c r="L333" t="str">
        <f ca="1">IFERROR(__xludf.DUMMYFUNCTION("""COMPUTED_VALUE"""),"Ulloor")</f>
        <v>Ulloor</v>
      </c>
      <c r="M333" t="str">
        <f ca="1">IFERROR(__xludf.DUMMYFUNCTION("""COMPUTED_VALUE"""),"I Accept")</f>
        <v>I Accept</v>
      </c>
      <c r="N333" s="4">
        <f ca="1">IFERROR(__xludf.DUMMYFUNCTION("""COMPUTED_VALUE"""),43186)</f>
        <v>43186</v>
      </c>
      <c r="O333" s="4">
        <f ca="1">IFERROR(__xludf.DUMMYFUNCTION("""COMPUTED_VALUE"""),43186)</f>
        <v>43186</v>
      </c>
      <c r="P333">
        <f ca="1">IFERROR(__xludf.DUMMYFUNCTION("""COMPUTED_VALUE"""),3)</f>
        <v>3</v>
      </c>
      <c r="Q333" t="str">
        <f ca="1">IFERROR(__xludf.DUMMYFUNCTION("""COMPUTED_VALUE"""),"info@wattsun.in")</f>
        <v>info@wattsun.in</v>
      </c>
      <c r="R333" s="2" t="s">
        <v>2747</v>
      </c>
    </row>
    <row r="334" spans="1:18" ht="13" x14ac:dyDescent="0.15">
      <c r="A334" s="3">
        <f ca="1">IFERROR(__xludf.DUMMYFUNCTION("""COMPUTED_VALUE"""),43193.7836018402)</f>
        <v>43193.783601840201</v>
      </c>
      <c r="B334" t="str">
        <f ca="1">IFERROR(__xludf.DUMMYFUNCTION("""COMPUTED_VALUE"""),"drthomasabraham@gmail.com")</f>
        <v>drthomasabraham@gmail.com</v>
      </c>
      <c r="C334">
        <f ca="1">IFERROR(__xludf.DUMMYFUNCTION("""COMPUTED_VALUE"""),312)</f>
        <v>312</v>
      </c>
      <c r="D334" t="str">
        <f ca="1">IFERROR(__xludf.DUMMYFUNCTION("""COMPUTED_VALUE"""),"Dr Thomas Abraham")</f>
        <v>Dr Thomas Abraham</v>
      </c>
      <c r="E334">
        <f ca="1">IFERROR(__xludf.DUMMYFUNCTION("""COMPUTED_VALUE"""),9447745446)</f>
        <v>9447745446</v>
      </c>
      <c r="F334" t="str">
        <f ca="1">IFERROR(__xludf.DUMMYFUNCTION("""COMPUTED_VALUE"""),"Idukki")</f>
        <v>Idukki</v>
      </c>
      <c r="G334" t="str">
        <f ca="1">IFERROR(__xludf.DUMMYFUNCTION("""COMPUTED_VALUE"""),"Tata Power Solar Systems Ltd")</f>
        <v>Tata Power Solar Systems Ltd</v>
      </c>
      <c r="H334">
        <f ca="1">IFERROR(__xludf.DUMMYFUNCTION("""COMPUTED_VALUE"""),20)</f>
        <v>20</v>
      </c>
      <c r="I334" s="4">
        <f ca="1">IFERROR(__xludf.DUMMYFUNCTION("""COMPUTED_VALUE"""),43176)</f>
        <v>43176</v>
      </c>
      <c r="J334">
        <f ca="1">IFERROR(__xludf.DUMMYFUNCTION("""COMPUTED_VALUE"""),5)</f>
        <v>5</v>
      </c>
      <c r="K334">
        <f ca="1">IFERROR(__xludf.DUMMYFUNCTION("""COMPUTED_VALUE"""),1156181028646)</f>
        <v>1156181028646</v>
      </c>
      <c r="L334" t="str">
        <f ca="1">IFERROR(__xludf.DUMMYFUNCTION("""COMPUTED_VALUE"""),"thodupuzha-1")</f>
        <v>thodupuzha-1</v>
      </c>
      <c r="M334" t="str">
        <f ca="1">IFERROR(__xludf.DUMMYFUNCTION("""COMPUTED_VALUE"""),"I Accept")</f>
        <v>I Accept</v>
      </c>
      <c r="N334" s="4">
        <f ca="1">IFERROR(__xludf.DUMMYFUNCTION("""COMPUTED_VALUE"""),43175)</f>
        <v>43175</v>
      </c>
      <c r="O334" s="4">
        <f ca="1">IFERROR(__xludf.DUMMYFUNCTION("""COMPUTED_VALUE"""),43175)</f>
        <v>43175</v>
      </c>
      <c r="P334">
        <f ca="1">IFERROR(__xludf.DUMMYFUNCTION("""COMPUTED_VALUE"""),5)</f>
        <v>5</v>
      </c>
      <c r="Q334" t="str">
        <f ca="1">IFERROR(__xludf.DUMMYFUNCTION("""COMPUTED_VALUE"""),"drthomasabraham@gmail.com")</f>
        <v>drthomasabraham@gmail.com</v>
      </c>
      <c r="R334" s="2" t="s">
        <v>2748</v>
      </c>
    </row>
    <row r="335" spans="1:18" ht="13" x14ac:dyDescent="0.15">
      <c r="A335" s="3">
        <f ca="1">IFERROR(__xludf.DUMMYFUNCTION("""COMPUTED_VALUE"""),43194.495692662)</f>
        <v>43194.495692662</v>
      </c>
      <c r="B335" t="str">
        <f ca="1">IFERROR(__xludf.DUMMYFUNCTION("""COMPUTED_VALUE"""),"thomaskuttykurian1972@gmail.com")</f>
        <v>thomaskuttykurian1972@gmail.com</v>
      </c>
      <c r="C335">
        <f ca="1">IFERROR(__xludf.DUMMYFUNCTION("""COMPUTED_VALUE"""),637)</f>
        <v>637</v>
      </c>
      <c r="D335" t="str">
        <f ca="1">IFERROR(__xludf.DUMMYFUNCTION("""COMPUTED_VALUE"""),"THOMASKUTTY KURIAN")</f>
        <v>THOMASKUTTY KURIAN</v>
      </c>
      <c r="E335">
        <f ca="1">IFERROR(__xludf.DUMMYFUNCTION("""COMPUTED_VALUE"""),9562233099)</f>
        <v>9562233099</v>
      </c>
      <c r="F335" t="str">
        <f ca="1">IFERROR(__xludf.DUMMYFUNCTION("""COMPUTED_VALUE"""),"Kottayam")</f>
        <v>Kottayam</v>
      </c>
      <c r="G335" t="str">
        <f ca="1">IFERROR(__xludf.DUMMYFUNCTION("""COMPUTED_VALUE"""),"Reecco Energy India Pvt. Ltd")</f>
        <v>Reecco Energy India Pvt. Ltd</v>
      </c>
      <c r="H335">
        <f ca="1">IFERROR(__xludf.DUMMYFUNCTION("""COMPUTED_VALUE"""),47)</f>
        <v>47</v>
      </c>
      <c r="I335" s="4">
        <f ca="1">IFERROR(__xludf.DUMMYFUNCTION("""COMPUTED_VALUE"""),43193)</f>
        <v>43193</v>
      </c>
      <c r="J335">
        <f ca="1">IFERROR(__xludf.DUMMYFUNCTION("""COMPUTED_VALUE"""),3)</f>
        <v>3</v>
      </c>
      <c r="K335">
        <f ca="1">IFERROR(__xludf.DUMMYFUNCTION("""COMPUTED_VALUE"""),1157495008090)</f>
        <v>1157495008090</v>
      </c>
      <c r="L335" t="str">
        <f ca="1">IFERROR(__xludf.DUMMYFUNCTION("""COMPUTED_VALUE"""),"Kooroppada")</f>
        <v>Kooroppada</v>
      </c>
      <c r="M335" t="str">
        <f ca="1">IFERROR(__xludf.DUMMYFUNCTION("""COMPUTED_VALUE"""),"I Accept")</f>
        <v>I Accept</v>
      </c>
      <c r="N335" s="4">
        <f ca="1">IFERROR(__xludf.DUMMYFUNCTION("""COMPUTED_VALUE"""),43191)</f>
        <v>43191</v>
      </c>
      <c r="O335" s="4">
        <f ca="1">IFERROR(__xludf.DUMMYFUNCTION("""COMPUTED_VALUE"""),43193)</f>
        <v>43193</v>
      </c>
      <c r="P335">
        <f ca="1">IFERROR(__xludf.DUMMYFUNCTION("""COMPUTED_VALUE"""),3)</f>
        <v>3</v>
      </c>
      <c r="Q335" t="str">
        <f ca="1">IFERROR(__xludf.DUMMYFUNCTION("""COMPUTED_VALUE"""),"thomaskuttykurian1972@gmail.com")</f>
        <v>thomaskuttykurian1972@gmail.com</v>
      </c>
      <c r="R335" s="2" t="s">
        <v>2749</v>
      </c>
    </row>
    <row r="336" spans="1:18" ht="13" x14ac:dyDescent="0.15">
      <c r="A336" s="3">
        <f ca="1">IFERROR(__xludf.DUMMYFUNCTION("""COMPUTED_VALUE"""),43194.5187825347)</f>
        <v>43194.518782534702</v>
      </c>
      <c r="B336" t="str">
        <f ca="1">IFERROR(__xludf.DUMMYFUNCTION("""COMPUTED_VALUE"""),"matex@matexcarpet.com")</f>
        <v>matex@matexcarpet.com</v>
      </c>
      <c r="C336">
        <f ca="1">IFERROR(__xludf.DUMMYFUNCTION("""COMPUTED_VALUE"""),727)</f>
        <v>727</v>
      </c>
      <c r="D336" t="str">
        <f ca="1">IFERROR(__xludf.DUMMYFUNCTION("""COMPUTED_VALUE"""),"S Lalji")</f>
        <v>S Lalji</v>
      </c>
      <c r="E336">
        <f ca="1">IFERROR(__xludf.DUMMYFUNCTION("""COMPUTED_VALUE"""),9847033388)</f>
        <v>9847033388</v>
      </c>
      <c r="F336" t="str">
        <f ca="1">IFERROR(__xludf.DUMMYFUNCTION("""COMPUTED_VALUE"""),"Alappuzha")</f>
        <v>Alappuzha</v>
      </c>
      <c r="G336" t="str">
        <f ca="1">IFERROR(__xludf.DUMMYFUNCTION("""COMPUTED_VALUE"""),"Tata power solar")</f>
        <v>Tata power solar</v>
      </c>
      <c r="H336">
        <f ca="1">IFERROR(__xludf.DUMMYFUNCTION("""COMPUTED_VALUE"""),20)</f>
        <v>20</v>
      </c>
      <c r="I336" s="4">
        <f ca="1">IFERROR(__xludf.DUMMYFUNCTION("""COMPUTED_VALUE"""),43193)</f>
        <v>43193</v>
      </c>
      <c r="J336">
        <f ca="1">IFERROR(__xludf.DUMMYFUNCTION("""COMPUTED_VALUE"""),15)</f>
        <v>15</v>
      </c>
      <c r="K336">
        <f ca="1">IFERROR(__xludf.DUMMYFUNCTION("""COMPUTED_VALUE"""),1155020002645)</f>
        <v>1155020002645</v>
      </c>
      <c r="L336" t="str">
        <f ca="1">IFERROR(__xludf.DUMMYFUNCTION("""COMPUTED_VALUE"""),"5502")</f>
        <v>5502</v>
      </c>
      <c r="M336" t="str">
        <f ca="1">IFERROR(__xludf.DUMMYFUNCTION("""COMPUTED_VALUE"""),"I Accept")</f>
        <v>I Accept</v>
      </c>
      <c r="N336" s="4">
        <f ca="1">IFERROR(__xludf.DUMMYFUNCTION("""COMPUTED_VALUE"""),43180)</f>
        <v>43180</v>
      </c>
      <c r="O336" s="4">
        <f ca="1">IFERROR(__xludf.DUMMYFUNCTION("""COMPUTED_VALUE"""),43180)</f>
        <v>43180</v>
      </c>
      <c r="P336">
        <f ca="1">IFERROR(__xludf.DUMMYFUNCTION("""COMPUTED_VALUE"""),15)</f>
        <v>15</v>
      </c>
      <c r="Q336" t="str">
        <f ca="1">IFERROR(__xludf.DUMMYFUNCTION("""COMPUTED_VALUE"""),"matex@matexcarpet.com")</f>
        <v>matex@matexcarpet.com</v>
      </c>
      <c r="R336" s="2" t="s">
        <v>2750</v>
      </c>
    </row>
    <row r="337" spans="1:18" ht="13" x14ac:dyDescent="0.15">
      <c r="A337" s="3">
        <f ca="1">IFERROR(__xludf.DUMMYFUNCTION("""COMPUTED_VALUE"""),43194.522533912)</f>
        <v>43194.522533912001</v>
      </c>
      <c r="B337" t="str">
        <f ca="1">IFERROR(__xludf.DUMMYFUNCTION("""COMPUTED_VALUE"""),"alwinpaul91@gamil.com")</f>
        <v>alwinpaul91@gamil.com</v>
      </c>
      <c r="C337">
        <f ca="1">IFERROR(__xludf.DUMMYFUNCTION("""COMPUTED_VALUE"""),219)</f>
        <v>219</v>
      </c>
      <c r="D337" t="str">
        <f ca="1">IFERROR(__xludf.DUMMYFUNCTION("""COMPUTED_VALUE"""),"Thomas joseph")</f>
        <v>Thomas joseph</v>
      </c>
      <c r="E337">
        <f ca="1">IFERROR(__xludf.DUMMYFUNCTION("""COMPUTED_VALUE"""),9847301733)</f>
        <v>9847301733</v>
      </c>
      <c r="F337" t="str">
        <f ca="1">IFERROR(__xludf.DUMMYFUNCTION("""COMPUTED_VALUE"""),"Alappuzha")</f>
        <v>Alappuzha</v>
      </c>
      <c r="G337" t="str">
        <f ca="1">IFERROR(__xludf.DUMMYFUNCTION("""COMPUTED_VALUE"""),"Tata power solar")</f>
        <v>Tata power solar</v>
      </c>
      <c r="H337">
        <f ca="1">IFERROR(__xludf.DUMMYFUNCTION("""COMPUTED_VALUE"""),20)</f>
        <v>20</v>
      </c>
      <c r="I337" s="4">
        <f ca="1">IFERROR(__xludf.DUMMYFUNCTION("""COMPUTED_VALUE"""),43185)</f>
        <v>43185</v>
      </c>
      <c r="J337">
        <f ca="1">IFERROR(__xludf.DUMMYFUNCTION("""COMPUTED_VALUE"""),5)</f>
        <v>5</v>
      </c>
      <c r="K337">
        <f ca="1">IFERROR(__xludf.DUMMYFUNCTION("""COMPUTED_VALUE"""),1155013014495)</f>
        <v>1155013014495</v>
      </c>
      <c r="L337" t="str">
        <f ca="1">IFERROR(__xludf.DUMMYFUNCTION("""COMPUTED_VALUE"""),"5501")</f>
        <v>5501</v>
      </c>
      <c r="M337" t="str">
        <f ca="1">IFERROR(__xludf.DUMMYFUNCTION("""COMPUTED_VALUE"""),"I Accept")</f>
        <v>I Accept</v>
      </c>
      <c r="N337" s="4">
        <f ca="1">IFERROR(__xludf.DUMMYFUNCTION("""COMPUTED_VALUE"""),43159)</f>
        <v>43159</v>
      </c>
      <c r="O337" s="4">
        <f ca="1">IFERROR(__xludf.DUMMYFUNCTION("""COMPUTED_VALUE"""),43159)</f>
        <v>43159</v>
      </c>
      <c r="P337">
        <f ca="1">IFERROR(__xludf.DUMMYFUNCTION("""COMPUTED_VALUE"""),5)</f>
        <v>5</v>
      </c>
      <c r="Q337" t="str">
        <f ca="1">IFERROR(__xludf.DUMMYFUNCTION("""COMPUTED_VALUE"""),"alwinpaul91@gamil.com")</f>
        <v>alwinpaul91@gamil.com</v>
      </c>
      <c r="R337" s="2" t="s">
        <v>2751</v>
      </c>
    </row>
    <row r="338" spans="1:18" ht="13" x14ac:dyDescent="0.15">
      <c r="A338" s="3">
        <f ca="1">IFERROR(__xludf.DUMMYFUNCTION("""COMPUTED_VALUE"""),43194.5252748958)</f>
        <v>43194.525274895801</v>
      </c>
      <c r="B338" t="str">
        <f ca="1">IFERROR(__xludf.DUMMYFUNCTION("""COMPUTED_VALUE"""),"alwinpaul91@gamil.com")</f>
        <v>alwinpaul91@gamil.com</v>
      </c>
      <c r="C338">
        <f ca="1">IFERROR(__xludf.DUMMYFUNCTION("""COMPUTED_VALUE"""),216)</f>
        <v>216</v>
      </c>
      <c r="D338" t="str">
        <f ca="1">IFERROR(__xludf.DUMMYFUNCTION("""COMPUTED_VALUE"""),"Ahammed kunju")</f>
        <v>Ahammed kunju</v>
      </c>
      <c r="E338">
        <f ca="1">IFERROR(__xludf.DUMMYFUNCTION("""COMPUTED_VALUE"""),9446419023)</f>
        <v>9446419023</v>
      </c>
      <c r="F338" t="str">
        <f ca="1">IFERROR(__xludf.DUMMYFUNCTION("""COMPUTED_VALUE"""),"Alappuzha")</f>
        <v>Alappuzha</v>
      </c>
      <c r="G338" t="str">
        <f ca="1">IFERROR(__xludf.DUMMYFUNCTION("""COMPUTED_VALUE"""),"Tata power solar")</f>
        <v>Tata power solar</v>
      </c>
      <c r="H338">
        <f ca="1">IFERROR(__xludf.DUMMYFUNCTION("""COMPUTED_VALUE"""),20)</f>
        <v>20</v>
      </c>
      <c r="I338" s="4">
        <f ca="1">IFERROR(__xludf.DUMMYFUNCTION("""COMPUTED_VALUE"""),43159)</f>
        <v>43159</v>
      </c>
      <c r="J338">
        <f ca="1">IFERROR(__xludf.DUMMYFUNCTION("""COMPUTED_VALUE"""),5)</f>
        <v>5</v>
      </c>
      <c r="K338">
        <f ca="1">IFERROR(__xludf.DUMMYFUNCTION("""COMPUTED_VALUE"""),1155011028854)</f>
        <v>1155011028854</v>
      </c>
      <c r="L338" t="str">
        <f ca="1">IFERROR(__xludf.DUMMYFUNCTION("""COMPUTED_VALUE"""),"5502")</f>
        <v>5502</v>
      </c>
      <c r="M338" t="str">
        <f ca="1">IFERROR(__xludf.DUMMYFUNCTION("""COMPUTED_VALUE"""),"I Accept")</f>
        <v>I Accept</v>
      </c>
      <c r="N338" s="4">
        <f ca="1">IFERROR(__xludf.DUMMYFUNCTION("""COMPUTED_VALUE"""),43159)</f>
        <v>43159</v>
      </c>
      <c r="O338" s="4">
        <f ca="1">IFERROR(__xludf.DUMMYFUNCTION("""COMPUTED_VALUE"""),43159)</f>
        <v>43159</v>
      </c>
      <c r="P338">
        <f ca="1">IFERROR(__xludf.DUMMYFUNCTION("""COMPUTED_VALUE"""),5)</f>
        <v>5</v>
      </c>
      <c r="Q338" t="str">
        <f ca="1">IFERROR(__xludf.DUMMYFUNCTION("""COMPUTED_VALUE"""),"alwinpaul91@gamil.com")</f>
        <v>alwinpaul91@gamil.com</v>
      </c>
      <c r="R338" s="2" t="s">
        <v>2752</v>
      </c>
    </row>
    <row r="339" spans="1:18" ht="13" x14ac:dyDescent="0.15">
      <c r="A339" s="3">
        <f ca="1">IFERROR(__xludf.DUMMYFUNCTION("""COMPUTED_VALUE"""),43194.5311298379)</f>
        <v>43194.531129837902</v>
      </c>
      <c r="B339" t="str">
        <f ca="1">IFERROR(__xludf.DUMMYFUNCTION("""COMPUTED_VALUE"""),"alwinpaul91@gamil.com")</f>
        <v>alwinpaul91@gamil.com</v>
      </c>
      <c r="C339">
        <f ca="1">IFERROR(__xludf.DUMMYFUNCTION("""COMPUTED_VALUE"""),587)</f>
        <v>587</v>
      </c>
      <c r="D339" t="str">
        <f ca="1">IFERROR(__xludf.DUMMYFUNCTION("""COMPUTED_VALUE"""),"A kabeer")</f>
        <v>A kabeer</v>
      </c>
      <c r="E339">
        <f ca="1">IFERROR(__xludf.DUMMYFUNCTION("""COMPUTED_VALUE"""),9447163009)</f>
        <v>9447163009</v>
      </c>
      <c r="F339" t="str">
        <f ca="1">IFERROR(__xludf.DUMMYFUNCTION("""COMPUTED_VALUE"""),"Alappuzha")</f>
        <v>Alappuzha</v>
      </c>
      <c r="G339" t="str">
        <f ca="1">IFERROR(__xludf.DUMMYFUNCTION("""COMPUTED_VALUE"""),"Tata power solar")</f>
        <v>Tata power solar</v>
      </c>
      <c r="H339">
        <f ca="1">IFERROR(__xludf.DUMMYFUNCTION("""COMPUTED_VALUE"""),20)</f>
        <v>20</v>
      </c>
      <c r="I339" s="4">
        <f ca="1">IFERROR(__xludf.DUMMYFUNCTION("""COMPUTED_VALUE"""),43172)</f>
        <v>43172</v>
      </c>
      <c r="J339">
        <f ca="1">IFERROR(__xludf.DUMMYFUNCTION("""COMPUTED_VALUE"""),3)</f>
        <v>3</v>
      </c>
      <c r="K339">
        <f ca="1">IFERROR(__xludf.DUMMYFUNCTION("""COMPUTED_VALUE"""),1155024009118)</f>
        <v>1155024009118</v>
      </c>
      <c r="L339" t="str">
        <f ca="1">IFERROR(__xludf.DUMMYFUNCTION("""COMPUTED_VALUE"""),"5502")</f>
        <v>5502</v>
      </c>
      <c r="M339" t="str">
        <f ca="1">IFERROR(__xludf.DUMMYFUNCTION("""COMPUTED_VALUE"""),"I Accept")</f>
        <v>I Accept</v>
      </c>
      <c r="N339" s="4">
        <f ca="1">IFERROR(__xludf.DUMMYFUNCTION("""COMPUTED_VALUE"""),43172)</f>
        <v>43172</v>
      </c>
      <c r="O339" s="4">
        <f ca="1">IFERROR(__xludf.DUMMYFUNCTION("""COMPUTED_VALUE"""),43172)</f>
        <v>43172</v>
      </c>
      <c r="P339">
        <f ca="1">IFERROR(__xludf.DUMMYFUNCTION("""COMPUTED_VALUE"""),5)</f>
        <v>5</v>
      </c>
      <c r="Q339" t="str">
        <f ca="1">IFERROR(__xludf.DUMMYFUNCTION("""COMPUTED_VALUE"""),"alwinpaul91@gamil.com")</f>
        <v>alwinpaul91@gamil.com</v>
      </c>
      <c r="R339" s="2" t="s">
        <v>2753</v>
      </c>
    </row>
    <row r="340" spans="1:18" ht="13" x14ac:dyDescent="0.15">
      <c r="A340" s="3">
        <f ca="1">IFERROR(__xludf.DUMMYFUNCTION("""COMPUTED_VALUE"""),43194.5432136574)</f>
        <v>43194.543213657402</v>
      </c>
      <c r="B340" t="str">
        <f ca="1">IFERROR(__xludf.DUMMYFUNCTION("""COMPUTED_VALUE"""),"nestrokochi@gmail.com")</f>
        <v>nestrokochi@gmail.com</v>
      </c>
      <c r="C340">
        <f ca="1">IFERROR(__xludf.DUMMYFUNCTION("""COMPUTED_VALUE"""),745)</f>
        <v>745</v>
      </c>
      <c r="D340" t="str">
        <f ca="1">IFERROR(__xludf.DUMMYFUNCTION("""COMPUTED_VALUE"""),"MANU JOSEPH")</f>
        <v>MANU JOSEPH</v>
      </c>
      <c r="E340">
        <f ca="1">IFERROR(__xludf.DUMMYFUNCTION("""COMPUTED_VALUE"""),9142099977)</f>
        <v>9142099977</v>
      </c>
      <c r="F340" t="str">
        <f ca="1">IFERROR(__xludf.DUMMYFUNCTION("""COMPUTED_VALUE"""),"Ernakulam")</f>
        <v>Ernakulam</v>
      </c>
      <c r="G340" t="str">
        <f ca="1">IFERROR(__xludf.DUMMYFUNCTION("""COMPUTED_VALUE"""),"NESTRO MARKETING LLP")</f>
        <v>NESTRO MARKETING LLP</v>
      </c>
      <c r="H340">
        <f ca="1">IFERROR(__xludf.DUMMYFUNCTION("""COMPUTED_VALUE"""),14)</f>
        <v>14</v>
      </c>
      <c r="I340" s="4">
        <f ca="1">IFERROR(__xludf.DUMMYFUNCTION("""COMPUTED_VALUE"""),43222)</f>
        <v>43222</v>
      </c>
      <c r="J340">
        <f ca="1">IFERROR(__xludf.DUMMYFUNCTION("""COMPUTED_VALUE"""),10)</f>
        <v>10</v>
      </c>
      <c r="K340">
        <f ca="1">IFERROR(__xludf.DUMMYFUNCTION("""COMPUTED_VALUE"""),1155428008105)</f>
        <v>1155428008105</v>
      </c>
      <c r="L340" t="str">
        <f ca="1">IFERROR(__xludf.DUMMYFUNCTION("""COMPUTED_VALUE"""),"GIRINAGAR (5542)")</f>
        <v>GIRINAGAR (5542)</v>
      </c>
      <c r="M340" t="str">
        <f ca="1">IFERROR(__xludf.DUMMYFUNCTION("""COMPUTED_VALUE"""),"I Accept")</f>
        <v>I Accept</v>
      </c>
      <c r="N340" s="4">
        <f ca="1">IFERROR(__xludf.DUMMYFUNCTION("""COMPUTED_VALUE"""),43194)</f>
        <v>43194</v>
      </c>
      <c r="O340" s="4">
        <f ca="1">IFERROR(__xludf.DUMMYFUNCTION("""COMPUTED_VALUE"""),43194)</f>
        <v>43194</v>
      </c>
      <c r="P340">
        <f ca="1">IFERROR(__xludf.DUMMYFUNCTION("""COMPUTED_VALUE"""),10)</f>
        <v>10</v>
      </c>
      <c r="Q340" t="str">
        <f ca="1">IFERROR(__xludf.DUMMYFUNCTION("""COMPUTED_VALUE"""),"nestromarketing@gmail.com")</f>
        <v>nestromarketing@gmail.com</v>
      </c>
      <c r="R340" s="2" t="s">
        <v>2754</v>
      </c>
    </row>
    <row r="341" spans="1:18" ht="13" x14ac:dyDescent="0.15">
      <c r="A341" s="3">
        <f ca="1">IFERROR(__xludf.DUMMYFUNCTION("""COMPUTED_VALUE"""),43194.5954446643)</f>
        <v>43194.595444664301</v>
      </c>
      <c r="B341" t="str">
        <f ca="1">IFERROR(__xludf.DUMMYFUNCTION("""COMPUTED_VALUE"""),"contactvinova@gmail.com")</f>
        <v>contactvinova@gmail.com</v>
      </c>
      <c r="C341">
        <f ca="1">IFERROR(__xludf.DUMMYFUNCTION("""COMPUTED_VALUE"""),496)</f>
        <v>496</v>
      </c>
      <c r="D341" t="str">
        <f ca="1">IFERROR(__xludf.DUMMYFUNCTION("""COMPUTED_VALUE"""),"V K Gopi")</f>
        <v>V K Gopi</v>
      </c>
      <c r="E341">
        <f ca="1">IFERROR(__xludf.DUMMYFUNCTION("""COMPUTED_VALUE"""),9388144144)</f>
        <v>9388144144</v>
      </c>
      <c r="F341" t="str">
        <f ca="1">IFERROR(__xludf.DUMMYFUNCTION("""COMPUTED_VALUE"""),"Thrissur")</f>
        <v>Thrissur</v>
      </c>
      <c r="G341" t="str">
        <f ca="1">IFERROR(__xludf.DUMMYFUNCTION("""COMPUTED_VALUE"""),"vinova energy systems")</f>
        <v>vinova energy systems</v>
      </c>
      <c r="H341">
        <f ca="1">IFERROR(__xludf.DUMMYFUNCTION("""COMPUTED_VALUE"""),48)</f>
        <v>48</v>
      </c>
      <c r="I341" s="4">
        <f ca="1">IFERROR(__xludf.DUMMYFUNCTION("""COMPUTED_VALUE"""),43171)</f>
        <v>43171</v>
      </c>
      <c r="J341">
        <f ca="1">IFERROR(__xludf.DUMMYFUNCTION("""COMPUTED_VALUE"""),3)</f>
        <v>3</v>
      </c>
      <c r="K341">
        <f ca="1">IFERROR(__xludf.DUMMYFUNCTION("""COMPUTED_VALUE"""),1156566024581)</f>
        <v>1156566024581</v>
      </c>
      <c r="L341" t="str">
        <f ca="1">IFERROR(__xludf.DUMMYFUNCTION("""COMPUTED_VALUE"""),"varantharappilly")</f>
        <v>varantharappilly</v>
      </c>
      <c r="M341" t="str">
        <f ca="1">IFERROR(__xludf.DUMMYFUNCTION("""COMPUTED_VALUE"""),"I Accept")</f>
        <v>I Accept</v>
      </c>
      <c r="N341" s="4">
        <f ca="1">IFERROR(__xludf.DUMMYFUNCTION("""COMPUTED_VALUE"""),43194)</f>
        <v>43194</v>
      </c>
      <c r="O341" s="4">
        <f ca="1">IFERROR(__xludf.DUMMYFUNCTION("""COMPUTED_VALUE"""),43194)</f>
        <v>43194</v>
      </c>
      <c r="P341">
        <f ca="1">IFERROR(__xludf.DUMMYFUNCTION("""COMPUTED_VALUE"""),3)</f>
        <v>3</v>
      </c>
      <c r="Q341" t="str">
        <f ca="1">IFERROR(__xludf.DUMMYFUNCTION("""COMPUTED_VALUE"""),"contactvinova@gmail.com")</f>
        <v>contactvinova@gmail.com</v>
      </c>
      <c r="R341" s="2" t="s">
        <v>2755</v>
      </c>
    </row>
    <row r="342" spans="1:18" ht="13" x14ac:dyDescent="0.15">
      <c r="A342" s="3">
        <f ca="1">IFERROR(__xludf.DUMMYFUNCTION("""COMPUTED_VALUE"""),43194.6319856365)</f>
        <v>43194.631985636501</v>
      </c>
      <c r="B342" t="str">
        <f ca="1">IFERROR(__xludf.DUMMYFUNCTION("""COMPUTED_VALUE"""),"contactvinova@gmail.com")</f>
        <v>contactvinova@gmail.com</v>
      </c>
      <c r="C342">
        <f ca="1">IFERROR(__xludf.DUMMYFUNCTION("""COMPUTED_VALUE"""),497)</f>
        <v>497</v>
      </c>
      <c r="D342" t="str">
        <f ca="1">IFERROR(__xludf.DUMMYFUNCTION("""COMPUTED_VALUE"""),"Bos charcoal Gopalan")</f>
        <v>Bos charcoal Gopalan</v>
      </c>
      <c r="E342">
        <f ca="1">IFERROR(__xludf.DUMMYFUNCTION("""COMPUTED_VALUE"""),9388155155)</f>
        <v>9388155155</v>
      </c>
      <c r="F342" t="str">
        <f ca="1">IFERROR(__xludf.DUMMYFUNCTION("""COMPUTED_VALUE"""),"Thrissur")</f>
        <v>Thrissur</v>
      </c>
      <c r="G342" t="str">
        <f ca="1">IFERROR(__xludf.DUMMYFUNCTION("""COMPUTED_VALUE"""),"vinova energy systems")</f>
        <v>vinova energy systems</v>
      </c>
      <c r="H342">
        <f ca="1">IFERROR(__xludf.DUMMYFUNCTION("""COMPUTED_VALUE"""),48)</f>
        <v>48</v>
      </c>
      <c r="I342" s="4">
        <f ca="1">IFERROR(__xludf.DUMMYFUNCTION("""COMPUTED_VALUE"""),43171)</f>
        <v>43171</v>
      </c>
      <c r="J342">
        <f ca="1">IFERROR(__xludf.DUMMYFUNCTION("""COMPUTED_VALUE"""),3)</f>
        <v>3</v>
      </c>
      <c r="K342">
        <f ca="1">IFERROR(__xludf.DUMMYFUNCTION("""COMPUTED_VALUE"""),1156391011145)</f>
        <v>1156391011145</v>
      </c>
      <c r="L342" t="str">
        <f ca="1">IFERROR(__xludf.DUMMYFUNCTION("""COMPUTED_VALUE"""),"cherpu")</f>
        <v>cherpu</v>
      </c>
      <c r="M342" t="str">
        <f ca="1">IFERROR(__xludf.DUMMYFUNCTION("""COMPUTED_VALUE"""),"I Accept")</f>
        <v>I Accept</v>
      </c>
      <c r="N342" s="4">
        <f ca="1">IFERROR(__xludf.DUMMYFUNCTION("""COMPUTED_VALUE"""),43194)</f>
        <v>43194</v>
      </c>
      <c r="O342" s="4">
        <f ca="1">IFERROR(__xludf.DUMMYFUNCTION("""COMPUTED_VALUE"""),43194)</f>
        <v>43194</v>
      </c>
      <c r="P342">
        <f ca="1">IFERROR(__xludf.DUMMYFUNCTION("""COMPUTED_VALUE"""),3)</f>
        <v>3</v>
      </c>
      <c r="Q342" t="str">
        <f ca="1">IFERROR(__xludf.DUMMYFUNCTION("""COMPUTED_VALUE"""),"contactvinova@gmail.com")</f>
        <v>contactvinova@gmail.com</v>
      </c>
      <c r="R342" s="2" t="s">
        <v>2756</v>
      </c>
    </row>
    <row r="343" spans="1:18" ht="13" x14ac:dyDescent="0.15">
      <c r="A343" s="3">
        <f ca="1">IFERROR(__xludf.DUMMYFUNCTION("""COMPUTED_VALUE"""),43194.6868084259)</f>
        <v>43194.686808425897</v>
      </c>
      <c r="B343" t="str">
        <f ca="1">IFERROR(__xludf.DUMMYFUNCTION("""COMPUTED_VALUE"""),"solarconnect2018@gmail.com")</f>
        <v>solarconnect2018@gmail.com</v>
      </c>
      <c r="C343">
        <f ca="1">IFERROR(__xludf.DUMMYFUNCTION("""COMPUTED_VALUE"""),605)</f>
        <v>605</v>
      </c>
      <c r="D343" t="str">
        <f ca="1">IFERROR(__xludf.DUMMYFUNCTION("""COMPUTED_VALUE"""),"DR JOSE ZACHARIAS")</f>
        <v>DR JOSE ZACHARIAS</v>
      </c>
      <c r="E343">
        <f ca="1">IFERROR(__xludf.DUMMYFUNCTION("""COMPUTED_VALUE"""),9495334009)</f>
        <v>9495334009</v>
      </c>
      <c r="F343" t="str">
        <f ca="1">IFERROR(__xludf.DUMMYFUNCTION("""COMPUTED_VALUE"""),"Kottayam")</f>
        <v>Kottayam</v>
      </c>
      <c r="G343" t="str">
        <f ca="1">IFERROR(__xludf.DUMMYFUNCTION("""COMPUTED_VALUE"""),"SPECTRUM TECHNO PRODUCTS")</f>
        <v>SPECTRUM TECHNO PRODUCTS</v>
      </c>
      <c r="H343">
        <f ca="1">IFERROR(__xludf.DUMMYFUNCTION("""COMPUTED_VALUE"""),66)</f>
        <v>66</v>
      </c>
      <c r="I343" s="4">
        <f ca="1">IFERROR(__xludf.DUMMYFUNCTION("""COMPUTED_VALUE"""),43185)</f>
        <v>43185</v>
      </c>
      <c r="J343">
        <f ca="1">IFERROR(__xludf.DUMMYFUNCTION("""COMPUTED_VALUE"""),5)</f>
        <v>5</v>
      </c>
      <c r="K343">
        <f ca="1">IFERROR(__xludf.DUMMYFUNCTION("""COMPUTED_VALUE"""),1156281012)</f>
        <v>1156281012</v>
      </c>
      <c r="L343" t="str">
        <f ca="1">IFERROR(__xludf.DUMMYFUNCTION("""COMPUTED_VALUE"""),"MARANGATTUPILLY")</f>
        <v>MARANGATTUPILLY</v>
      </c>
      <c r="M343" t="str">
        <f ca="1">IFERROR(__xludf.DUMMYFUNCTION("""COMPUTED_VALUE"""),"I Accept")</f>
        <v>I Accept</v>
      </c>
      <c r="N343" s="4">
        <f ca="1">IFERROR(__xludf.DUMMYFUNCTION("""COMPUTED_VALUE"""),43179)</f>
        <v>43179</v>
      </c>
      <c r="O343" s="4">
        <f ca="1">IFERROR(__xludf.DUMMYFUNCTION("""COMPUTED_VALUE"""),43179)</f>
        <v>43179</v>
      </c>
      <c r="P343">
        <f ca="1">IFERROR(__xludf.DUMMYFUNCTION("""COMPUTED_VALUE"""),5)</f>
        <v>5</v>
      </c>
      <c r="Q343" t="str">
        <f ca="1">IFERROR(__xludf.DUMMYFUNCTION("""COMPUTED_VALUE"""),"solarconnect2018@gmail.com")</f>
        <v>solarconnect2018@gmail.com</v>
      </c>
      <c r="R343" s="2" t="s">
        <v>2757</v>
      </c>
    </row>
    <row r="344" spans="1:18" ht="13" x14ac:dyDescent="0.15">
      <c r="A344" s="3">
        <f ca="1">IFERROR(__xludf.DUMMYFUNCTION("""COMPUTED_VALUE"""),43195.3371603356)</f>
        <v>43195.337160335599</v>
      </c>
      <c r="B344" t="str">
        <f ca="1">IFERROR(__xludf.DUMMYFUNCTION("""COMPUTED_VALUE"""),"cassia.execom@gmail.com ")</f>
        <v xml:space="preserve">cassia.execom@gmail.com </v>
      </c>
      <c r="C344">
        <f ca="1">IFERROR(__xludf.DUMMYFUNCTION("""COMPUTED_VALUE"""),331)</f>
        <v>331</v>
      </c>
      <c r="D344" t="str">
        <f ca="1">IFERROR(__xludf.DUMMYFUNCTION("""COMPUTED_VALUE"""),"CONDOR CYBER GARDENS CASSIA OWNERS ASSCIATION")</f>
        <v>CONDOR CYBER GARDENS CASSIA OWNERS ASSCIATION</v>
      </c>
      <c r="E344">
        <f ca="1">IFERROR(__xludf.DUMMYFUNCTION("""COMPUTED_VALUE"""),9645078974)</f>
        <v>9645078974</v>
      </c>
      <c r="F344" t="str">
        <f ca="1">IFERROR(__xludf.DUMMYFUNCTION("""COMPUTED_VALUE"""),"Thiruvananthapuram")</f>
        <v>Thiruvananthapuram</v>
      </c>
      <c r="G344" t="str">
        <f ca="1">IFERROR(__xludf.DUMMYFUNCTION("""COMPUTED_VALUE"""),"TECHNOGUARD INDUSTRIES")</f>
        <v>TECHNOGUARD INDUSTRIES</v>
      </c>
      <c r="H344">
        <f ca="1">IFERROR(__xludf.DUMMYFUNCTION("""COMPUTED_VALUE"""),56)</f>
        <v>56</v>
      </c>
      <c r="I344" s="4">
        <f ca="1">IFERROR(__xludf.DUMMYFUNCTION("""COMPUTED_VALUE"""),43192)</f>
        <v>43192</v>
      </c>
      <c r="J344">
        <f ca="1">IFERROR(__xludf.DUMMYFUNCTION("""COMPUTED_VALUE"""),40)</f>
        <v>40</v>
      </c>
      <c r="K344">
        <f ca="1">IFERROR(__xludf.DUMMYFUNCTION("""COMPUTED_VALUE"""),1345200031301)</f>
        <v>1345200031301</v>
      </c>
      <c r="L344" t="str">
        <f ca="1">IFERROR(__xludf.DUMMYFUNCTION("""COMPUTED_VALUE"""),"KULATHOOR")</f>
        <v>KULATHOOR</v>
      </c>
      <c r="M344" t="str">
        <f ca="1">IFERROR(__xludf.DUMMYFUNCTION("""COMPUTED_VALUE"""),"I Accept")</f>
        <v>I Accept</v>
      </c>
      <c r="N344" s="4">
        <f ca="1">IFERROR(__xludf.DUMMYFUNCTION("""COMPUTED_VALUE"""),43185)</f>
        <v>43185</v>
      </c>
      <c r="O344" s="4">
        <f ca="1">IFERROR(__xludf.DUMMYFUNCTION("""COMPUTED_VALUE"""),43185)</f>
        <v>43185</v>
      </c>
      <c r="P344">
        <f ca="1">IFERROR(__xludf.DUMMYFUNCTION("""COMPUTED_VALUE"""),40)</f>
        <v>40</v>
      </c>
      <c r="Q344" t="str">
        <f ca="1">IFERROR(__xludf.DUMMYFUNCTION("""COMPUTED_VALUE"""),"cassia.execom@gmail.com")</f>
        <v>cassia.execom@gmail.com</v>
      </c>
      <c r="R344" s="2" t="s">
        <v>2758</v>
      </c>
    </row>
    <row r="345" spans="1:18" ht="13" x14ac:dyDescent="0.15">
      <c r="A345" s="3">
        <f ca="1">IFERROR(__xludf.DUMMYFUNCTION("""COMPUTED_VALUE"""),43195.3512328935)</f>
        <v>43195.351232893503</v>
      </c>
      <c r="B345" t="str">
        <f ca="1">IFERROR(__xludf.DUMMYFUNCTION("""COMPUTED_VALUE"""),"aswathyconstruction9@gmail.com ")</f>
        <v xml:space="preserve">aswathyconstruction9@gmail.com </v>
      </c>
      <c r="C345">
        <f ca="1">IFERROR(__xludf.DUMMYFUNCTION("""COMPUTED_VALUE"""),364)</f>
        <v>364</v>
      </c>
      <c r="D345" t="str">
        <f ca="1">IFERROR(__xludf.DUMMYFUNCTION("""COMPUTED_VALUE"""),"V J RAJAMMA")</f>
        <v>V J RAJAMMA</v>
      </c>
      <c r="E345">
        <f ca="1">IFERROR(__xludf.DUMMYFUNCTION("""COMPUTED_VALUE"""),8136844330)</f>
        <v>8136844330</v>
      </c>
      <c r="F345" t="str">
        <f ca="1">IFERROR(__xludf.DUMMYFUNCTION("""COMPUTED_VALUE"""),"Thiruvananthapuram")</f>
        <v>Thiruvananthapuram</v>
      </c>
      <c r="G345" t="str">
        <f ca="1">IFERROR(__xludf.DUMMYFUNCTION("""COMPUTED_VALUE"""),"TECHNOGUARD INDUSTRIES")</f>
        <v>TECHNOGUARD INDUSTRIES</v>
      </c>
      <c r="H345">
        <f ca="1">IFERROR(__xludf.DUMMYFUNCTION("""COMPUTED_VALUE"""),56)</f>
        <v>56</v>
      </c>
      <c r="I345" s="4">
        <f ca="1">IFERROR(__xludf.DUMMYFUNCTION("""COMPUTED_VALUE"""),43183)</f>
        <v>43183</v>
      </c>
      <c r="J345">
        <f ca="1">IFERROR(__xludf.DUMMYFUNCTION("""COMPUTED_VALUE"""),3)</f>
        <v>3</v>
      </c>
      <c r="K345">
        <f ca="1">IFERROR(__xludf.DUMMYFUNCTION("""COMPUTED_VALUE"""),1145062005593)</f>
        <v>1145062005593</v>
      </c>
      <c r="L345" t="str">
        <f ca="1">IFERROR(__xludf.DUMMYFUNCTION("""COMPUTED_VALUE"""),"CANTONMENT,TVPM")</f>
        <v>CANTONMENT,TVPM</v>
      </c>
      <c r="M345" t="str">
        <f ca="1">IFERROR(__xludf.DUMMYFUNCTION("""COMPUTED_VALUE"""),"I Accept")</f>
        <v>I Accept</v>
      </c>
      <c r="N345" s="4">
        <f ca="1">IFERROR(__xludf.DUMMYFUNCTION("""COMPUTED_VALUE"""),43166)</f>
        <v>43166</v>
      </c>
      <c r="O345" s="4">
        <f ca="1">IFERROR(__xludf.DUMMYFUNCTION("""COMPUTED_VALUE"""),43166)</f>
        <v>43166</v>
      </c>
      <c r="P345">
        <f ca="1">IFERROR(__xludf.DUMMYFUNCTION("""COMPUTED_VALUE"""),3)</f>
        <v>3</v>
      </c>
      <c r="Q345" t="str">
        <f ca="1">IFERROR(__xludf.DUMMYFUNCTION("""COMPUTED_VALUE"""),"aswathyconstruction9@gmail.com")</f>
        <v>aswathyconstruction9@gmail.com</v>
      </c>
      <c r="R345" s="2" t="s">
        <v>2759</v>
      </c>
    </row>
    <row r="346" spans="1:18" ht="13" x14ac:dyDescent="0.15">
      <c r="A346" s="3">
        <f ca="1">IFERROR(__xludf.DUMMYFUNCTION("""COMPUTED_VALUE"""),43195.3545706828)</f>
        <v>43195.354570682801</v>
      </c>
      <c r="B346" t="str">
        <f ca="1">IFERROR(__xludf.DUMMYFUNCTION("""COMPUTED_VALUE"""),"nathanrr2009@gmail.com")</f>
        <v>nathanrr2009@gmail.com</v>
      </c>
      <c r="C346">
        <f ca="1">IFERROR(__xludf.DUMMYFUNCTION("""COMPUTED_VALUE"""),506)</f>
        <v>506</v>
      </c>
      <c r="D346" t="str">
        <f ca="1">IFERROR(__xludf.DUMMYFUNCTION("""COMPUTED_VALUE"""),"SUJATHA M")</f>
        <v>SUJATHA M</v>
      </c>
      <c r="E346">
        <f ca="1">IFERROR(__xludf.DUMMYFUNCTION("""COMPUTED_VALUE"""),9544824472)</f>
        <v>9544824472</v>
      </c>
      <c r="F346" t="str">
        <f ca="1">IFERROR(__xludf.DUMMYFUNCTION("""COMPUTED_VALUE"""),"Alappuzha")</f>
        <v>Alappuzha</v>
      </c>
      <c r="G346" t="str">
        <f ca="1">IFERROR(__xludf.DUMMYFUNCTION("""COMPUTED_VALUE"""),"TECHNOGUARD INDUSTRIES")</f>
        <v>TECHNOGUARD INDUSTRIES</v>
      </c>
      <c r="H346">
        <f ca="1">IFERROR(__xludf.DUMMYFUNCTION("""COMPUTED_VALUE"""),56)</f>
        <v>56</v>
      </c>
      <c r="I346" s="4">
        <f ca="1">IFERROR(__xludf.DUMMYFUNCTION("""COMPUTED_VALUE"""),43176)</f>
        <v>43176</v>
      </c>
      <c r="J346">
        <f ca="1">IFERROR(__xludf.DUMMYFUNCTION("""COMPUTED_VALUE"""),3)</f>
        <v>3</v>
      </c>
      <c r="K346">
        <f ca="1">IFERROR(__xludf.DUMMYFUNCTION("""COMPUTED_VALUE"""),116655230010659)</f>
        <v>116655230010659</v>
      </c>
      <c r="L346" t="str">
        <f ca="1">IFERROR(__xludf.DUMMYFUNCTION("""COMPUTED_VALUE"""),"THATTARAMBALAM")</f>
        <v>THATTARAMBALAM</v>
      </c>
      <c r="M346" t="str">
        <f ca="1">IFERROR(__xludf.DUMMYFUNCTION("""COMPUTED_VALUE"""),"I Accept")</f>
        <v>I Accept</v>
      </c>
      <c r="N346" s="4">
        <f ca="1">IFERROR(__xludf.DUMMYFUNCTION("""COMPUTED_VALUE"""),43209)</f>
        <v>43209</v>
      </c>
      <c r="O346" s="4">
        <f ca="1">IFERROR(__xludf.DUMMYFUNCTION("""COMPUTED_VALUE"""),43209)</f>
        <v>43209</v>
      </c>
      <c r="P346">
        <f ca="1">IFERROR(__xludf.DUMMYFUNCTION("""COMPUTED_VALUE"""),3)</f>
        <v>3</v>
      </c>
      <c r="Q346" t="str">
        <f ca="1">IFERROR(__xludf.DUMMYFUNCTION("""COMPUTED_VALUE"""),"nathanrr2009@gmail.com")</f>
        <v>nathanrr2009@gmail.com</v>
      </c>
      <c r="R346" s="2" t="s">
        <v>2760</v>
      </c>
    </row>
    <row r="347" spans="1:18" ht="13" x14ac:dyDescent="0.15">
      <c r="A347" s="3">
        <f ca="1">IFERROR(__xludf.DUMMYFUNCTION("""COMPUTED_VALUE"""),43195.3747265625)</f>
        <v>43195.374726562499</v>
      </c>
      <c r="B347" t="str">
        <f ca="1">IFERROR(__xludf.DUMMYFUNCTION("""COMPUTED_VALUE"""),"barker_nb@yahoo.com")</f>
        <v>barker_nb@yahoo.com</v>
      </c>
      <c r="C347">
        <f ca="1">IFERROR(__xludf.DUMMYFUNCTION("""COMPUTED_VALUE"""),376)</f>
        <v>376</v>
      </c>
      <c r="D347" t="str">
        <f ca="1">IFERROR(__xludf.DUMMYFUNCTION("""COMPUTED_VALUE"""),"BARKER BHASKARAN ")</f>
        <v xml:space="preserve">BARKER BHASKARAN </v>
      </c>
      <c r="E347">
        <f ca="1">IFERROR(__xludf.DUMMYFUNCTION("""COMPUTED_VALUE"""),9497542179)</f>
        <v>9497542179</v>
      </c>
      <c r="F347" t="str">
        <f ca="1">IFERROR(__xludf.DUMMYFUNCTION("""COMPUTED_VALUE"""),"Thiruvananthapuram")</f>
        <v>Thiruvananthapuram</v>
      </c>
      <c r="G347" t="str">
        <f ca="1">IFERROR(__xludf.DUMMYFUNCTION("""COMPUTED_VALUE"""),"TECHNOGUARD INDUSTRIES")</f>
        <v>TECHNOGUARD INDUSTRIES</v>
      </c>
      <c r="H347">
        <f ca="1">IFERROR(__xludf.DUMMYFUNCTION("""COMPUTED_VALUE"""),56)</f>
        <v>56</v>
      </c>
      <c r="I347" s="4">
        <f ca="1">IFERROR(__xludf.DUMMYFUNCTION("""COMPUTED_VALUE"""),43192)</f>
        <v>43192</v>
      </c>
      <c r="J347">
        <f ca="1">IFERROR(__xludf.DUMMYFUNCTION("""COMPUTED_VALUE"""),5)</f>
        <v>5</v>
      </c>
      <c r="K347">
        <f ca="1">IFERROR(__xludf.DUMMYFUNCTION("""COMPUTED_VALUE"""),1145024017378)</f>
        <v>1145024017378</v>
      </c>
      <c r="L347" t="str">
        <f ca="1">IFERROR(__xludf.DUMMYFUNCTION("""COMPUTED_VALUE"""),"THIRUVALLAM")</f>
        <v>THIRUVALLAM</v>
      </c>
      <c r="M347" t="str">
        <f ca="1">IFERROR(__xludf.DUMMYFUNCTION("""COMPUTED_VALUE"""),"I Accept")</f>
        <v>I Accept</v>
      </c>
      <c r="N347" s="4">
        <f ca="1">IFERROR(__xludf.DUMMYFUNCTION("""COMPUTED_VALUE"""),43168)</f>
        <v>43168</v>
      </c>
      <c r="O347" s="4">
        <f ca="1">IFERROR(__xludf.DUMMYFUNCTION("""COMPUTED_VALUE"""),43168)</f>
        <v>43168</v>
      </c>
      <c r="P347">
        <f ca="1">IFERROR(__xludf.DUMMYFUNCTION("""COMPUTED_VALUE"""),5)</f>
        <v>5</v>
      </c>
      <c r="Q347" t="str">
        <f ca="1">IFERROR(__xludf.DUMMYFUNCTION("""COMPUTED_VALUE"""),"barker_nb@yahoo.com")</f>
        <v>barker_nb@yahoo.com</v>
      </c>
      <c r="R347" s="2" t="s">
        <v>2761</v>
      </c>
    </row>
    <row r="348" spans="1:18" ht="13" x14ac:dyDescent="0.15">
      <c r="A348" s="3">
        <f ca="1">IFERROR(__xludf.DUMMYFUNCTION("""COMPUTED_VALUE"""),43195.3774026273)</f>
        <v>43195.377402627302</v>
      </c>
      <c r="B348" t="str">
        <f ca="1">IFERROR(__xludf.DUMMYFUNCTION("""COMPUTED_VALUE"""),"nathanrr2009@gmail.com")</f>
        <v>nathanrr2009@gmail.com</v>
      </c>
      <c r="C348">
        <f ca="1">IFERROR(__xludf.DUMMYFUNCTION("""COMPUTED_VALUE"""),707)</f>
        <v>707</v>
      </c>
      <c r="D348" t="str">
        <f ca="1">IFERROR(__xludf.DUMMYFUNCTION("""COMPUTED_VALUE"""),"valsala raju")</f>
        <v>valsala raju</v>
      </c>
      <c r="E348">
        <f ca="1">IFERROR(__xludf.DUMMYFUNCTION("""COMPUTED_VALUE"""),9645078974)</f>
        <v>9645078974</v>
      </c>
      <c r="F348" t="str">
        <f ca="1">IFERROR(__xludf.DUMMYFUNCTION("""COMPUTED_VALUE"""),"Ernakulam")</f>
        <v>Ernakulam</v>
      </c>
      <c r="G348" t="str">
        <f ca="1">IFERROR(__xludf.DUMMYFUNCTION("""COMPUTED_VALUE"""),"TECHNOGUARD INDUSTRIES")</f>
        <v>TECHNOGUARD INDUSTRIES</v>
      </c>
      <c r="H348">
        <f ca="1">IFERROR(__xludf.DUMMYFUNCTION("""COMPUTED_VALUE"""),56)</f>
        <v>56</v>
      </c>
      <c r="I348" s="4">
        <f ca="1">IFERROR(__xludf.DUMMYFUNCTION("""COMPUTED_VALUE"""),43188)</f>
        <v>43188</v>
      </c>
      <c r="J348">
        <f ca="1">IFERROR(__xludf.DUMMYFUNCTION("""COMPUTED_VALUE"""),3)</f>
        <v>3</v>
      </c>
      <c r="K348">
        <f ca="1">IFERROR(__xludf.DUMMYFUNCTION("""COMPUTED_VALUE"""),1155561009677)</f>
        <v>1155561009677</v>
      </c>
      <c r="L348" t="str">
        <f ca="1">IFERROR(__xludf.DUMMYFUNCTION("""COMPUTED_VALUE"""),"VYTTILA")</f>
        <v>VYTTILA</v>
      </c>
      <c r="M348" t="str">
        <f ca="1">IFERROR(__xludf.DUMMYFUNCTION("""COMPUTED_VALUE"""),"I Accept")</f>
        <v>I Accept</v>
      </c>
      <c r="N348" s="4">
        <f ca="1">IFERROR(__xludf.DUMMYFUNCTION("""COMPUTED_VALUE"""),43179)</f>
        <v>43179</v>
      </c>
      <c r="O348" s="4">
        <f ca="1">IFERROR(__xludf.DUMMYFUNCTION("""COMPUTED_VALUE"""),43179)</f>
        <v>43179</v>
      </c>
      <c r="P348">
        <f ca="1">IFERROR(__xludf.DUMMYFUNCTION("""COMPUTED_VALUE"""),3)</f>
        <v>3</v>
      </c>
      <c r="Q348" t="str">
        <f ca="1">IFERROR(__xludf.DUMMYFUNCTION("""COMPUTED_VALUE"""),"nathanrr2009@gmail.com")</f>
        <v>nathanrr2009@gmail.com</v>
      </c>
      <c r="R348" s="2" t="s">
        <v>2762</v>
      </c>
    </row>
    <row r="349" spans="1:18" ht="13" x14ac:dyDescent="0.15">
      <c r="A349" s="3">
        <f ca="1">IFERROR(__xludf.DUMMYFUNCTION("""COMPUTED_VALUE"""),43195.6122169791)</f>
        <v>43195.612216979098</v>
      </c>
      <c r="B349" t="str">
        <f ca="1">IFERROR(__xludf.DUMMYFUNCTION("""COMPUTED_VALUE"""),"s.s2354@gmail.com")</f>
        <v>s.s2354@gmail.com</v>
      </c>
      <c r="C349">
        <f ca="1">IFERROR(__xludf.DUMMYFUNCTION("""COMPUTED_VALUE"""),551)</f>
        <v>551</v>
      </c>
      <c r="D349" t="str">
        <f ca="1">IFERROR(__xludf.DUMMYFUNCTION("""COMPUTED_VALUE"""),"Girija K K")</f>
        <v>Girija K K</v>
      </c>
      <c r="E349">
        <f ca="1">IFERROR(__xludf.DUMMYFUNCTION("""COMPUTED_VALUE"""),9447132290)</f>
        <v>9447132290</v>
      </c>
      <c r="F349" t="str">
        <f ca="1">IFERROR(__xludf.DUMMYFUNCTION("""COMPUTED_VALUE"""),"Palakkad")</f>
        <v>Palakkad</v>
      </c>
      <c r="G349" t="str">
        <f ca="1">IFERROR(__xludf.DUMMYFUNCTION("""COMPUTED_VALUE"""),"Soura Natural Energy solutions India p ltd")</f>
        <v>Soura Natural Energy solutions India p ltd</v>
      </c>
      <c r="H349">
        <f ca="1">IFERROR(__xludf.DUMMYFUNCTION("""COMPUTED_VALUE"""),11)</f>
        <v>11</v>
      </c>
      <c r="I349" s="4">
        <f ca="1">IFERROR(__xludf.DUMMYFUNCTION("""COMPUTED_VALUE"""),43195)</f>
        <v>43195</v>
      </c>
      <c r="J349">
        <f ca="1">IFERROR(__xludf.DUMMYFUNCTION("""COMPUTED_VALUE"""),3)</f>
        <v>3</v>
      </c>
      <c r="K349">
        <f ca="1">IFERROR(__xludf.DUMMYFUNCTION("""COMPUTED_VALUE"""),1165173001012)</f>
        <v>1165173001012</v>
      </c>
      <c r="L349" t="str">
        <f ca="1">IFERROR(__xludf.DUMMYFUNCTION("""COMPUTED_VALUE"""),"sulthanpet")</f>
        <v>sulthanpet</v>
      </c>
      <c r="M349" t="str">
        <f ca="1">IFERROR(__xludf.DUMMYFUNCTION("""COMPUTED_VALUE"""),"I Accept")</f>
        <v>I Accept</v>
      </c>
      <c r="N349" s="4">
        <f ca="1">IFERROR(__xludf.DUMMYFUNCTION("""COMPUTED_VALUE"""),43195)</f>
        <v>43195</v>
      </c>
      <c r="O349" s="4">
        <f ca="1">IFERROR(__xludf.DUMMYFUNCTION("""COMPUTED_VALUE"""),43195)</f>
        <v>43195</v>
      </c>
      <c r="P349">
        <f ca="1">IFERROR(__xludf.DUMMYFUNCTION("""COMPUTED_VALUE"""),3)</f>
        <v>3</v>
      </c>
      <c r="Q349" t="str">
        <f ca="1">IFERROR(__xludf.DUMMYFUNCTION("""COMPUTED_VALUE"""),"s.s2354@gmail.com")</f>
        <v>s.s2354@gmail.com</v>
      </c>
      <c r="R349" s="2" t="s">
        <v>2763</v>
      </c>
    </row>
    <row r="350" spans="1:18" ht="13" x14ac:dyDescent="0.15">
      <c r="A350" s="3">
        <f ca="1">IFERROR(__xludf.DUMMYFUNCTION("""COMPUTED_VALUE"""),43195.6633068865)</f>
        <v>43195.663306886498</v>
      </c>
      <c r="B350" t="str">
        <f ca="1">IFERROR(__xludf.DUMMYFUNCTION("""COMPUTED_VALUE"""),"jose.dilip@gmail.com")</f>
        <v>jose.dilip@gmail.com</v>
      </c>
      <c r="C350">
        <f ca="1">IFERROR(__xludf.DUMMYFUNCTION("""COMPUTED_VALUE"""),671)</f>
        <v>671</v>
      </c>
      <c r="D350" t="str">
        <f ca="1">IFERROR(__xludf.DUMMYFUNCTION("""COMPUTED_VALUE"""),"PUNNATH USHA")</f>
        <v>PUNNATH USHA</v>
      </c>
      <c r="E350">
        <f ca="1">IFERROR(__xludf.DUMMYFUNCTION("""COMPUTED_VALUE"""),8137874406)</f>
        <v>8137874406</v>
      </c>
      <c r="F350" t="str">
        <f ca="1">IFERROR(__xludf.DUMMYFUNCTION("""COMPUTED_VALUE"""),"Kozhikode")</f>
        <v>Kozhikode</v>
      </c>
      <c r="G350" t="str">
        <f ca="1">IFERROR(__xludf.DUMMYFUNCTION("""COMPUTED_VALUE"""),"SOLGEN ENERGY PVT LTD")</f>
        <v>SOLGEN ENERGY PVT LTD</v>
      </c>
      <c r="H350">
        <f ca="1">IFERROR(__xludf.DUMMYFUNCTION("""COMPUTED_VALUE"""),42)</f>
        <v>42</v>
      </c>
      <c r="I350" s="4">
        <f ca="1">IFERROR(__xludf.DUMMYFUNCTION("""COMPUTED_VALUE"""),43195)</f>
        <v>43195</v>
      </c>
      <c r="J350">
        <f ca="1">IFERROR(__xludf.DUMMYFUNCTION("""COMPUTED_VALUE"""),2)</f>
        <v>2</v>
      </c>
      <c r="K350">
        <f ca="1">IFERROR(__xludf.DUMMYFUNCTION("""COMPUTED_VALUE"""),1166355006441)</f>
        <v>1166355006441</v>
      </c>
      <c r="L350" t="str">
        <f ca="1">IFERROR(__xludf.DUMMYFUNCTION("""COMPUTED_VALUE"""),"BEYPUR")</f>
        <v>BEYPUR</v>
      </c>
      <c r="M350" t="str">
        <f ca="1">IFERROR(__xludf.DUMMYFUNCTION("""COMPUTED_VALUE"""),"I Accept")</f>
        <v>I Accept</v>
      </c>
      <c r="N350" s="4">
        <f ca="1">IFERROR(__xludf.DUMMYFUNCTION("""COMPUTED_VALUE"""),43180)</f>
        <v>43180</v>
      </c>
      <c r="O350" s="4">
        <f ca="1">IFERROR(__xludf.DUMMYFUNCTION("""COMPUTED_VALUE"""),43180)</f>
        <v>43180</v>
      </c>
      <c r="P350">
        <f ca="1">IFERROR(__xludf.DUMMYFUNCTION("""COMPUTED_VALUE"""),2)</f>
        <v>2</v>
      </c>
      <c r="Q350" t="str">
        <f ca="1">IFERROR(__xludf.DUMMYFUNCTION("""COMPUTED_VALUE"""),"jose.dilip@gmail.com")</f>
        <v>jose.dilip@gmail.com</v>
      </c>
      <c r="R350" s="2" t="s">
        <v>2764</v>
      </c>
    </row>
    <row r="351" spans="1:18" ht="13" x14ac:dyDescent="0.15">
      <c r="A351" s="3">
        <f ca="1">IFERROR(__xludf.DUMMYFUNCTION("""COMPUTED_VALUE"""),43196.457689456)</f>
        <v>43196.457689456001</v>
      </c>
      <c r="B351" t="str">
        <f ca="1">IFERROR(__xludf.DUMMYFUNCTION("""COMPUTED_VALUE"""),"Joypeter67@hotmail.com")</f>
        <v>Joypeter67@hotmail.com</v>
      </c>
      <c r="C351">
        <f ca="1">IFERROR(__xludf.DUMMYFUNCTION("""COMPUTED_VALUE"""),279)</f>
        <v>279</v>
      </c>
      <c r="D351" t="str">
        <f ca="1">IFERROR(__xludf.DUMMYFUNCTION("""COMPUTED_VALUE"""),"Joy Peter")</f>
        <v>Joy Peter</v>
      </c>
      <c r="E351">
        <f ca="1">IFERROR(__xludf.DUMMYFUNCTION("""COMPUTED_VALUE"""),7021147935)</f>
        <v>7021147935</v>
      </c>
      <c r="F351" t="str">
        <f ca="1">IFERROR(__xludf.DUMMYFUNCTION("""COMPUTED_VALUE"""),"Kollam")</f>
        <v>Kollam</v>
      </c>
      <c r="G351" t="str">
        <f ca="1">IFERROR(__xludf.DUMMYFUNCTION("""COMPUTED_VALUE"""),"TATA Power Solar Systems Ltd")</f>
        <v>TATA Power Solar Systems Ltd</v>
      </c>
      <c r="H351">
        <f ca="1">IFERROR(__xludf.DUMMYFUNCTION("""COMPUTED_VALUE"""),20)</f>
        <v>20</v>
      </c>
      <c r="I351" s="4">
        <f ca="1">IFERROR(__xludf.DUMMYFUNCTION("""COMPUTED_VALUE"""),43165)</f>
        <v>43165</v>
      </c>
      <c r="J351">
        <f ca="1">IFERROR(__xludf.DUMMYFUNCTION("""COMPUTED_VALUE"""),5)</f>
        <v>5</v>
      </c>
      <c r="K351">
        <f ca="1">IFERROR(__xludf.DUMMYFUNCTION("""COMPUTED_VALUE"""),1145625010106)</f>
        <v>1145625010106</v>
      </c>
      <c r="L351" t="str">
        <f ca="1">IFERROR(__xludf.DUMMYFUNCTION("""COMPUTED_VALUE"""),"Thankasserry")</f>
        <v>Thankasserry</v>
      </c>
      <c r="M351" t="str">
        <f ca="1">IFERROR(__xludf.DUMMYFUNCTION("""COMPUTED_VALUE"""),"I Accept")</f>
        <v>I Accept</v>
      </c>
      <c r="N351" s="4">
        <f ca="1">IFERROR(__xludf.DUMMYFUNCTION("""COMPUTED_VALUE"""),43029)</f>
        <v>43029</v>
      </c>
      <c r="O351" s="4">
        <f ca="1">IFERROR(__xludf.DUMMYFUNCTION("""COMPUTED_VALUE"""),43029)</f>
        <v>43029</v>
      </c>
      <c r="P351">
        <f ca="1">IFERROR(__xludf.DUMMYFUNCTION("""COMPUTED_VALUE"""),5)</f>
        <v>5</v>
      </c>
      <c r="Q351" t="str">
        <f ca="1">IFERROR(__xludf.DUMMYFUNCTION("""COMPUTED_VALUE"""),"joypeter67@hotmail.com")</f>
        <v>joypeter67@hotmail.com</v>
      </c>
      <c r="R351" s="2" t="s">
        <v>2765</v>
      </c>
    </row>
    <row r="352" spans="1:18" ht="13" x14ac:dyDescent="0.15">
      <c r="A352" s="3">
        <f ca="1">IFERROR(__xludf.DUMMYFUNCTION("""COMPUTED_VALUE"""),43196.4958016898)</f>
        <v>43196.495801689802</v>
      </c>
      <c r="B352" t="str">
        <f ca="1">IFERROR(__xludf.DUMMYFUNCTION("""COMPUTED_VALUE"""),"suncitycustomercare@gmail.com")</f>
        <v>suncitycustomercare@gmail.com</v>
      </c>
      <c r="C352">
        <f ca="1">IFERROR(__xludf.DUMMYFUNCTION("""COMPUTED_VALUE"""),608)</f>
        <v>608</v>
      </c>
      <c r="D352" t="str">
        <f ca="1">IFERROR(__xludf.DUMMYFUNCTION("""COMPUTED_VALUE"""),"P.P. RAJAN")</f>
        <v>P.P. RAJAN</v>
      </c>
      <c r="E352">
        <f ca="1">IFERROR(__xludf.DUMMYFUNCTION("""COMPUTED_VALUE"""),9745459244)</f>
        <v>9745459244</v>
      </c>
      <c r="F352" t="str">
        <f ca="1">IFERROR(__xludf.DUMMYFUNCTION("""COMPUTED_VALUE"""),"Thrissur")</f>
        <v>Thrissur</v>
      </c>
      <c r="G352" t="str">
        <f ca="1">IFERROR(__xludf.DUMMYFUNCTION("""COMPUTED_VALUE"""),"TATA POWER SOLAR SYSTEMS LIMITED")</f>
        <v>TATA POWER SOLAR SYSTEMS LIMITED</v>
      </c>
      <c r="H352">
        <f ca="1">IFERROR(__xludf.DUMMYFUNCTION("""COMPUTED_VALUE"""),20)</f>
        <v>20</v>
      </c>
      <c r="I352" s="4">
        <f ca="1">IFERROR(__xludf.DUMMYFUNCTION("""COMPUTED_VALUE"""),43185)</f>
        <v>43185</v>
      </c>
      <c r="J352">
        <f ca="1">IFERROR(__xludf.DUMMYFUNCTION("""COMPUTED_VALUE"""),3)</f>
        <v>3</v>
      </c>
      <c r="K352">
        <f ca="1">IFERROR(__xludf.DUMMYFUNCTION("""COMPUTED_VALUE"""),1156775000745)</f>
        <v>1156775000745</v>
      </c>
      <c r="L352" t="str">
        <f ca="1">IFERROR(__xludf.DUMMYFUNCTION("""COMPUTED_VALUE"""),"NADATHARA")</f>
        <v>NADATHARA</v>
      </c>
      <c r="M352" t="str">
        <f ca="1">IFERROR(__xludf.DUMMYFUNCTION("""COMPUTED_VALUE"""),"I Accept")</f>
        <v>I Accept</v>
      </c>
      <c r="N352" s="4">
        <f ca="1">IFERROR(__xludf.DUMMYFUNCTION("""COMPUTED_VALUE"""),43190)</f>
        <v>43190</v>
      </c>
      <c r="O352" s="4">
        <f ca="1">IFERROR(__xludf.DUMMYFUNCTION("""COMPUTED_VALUE"""),43190)</f>
        <v>43190</v>
      </c>
      <c r="P352">
        <f ca="1">IFERROR(__xludf.DUMMYFUNCTION("""COMPUTED_VALUE"""),3)</f>
        <v>3</v>
      </c>
      <c r="Q352" t="str">
        <f ca="1">IFERROR(__xludf.DUMMYFUNCTION("""COMPUTED_VALUE"""),"suncitycustomercare@gmail.com")</f>
        <v>suncitycustomercare@gmail.com</v>
      </c>
      <c r="R352" s="2" t="s">
        <v>2766</v>
      </c>
    </row>
    <row r="353" spans="1:18" ht="13" x14ac:dyDescent="0.15">
      <c r="A353" s="3">
        <f ca="1">IFERROR(__xludf.DUMMYFUNCTION("""COMPUTED_VALUE"""),43196.5032027199)</f>
        <v>43196.503202719898</v>
      </c>
      <c r="B353" t="str">
        <f ca="1">IFERROR(__xludf.DUMMYFUNCTION("""COMPUTED_VALUE"""),"connectdsk@gmail.com")</f>
        <v>connectdsk@gmail.com</v>
      </c>
      <c r="C353">
        <f ca="1">IFERROR(__xludf.DUMMYFUNCTION("""COMPUTED_VALUE"""),595)</f>
        <v>595</v>
      </c>
      <c r="D353" t="str">
        <f ca="1">IFERROR(__xludf.DUMMYFUNCTION("""COMPUTED_VALUE"""),"C SULAIMAN")</f>
        <v>C SULAIMAN</v>
      </c>
      <c r="E353">
        <f ca="1">IFERROR(__xludf.DUMMYFUNCTION("""COMPUTED_VALUE"""),8547564126)</f>
        <v>8547564126</v>
      </c>
      <c r="F353" t="str">
        <f ca="1">IFERROR(__xludf.DUMMYFUNCTION("""COMPUTED_VALUE"""),"Kozhikode")</f>
        <v>Kozhikode</v>
      </c>
      <c r="G353" t="str">
        <f ca="1">IFERROR(__xludf.DUMMYFUNCTION("""COMPUTED_VALUE"""),"FERT")</f>
        <v>FERT</v>
      </c>
      <c r="H353">
        <f ca="1">IFERROR(__xludf.DUMMYFUNCTION("""COMPUTED_VALUE"""),27)</f>
        <v>27</v>
      </c>
      <c r="I353" s="4">
        <f ca="1">IFERROR(__xludf.DUMMYFUNCTION("""COMPUTED_VALUE"""),43182)</f>
        <v>43182</v>
      </c>
      <c r="J353">
        <f ca="1">IFERROR(__xludf.DUMMYFUNCTION("""COMPUTED_VALUE"""),3)</f>
        <v>3</v>
      </c>
      <c r="K353">
        <f ca="1">IFERROR(__xludf.DUMMYFUNCTION("""COMPUTED_VALUE"""),1165997000939)</f>
        <v>1165997000939</v>
      </c>
      <c r="L353" t="str">
        <f ca="1">IFERROR(__xludf.DUMMYFUNCTION("""COMPUTED_VALUE"""),"KAKKODI")</f>
        <v>KAKKODI</v>
      </c>
      <c r="M353" t="str">
        <f ca="1">IFERROR(__xludf.DUMMYFUNCTION("""COMPUTED_VALUE"""),"I Accept")</f>
        <v>I Accept</v>
      </c>
      <c r="N353" s="4">
        <f ca="1">IFERROR(__xludf.DUMMYFUNCTION("""COMPUTED_VALUE"""),43176)</f>
        <v>43176</v>
      </c>
      <c r="O353" s="4">
        <f ca="1">IFERROR(__xludf.DUMMYFUNCTION("""COMPUTED_VALUE"""),43176)</f>
        <v>43176</v>
      </c>
      <c r="P353">
        <f ca="1">IFERROR(__xludf.DUMMYFUNCTION("""COMPUTED_VALUE"""),3)</f>
        <v>3</v>
      </c>
      <c r="Q353" t="str">
        <f ca="1">IFERROR(__xludf.DUMMYFUNCTION("""COMPUTED_VALUE"""),"connectdsk@gmail.com")</f>
        <v>connectdsk@gmail.com</v>
      </c>
      <c r="R353" s="2" t="s">
        <v>2767</v>
      </c>
    </row>
    <row r="354" spans="1:18" ht="13" x14ac:dyDescent="0.15">
      <c r="A354" s="3">
        <f ca="1">IFERROR(__xludf.DUMMYFUNCTION("""COMPUTED_VALUE"""),43196.5082960532)</f>
        <v>43196.508296053202</v>
      </c>
      <c r="B354" t="str">
        <f ca="1">IFERROR(__xludf.DUMMYFUNCTION("""COMPUTED_VALUE"""),"connectdsk@gmail.com")</f>
        <v>connectdsk@gmail.com</v>
      </c>
      <c r="C354">
        <f ca="1">IFERROR(__xludf.DUMMYFUNCTION("""COMPUTED_VALUE"""),593)</f>
        <v>593</v>
      </c>
      <c r="D354" t="str">
        <f ca="1">IFERROR(__xludf.DUMMYFUNCTION("""COMPUTED_VALUE"""),"K M CHERIYAN")</f>
        <v>K M CHERIYAN</v>
      </c>
      <c r="E354">
        <f ca="1">IFERROR(__xludf.DUMMYFUNCTION("""COMPUTED_VALUE"""),8547564126)</f>
        <v>8547564126</v>
      </c>
      <c r="F354" t="str">
        <f ca="1">IFERROR(__xludf.DUMMYFUNCTION("""COMPUTED_VALUE"""),"Kozhikode")</f>
        <v>Kozhikode</v>
      </c>
      <c r="G354" t="str">
        <f ca="1">IFERROR(__xludf.DUMMYFUNCTION("""COMPUTED_VALUE"""),"FERT")</f>
        <v>FERT</v>
      </c>
      <c r="H354">
        <f ca="1">IFERROR(__xludf.DUMMYFUNCTION("""COMPUTED_VALUE"""),27)</f>
        <v>27</v>
      </c>
      <c r="I354" s="4">
        <f ca="1">IFERROR(__xludf.DUMMYFUNCTION("""COMPUTED_VALUE"""),43185)</f>
        <v>43185</v>
      </c>
      <c r="J354">
        <f ca="1">IFERROR(__xludf.DUMMYFUNCTION("""COMPUTED_VALUE"""),3)</f>
        <v>3</v>
      </c>
      <c r="K354">
        <f ca="1">IFERROR(__xludf.DUMMYFUNCTION("""COMPUTED_VALUE"""),1165980014774)</f>
        <v>1165980014774</v>
      </c>
      <c r="L354" t="str">
        <f ca="1">IFERROR(__xludf.DUMMYFUNCTION("""COMPUTED_VALUE"""),"KARAPARAMBU")</f>
        <v>KARAPARAMBU</v>
      </c>
      <c r="M354" t="str">
        <f ca="1">IFERROR(__xludf.DUMMYFUNCTION("""COMPUTED_VALUE"""),"I Accept")</f>
        <v>I Accept</v>
      </c>
      <c r="N354" s="4">
        <f ca="1">IFERROR(__xludf.DUMMYFUNCTION("""COMPUTED_VALUE"""),43167)</f>
        <v>43167</v>
      </c>
      <c r="O354" s="4">
        <f ca="1">IFERROR(__xludf.DUMMYFUNCTION("""COMPUTED_VALUE"""),43167)</f>
        <v>43167</v>
      </c>
      <c r="P354">
        <f ca="1">IFERROR(__xludf.DUMMYFUNCTION("""COMPUTED_VALUE"""),3)</f>
        <v>3</v>
      </c>
      <c r="Q354" t="str">
        <f ca="1">IFERROR(__xludf.DUMMYFUNCTION("""COMPUTED_VALUE"""),"connectdsk@gmail.com")</f>
        <v>connectdsk@gmail.com</v>
      </c>
      <c r="R354" s="2" t="s">
        <v>2768</v>
      </c>
    </row>
    <row r="355" spans="1:18" ht="13" x14ac:dyDescent="0.15">
      <c r="A355" s="3">
        <f ca="1">IFERROR(__xludf.DUMMYFUNCTION("""COMPUTED_VALUE"""),43196.5194677777)</f>
        <v>43196.519467777704</v>
      </c>
      <c r="B355" t="str">
        <f ca="1">IFERROR(__xludf.DUMMYFUNCTION("""COMPUTED_VALUE"""),"connectdsk@gmail.com")</f>
        <v>connectdsk@gmail.com</v>
      </c>
      <c r="C355">
        <f ca="1">IFERROR(__xludf.DUMMYFUNCTION("""COMPUTED_VALUE"""),437)</f>
        <v>437</v>
      </c>
      <c r="D355" t="str">
        <f ca="1">IFERROR(__xludf.DUMMYFUNCTION("""COMPUTED_VALUE"""),"JAYAKUMAR T S")</f>
        <v>JAYAKUMAR T S</v>
      </c>
      <c r="E355">
        <f ca="1">IFERROR(__xludf.DUMMYFUNCTION("""COMPUTED_VALUE"""),8547564126)</f>
        <v>8547564126</v>
      </c>
      <c r="F355" t="str">
        <f ca="1">IFERROR(__xludf.DUMMYFUNCTION("""COMPUTED_VALUE"""),"Thiruvananthapuram")</f>
        <v>Thiruvananthapuram</v>
      </c>
      <c r="G355" t="str">
        <f ca="1">IFERROR(__xludf.DUMMYFUNCTION("""COMPUTED_VALUE"""),"FERT")</f>
        <v>FERT</v>
      </c>
      <c r="H355">
        <f ca="1">IFERROR(__xludf.DUMMYFUNCTION("""COMPUTED_VALUE"""),27)</f>
        <v>27</v>
      </c>
      <c r="I355" s="4">
        <f ca="1">IFERROR(__xludf.DUMMYFUNCTION("""COMPUTED_VALUE"""),43165)</f>
        <v>43165</v>
      </c>
      <c r="J355">
        <f ca="1">IFERROR(__xludf.DUMMYFUNCTION("""COMPUTED_VALUE"""),3)</f>
        <v>3</v>
      </c>
      <c r="K355">
        <f ca="1">IFERROR(__xludf.DUMMYFUNCTION("""COMPUTED_VALUE"""),1145094031362)</f>
        <v>1145094031362</v>
      </c>
      <c r="L355" t="str">
        <f ca="1">IFERROR(__xludf.DUMMYFUNCTION("""COMPUTED_VALUE"""),"VATTIYOORKAVU")</f>
        <v>VATTIYOORKAVU</v>
      </c>
      <c r="M355" t="str">
        <f ca="1">IFERROR(__xludf.DUMMYFUNCTION("""COMPUTED_VALUE"""),"I Accept")</f>
        <v>I Accept</v>
      </c>
      <c r="N355" s="4">
        <f ca="1">IFERROR(__xludf.DUMMYFUNCTION("""COMPUTED_VALUE"""),43194)</f>
        <v>43194</v>
      </c>
      <c r="O355" s="4">
        <f ca="1">IFERROR(__xludf.DUMMYFUNCTION("""COMPUTED_VALUE"""),43194)</f>
        <v>43194</v>
      </c>
      <c r="P355">
        <f ca="1">IFERROR(__xludf.DUMMYFUNCTION("""COMPUTED_VALUE"""),3)</f>
        <v>3</v>
      </c>
      <c r="Q355" t="str">
        <f ca="1">IFERROR(__xludf.DUMMYFUNCTION("""COMPUTED_VALUE"""),"connectdsk@gmail.com")</f>
        <v>connectdsk@gmail.com</v>
      </c>
      <c r="R355" s="2" t="s">
        <v>2769</v>
      </c>
    </row>
    <row r="356" spans="1:18" ht="13" x14ac:dyDescent="0.15">
      <c r="A356" s="3">
        <f ca="1">IFERROR(__xludf.DUMMYFUNCTION("""COMPUTED_VALUE"""),43196.5444124074)</f>
        <v>43196.544412407398</v>
      </c>
      <c r="B356" t="str">
        <f ca="1">IFERROR(__xludf.DUMMYFUNCTION("""COMPUTED_VALUE"""),"suncitycustomercare@gmail.com")</f>
        <v>suncitycustomercare@gmail.com</v>
      </c>
      <c r="C356">
        <f ca="1">IFERROR(__xludf.DUMMYFUNCTION("""COMPUTED_VALUE"""),732)</f>
        <v>732</v>
      </c>
      <c r="D356" t="str">
        <f ca="1">IFERROR(__xludf.DUMMYFUNCTION("""COMPUTED_VALUE"""),"JUDY JOSE")</f>
        <v>JUDY JOSE</v>
      </c>
      <c r="E356">
        <f ca="1">IFERROR(__xludf.DUMMYFUNCTION("""COMPUTED_VALUE"""),8129658207)</f>
        <v>8129658207</v>
      </c>
      <c r="F356" t="str">
        <f ca="1">IFERROR(__xludf.DUMMYFUNCTION("""COMPUTED_VALUE"""),"Thrissur")</f>
        <v>Thrissur</v>
      </c>
      <c r="G356" t="str">
        <f ca="1">IFERROR(__xludf.DUMMYFUNCTION("""COMPUTED_VALUE"""),"TATA POWER SOLAR SYSTEMS LIMITED")</f>
        <v>TATA POWER SOLAR SYSTEMS LIMITED</v>
      </c>
      <c r="H356">
        <f ca="1">IFERROR(__xludf.DUMMYFUNCTION("""COMPUTED_VALUE"""),20)</f>
        <v>20</v>
      </c>
      <c r="I356" s="4">
        <f ca="1">IFERROR(__xludf.DUMMYFUNCTION("""COMPUTED_VALUE"""),43194)</f>
        <v>43194</v>
      </c>
      <c r="J356">
        <f ca="1">IFERROR(__xludf.DUMMYFUNCTION("""COMPUTED_VALUE"""),3)</f>
        <v>3</v>
      </c>
      <c r="K356">
        <f ca="1">IFERROR(__xludf.DUMMYFUNCTION("""COMPUTED_VALUE"""),11566900005104)</f>
        <v>11566900005104</v>
      </c>
      <c r="L356" t="str">
        <f ca="1">IFERROR(__xludf.DUMMYFUNCTION("""COMPUTED_VALUE"""),"KOORKANCHERY")</f>
        <v>KOORKANCHERY</v>
      </c>
      <c r="M356" t="str">
        <f ca="1">IFERROR(__xludf.DUMMYFUNCTION("""COMPUTED_VALUE"""),"I Accept")</f>
        <v>I Accept</v>
      </c>
      <c r="N356" s="4">
        <f ca="1">IFERROR(__xludf.DUMMYFUNCTION("""COMPUTED_VALUE"""),43195)</f>
        <v>43195</v>
      </c>
      <c r="O356" s="4">
        <f ca="1">IFERROR(__xludf.DUMMYFUNCTION("""COMPUTED_VALUE"""),43195)</f>
        <v>43195</v>
      </c>
      <c r="P356">
        <f ca="1">IFERROR(__xludf.DUMMYFUNCTION("""COMPUTED_VALUE"""),3)</f>
        <v>3</v>
      </c>
      <c r="Q356" t="str">
        <f ca="1">IFERROR(__xludf.DUMMYFUNCTION("""COMPUTED_VALUE"""),"suncitycustomercare@gmail.com")</f>
        <v>suncitycustomercare@gmail.com</v>
      </c>
      <c r="R356" s="2" t="s">
        <v>2770</v>
      </c>
    </row>
    <row r="357" spans="1:18" ht="13" x14ac:dyDescent="0.15">
      <c r="A357" s="3">
        <f ca="1">IFERROR(__xludf.DUMMYFUNCTION("""COMPUTED_VALUE"""),43196.5521724884)</f>
        <v>43196.552172488402</v>
      </c>
      <c r="B357" t="str">
        <f ca="1">IFERROR(__xludf.DUMMYFUNCTION("""COMPUTED_VALUE"""),"connectdsk@gmail.com")</f>
        <v>connectdsk@gmail.com</v>
      </c>
      <c r="C357">
        <f ca="1">IFERROR(__xludf.DUMMYFUNCTION("""COMPUTED_VALUE"""),669)</f>
        <v>669</v>
      </c>
      <c r="D357" t="str">
        <f ca="1">IFERROR(__xludf.DUMMYFUNCTION("""COMPUTED_VALUE"""),"COLONEL ABRAHAM HABBI")</f>
        <v>COLONEL ABRAHAM HABBI</v>
      </c>
      <c r="E357">
        <f ca="1">IFERROR(__xludf.DUMMYFUNCTION("""COMPUTED_VALUE"""),8547564126)</f>
        <v>8547564126</v>
      </c>
      <c r="F357" t="str">
        <f ca="1">IFERROR(__xludf.DUMMYFUNCTION("""COMPUTED_VALUE"""),"Kollam")</f>
        <v>Kollam</v>
      </c>
      <c r="G357" t="str">
        <f ca="1">IFERROR(__xludf.DUMMYFUNCTION("""COMPUTED_VALUE"""),"FERT")</f>
        <v>FERT</v>
      </c>
      <c r="H357">
        <f ca="1">IFERROR(__xludf.DUMMYFUNCTION("""COMPUTED_VALUE"""),27)</f>
        <v>27</v>
      </c>
      <c r="I357" s="4">
        <f ca="1">IFERROR(__xludf.DUMMYFUNCTION("""COMPUTED_VALUE"""),43186)</f>
        <v>43186</v>
      </c>
      <c r="J357">
        <f ca="1">IFERROR(__xludf.DUMMYFUNCTION("""COMPUTED_VALUE"""),3)</f>
        <v>3</v>
      </c>
      <c r="K357">
        <f ca="1">IFERROR(__xludf.DUMMYFUNCTION("""COMPUTED_VALUE"""),1145671020886)</f>
        <v>1145671020886</v>
      </c>
      <c r="L357" t="str">
        <f ca="1">IFERROR(__xludf.DUMMYFUNCTION("""COMPUTED_VALUE"""),"OACHIRA")</f>
        <v>OACHIRA</v>
      </c>
      <c r="M357" t="str">
        <f ca="1">IFERROR(__xludf.DUMMYFUNCTION("""COMPUTED_VALUE"""),"I Accept")</f>
        <v>I Accept</v>
      </c>
      <c r="N357" s="4">
        <f ca="1">IFERROR(__xludf.DUMMYFUNCTION("""COMPUTED_VALUE"""),43186)</f>
        <v>43186</v>
      </c>
      <c r="O357" s="4">
        <f ca="1">IFERROR(__xludf.DUMMYFUNCTION("""COMPUTED_VALUE"""),43186)</f>
        <v>43186</v>
      </c>
      <c r="P357">
        <f ca="1">IFERROR(__xludf.DUMMYFUNCTION("""COMPUTED_VALUE"""),3)</f>
        <v>3</v>
      </c>
      <c r="Q357" t="str">
        <f ca="1">IFERROR(__xludf.DUMMYFUNCTION("""COMPUTED_VALUE"""),"connectdsk@gmail.com")</f>
        <v>connectdsk@gmail.com</v>
      </c>
      <c r="R357" s="2" t="s">
        <v>2771</v>
      </c>
    </row>
    <row r="358" spans="1:18" ht="13" x14ac:dyDescent="0.15">
      <c r="A358" s="3">
        <f ca="1">IFERROR(__xludf.DUMMYFUNCTION("""COMPUTED_VALUE"""),43196.5517116666)</f>
        <v>43196.551711666601</v>
      </c>
      <c r="B358" t="str">
        <f ca="1">IFERROR(__xludf.DUMMYFUNCTION("""COMPUTED_VALUE"""),"connectdsk@gmail.com")</f>
        <v>connectdsk@gmail.com</v>
      </c>
      <c r="C358">
        <f ca="1">IFERROR(__xludf.DUMMYFUNCTION("""COMPUTED_VALUE"""),425)</f>
        <v>425</v>
      </c>
      <c r="D358" t="str">
        <f ca="1">IFERROR(__xludf.DUMMYFUNCTION("""COMPUTED_VALUE"""),"JAYASREE K R")</f>
        <v>JAYASREE K R</v>
      </c>
      <c r="E358">
        <f ca="1">IFERROR(__xludf.DUMMYFUNCTION("""COMPUTED_VALUE"""),8547564126)</f>
        <v>8547564126</v>
      </c>
      <c r="F358" t="str">
        <f ca="1">IFERROR(__xludf.DUMMYFUNCTION("""COMPUTED_VALUE"""),"Kollam")</f>
        <v>Kollam</v>
      </c>
      <c r="G358" t="str">
        <f ca="1">IFERROR(__xludf.DUMMYFUNCTION("""COMPUTED_VALUE"""),"FERT")</f>
        <v>FERT</v>
      </c>
      <c r="H358">
        <f ca="1">IFERROR(__xludf.DUMMYFUNCTION("""COMPUTED_VALUE"""),27)</f>
        <v>27</v>
      </c>
      <c r="I358" s="4">
        <f ca="1">IFERROR(__xludf.DUMMYFUNCTION("""COMPUTED_VALUE"""),43182)</f>
        <v>43182</v>
      </c>
      <c r="J358">
        <f ca="1">IFERROR(__xludf.DUMMYFUNCTION("""COMPUTED_VALUE"""),3)</f>
        <v>3</v>
      </c>
      <c r="K358">
        <f ca="1">IFERROR(__xludf.DUMMYFUNCTION("""COMPUTED_VALUE"""),1145743000007)</f>
        <v>1145743000007</v>
      </c>
      <c r="L358" t="str">
        <f ca="1">IFERROR(__xludf.DUMMYFUNCTION("""COMPUTED_VALUE"""),"SOORANADU")</f>
        <v>SOORANADU</v>
      </c>
      <c r="M358" t="str">
        <f ca="1">IFERROR(__xludf.DUMMYFUNCTION("""COMPUTED_VALUE"""),"I Accept")</f>
        <v>I Accept</v>
      </c>
      <c r="N358" s="4">
        <f ca="1">IFERROR(__xludf.DUMMYFUNCTION("""COMPUTED_VALUE"""),43185)</f>
        <v>43185</v>
      </c>
      <c r="O358" s="4">
        <f ca="1">IFERROR(__xludf.DUMMYFUNCTION("""COMPUTED_VALUE"""),43185)</f>
        <v>43185</v>
      </c>
      <c r="P358">
        <f ca="1">IFERROR(__xludf.DUMMYFUNCTION("""COMPUTED_VALUE"""),3)</f>
        <v>3</v>
      </c>
      <c r="Q358" t="str">
        <f ca="1">IFERROR(__xludf.DUMMYFUNCTION("""COMPUTED_VALUE"""),"connectdsk@gmail.com")</f>
        <v>connectdsk@gmail.com</v>
      </c>
      <c r="R358" s="2" t="s">
        <v>2772</v>
      </c>
    </row>
    <row r="359" spans="1:18" ht="13" x14ac:dyDescent="0.15">
      <c r="A359" s="3">
        <f ca="1">IFERROR(__xludf.DUMMYFUNCTION("""COMPUTED_VALUE"""),43196.6367301967)</f>
        <v>43196.636730196697</v>
      </c>
      <c r="B359" t="str">
        <f ca="1">IFERROR(__xludf.DUMMYFUNCTION("""COMPUTED_VALUE"""),"connectdsk@gmail.com")</f>
        <v>connectdsk@gmail.com</v>
      </c>
      <c r="C359">
        <f ca="1">IFERROR(__xludf.DUMMYFUNCTION("""COMPUTED_VALUE"""),315)</f>
        <v>315</v>
      </c>
      <c r="D359" t="str">
        <f ca="1">IFERROR(__xludf.DUMMYFUNCTION("""COMPUTED_VALUE"""),"SANDHYA RADHAKRISHNAN")</f>
        <v>SANDHYA RADHAKRISHNAN</v>
      </c>
      <c r="E359">
        <f ca="1">IFERROR(__xludf.DUMMYFUNCTION("""COMPUTED_VALUE"""),8547564126)</f>
        <v>8547564126</v>
      </c>
      <c r="F359" t="str">
        <f ca="1">IFERROR(__xludf.DUMMYFUNCTION("""COMPUTED_VALUE"""),"Kollam")</f>
        <v>Kollam</v>
      </c>
      <c r="G359" t="str">
        <f ca="1">IFERROR(__xludf.DUMMYFUNCTION("""COMPUTED_VALUE"""),"FERT")</f>
        <v>FERT</v>
      </c>
      <c r="H359">
        <f ca="1">IFERROR(__xludf.DUMMYFUNCTION("""COMPUTED_VALUE"""),27)</f>
        <v>27</v>
      </c>
      <c r="I359" s="4">
        <f ca="1">IFERROR(__xludf.DUMMYFUNCTION("""COMPUTED_VALUE"""),43194)</f>
        <v>43194</v>
      </c>
      <c r="J359">
        <f ca="1">IFERROR(__xludf.DUMMYFUNCTION("""COMPUTED_VALUE"""),3)</f>
        <v>3</v>
      </c>
      <c r="K359">
        <f ca="1">IFERROR(__xludf.DUMMYFUNCTION("""COMPUTED_VALUE"""),1145648015508)</f>
        <v>1145648015508</v>
      </c>
      <c r="L359" t="str">
        <f ca="1">IFERROR(__xludf.DUMMYFUNCTION("""COMPUTED_VALUE"""),"KILIKOLLOOR")</f>
        <v>KILIKOLLOOR</v>
      </c>
      <c r="M359" t="str">
        <f ca="1">IFERROR(__xludf.DUMMYFUNCTION("""COMPUTED_VALUE"""),"I Accept")</f>
        <v>I Accept</v>
      </c>
      <c r="N359" s="4">
        <f ca="1">IFERROR(__xludf.DUMMYFUNCTION("""COMPUTED_VALUE"""),43174)</f>
        <v>43174</v>
      </c>
      <c r="O359" s="4">
        <f ca="1">IFERROR(__xludf.DUMMYFUNCTION("""COMPUTED_VALUE"""),43174)</f>
        <v>43174</v>
      </c>
      <c r="P359">
        <f ca="1">IFERROR(__xludf.DUMMYFUNCTION("""COMPUTED_VALUE"""),3)</f>
        <v>3</v>
      </c>
      <c r="Q359" t="str">
        <f ca="1">IFERROR(__xludf.DUMMYFUNCTION("""COMPUTED_VALUE"""),"connectdsk@gmail.com")</f>
        <v>connectdsk@gmail.com</v>
      </c>
      <c r="R359" s="2" t="s">
        <v>2773</v>
      </c>
    </row>
    <row r="360" spans="1:18" ht="13" x14ac:dyDescent="0.15">
      <c r="A360" s="3">
        <f ca="1">IFERROR(__xludf.DUMMYFUNCTION("""COMPUTED_VALUE"""),43196.6604445949)</f>
        <v>43196.660444594898</v>
      </c>
      <c r="B360" t="str">
        <f ca="1">IFERROR(__xludf.DUMMYFUNCTION("""COMPUTED_VALUE"""),"pvyohannan75@gmail.com")</f>
        <v>pvyohannan75@gmail.com</v>
      </c>
      <c r="C360">
        <f ca="1">IFERROR(__xludf.DUMMYFUNCTION("""COMPUTED_VALUE"""),714)</f>
        <v>714</v>
      </c>
      <c r="D360" t="str">
        <f ca="1">IFERROR(__xludf.DUMMYFUNCTION("""COMPUTED_VALUE"""),"P V Yohannan")</f>
        <v>P V Yohannan</v>
      </c>
      <c r="E360">
        <f ca="1">IFERROR(__xludf.DUMMYFUNCTION("""COMPUTED_VALUE"""),9562233099)</f>
        <v>9562233099</v>
      </c>
      <c r="F360" t="str">
        <f ca="1">IFERROR(__xludf.DUMMYFUNCTION("""COMPUTED_VALUE"""),"Ernakulam")</f>
        <v>Ernakulam</v>
      </c>
      <c r="G360" t="str">
        <f ca="1">IFERROR(__xludf.DUMMYFUNCTION("""COMPUTED_VALUE"""),"Reecco Energy India Pvt. Ltd")</f>
        <v>Reecco Energy India Pvt. Ltd</v>
      </c>
      <c r="H360">
        <f ca="1">IFERROR(__xludf.DUMMYFUNCTION("""COMPUTED_VALUE"""),47)</f>
        <v>47</v>
      </c>
      <c r="I360" s="4">
        <f ca="1">IFERROR(__xludf.DUMMYFUNCTION("""COMPUTED_VALUE"""),43196)</f>
        <v>43196</v>
      </c>
      <c r="J360">
        <f ca="1">IFERROR(__xludf.DUMMYFUNCTION("""COMPUTED_VALUE"""),3)</f>
        <v>3</v>
      </c>
      <c r="K360">
        <f ca="1">IFERROR(__xludf.DUMMYFUNCTION("""COMPUTED_VALUE"""),1155554020738)</f>
        <v>1155554020738</v>
      </c>
      <c r="L360" t="str">
        <f ca="1">IFERROR(__xludf.DUMMYFUNCTION("""COMPUTED_VALUE"""),"Puthencruz")</f>
        <v>Puthencruz</v>
      </c>
      <c r="M360" t="str">
        <f ca="1">IFERROR(__xludf.DUMMYFUNCTION("""COMPUTED_VALUE"""),"I Accept")</f>
        <v>I Accept</v>
      </c>
      <c r="N360" s="4">
        <f ca="1">IFERROR(__xludf.DUMMYFUNCTION("""COMPUTED_VALUE"""),43186)</f>
        <v>43186</v>
      </c>
      <c r="O360" s="4">
        <f ca="1">IFERROR(__xludf.DUMMYFUNCTION("""COMPUTED_VALUE"""),43186)</f>
        <v>43186</v>
      </c>
      <c r="P360">
        <f ca="1">IFERROR(__xludf.DUMMYFUNCTION("""COMPUTED_VALUE"""),3)</f>
        <v>3</v>
      </c>
      <c r="Q360" t="str">
        <f ca="1">IFERROR(__xludf.DUMMYFUNCTION("""COMPUTED_VALUE"""),"pvyohannan75@gmail.com")</f>
        <v>pvyohannan75@gmail.com</v>
      </c>
      <c r="R360" s="2" t="s">
        <v>2774</v>
      </c>
    </row>
    <row r="361" spans="1:18" ht="13" x14ac:dyDescent="0.15">
      <c r="A361" s="3">
        <f ca="1">IFERROR(__xludf.DUMMYFUNCTION("""COMPUTED_VALUE"""),43197.4209850694)</f>
        <v>43197.420985069402</v>
      </c>
      <c r="B361" t="str">
        <f ca="1">IFERROR(__xludf.DUMMYFUNCTION("""COMPUTED_VALUE"""),"premav3s@yahoo.com")</f>
        <v>premav3s@yahoo.com</v>
      </c>
      <c r="C361">
        <f ca="1">IFERROR(__xludf.DUMMYFUNCTION("""COMPUTED_VALUE"""),20)</f>
        <v>20</v>
      </c>
      <c r="D361" t="str">
        <f ca="1">IFERROR(__xludf.DUMMYFUNCTION("""COMPUTED_VALUE"""),"PREMALATHA VENUGOPALAN")</f>
        <v>PREMALATHA VENUGOPALAN</v>
      </c>
      <c r="E361">
        <f ca="1">IFERROR(__xludf.DUMMYFUNCTION("""COMPUTED_VALUE"""),9349605201)</f>
        <v>9349605201</v>
      </c>
      <c r="F361" t="str">
        <f ca="1">IFERROR(__xludf.DUMMYFUNCTION("""COMPUTED_VALUE"""),"Palakkad")</f>
        <v>Palakkad</v>
      </c>
      <c r="G361" t="str">
        <f ca="1">IFERROR(__xludf.DUMMYFUNCTION("""COMPUTED_VALUE"""),"TATA POWER SOLAR SYSTEM LTD")</f>
        <v>TATA POWER SOLAR SYSTEM LTD</v>
      </c>
      <c r="H361">
        <f ca="1">IFERROR(__xludf.DUMMYFUNCTION("""COMPUTED_VALUE"""),20)</f>
        <v>20</v>
      </c>
      <c r="I361" s="4">
        <f ca="1">IFERROR(__xludf.DUMMYFUNCTION("""COMPUTED_VALUE"""),43194)</f>
        <v>43194</v>
      </c>
      <c r="J361">
        <f ca="1">IFERROR(__xludf.DUMMYFUNCTION("""COMPUTED_VALUE"""),5)</f>
        <v>5</v>
      </c>
      <c r="K361">
        <f ca="1">IFERROR(__xludf.DUMMYFUNCTION("""COMPUTED_VALUE"""),1165299009540)</f>
        <v>1165299009540</v>
      </c>
      <c r="L361" t="str">
        <f ca="1">IFERROR(__xludf.DUMMYFUNCTION("""COMPUTED_VALUE"""),"MARUTHA ROAD")</f>
        <v>MARUTHA ROAD</v>
      </c>
      <c r="M361" t="str">
        <f ca="1">IFERROR(__xludf.DUMMYFUNCTION("""COMPUTED_VALUE"""),"I Accept")</f>
        <v>I Accept</v>
      </c>
      <c r="N361" s="4">
        <f ca="1">IFERROR(__xludf.DUMMYFUNCTION("""COMPUTED_VALUE"""),43179)</f>
        <v>43179</v>
      </c>
      <c r="O361" s="4">
        <f ca="1">IFERROR(__xludf.DUMMYFUNCTION("""COMPUTED_VALUE"""),43179)</f>
        <v>43179</v>
      </c>
      <c r="P361">
        <f ca="1">IFERROR(__xludf.DUMMYFUNCTION("""COMPUTED_VALUE"""),20)</f>
        <v>20</v>
      </c>
      <c r="Q361" t="str">
        <f ca="1">IFERROR(__xludf.DUMMYFUNCTION("""COMPUTED_VALUE"""),"premav3s@yahoo.com")</f>
        <v>premav3s@yahoo.com</v>
      </c>
      <c r="R361" s="2" t="s">
        <v>2775</v>
      </c>
    </row>
    <row r="362" spans="1:18" ht="13" x14ac:dyDescent="0.15">
      <c r="A362" s="3">
        <f ca="1">IFERROR(__xludf.DUMMYFUNCTION("""COMPUTED_VALUE"""),43197.4236201736)</f>
        <v>43197.423620173598</v>
      </c>
      <c r="B362" t="str">
        <f ca="1">IFERROR(__xludf.DUMMYFUNCTION("""COMPUTED_VALUE"""),"solarconnect2018@gmail.com")</f>
        <v>solarconnect2018@gmail.com</v>
      </c>
      <c r="C362">
        <f ca="1">IFERROR(__xludf.DUMMYFUNCTION("""COMPUTED_VALUE"""),498)</f>
        <v>498</v>
      </c>
      <c r="D362" t="str">
        <f ca="1">IFERROR(__xludf.DUMMYFUNCTION("""COMPUTED_VALUE"""),"MANAGER,JAMA-ATH H S S")</f>
        <v>MANAGER,JAMA-ATH H S S</v>
      </c>
      <c r="E362">
        <f ca="1">IFERROR(__xludf.DUMMYFUNCTION("""COMPUTED_VALUE"""),9447721504)</f>
        <v>9447721504</v>
      </c>
      <c r="F362" t="str">
        <f ca="1">IFERROR(__xludf.DUMMYFUNCTION("""COMPUTED_VALUE"""),"Ernakulam")</f>
        <v>Ernakulam</v>
      </c>
      <c r="G362" t="str">
        <f ca="1">IFERROR(__xludf.DUMMYFUNCTION("""COMPUTED_VALUE"""),"SPECTRUM TECHNO PRODUCTS")</f>
        <v>SPECTRUM TECHNO PRODUCTS</v>
      </c>
      <c r="H362">
        <f ca="1">IFERROR(__xludf.DUMMYFUNCTION("""COMPUTED_VALUE"""),66)</f>
        <v>66</v>
      </c>
      <c r="I362" s="4">
        <f ca="1">IFERROR(__xludf.DUMMYFUNCTION("""COMPUTED_VALUE"""),43201)</f>
        <v>43201</v>
      </c>
      <c r="J362">
        <f ca="1">IFERROR(__xludf.DUMMYFUNCTION("""COMPUTED_VALUE"""),20)</f>
        <v>20</v>
      </c>
      <c r="K362">
        <f ca="1">IFERROR(__xludf.DUMMYFUNCTION("""COMPUTED_VALUE"""),1155843023791)</f>
        <v>1155843023791</v>
      </c>
      <c r="L362" t="str">
        <f ca="1">IFERROR(__xludf.DUMMYFUNCTION("""COMPUTED_VALUE"""),"VAZHAKULAM")</f>
        <v>VAZHAKULAM</v>
      </c>
      <c r="M362" t="str">
        <f ca="1">IFERROR(__xludf.DUMMYFUNCTION("""COMPUTED_VALUE"""),"I Accept")</f>
        <v>I Accept</v>
      </c>
      <c r="N362" s="4">
        <f ca="1">IFERROR(__xludf.DUMMYFUNCTION("""COMPUTED_VALUE"""),43178)</f>
        <v>43178</v>
      </c>
      <c r="O362" s="4">
        <f ca="1">IFERROR(__xludf.DUMMYFUNCTION("""COMPUTED_VALUE"""),43178)</f>
        <v>43178</v>
      </c>
      <c r="P362">
        <f ca="1">IFERROR(__xludf.DUMMYFUNCTION("""COMPUTED_VALUE"""),20)</f>
        <v>20</v>
      </c>
      <c r="Q362" t="str">
        <f ca="1">IFERROR(__xludf.DUMMYFUNCTION("""COMPUTED_VALUE"""),"solarconnect2018@gmail.com")</f>
        <v>solarconnect2018@gmail.com</v>
      </c>
      <c r="R362" s="2" t="s">
        <v>2776</v>
      </c>
    </row>
    <row r="363" spans="1:18" ht="13" x14ac:dyDescent="0.15">
      <c r="A363" s="3">
        <f ca="1">IFERROR(__xludf.DUMMYFUNCTION("""COMPUTED_VALUE"""),43197.5143361342)</f>
        <v>43197.514336134198</v>
      </c>
      <c r="B363" t="str">
        <f ca="1">IFERROR(__xludf.DUMMYFUNCTION("""COMPUTED_VALUE"""),"solarconnect2018@gmail.com")</f>
        <v>solarconnect2018@gmail.com</v>
      </c>
      <c r="C363">
        <f ca="1">IFERROR(__xludf.DUMMYFUNCTION("""COMPUTED_VALUE"""),436)</f>
        <v>436</v>
      </c>
      <c r="D363" t="str">
        <f ca="1">IFERROR(__xludf.DUMMYFUNCTION("""COMPUTED_VALUE"""),"NAZARI A K")</f>
        <v>NAZARI A K</v>
      </c>
      <c r="E363">
        <f ca="1">IFERROR(__xludf.DUMMYFUNCTION("""COMPUTED_VALUE"""),4902362402)</f>
        <v>4902362402</v>
      </c>
      <c r="F363" t="str">
        <f ca="1">IFERROR(__xludf.DUMMYFUNCTION("""COMPUTED_VALUE"""),"Kannur")</f>
        <v>Kannur</v>
      </c>
      <c r="G363" t="str">
        <f ca="1">IFERROR(__xludf.DUMMYFUNCTION("""COMPUTED_VALUE"""),"SPECTRUM TECHNO PRODUCTS")</f>
        <v>SPECTRUM TECHNO PRODUCTS</v>
      </c>
      <c r="H363">
        <f ca="1">IFERROR(__xludf.DUMMYFUNCTION("""COMPUTED_VALUE"""),66)</f>
        <v>66</v>
      </c>
      <c r="I363" s="4">
        <f ca="1">IFERROR(__xludf.DUMMYFUNCTION("""COMPUTED_VALUE"""),43203)</f>
        <v>43203</v>
      </c>
      <c r="J363">
        <f ca="1">IFERROR(__xludf.DUMMYFUNCTION("""COMPUTED_VALUE"""),5)</f>
        <v>5</v>
      </c>
      <c r="K363">
        <f ca="1">IFERROR(__xludf.DUMMYFUNCTION("""COMPUTED_VALUE"""),1166802007857)</f>
        <v>1166802007857</v>
      </c>
      <c r="L363" t="str">
        <f ca="1">IFERROR(__xludf.DUMMYFUNCTION("""COMPUTED_VALUE"""),"KOOTHUPARAMBA")</f>
        <v>KOOTHUPARAMBA</v>
      </c>
      <c r="M363" t="str">
        <f ca="1">IFERROR(__xludf.DUMMYFUNCTION("""COMPUTED_VALUE"""),"I Accept")</f>
        <v>I Accept</v>
      </c>
      <c r="N363" s="4">
        <f ca="1">IFERROR(__xludf.DUMMYFUNCTION("""COMPUTED_VALUE"""),43173)</f>
        <v>43173</v>
      </c>
      <c r="O363" s="4">
        <f ca="1">IFERROR(__xludf.DUMMYFUNCTION("""COMPUTED_VALUE"""),43173)</f>
        <v>43173</v>
      </c>
      <c r="P363">
        <f ca="1">IFERROR(__xludf.DUMMYFUNCTION("""COMPUTED_VALUE"""),5)</f>
        <v>5</v>
      </c>
      <c r="Q363" t="str">
        <f ca="1">IFERROR(__xludf.DUMMYFUNCTION("""COMPUTED_VALUE"""),"solarconnect2018@gmail.com")</f>
        <v>solarconnect2018@gmail.com</v>
      </c>
      <c r="R363" s="2" t="s">
        <v>2777</v>
      </c>
    </row>
    <row r="364" spans="1:18" ht="13" x14ac:dyDescent="0.15">
      <c r="A364" s="3">
        <f ca="1">IFERROR(__xludf.DUMMYFUNCTION("""COMPUTED_VALUE"""),43197.5336201388)</f>
        <v>43197.533620138798</v>
      </c>
      <c r="B364" t="str">
        <f ca="1">IFERROR(__xludf.DUMMYFUNCTION("""COMPUTED_VALUE"""),"suncitycustomercare@gmail.com")</f>
        <v>suncitycustomercare@gmail.com</v>
      </c>
      <c r="C364">
        <f ca="1">IFERROR(__xludf.DUMMYFUNCTION("""COMPUTED_VALUE"""),610)</f>
        <v>610</v>
      </c>
      <c r="D364" t="str">
        <f ca="1">IFERROR(__xludf.DUMMYFUNCTION("""COMPUTED_VALUE"""),"JUSTIN J ALAPPAT")</f>
        <v>JUSTIN J ALAPPAT</v>
      </c>
      <c r="E364">
        <f ca="1">IFERROR(__xludf.DUMMYFUNCTION("""COMPUTED_VALUE"""),9497064064)</f>
        <v>9497064064</v>
      </c>
      <c r="F364" t="str">
        <f ca="1">IFERROR(__xludf.DUMMYFUNCTION("""COMPUTED_VALUE"""),"Thrissur")</f>
        <v>Thrissur</v>
      </c>
      <c r="G364" t="str">
        <f ca="1">IFERROR(__xludf.DUMMYFUNCTION("""COMPUTED_VALUE"""),"TATA POWER SOLAR SYSTEMS LIMITED")</f>
        <v>TATA POWER SOLAR SYSTEMS LIMITED</v>
      </c>
      <c r="H364">
        <f ca="1">IFERROR(__xludf.DUMMYFUNCTION("""COMPUTED_VALUE"""),20)</f>
        <v>20</v>
      </c>
      <c r="I364" s="4">
        <f ca="1">IFERROR(__xludf.DUMMYFUNCTION("""COMPUTED_VALUE"""),43197)</f>
        <v>43197</v>
      </c>
      <c r="J364">
        <f ca="1">IFERROR(__xludf.DUMMYFUNCTION("""COMPUTED_VALUE"""),3)</f>
        <v>3</v>
      </c>
      <c r="K364">
        <f ca="1">IFERROR(__xludf.DUMMYFUNCTION("""COMPUTED_VALUE"""),1156815012473)</f>
        <v>1156815012473</v>
      </c>
      <c r="L364" t="str">
        <f ca="1">IFERROR(__xludf.DUMMYFUNCTION("""COMPUTED_VALUE"""),"RAMAVARMAPURAM")</f>
        <v>RAMAVARMAPURAM</v>
      </c>
      <c r="M364" t="str">
        <f ca="1">IFERROR(__xludf.DUMMYFUNCTION("""COMPUTED_VALUE"""),"I Accept")</f>
        <v>I Accept</v>
      </c>
      <c r="N364" s="4">
        <f ca="1">IFERROR(__xludf.DUMMYFUNCTION("""COMPUTED_VALUE"""),43193)</f>
        <v>43193</v>
      </c>
      <c r="O364" s="4">
        <f ca="1">IFERROR(__xludf.DUMMYFUNCTION("""COMPUTED_VALUE"""),43193)</f>
        <v>43193</v>
      </c>
      <c r="P364">
        <f ca="1">IFERROR(__xludf.DUMMYFUNCTION("""COMPUTED_VALUE"""),3)</f>
        <v>3</v>
      </c>
      <c r="Q364" t="str">
        <f ca="1">IFERROR(__xludf.DUMMYFUNCTION("""COMPUTED_VALUE"""),"suncitycustomercare@gmail.com")</f>
        <v>suncitycustomercare@gmail.com</v>
      </c>
      <c r="R364" s="2" t="s">
        <v>2778</v>
      </c>
    </row>
    <row r="365" spans="1:18" ht="13" x14ac:dyDescent="0.15">
      <c r="A365" s="3">
        <f ca="1">IFERROR(__xludf.DUMMYFUNCTION("""COMPUTED_VALUE"""),43200.4519519444)</f>
        <v>43200.4519519444</v>
      </c>
      <c r="B365" t="str">
        <f ca="1">IFERROR(__xludf.DUMMYFUNCTION("""COMPUTED_VALUE"""),"silverwoodsekm@gmail.com")</f>
        <v>silverwoodsekm@gmail.com</v>
      </c>
      <c r="C365">
        <f ca="1">IFERROR(__xludf.DUMMYFUNCTION("""COMPUTED_VALUE"""),151)</f>
        <v>151</v>
      </c>
      <c r="D365" t="str">
        <f ca="1">IFERROR(__xludf.DUMMYFUNCTION("""COMPUTED_VALUE"""),"SOUMYA BINESH")</f>
        <v>SOUMYA BINESH</v>
      </c>
      <c r="E365">
        <f ca="1">IFERROR(__xludf.DUMMYFUNCTION("""COMPUTED_VALUE"""),9526997775)</f>
        <v>9526997775</v>
      </c>
      <c r="F365" t="str">
        <f ca="1">IFERROR(__xludf.DUMMYFUNCTION("""COMPUTED_VALUE"""),"Ernakulam")</f>
        <v>Ernakulam</v>
      </c>
      <c r="G365" t="str">
        <f ca="1">IFERROR(__xludf.DUMMYFUNCTION("""COMPUTED_VALUE"""),"TATA POWER SOLAR SYSTEMS LTD")</f>
        <v>TATA POWER SOLAR SYSTEMS LTD</v>
      </c>
      <c r="H365">
        <f ca="1">IFERROR(__xludf.DUMMYFUNCTION("""COMPUTED_VALUE"""),20)</f>
        <v>20</v>
      </c>
      <c r="I365" s="4">
        <f ca="1">IFERROR(__xludf.DUMMYFUNCTION("""COMPUTED_VALUE"""),43161)</f>
        <v>43161</v>
      </c>
      <c r="J365">
        <f ca="1">IFERROR(__xludf.DUMMYFUNCTION("""COMPUTED_VALUE"""),3)</f>
        <v>3</v>
      </c>
      <c r="K365">
        <f ca="1">IFERROR(__xludf.DUMMYFUNCTION("""COMPUTED_VALUE"""),1155515029599)</f>
        <v>1155515029599</v>
      </c>
      <c r="L365" t="str">
        <f ca="1">IFERROR(__xludf.DUMMYFUNCTION("""COMPUTED_VALUE"""),"CHOTTANIKKARA")</f>
        <v>CHOTTANIKKARA</v>
      </c>
      <c r="M365" t="str">
        <f ca="1">IFERROR(__xludf.DUMMYFUNCTION("""COMPUTED_VALUE"""),"I Accept")</f>
        <v>I Accept</v>
      </c>
      <c r="N365" s="4">
        <f ca="1">IFERROR(__xludf.DUMMYFUNCTION("""COMPUTED_VALUE"""),43174)</f>
        <v>43174</v>
      </c>
      <c r="O365" s="4">
        <f ca="1">IFERROR(__xludf.DUMMYFUNCTION("""COMPUTED_VALUE"""),43174)</f>
        <v>43174</v>
      </c>
      <c r="P365">
        <f ca="1">IFERROR(__xludf.DUMMYFUNCTION("""COMPUTED_VALUE"""),3)</f>
        <v>3</v>
      </c>
      <c r="Q365" t="str">
        <f ca="1">IFERROR(__xludf.DUMMYFUNCTION("""COMPUTED_VALUE"""),"silverwoodsekm@gmail.com")</f>
        <v>silverwoodsekm@gmail.com</v>
      </c>
      <c r="R365" s="2" t="s">
        <v>2779</v>
      </c>
    </row>
    <row r="366" spans="1:18" ht="13" x14ac:dyDescent="0.15">
      <c r="A366" s="3">
        <f ca="1">IFERROR(__xludf.DUMMYFUNCTION("""COMPUTED_VALUE"""),43200.5086258101)</f>
        <v>43200.5086258101</v>
      </c>
      <c r="B366" t="str">
        <f ca="1">IFERROR(__xludf.DUMMYFUNCTION("""COMPUTED_VALUE"""),"sales.bbassociates@gmail.com")</f>
        <v>sales.bbassociates@gmail.com</v>
      </c>
      <c r="C366">
        <f ca="1">IFERROR(__xludf.DUMMYFUNCTION("""COMPUTED_VALUE"""),570)</f>
        <v>570</v>
      </c>
      <c r="D366" t="str">
        <f ca="1">IFERROR(__xludf.DUMMYFUNCTION("""COMPUTED_VALUE"""),"Sanjay V H")</f>
        <v>Sanjay V H</v>
      </c>
      <c r="E366">
        <f ca="1">IFERROR(__xludf.DUMMYFUNCTION("""COMPUTED_VALUE"""),9846135595)</f>
        <v>9846135595</v>
      </c>
      <c r="F366" t="str">
        <f ca="1">IFERROR(__xludf.DUMMYFUNCTION("""COMPUTED_VALUE"""),"Thrissur")</f>
        <v>Thrissur</v>
      </c>
      <c r="G366" t="str">
        <f ca="1">IFERROR(__xludf.DUMMYFUNCTION("""COMPUTED_VALUE"""),"BOSCH LTD")</f>
        <v>BOSCH LTD</v>
      </c>
      <c r="H366">
        <f ca="1">IFERROR(__xludf.DUMMYFUNCTION("""COMPUTED_VALUE"""),18)</f>
        <v>18</v>
      </c>
      <c r="I366" s="4">
        <f ca="1">IFERROR(__xludf.DUMMYFUNCTION("""COMPUTED_VALUE"""),43179)</f>
        <v>43179</v>
      </c>
      <c r="J366">
        <f ca="1">IFERROR(__xludf.DUMMYFUNCTION("""COMPUTED_VALUE"""),3)</f>
        <v>3</v>
      </c>
      <c r="K366">
        <f ca="1">IFERROR(__xludf.DUMMYFUNCTION("""COMPUTED_VALUE"""),1156607012213)</f>
        <v>1156607012213</v>
      </c>
      <c r="L366" t="str">
        <f ca="1">IFERROR(__xludf.DUMMYFUNCTION("""COMPUTED_VALUE"""),"Kaipamangalam")</f>
        <v>Kaipamangalam</v>
      </c>
      <c r="M366" t="str">
        <f ca="1">IFERROR(__xludf.DUMMYFUNCTION("""COMPUTED_VALUE"""),"I Accept")</f>
        <v>I Accept</v>
      </c>
      <c r="N366" s="4">
        <f ca="1">IFERROR(__xludf.DUMMYFUNCTION("""COMPUTED_VALUE"""),43174)</f>
        <v>43174</v>
      </c>
      <c r="O366" s="4">
        <f ca="1">IFERROR(__xludf.DUMMYFUNCTION("""COMPUTED_VALUE"""),43174)</f>
        <v>43174</v>
      </c>
      <c r="P366">
        <f ca="1">IFERROR(__xludf.DUMMYFUNCTION("""COMPUTED_VALUE"""),3)</f>
        <v>3</v>
      </c>
      <c r="Q366" t="str">
        <f ca="1">IFERROR(__xludf.DUMMYFUNCTION("""COMPUTED_VALUE"""),"sales.bbassociates@gmail.com")</f>
        <v>sales.bbassociates@gmail.com</v>
      </c>
      <c r="R366" s="2" t="s">
        <v>2780</v>
      </c>
    </row>
    <row r="367" spans="1:18" ht="13" x14ac:dyDescent="0.15">
      <c r="A367" s="3">
        <f ca="1">IFERROR(__xludf.DUMMYFUNCTION("""COMPUTED_VALUE"""),43200.5500087268)</f>
        <v>43200.550008726801</v>
      </c>
      <c r="B367" t="str">
        <f ca="1">IFERROR(__xludf.DUMMYFUNCTION("""COMPUTED_VALUE"""),"sales.bbassociates@gmail.com")</f>
        <v>sales.bbassociates@gmail.com</v>
      </c>
      <c r="C367">
        <f ca="1">IFERROR(__xludf.DUMMYFUNCTION("""COMPUTED_VALUE"""),569)</f>
        <v>569</v>
      </c>
      <c r="D367" t="str">
        <f ca="1">IFERROR(__xludf.DUMMYFUNCTION("""COMPUTED_VALUE"""),"Shine V H")</f>
        <v>Shine V H</v>
      </c>
      <c r="E367">
        <f ca="1">IFERROR(__xludf.DUMMYFUNCTION("""COMPUTED_VALUE"""),9447097145)</f>
        <v>9447097145</v>
      </c>
      <c r="F367" t="str">
        <f ca="1">IFERROR(__xludf.DUMMYFUNCTION("""COMPUTED_VALUE"""),"Thrissur")</f>
        <v>Thrissur</v>
      </c>
      <c r="G367" t="str">
        <f ca="1">IFERROR(__xludf.DUMMYFUNCTION("""COMPUTED_VALUE"""),"BOSCH LTD")</f>
        <v>BOSCH LTD</v>
      </c>
      <c r="H367">
        <f ca="1">IFERROR(__xludf.DUMMYFUNCTION("""COMPUTED_VALUE"""),18)</f>
        <v>18</v>
      </c>
      <c r="I367" s="4">
        <f ca="1">IFERROR(__xludf.DUMMYFUNCTION("""COMPUTED_VALUE"""),43174)</f>
        <v>43174</v>
      </c>
      <c r="J367">
        <f ca="1">IFERROR(__xludf.DUMMYFUNCTION("""COMPUTED_VALUE"""),3)</f>
        <v>3</v>
      </c>
      <c r="K367">
        <f ca="1">IFERROR(__xludf.DUMMYFUNCTION("""COMPUTED_VALUE"""),1156601025683)</f>
        <v>1156601025683</v>
      </c>
      <c r="L367" t="str">
        <f ca="1">IFERROR(__xludf.DUMMYFUNCTION("""COMPUTED_VALUE"""),"Kaipamangalam")</f>
        <v>Kaipamangalam</v>
      </c>
      <c r="M367" t="str">
        <f ca="1">IFERROR(__xludf.DUMMYFUNCTION("""COMPUTED_VALUE"""),"I Accept")</f>
        <v>I Accept</v>
      </c>
      <c r="N367" s="4">
        <f ca="1">IFERROR(__xludf.DUMMYFUNCTION("""COMPUTED_VALUE"""),43174)</f>
        <v>43174</v>
      </c>
      <c r="O367" s="4">
        <f ca="1">IFERROR(__xludf.DUMMYFUNCTION("""COMPUTED_VALUE"""),43174)</f>
        <v>43174</v>
      </c>
      <c r="P367">
        <f ca="1">IFERROR(__xludf.DUMMYFUNCTION("""COMPUTED_VALUE"""),3)</f>
        <v>3</v>
      </c>
      <c r="Q367" t="str">
        <f ca="1">IFERROR(__xludf.DUMMYFUNCTION("""COMPUTED_VALUE"""),"sales.bbassociates@gmail.com")</f>
        <v>sales.bbassociates@gmail.com</v>
      </c>
      <c r="R367" s="2" t="s">
        <v>2781</v>
      </c>
    </row>
    <row r="368" spans="1:18" ht="13" x14ac:dyDescent="0.15">
      <c r="A368" s="3">
        <f ca="1">IFERROR(__xludf.DUMMYFUNCTION("""COMPUTED_VALUE"""),43200.5988836689)</f>
        <v>43200.598883668899</v>
      </c>
      <c r="B368" t="str">
        <f ca="1">IFERROR(__xludf.DUMMYFUNCTION("""COMPUTED_VALUE"""),"smitha.soura@gmail.com")</f>
        <v>smitha.soura@gmail.com</v>
      </c>
      <c r="C368">
        <f ca="1">IFERROR(__xludf.DUMMYFUNCTION("""COMPUTED_VALUE"""),789)</f>
        <v>789</v>
      </c>
      <c r="D368" t="str">
        <f ca="1">IFERROR(__xludf.DUMMYFUNCTION("""COMPUTED_VALUE"""),"Balan")</f>
        <v>Balan</v>
      </c>
      <c r="E368">
        <f ca="1">IFERROR(__xludf.DUMMYFUNCTION("""COMPUTED_VALUE"""),9072626009)</f>
        <v>9072626009</v>
      </c>
      <c r="F368" t="str">
        <f ca="1">IFERROR(__xludf.DUMMYFUNCTION("""COMPUTED_VALUE"""),"Kannur")</f>
        <v>Kannur</v>
      </c>
      <c r="G368" t="str">
        <f ca="1">IFERROR(__xludf.DUMMYFUNCTION("""COMPUTED_VALUE"""),"soura Natural Energy solutions India Pvt ltd")</f>
        <v>soura Natural Energy solutions India Pvt ltd</v>
      </c>
      <c r="H368">
        <f ca="1">IFERROR(__xludf.DUMMYFUNCTION("""COMPUTED_VALUE"""),11)</f>
        <v>11</v>
      </c>
      <c r="I368" s="4">
        <f ca="1">IFERROR(__xludf.DUMMYFUNCTION("""COMPUTED_VALUE"""),43200)</f>
        <v>43200</v>
      </c>
      <c r="J368">
        <f ca="1">IFERROR(__xludf.DUMMYFUNCTION("""COMPUTED_VALUE"""),5)</f>
        <v>5</v>
      </c>
      <c r="K368">
        <f ca="1">IFERROR(__xludf.DUMMYFUNCTION("""COMPUTED_VALUE"""),1166468003155)</f>
        <v>1166468003155</v>
      </c>
      <c r="L368" t="str">
        <f ca="1">IFERROR(__xludf.DUMMYFUNCTION("""COMPUTED_VALUE"""),"Dharmassala")</f>
        <v>Dharmassala</v>
      </c>
      <c r="M368" t="str">
        <f ca="1">IFERROR(__xludf.DUMMYFUNCTION("""COMPUTED_VALUE"""),"I Accept")</f>
        <v>I Accept</v>
      </c>
      <c r="N368" s="4">
        <f ca="1">IFERROR(__xludf.DUMMYFUNCTION("""COMPUTED_VALUE"""),43168)</f>
        <v>43168</v>
      </c>
      <c r="O368" s="4">
        <f ca="1">IFERROR(__xludf.DUMMYFUNCTION("""COMPUTED_VALUE"""),43168)</f>
        <v>43168</v>
      </c>
      <c r="P368">
        <f ca="1">IFERROR(__xludf.DUMMYFUNCTION("""COMPUTED_VALUE"""),5)</f>
        <v>5</v>
      </c>
      <c r="Q368" t="str">
        <f ca="1">IFERROR(__xludf.DUMMYFUNCTION("""COMPUTED_VALUE"""),"smitha.soura@gmail.com")</f>
        <v>smitha.soura@gmail.com</v>
      </c>
      <c r="R368" s="2" t="s">
        <v>2782</v>
      </c>
    </row>
    <row r="369" spans="1:18" ht="13" x14ac:dyDescent="0.15">
      <c r="A369" s="3">
        <f ca="1">IFERROR(__xludf.DUMMYFUNCTION("""COMPUTED_VALUE"""),43200.626110706)</f>
        <v>43200.626110705998</v>
      </c>
      <c r="B369" t="str">
        <f ca="1">IFERROR(__xludf.DUMMYFUNCTION("""COMPUTED_VALUE"""),"sales.bbassociates@gmail.com")</f>
        <v>sales.bbassociates@gmail.com</v>
      </c>
      <c r="C369">
        <f ca="1">IFERROR(__xludf.DUMMYFUNCTION("""COMPUTED_VALUE"""),511)</f>
        <v>511</v>
      </c>
      <c r="D369" t="str">
        <f ca="1">IFERROR(__xludf.DUMMYFUNCTION("""COMPUTED_VALUE"""),"Priyakumar K")</f>
        <v>Priyakumar K</v>
      </c>
      <c r="E369">
        <f ca="1">IFERROR(__xludf.DUMMYFUNCTION("""COMPUTED_VALUE"""),8304024331)</f>
        <v>8304024331</v>
      </c>
      <c r="F369" t="str">
        <f ca="1">IFERROR(__xludf.DUMMYFUNCTION("""COMPUTED_VALUE"""),"Thrissur")</f>
        <v>Thrissur</v>
      </c>
      <c r="G369" t="str">
        <f ca="1">IFERROR(__xludf.DUMMYFUNCTION("""COMPUTED_VALUE"""),"BOSCH LTD")</f>
        <v>BOSCH LTD</v>
      </c>
      <c r="H369">
        <f ca="1">IFERROR(__xludf.DUMMYFUNCTION("""COMPUTED_VALUE"""),18)</f>
        <v>18</v>
      </c>
      <c r="I369" s="4">
        <f ca="1">IFERROR(__xludf.DUMMYFUNCTION("""COMPUTED_VALUE"""),43172)</f>
        <v>43172</v>
      </c>
      <c r="J369">
        <f ca="1">IFERROR(__xludf.DUMMYFUNCTION("""COMPUTED_VALUE"""),3)</f>
        <v>3</v>
      </c>
      <c r="K369">
        <f ca="1">IFERROR(__xludf.DUMMYFUNCTION("""COMPUTED_VALUE"""),1156815007521)</f>
        <v>1156815007521</v>
      </c>
      <c r="L369" t="str">
        <f ca="1">IFERROR(__xludf.DUMMYFUNCTION("""COMPUTED_VALUE"""),"Ramavarmapuram")</f>
        <v>Ramavarmapuram</v>
      </c>
      <c r="M369" t="str">
        <f ca="1">IFERROR(__xludf.DUMMYFUNCTION("""COMPUTED_VALUE"""),"I Accept")</f>
        <v>I Accept</v>
      </c>
      <c r="N369" s="4">
        <f ca="1">IFERROR(__xludf.DUMMYFUNCTION("""COMPUTED_VALUE"""),43172)</f>
        <v>43172</v>
      </c>
      <c r="O369" s="4">
        <f ca="1">IFERROR(__xludf.DUMMYFUNCTION("""COMPUTED_VALUE"""),43172)</f>
        <v>43172</v>
      </c>
      <c r="P369">
        <f ca="1">IFERROR(__xludf.DUMMYFUNCTION("""COMPUTED_VALUE"""),3)</f>
        <v>3</v>
      </c>
      <c r="Q369" t="str">
        <f ca="1">IFERROR(__xludf.DUMMYFUNCTION("""COMPUTED_VALUE"""),"sales.bbassociates@gmail.com")</f>
        <v>sales.bbassociates@gmail.com</v>
      </c>
      <c r="R369" s="2" t="s">
        <v>2783</v>
      </c>
    </row>
    <row r="370" spans="1:18" ht="13" x14ac:dyDescent="0.15">
      <c r="A370" s="3">
        <f ca="1">IFERROR(__xludf.DUMMYFUNCTION("""COMPUTED_VALUE"""),43200.6373293287)</f>
        <v>43200.637329328703</v>
      </c>
      <c r="B370" t="str">
        <f ca="1">IFERROR(__xludf.DUMMYFUNCTION("""COMPUTED_VALUE"""),"contactvinova@gmail.com")</f>
        <v>contactvinova@gmail.com</v>
      </c>
      <c r="C370">
        <f ca="1">IFERROR(__xludf.DUMMYFUNCTION("""COMPUTED_VALUE"""),792)</f>
        <v>792</v>
      </c>
      <c r="D370" t="str">
        <f ca="1">IFERROR(__xludf.DUMMYFUNCTION("""COMPUTED_VALUE"""),"Ditto Tom P")</f>
        <v>Ditto Tom P</v>
      </c>
      <c r="E370">
        <f ca="1">IFERROR(__xludf.DUMMYFUNCTION("""COMPUTED_VALUE"""),9388155155)</f>
        <v>9388155155</v>
      </c>
      <c r="F370" t="str">
        <f ca="1">IFERROR(__xludf.DUMMYFUNCTION("""COMPUTED_VALUE"""),"Thrissur")</f>
        <v>Thrissur</v>
      </c>
      <c r="G370" t="str">
        <f ca="1">IFERROR(__xludf.DUMMYFUNCTION("""COMPUTED_VALUE"""),"vinova energy systems")</f>
        <v>vinova energy systems</v>
      </c>
      <c r="H370">
        <f ca="1">IFERROR(__xludf.DUMMYFUNCTION("""COMPUTED_VALUE"""),48)</f>
        <v>48</v>
      </c>
      <c r="I370" s="4">
        <f ca="1">IFERROR(__xludf.DUMMYFUNCTION("""COMPUTED_VALUE"""),43190)</f>
        <v>43190</v>
      </c>
      <c r="J370">
        <f ca="1">IFERROR(__xludf.DUMMYFUNCTION("""COMPUTED_VALUE"""),5)</f>
        <v>5</v>
      </c>
      <c r="K370">
        <f ca="1">IFERROR(__xludf.DUMMYFUNCTION("""COMPUTED_VALUE"""),1157009006720)</f>
        <v>1157009006720</v>
      </c>
      <c r="L370" t="str">
        <f ca="1">IFERROR(__xludf.DUMMYFUNCTION("""COMPUTED_VALUE"""),"kunnamkulam")</f>
        <v>kunnamkulam</v>
      </c>
      <c r="M370" t="str">
        <f ca="1">IFERROR(__xludf.DUMMYFUNCTION("""COMPUTED_VALUE"""),"I Accept")</f>
        <v>I Accept</v>
      </c>
      <c r="N370" s="4">
        <f ca="1">IFERROR(__xludf.DUMMYFUNCTION("""COMPUTED_VALUE"""),43200)</f>
        <v>43200</v>
      </c>
      <c r="O370" s="4">
        <f ca="1">IFERROR(__xludf.DUMMYFUNCTION("""COMPUTED_VALUE"""),43200)</f>
        <v>43200</v>
      </c>
      <c r="P370">
        <f ca="1">IFERROR(__xludf.DUMMYFUNCTION("""COMPUTED_VALUE"""),5)</f>
        <v>5</v>
      </c>
      <c r="Q370" t="str">
        <f ca="1">IFERROR(__xludf.DUMMYFUNCTION("""COMPUTED_VALUE"""),"contactvinova@gmail.com")</f>
        <v>contactvinova@gmail.com</v>
      </c>
      <c r="R370" s="2" t="s">
        <v>2784</v>
      </c>
    </row>
    <row r="371" spans="1:18" ht="13" x14ac:dyDescent="0.15">
      <c r="A371" s="3">
        <f ca="1">IFERROR(__xludf.DUMMYFUNCTION("""COMPUTED_VALUE"""),43200.685508831)</f>
        <v>43200.685508830997</v>
      </c>
      <c r="B371" t="str">
        <f ca="1">IFERROR(__xludf.DUMMYFUNCTION("""COMPUTED_VALUE"""),"hari2745@gmail.com ")</f>
        <v xml:space="preserve">hari2745@gmail.com </v>
      </c>
      <c r="C371">
        <f ca="1">IFERROR(__xludf.DUMMYFUNCTION("""COMPUTED_VALUE"""),705)</f>
        <v>705</v>
      </c>
      <c r="D371" t="str">
        <f ca="1">IFERROR(__xludf.DUMMYFUNCTION("""COMPUTED_VALUE"""),"Beena Hareesh")</f>
        <v>Beena Hareesh</v>
      </c>
      <c r="E371">
        <f ca="1">IFERROR(__xludf.DUMMYFUNCTION("""COMPUTED_VALUE"""),9446053652)</f>
        <v>9446053652</v>
      </c>
      <c r="F371" t="str">
        <f ca="1">IFERROR(__xludf.DUMMYFUNCTION("""COMPUTED_VALUE"""),"Thrissur")</f>
        <v>Thrissur</v>
      </c>
      <c r="G371" t="str">
        <f ca="1">IFERROR(__xludf.DUMMYFUNCTION("""COMPUTED_VALUE"""),"TATA POWER SOLAR SYSTEMS LIMITED")</f>
        <v>TATA POWER SOLAR SYSTEMS LIMITED</v>
      </c>
      <c r="H371">
        <f ca="1">IFERROR(__xludf.DUMMYFUNCTION("""COMPUTED_VALUE"""),20)</f>
        <v>20</v>
      </c>
      <c r="I371" s="4">
        <f ca="1">IFERROR(__xludf.DUMMYFUNCTION("""COMPUTED_VALUE"""),43194)</f>
        <v>43194</v>
      </c>
      <c r="J371">
        <f ca="1">IFERROR(__xludf.DUMMYFUNCTION("""COMPUTED_VALUE"""),3)</f>
        <v>3</v>
      </c>
      <c r="K371">
        <f ca="1">IFERROR(__xludf.DUMMYFUNCTION("""COMPUTED_VALUE"""),1156526026732)</f>
        <v>1156526026732</v>
      </c>
      <c r="L371" t="str">
        <f ca="1">IFERROR(__xludf.DUMMYFUNCTION("""COMPUTED_VALUE"""),"PARIYARAM")</f>
        <v>PARIYARAM</v>
      </c>
      <c r="M371" t="str">
        <f ca="1">IFERROR(__xludf.DUMMYFUNCTION("""COMPUTED_VALUE"""),"I Accept")</f>
        <v>I Accept</v>
      </c>
      <c r="N371" s="4">
        <f ca="1">IFERROR(__xludf.DUMMYFUNCTION("""COMPUTED_VALUE"""),43194)</f>
        <v>43194</v>
      </c>
      <c r="O371" s="4">
        <f ca="1">IFERROR(__xludf.DUMMYFUNCTION("""COMPUTED_VALUE"""),43194)</f>
        <v>43194</v>
      </c>
      <c r="P371">
        <f ca="1">IFERROR(__xludf.DUMMYFUNCTION("""COMPUTED_VALUE"""),3)</f>
        <v>3</v>
      </c>
      <c r="Q371" t="str">
        <f ca="1">IFERROR(__xludf.DUMMYFUNCTION("""COMPUTED_VALUE"""),"hari2745@gmail.com ")</f>
        <v xml:space="preserve">hari2745@gmail.com </v>
      </c>
      <c r="R371" s="2" t="s">
        <v>2785</v>
      </c>
    </row>
    <row r="372" spans="1:18" ht="13" x14ac:dyDescent="0.15">
      <c r="A372" s="3">
        <f ca="1">IFERROR(__xludf.DUMMYFUNCTION("""COMPUTED_VALUE"""),43200.6928272222)</f>
        <v>43200.692827222199</v>
      </c>
      <c r="B372" t="str">
        <f ca="1">IFERROR(__xludf.DUMMYFUNCTION("""COMPUTED_VALUE"""),"nujoseph.maveli@gmail.com")</f>
        <v>nujoseph.maveli@gmail.com</v>
      </c>
      <c r="C372">
        <f ca="1">IFERROR(__xludf.DUMMYFUNCTION("""COMPUTED_VALUE"""),791)</f>
        <v>791</v>
      </c>
      <c r="D372" t="str">
        <f ca="1">IFERROR(__xludf.DUMMYFUNCTION("""COMPUTED_VALUE"""),"N U Joseph")</f>
        <v>N U Joseph</v>
      </c>
      <c r="E372">
        <f ca="1">IFERROR(__xludf.DUMMYFUNCTION("""COMPUTED_VALUE"""),9447218331)</f>
        <v>9447218331</v>
      </c>
      <c r="F372" t="str">
        <f ca="1">IFERROR(__xludf.DUMMYFUNCTION("""COMPUTED_VALUE"""),"Kottayam")</f>
        <v>Kottayam</v>
      </c>
      <c r="G372" t="str">
        <f ca="1">IFERROR(__xludf.DUMMYFUNCTION("""COMPUTED_VALUE"""),"Soura Natural Energy Solutions India pvt ltd")</f>
        <v>Soura Natural Energy Solutions India pvt ltd</v>
      </c>
      <c r="H372">
        <f ca="1">IFERROR(__xludf.DUMMYFUNCTION("""COMPUTED_VALUE"""),11)</f>
        <v>11</v>
      </c>
      <c r="I372" s="4">
        <f ca="1">IFERROR(__xludf.DUMMYFUNCTION("""COMPUTED_VALUE"""),43200)</f>
        <v>43200</v>
      </c>
      <c r="J372">
        <f ca="1">IFERROR(__xludf.DUMMYFUNCTION("""COMPUTED_VALUE"""),3)</f>
        <v>3</v>
      </c>
      <c r="K372">
        <f ca="1">IFERROR(__xludf.DUMMYFUNCTION("""COMPUTED_VALUE"""),1146863005363)</f>
        <v>1146863005363</v>
      </c>
      <c r="L372" t="str">
        <f ca="1">IFERROR(__xludf.DUMMYFUNCTION("""COMPUTED_VALUE"""),"Peruva")</f>
        <v>Peruva</v>
      </c>
      <c r="M372" t="str">
        <f ca="1">IFERROR(__xludf.DUMMYFUNCTION("""COMPUTED_VALUE"""),"I Accept")</f>
        <v>I Accept</v>
      </c>
      <c r="N372" s="4">
        <f ca="1">IFERROR(__xludf.DUMMYFUNCTION("""COMPUTED_VALUE"""),43200)</f>
        <v>43200</v>
      </c>
      <c r="O372" s="4">
        <f ca="1">IFERROR(__xludf.DUMMYFUNCTION("""COMPUTED_VALUE"""),43200)</f>
        <v>43200</v>
      </c>
      <c r="P372">
        <f ca="1">IFERROR(__xludf.DUMMYFUNCTION("""COMPUTED_VALUE"""),3)</f>
        <v>3</v>
      </c>
      <c r="Q372" t="str">
        <f ca="1">IFERROR(__xludf.DUMMYFUNCTION("""COMPUTED_VALUE"""),"smitha.soura@gmail.com")</f>
        <v>smitha.soura@gmail.com</v>
      </c>
      <c r="R372" s="2" t="s">
        <v>2786</v>
      </c>
    </row>
    <row r="373" spans="1:18" ht="13" x14ac:dyDescent="0.15">
      <c r="A373" s="3">
        <f ca="1">IFERROR(__xludf.DUMMYFUNCTION("""COMPUTED_VALUE"""),43201.4115793634)</f>
        <v>43201.411579363397</v>
      </c>
      <c r="B373" t="str">
        <f ca="1">IFERROR(__xludf.DUMMYFUNCTION("""COMPUTED_VALUE"""),"nestromarketing@gmail.com")</f>
        <v>nestromarketing@gmail.com</v>
      </c>
      <c r="C373">
        <f ca="1">IFERROR(__xludf.DUMMYFUNCTION("""COMPUTED_VALUE"""),778)</f>
        <v>778</v>
      </c>
      <c r="D373" t="str">
        <f ca="1">IFERROR(__xludf.DUMMYFUNCTION("""COMPUTED_VALUE"""),"Cholamparambil Purushothaman")</f>
        <v>Cholamparambil Purushothaman</v>
      </c>
      <c r="E373">
        <f ca="1">IFERROR(__xludf.DUMMYFUNCTION("""COMPUTED_VALUE"""),9142099977)</f>
        <v>9142099977</v>
      </c>
      <c r="F373" t="str">
        <f ca="1">IFERROR(__xludf.DUMMYFUNCTION("""COMPUTED_VALUE"""),"Malappuram")</f>
        <v>Malappuram</v>
      </c>
      <c r="G373" t="str">
        <f ca="1">IFERROR(__xludf.DUMMYFUNCTION("""COMPUTED_VALUE"""),"Nestro Marketing LLP")</f>
        <v>Nestro Marketing LLP</v>
      </c>
      <c r="H373">
        <f ca="1">IFERROR(__xludf.DUMMYFUNCTION("""COMPUTED_VALUE"""),14)</f>
        <v>14</v>
      </c>
      <c r="I373" s="4">
        <f ca="1">IFERROR(__xludf.DUMMYFUNCTION("""COMPUTED_VALUE"""),43200)</f>
        <v>43200</v>
      </c>
      <c r="J373">
        <f ca="1">IFERROR(__xludf.DUMMYFUNCTION("""COMPUTED_VALUE"""),3)</f>
        <v>3</v>
      </c>
      <c r="K373">
        <f ca="1">IFERROR(__xludf.DUMMYFUNCTION("""COMPUTED_VALUE"""),1165172014209)</f>
        <v>1165172014209</v>
      </c>
      <c r="L373" t="str">
        <f ca="1">IFERROR(__xludf.DUMMYFUNCTION("""COMPUTED_VALUE"""),"Sulthanpet")</f>
        <v>Sulthanpet</v>
      </c>
      <c r="M373" t="str">
        <f ca="1">IFERROR(__xludf.DUMMYFUNCTION("""COMPUTED_VALUE"""),"I Accept")</f>
        <v>I Accept</v>
      </c>
      <c r="N373" s="4">
        <f ca="1">IFERROR(__xludf.DUMMYFUNCTION("""COMPUTED_VALUE"""),43182)</f>
        <v>43182</v>
      </c>
      <c r="O373" s="4">
        <f ca="1">IFERROR(__xludf.DUMMYFUNCTION("""COMPUTED_VALUE"""),43182)</f>
        <v>43182</v>
      </c>
      <c r="P373">
        <f ca="1">IFERROR(__xludf.DUMMYFUNCTION("""COMPUTED_VALUE"""),3)</f>
        <v>3</v>
      </c>
      <c r="Q373" t="str">
        <f ca="1">IFERROR(__xludf.DUMMYFUNCTION("""COMPUTED_VALUE"""),"nestromarketing@gmail.com")</f>
        <v>nestromarketing@gmail.com</v>
      </c>
      <c r="R373" s="2" t="s">
        <v>2787</v>
      </c>
    </row>
    <row r="374" spans="1:18" ht="13" x14ac:dyDescent="0.15">
      <c r="A374" s="3">
        <f ca="1">IFERROR(__xludf.DUMMYFUNCTION("""COMPUTED_VALUE"""),43201.4558110763)</f>
        <v>43201.455811076303</v>
      </c>
      <c r="B374" t="str">
        <f ca="1">IFERROR(__xludf.DUMMYFUNCTION("""COMPUTED_VALUE"""),"sasikumar.ifs@gmail.com")</f>
        <v>sasikumar.ifs@gmail.com</v>
      </c>
      <c r="C374">
        <f ca="1">IFERROR(__xludf.DUMMYFUNCTION("""COMPUTED_VALUE"""),377)</f>
        <v>377</v>
      </c>
      <c r="D374" t="str">
        <f ca="1">IFERROR(__xludf.DUMMYFUNCTION("""COMPUTED_VALUE"""),"GEETHA KUMARI T K")</f>
        <v>GEETHA KUMARI T K</v>
      </c>
      <c r="E374">
        <f ca="1">IFERROR(__xludf.DUMMYFUNCTION("""COMPUTED_VALUE"""),9946759604)</f>
        <v>9946759604</v>
      </c>
      <c r="F374" t="str">
        <f ca="1">IFERROR(__xludf.DUMMYFUNCTION("""COMPUTED_VALUE"""),"Thrissur")</f>
        <v>Thrissur</v>
      </c>
      <c r="G374" t="str">
        <f ca="1">IFERROR(__xludf.DUMMYFUNCTION("""COMPUTED_VALUE"""),"INDEX INFORMATICS SYSTEMS PVT LTD")</f>
        <v>INDEX INFORMATICS SYSTEMS PVT LTD</v>
      </c>
      <c r="H374">
        <f ca="1">IFERROR(__xludf.DUMMYFUNCTION("""COMPUTED_VALUE"""),12)</f>
        <v>12</v>
      </c>
      <c r="I374" s="4">
        <f ca="1">IFERROR(__xludf.DUMMYFUNCTION("""COMPUTED_VALUE"""),43179)</f>
        <v>43179</v>
      </c>
      <c r="J374">
        <f ca="1">IFERROR(__xludf.DUMMYFUNCTION("""COMPUTED_VALUE"""),3)</f>
        <v>3</v>
      </c>
      <c r="K374">
        <f ca="1">IFERROR(__xludf.DUMMYFUNCTION("""COMPUTED_VALUE"""),1156809017028)</f>
        <v>1156809017028</v>
      </c>
      <c r="L374" t="str">
        <f ca="1">IFERROR(__xludf.DUMMYFUNCTION("""COMPUTED_VALUE"""),"Viyur")</f>
        <v>Viyur</v>
      </c>
      <c r="M374" t="str">
        <f ca="1">IFERROR(__xludf.DUMMYFUNCTION("""COMPUTED_VALUE"""),"I Accept")</f>
        <v>I Accept</v>
      </c>
      <c r="N374" s="4">
        <f ca="1">IFERROR(__xludf.DUMMYFUNCTION("""COMPUTED_VALUE"""),43172)</f>
        <v>43172</v>
      </c>
      <c r="O374" s="4">
        <f ca="1">IFERROR(__xludf.DUMMYFUNCTION("""COMPUTED_VALUE"""),43172)</f>
        <v>43172</v>
      </c>
      <c r="P374">
        <f ca="1">IFERROR(__xludf.DUMMYFUNCTION("""COMPUTED_VALUE"""),3)</f>
        <v>3</v>
      </c>
      <c r="Q374" t="str">
        <f ca="1">IFERROR(__xludf.DUMMYFUNCTION("""COMPUTED_VALUE"""),"sasikumar.ifs@gmail.com")</f>
        <v>sasikumar.ifs@gmail.com</v>
      </c>
      <c r="R374" s="2" t="s">
        <v>2788</v>
      </c>
    </row>
    <row r="375" spans="1:18" ht="13" x14ac:dyDescent="0.15">
      <c r="A375" s="3">
        <f ca="1">IFERROR(__xludf.DUMMYFUNCTION("""COMPUTED_VALUE"""),43201.4629579166)</f>
        <v>43201.462957916599</v>
      </c>
      <c r="B375" t="str">
        <f ca="1">IFERROR(__xludf.DUMMYFUNCTION("""COMPUTED_VALUE"""),"sheikazgar1@gmail.com")</f>
        <v>sheikazgar1@gmail.com</v>
      </c>
      <c r="C375">
        <f ca="1">IFERROR(__xludf.DUMMYFUNCTION("""COMPUTED_VALUE"""),381)</f>
        <v>381</v>
      </c>
      <c r="D375" t="str">
        <f ca="1">IFERROR(__xludf.DUMMYFUNCTION("""COMPUTED_VALUE"""),"SHEIK AZGAR HUSSAIN S ")</f>
        <v xml:space="preserve">SHEIK AZGAR HUSSAIN S </v>
      </c>
      <c r="E375">
        <f ca="1">IFERROR(__xludf.DUMMYFUNCTION("""COMPUTED_VALUE"""),7012521861)</f>
        <v>7012521861</v>
      </c>
      <c r="F375" t="str">
        <f ca="1">IFERROR(__xludf.DUMMYFUNCTION("""COMPUTED_VALUE"""),"Thrissur")</f>
        <v>Thrissur</v>
      </c>
      <c r="G375" t="str">
        <f ca="1">IFERROR(__xludf.DUMMYFUNCTION("""COMPUTED_VALUE"""),"INDEX INFORMATICS SYSTEMS PVT LTD")</f>
        <v>INDEX INFORMATICS SYSTEMS PVT LTD</v>
      </c>
      <c r="H375">
        <f ca="1">IFERROR(__xludf.DUMMYFUNCTION("""COMPUTED_VALUE"""),12)</f>
        <v>12</v>
      </c>
      <c r="I375" s="4">
        <f ca="1">IFERROR(__xludf.DUMMYFUNCTION("""COMPUTED_VALUE"""),43179)</f>
        <v>43179</v>
      </c>
      <c r="J375">
        <f ca="1">IFERROR(__xludf.DUMMYFUNCTION("""COMPUTED_VALUE"""),5)</f>
        <v>5</v>
      </c>
      <c r="K375">
        <f ca="1">IFERROR(__xludf.DUMMYFUNCTION("""COMPUTED_VALUE"""),11276)</f>
        <v>11276</v>
      </c>
      <c r="L375" t="str">
        <f ca="1">IFERROR(__xludf.DUMMYFUNCTION("""COMPUTED_VALUE"""),"D2")</f>
        <v>D2</v>
      </c>
      <c r="M375" t="str">
        <f ca="1">IFERROR(__xludf.DUMMYFUNCTION("""COMPUTED_VALUE"""),"I Accept")</f>
        <v>I Accept</v>
      </c>
      <c r="N375" s="4">
        <f ca="1">IFERROR(__xludf.DUMMYFUNCTION("""COMPUTED_VALUE"""),43179)</f>
        <v>43179</v>
      </c>
      <c r="O375" s="4">
        <f ca="1">IFERROR(__xludf.DUMMYFUNCTION("""COMPUTED_VALUE"""),43179)</f>
        <v>43179</v>
      </c>
      <c r="P375">
        <f ca="1">IFERROR(__xludf.DUMMYFUNCTION("""COMPUTED_VALUE"""),5)</f>
        <v>5</v>
      </c>
      <c r="Q375" t="str">
        <f ca="1">IFERROR(__xludf.DUMMYFUNCTION("""COMPUTED_VALUE"""),"sheikazgar1@gmail.com")</f>
        <v>sheikazgar1@gmail.com</v>
      </c>
      <c r="R375" s="2" t="s">
        <v>2789</v>
      </c>
    </row>
    <row r="376" spans="1:18" ht="13" x14ac:dyDescent="0.15">
      <c r="A376" s="3">
        <f ca="1">IFERROR(__xludf.DUMMYFUNCTION("""COMPUTED_VALUE"""),43201.4676294213)</f>
        <v>43201.467629421299</v>
      </c>
      <c r="B376" t="str">
        <f ca="1">IFERROR(__xludf.DUMMYFUNCTION("""COMPUTED_VALUE"""),"sheikhyder@gmail.com")</f>
        <v>sheikhyder@gmail.com</v>
      </c>
      <c r="C376">
        <f ca="1">IFERROR(__xludf.DUMMYFUNCTION("""COMPUTED_VALUE"""),380)</f>
        <v>380</v>
      </c>
      <c r="D376" t="str">
        <f ca="1">IFERROR(__xludf.DUMMYFUNCTION("""COMPUTED_VALUE"""),"SHEIK HYDER HUSSAIN S ")</f>
        <v xml:space="preserve">SHEIK HYDER HUSSAIN S </v>
      </c>
      <c r="E376">
        <f ca="1">IFERROR(__xludf.DUMMYFUNCTION("""COMPUTED_VALUE"""),8921402652)</f>
        <v>8921402652</v>
      </c>
      <c r="F376" t="str">
        <f ca="1">IFERROR(__xludf.DUMMYFUNCTION("""COMPUTED_VALUE"""),"Thrissur")</f>
        <v>Thrissur</v>
      </c>
      <c r="G376" t="str">
        <f ca="1">IFERROR(__xludf.DUMMYFUNCTION("""COMPUTED_VALUE"""),"INDEX INFORMATICS SYSTEMS PVT LTD")</f>
        <v>INDEX INFORMATICS SYSTEMS PVT LTD</v>
      </c>
      <c r="H376">
        <f ca="1">IFERROR(__xludf.DUMMYFUNCTION("""COMPUTED_VALUE"""),12)</f>
        <v>12</v>
      </c>
      <c r="I376" s="4">
        <f ca="1">IFERROR(__xludf.DUMMYFUNCTION("""COMPUTED_VALUE"""),43179)</f>
        <v>43179</v>
      </c>
      <c r="J376">
        <f ca="1">IFERROR(__xludf.DUMMYFUNCTION("""COMPUTED_VALUE"""),3)</f>
        <v>3</v>
      </c>
      <c r="K376">
        <f ca="1">IFERROR(__xludf.DUMMYFUNCTION("""COMPUTED_VALUE"""),11155)</f>
        <v>11155</v>
      </c>
      <c r="L376" t="str">
        <f ca="1">IFERROR(__xludf.DUMMYFUNCTION("""COMPUTED_VALUE"""),"D2")</f>
        <v>D2</v>
      </c>
      <c r="M376" t="str">
        <f ca="1">IFERROR(__xludf.DUMMYFUNCTION("""COMPUTED_VALUE"""),"I Accept")</f>
        <v>I Accept</v>
      </c>
      <c r="N376" s="4">
        <f ca="1">IFERROR(__xludf.DUMMYFUNCTION("""COMPUTED_VALUE"""),43179)</f>
        <v>43179</v>
      </c>
      <c r="O376" s="4">
        <f ca="1">IFERROR(__xludf.DUMMYFUNCTION("""COMPUTED_VALUE"""),43179)</f>
        <v>43179</v>
      </c>
      <c r="P376">
        <f ca="1">IFERROR(__xludf.DUMMYFUNCTION("""COMPUTED_VALUE"""),3)</f>
        <v>3</v>
      </c>
      <c r="Q376" t="str">
        <f ca="1">IFERROR(__xludf.DUMMYFUNCTION("""COMPUTED_VALUE"""),"sheikhyder@gmail.com")</f>
        <v>sheikhyder@gmail.com</v>
      </c>
      <c r="R376" s="2" t="s">
        <v>2790</v>
      </c>
    </row>
    <row r="377" spans="1:18" ht="13" x14ac:dyDescent="0.15">
      <c r="A377" s="3">
        <f ca="1">IFERROR(__xludf.DUMMYFUNCTION("""COMPUTED_VALUE"""),43201.6362734722)</f>
        <v>43201.636273472199</v>
      </c>
      <c r="B377" t="str">
        <f ca="1">IFERROR(__xludf.DUMMYFUNCTION("""COMPUTED_VALUE"""),"bukhariprincipal@gmail.com")</f>
        <v>bukhariprincipal@gmail.com</v>
      </c>
      <c r="C377">
        <f ca="1">IFERROR(__xludf.DUMMYFUNCTION("""COMPUTED_VALUE"""),602)</f>
        <v>602</v>
      </c>
      <c r="D377" t="str">
        <f ca="1">IFERROR(__xludf.DUMMYFUNCTION("""COMPUTED_VALUE"""),"The General Secretary")</f>
        <v>The General Secretary</v>
      </c>
      <c r="E377">
        <f ca="1">IFERROR(__xludf.DUMMYFUNCTION("""COMPUTED_VALUE"""),9446450117)</f>
        <v>9446450117</v>
      </c>
      <c r="F377" t="str">
        <f ca="1">IFERROR(__xludf.DUMMYFUNCTION("""COMPUTED_VALUE"""),"Malappuram")</f>
        <v>Malappuram</v>
      </c>
      <c r="G377" t="str">
        <f ca="1">IFERROR(__xludf.DUMMYFUNCTION("""COMPUTED_VALUE"""),"Soura Natural Energy Solutions India pvt ltd")</f>
        <v>Soura Natural Energy Solutions India pvt ltd</v>
      </c>
      <c r="H377">
        <f ca="1">IFERROR(__xludf.DUMMYFUNCTION("""COMPUTED_VALUE"""),11)</f>
        <v>11</v>
      </c>
      <c r="I377" s="4">
        <f ca="1">IFERROR(__xludf.DUMMYFUNCTION("""COMPUTED_VALUE"""),43201)</f>
        <v>43201</v>
      </c>
      <c r="J377">
        <f ca="1">IFERROR(__xludf.DUMMYFUNCTION("""COMPUTED_VALUE"""),25)</f>
        <v>25</v>
      </c>
      <c r="K377">
        <f ca="1">IFERROR(__xludf.DUMMYFUNCTION("""COMPUTED_VALUE"""),1165528033764)</f>
        <v>1165528033764</v>
      </c>
      <c r="L377" t="str">
        <f ca="1">IFERROR(__xludf.DUMMYFUNCTION("""COMPUTED_VALUE"""),"kondotty")</f>
        <v>kondotty</v>
      </c>
      <c r="M377" t="str">
        <f ca="1">IFERROR(__xludf.DUMMYFUNCTION("""COMPUTED_VALUE"""),"I Accept")</f>
        <v>I Accept</v>
      </c>
      <c r="N377" s="4">
        <f ca="1">IFERROR(__xludf.DUMMYFUNCTION("""COMPUTED_VALUE"""),43158)</f>
        <v>43158</v>
      </c>
      <c r="O377" s="4">
        <f ca="1">IFERROR(__xludf.DUMMYFUNCTION("""COMPUTED_VALUE"""),43158)</f>
        <v>43158</v>
      </c>
      <c r="P377">
        <f ca="1">IFERROR(__xludf.DUMMYFUNCTION("""COMPUTED_VALUE"""),25)</f>
        <v>25</v>
      </c>
      <c r="Q377" t="str">
        <f ca="1">IFERROR(__xludf.DUMMYFUNCTION("""COMPUTED_VALUE"""),"bukhariprincipal@gmail.com")</f>
        <v>bukhariprincipal@gmail.com</v>
      </c>
      <c r="R377" s="2" t="s">
        <v>2791</v>
      </c>
    </row>
    <row r="378" spans="1:18" ht="13" x14ac:dyDescent="0.15">
      <c r="A378" s="3">
        <f ca="1">IFERROR(__xludf.DUMMYFUNCTION("""COMPUTED_VALUE"""),43202.4653745254)</f>
        <v>43202.465374525404</v>
      </c>
      <c r="B378" t="str">
        <f ca="1">IFERROR(__xludf.DUMMYFUNCTION("""COMPUTED_VALUE"""),"connectdsk@gmail.com")</f>
        <v>connectdsk@gmail.com</v>
      </c>
      <c r="C378">
        <f ca="1">IFERROR(__xludf.DUMMYFUNCTION("""COMPUTED_VALUE"""),899)</f>
        <v>899</v>
      </c>
      <c r="D378" t="str">
        <f ca="1">IFERROR(__xludf.DUMMYFUNCTION("""COMPUTED_VALUE"""),"T K PREMLAL")</f>
        <v>T K PREMLAL</v>
      </c>
      <c r="E378">
        <f ca="1">IFERROR(__xludf.DUMMYFUNCTION("""COMPUTED_VALUE"""),8547564126)</f>
        <v>8547564126</v>
      </c>
      <c r="F378" t="str">
        <f ca="1">IFERROR(__xludf.DUMMYFUNCTION("""COMPUTED_VALUE"""),"Thrissur")</f>
        <v>Thrissur</v>
      </c>
      <c r="G378" t="str">
        <f ca="1">IFERROR(__xludf.DUMMYFUNCTION("""COMPUTED_VALUE"""),"FERT")</f>
        <v>FERT</v>
      </c>
      <c r="H378">
        <f ca="1">IFERROR(__xludf.DUMMYFUNCTION("""COMPUTED_VALUE"""),27)</f>
        <v>27</v>
      </c>
      <c r="I378" s="4">
        <f ca="1">IFERROR(__xludf.DUMMYFUNCTION("""COMPUTED_VALUE"""),43179)</f>
        <v>43179</v>
      </c>
      <c r="J378">
        <f ca="1">IFERROR(__xludf.DUMMYFUNCTION("""COMPUTED_VALUE"""),3)</f>
        <v>3</v>
      </c>
      <c r="K378">
        <f ca="1">IFERROR(__xludf.DUMMYFUNCTION("""COMPUTED_VALUE"""),1156856020830)</f>
        <v>1156856020830</v>
      </c>
      <c r="L378" t="str">
        <f ca="1">IFERROR(__xludf.DUMMYFUNCTION("""COMPUTED_VALUE"""),"MUTHUVARA")</f>
        <v>MUTHUVARA</v>
      </c>
      <c r="M378" t="str">
        <f ca="1">IFERROR(__xludf.DUMMYFUNCTION("""COMPUTED_VALUE"""),"I Accept")</f>
        <v>I Accept</v>
      </c>
      <c r="N378" s="4">
        <f ca="1">IFERROR(__xludf.DUMMYFUNCTION("""COMPUTED_VALUE"""),43186)</f>
        <v>43186</v>
      </c>
      <c r="O378" s="4">
        <f ca="1">IFERROR(__xludf.DUMMYFUNCTION("""COMPUTED_VALUE"""),43186)</f>
        <v>43186</v>
      </c>
      <c r="P378">
        <f ca="1">IFERROR(__xludf.DUMMYFUNCTION("""COMPUTED_VALUE"""),3)</f>
        <v>3</v>
      </c>
      <c r="Q378" t="str">
        <f ca="1">IFERROR(__xludf.DUMMYFUNCTION("""COMPUTED_VALUE"""),"connectdsk@gmail.com")</f>
        <v>connectdsk@gmail.com</v>
      </c>
      <c r="R378" s="2" t="s">
        <v>2792</v>
      </c>
    </row>
    <row r="379" spans="1:18" ht="13" x14ac:dyDescent="0.15">
      <c r="A379" s="3">
        <f ca="1">IFERROR(__xludf.DUMMYFUNCTION("""COMPUTED_VALUE"""),43202.4722037847)</f>
        <v>43202.472203784702</v>
      </c>
      <c r="B379" t="str">
        <f ca="1">IFERROR(__xludf.DUMMYFUNCTION("""COMPUTED_VALUE"""),"connectdsk@gmail.com")</f>
        <v>connectdsk@gmail.com</v>
      </c>
      <c r="C379">
        <f ca="1">IFERROR(__xludf.DUMMYFUNCTION("""COMPUTED_VALUE"""),439)</f>
        <v>439</v>
      </c>
      <c r="D379" t="str">
        <f ca="1">IFERROR(__xludf.DUMMYFUNCTION("""COMPUTED_VALUE"""),"VARGHESE THOMAS")</f>
        <v>VARGHESE THOMAS</v>
      </c>
      <c r="E379">
        <f ca="1">IFERROR(__xludf.DUMMYFUNCTION("""COMPUTED_VALUE"""),8547564126)</f>
        <v>8547564126</v>
      </c>
      <c r="F379" t="str">
        <f ca="1">IFERROR(__xludf.DUMMYFUNCTION("""COMPUTED_VALUE"""),"Pathanamthitta")</f>
        <v>Pathanamthitta</v>
      </c>
      <c r="G379" t="str">
        <f ca="1">IFERROR(__xludf.DUMMYFUNCTION("""COMPUTED_VALUE"""),"FERT")</f>
        <v>FERT</v>
      </c>
      <c r="H379">
        <f ca="1">IFERROR(__xludf.DUMMYFUNCTION("""COMPUTED_VALUE"""),27)</f>
        <v>27</v>
      </c>
      <c r="I379" s="4">
        <f ca="1">IFERROR(__xludf.DUMMYFUNCTION("""COMPUTED_VALUE"""),43186)</f>
        <v>43186</v>
      </c>
      <c r="J379">
        <f ca="1">IFERROR(__xludf.DUMMYFUNCTION("""COMPUTED_VALUE"""),3)</f>
        <v>3</v>
      </c>
      <c r="K379">
        <f ca="1">IFERROR(__xludf.DUMMYFUNCTION("""COMPUTED_VALUE"""),1146236022310)</f>
        <v>1146236022310</v>
      </c>
      <c r="L379" t="str">
        <f ca="1">IFERROR(__xludf.DUMMYFUNCTION("""COMPUTED_VALUE"""),"MALLAPPALLY")</f>
        <v>MALLAPPALLY</v>
      </c>
      <c r="M379" t="str">
        <f ca="1">IFERROR(__xludf.DUMMYFUNCTION("""COMPUTED_VALUE"""),"I Accept")</f>
        <v>I Accept</v>
      </c>
      <c r="N379" s="4">
        <f ca="1">IFERROR(__xludf.DUMMYFUNCTION("""COMPUTED_VALUE"""),43196)</f>
        <v>43196</v>
      </c>
      <c r="O379" s="4">
        <f ca="1">IFERROR(__xludf.DUMMYFUNCTION("""COMPUTED_VALUE"""),43196)</f>
        <v>43196</v>
      </c>
      <c r="P379">
        <f ca="1">IFERROR(__xludf.DUMMYFUNCTION("""COMPUTED_VALUE"""),3)</f>
        <v>3</v>
      </c>
      <c r="Q379" t="str">
        <f ca="1">IFERROR(__xludf.DUMMYFUNCTION("""COMPUTED_VALUE"""),"connectdsk@gmail.com")</f>
        <v>connectdsk@gmail.com</v>
      </c>
      <c r="R379" s="2" t="s">
        <v>2793</v>
      </c>
    </row>
    <row r="380" spans="1:18" ht="13" x14ac:dyDescent="0.15">
      <c r="A380" s="3">
        <f ca="1">IFERROR(__xludf.DUMMYFUNCTION("""COMPUTED_VALUE"""),43202.4724484953)</f>
        <v>43202.472448495297</v>
      </c>
      <c r="B380" t="str">
        <f ca="1">IFERROR(__xludf.DUMMYFUNCTION("""COMPUTED_VALUE"""),"connectdsk@gmail.com")</f>
        <v>connectdsk@gmail.com</v>
      </c>
      <c r="C380">
        <f ca="1">IFERROR(__xludf.DUMMYFUNCTION("""COMPUTED_VALUE"""),877)</f>
        <v>877</v>
      </c>
      <c r="D380" t="str">
        <f ca="1">IFERROR(__xludf.DUMMYFUNCTION("""COMPUTED_VALUE"""),"RAMESH CHANDRAN T")</f>
        <v>RAMESH CHANDRAN T</v>
      </c>
      <c r="E380">
        <f ca="1">IFERROR(__xludf.DUMMYFUNCTION("""COMPUTED_VALUE"""),8547562146)</f>
        <v>8547562146</v>
      </c>
      <c r="F380" t="str">
        <f ca="1">IFERROR(__xludf.DUMMYFUNCTION("""COMPUTED_VALUE"""),"Thiruvananthapuram")</f>
        <v>Thiruvananthapuram</v>
      </c>
      <c r="G380" t="str">
        <f ca="1">IFERROR(__xludf.DUMMYFUNCTION("""COMPUTED_VALUE"""),"FERT")</f>
        <v>FERT</v>
      </c>
      <c r="H380">
        <f ca="1">IFERROR(__xludf.DUMMYFUNCTION("""COMPUTED_VALUE"""),27)</f>
        <v>27</v>
      </c>
      <c r="I380" s="4">
        <f ca="1">IFERROR(__xludf.DUMMYFUNCTION("""COMPUTED_VALUE"""),43186)</f>
        <v>43186</v>
      </c>
      <c r="J380">
        <f ca="1">IFERROR(__xludf.DUMMYFUNCTION("""COMPUTED_VALUE"""),5)</f>
        <v>5</v>
      </c>
      <c r="K380">
        <f ca="1">IFERROR(__xludf.DUMMYFUNCTION("""COMPUTED_VALUE"""),1145245021057)</f>
        <v>1145245021057</v>
      </c>
      <c r="L380" t="str">
        <f ca="1">IFERROR(__xludf.DUMMYFUNCTION("""COMPUTED_VALUE"""),"POTHENCODE")</f>
        <v>POTHENCODE</v>
      </c>
      <c r="M380" t="str">
        <f ca="1">IFERROR(__xludf.DUMMYFUNCTION("""COMPUTED_VALUE"""),"I Accept")</f>
        <v>I Accept</v>
      </c>
      <c r="N380" s="4">
        <f ca="1">IFERROR(__xludf.DUMMYFUNCTION("""COMPUTED_VALUE"""),43186)</f>
        <v>43186</v>
      </c>
      <c r="O380" s="4">
        <f ca="1">IFERROR(__xludf.DUMMYFUNCTION("""COMPUTED_VALUE"""),43186)</f>
        <v>43186</v>
      </c>
      <c r="P380">
        <f ca="1">IFERROR(__xludf.DUMMYFUNCTION("""COMPUTED_VALUE"""),5)</f>
        <v>5</v>
      </c>
      <c r="Q380" t="str">
        <f ca="1">IFERROR(__xludf.DUMMYFUNCTION("""COMPUTED_VALUE"""),"connectdsk@gmail.com")</f>
        <v>connectdsk@gmail.com</v>
      </c>
      <c r="R380" s="2" t="s">
        <v>2794</v>
      </c>
    </row>
    <row r="381" spans="1:18" ht="13" x14ac:dyDescent="0.15">
      <c r="A381" s="3">
        <f ca="1">IFERROR(__xludf.DUMMYFUNCTION("""COMPUTED_VALUE"""),43202.5024407523)</f>
        <v>43202.502440752301</v>
      </c>
      <c r="B381" t="str">
        <f ca="1">IFERROR(__xludf.DUMMYFUNCTION("""COMPUTED_VALUE"""),"jojijohnt@gmail.com")</f>
        <v>jojijohnt@gmail.com</v>
      </c>
      <c r="C381">
        <f ca="1">IFERROR(__xludf.DUMMYFUNCTION("""COMPUTED_VALUE"""),505)</f>
        <v>505</v>
      </c>
      <c r="D381" t="str">
        <f ca="1">IFERROR(__xludf.DUMMYFUNCTION("""COMPUTED_VALUE"""),"MATHAI T MATHAI , THEKKENEDUMPLACKAL,MALLAPPALLY,PATHANAMTHITTA,MALLAPPALLY WEST,KERALA-689585")</f>
        <v>MATHAI T MATHAI , THEKKENEDUMPLACKAL,MALLAPPALLY,PATHANAMTHITTA,MALLAPPALLY WEST,KERALA-689585</v>
      </c>
      <c r="E381">
        <f ca="1">IFERROR(__xludf.DUMMYFUNCTION("""COMPUTED_VALUE"""),9947387901)</f>
        <v>9947387901</v>
      </c>
      <c r="F381" t="str">
        <f ca="1">IFERROR(__xludf.DUMMYFUNCTION("""COMPUTED_VALUE"""),"Pathanamthitta")</f>
        <v>Pathanamthitta</v>
      </c>
      <c r="G381" t="str">
        <f ca="1">IFERROR(__xludf.DUMMYFUNCTION("""COMPUTED_VALUE"""),"SIRET SOLAR PVT . LTD")</f>
        <v>SIRET SOLAR PVT . LTD</v>
      </c>
      <c r="H381">
        <f ca="1">IFERROR(__xludf.DUMMYFUNCTION("""COMPUTED_VALUE"""),21)</f>
        <v>21</v>
      </c>
      <c r="I381" s="4">
        <f ca="1">IFERROR(__xludf.DUMMYFUNCTION("""COMPUTED_VALUE"""),43192)</f>
        <v>43192</v>
      </c>
      <c r="J381">
        <f ca="1">IFERROR(__xludf.DUMMYFUNCTION("""COMPUTED_VALUE"""),2)</f>
        <v>2</v>
      </c>
      <c r="K381">
        <f ca="1">IFERROR(__xludf.DUMMYFUNCTION("""COMPUTED_VALUE"""),1146228012156)</f>
        <v>1146228012156</v>
      </c>
      <c r="L381" t="str">
        <f ca="1">IFERROR(__xludf.DUMMYFUNCTION("""COMPUTED_VALUE"""),"VENNIKULAM")</f>
        <v>VENNIKULAM</v>
      </c>
      <c r="M381" t="str">
        <f ca="1">IFERROR(__xludf.DUMMYFUNCTION("""COMPUTED_VALUE"""),"I Accept")</f>
        <v>I Accept</v>
      </c>
      <c r="N381" s="4">
        <f ca="1">IFERROR(__xludf.DUMMYFUNCTION("""COMPUTED_VALUE"""),43185)</f>
        <v>43185</v>
      </c>
      <c r="O381" s="4">
        <f ca="1">IFERROR(__xludf.DUMMYFUNCTION("""COMPUTED_VALUE"""),43185)</f>
        <v>43185</v>
      </c>
      <c r="P381">
        <f ca="1">IFERROR(__xludf.DUMMYFUNCTION("""COMPUTED_VALUE"""),2)</f>
        <v>2</v>
      </c>
      <c r="Q381" t="str">
        <f ca="1">IFERROR(__xludf.DUMMYFUNCTION("""COMPUTED_VALUE"""),"jojijohnt@gmail.com")</f>
        <v>jojijohnt@gmail.com</v>
      </c>
      <c r="R381" s="2" t="s">
        <v>2795</v>
      </c>
    </row>
    <row r="382" spans="1:18" ht="13" x14ac:dyDescent="0.15">
      <c r="A382" s="3">
        <f ca="1">IFERROR(__xludf.DUMMYFUNCTION("""COMPUTED_VALUE"""),43202.5192254282)</f>
        <v>43202.519225428201</v>
      </c>
      <c r="B382" t="str">
        <f ca="1">IFERROR(__xludf.DUMMYFUNCTION("""COMPUTED_VALUE"""),"bismibijina@gmail.com")</f>
        <v>bismibijina@gmail.com</v>
      </c>
      <c r="C382">
        <f ca="1">IFERROR(__xludf.DUMMYFUNCTION("""COMPUTED_VALUE"""),468)</f>
        <v>468</v>
      </c>
      <c r="D382" t="str">
        <f ca="1">IFERROR(__xludf.DUMMYFUNCTION("""COMPUTED_VALUE"""),"C D NOUSHAD RAWTHER,SEETHAKULAM HOUSE , EZHUMATTOOR PO,MALLAPPALLY,PATHANAMTHITTA-689586")</f>
        <v>C D NOUSHAD RAWTHER,SEETHAKULAM HOUSE , EZHUMATTOOR PO,MALLAPPALLY,PATHANAMTHITTA-689586</v>
      </c>
      <c r="E382">
        <f ca="1">IFERROR(__xludf.DUMMYFUNCTION("""COMPUTED_VALUE"""),7025533131)</f>
        <v>7025533131</v>
      </c>
      <c r="F382" t="str">
        <f ca="1">IFERROR(__xludf.DUMMYFUNCTION("""COMPUTED_VALUE"""),"Pathanamthitta")</f>
        <v>Pathanamthitta</v>
      </c>
      <c r="G382" t="str">
        <f ca="1">IFERROR(__xludf.DUMMYFUNCTION("""COMPUTED_VALUE"""),"SIRET SOLAR PVT.LTD")</f>
        <v>SIRET SOLAR PVT.LTD</v>
      </c>
      <c r="H382">
        <f ca="1">IFERROR(__xludf.DUMMYFUNCTION("""COMPUTED_VALUE"""),21)</f>
        <v>21</v>
      </c>
      <c r="I382" s="4">
        <f ca="1">IFERROR(__xludf.DUMMYFUNCTION("""COMPUTED_VALUE"""),43186)</f>
        <v>43186</v>
      </c>
      <c r="J382">
        <f ca="1">IFERROR(__xludf.DUMMYFUNCTION("""COMPUTED_VALUE"""),3)</f>
        <v>3</v>
      </c>
      <c r="K382">
        <f ca="1">IFERROR(__xludf.DUMMYFUNCTION("""COMPUTED_VALUE"""),1146243000201)</f>
        <v>1146243000201</v>
      </c>
      <c r="L382" t="str">
        <f ca="1">IFERROR(__xludf.DUMMYFUNCTION("""COMPUTED_VALUE"""),"VAIPUR")</f>
        <v>VAIPUR</v>
      </c>
      <c r="M382" t="str">
        <f ca="1">IFERROR(__xludf.DUMMYFUNCTION("""COMPUTED_VALUE"""),"I Accept")</f>
        <v>I Accept</v>
      </c>
      <c r="N382" s="4">
        <f ca="1">IFERROR(__xludf.DUMMYFUNCTION("""COMPUTED_VALUE"""),43190)</f>
        <v>43190</v>
      </c>
      <c r="O382" s="4">
        <f ca="1">IFERROR(__xludf.DUMMYFUNCTION("""COMPUTED_VALUE"""),43190)</f>
        <v>43190</v>
      </c>
      <c r="P382">
        <f ca="1">IFERROR(__xludf.DUMMYFUNCTION("""COMPUTED_VALUE"""),3)</f>
        <v>3</v>
      </c>
      <c r="Q382" t="str">
        <f ca="1">IFERROR(__xludf.DUMMYFUNCTION("""COMPUTED_VALUE"""),"bismibijina@gmail.com")</f>
        <v>bismibijina@gmail.com</v>
      </c>
      <c r="R382" s="2" t="s">
        <v>2796</v>
      </c>
    </row>
    <row r="383" spans="1:18" ht="13" x14ac:dyDescent="0.15">
      <c r="A383" s="3">
        <f ca="1">IFERROR(__xludf.DUMMYFUNCTION("""COMPUTED_VALUE"""),43202.567322037)</f>
        <v>43202.567322037001</v>
      </c>
      <c r="B383" t="str">
        <f ca="1">IFERROR(__xludf.DUMMYFUNCTION("""COMPUTED_VALUE"""),"vijayan1962pillai@gmail.com")</f>
        <v>vijayan1962pillai@gmail.com</v>
      </c>
      <c r="C383">
        <f ca="1">IFERROR(__xludf.DUMMYFUNCTION("""COMPUTED_VALUE"""),686)</f>
        <v>686</v>
      </c>
      <c r="D383" t="str">
        <f ca="1">IFERROR(__xludf.DUMMYFUNCTION("""COMPUTED_VALUE"""),"Sree Mahaganapathy Sevashram")</f>
        <v>Sree Mahaganapathy Sevashram</v>
      </c>
      <c r="E383">
        <f ca="1">IFERROR(__xludf.DUMMYFUNCTION("""COMPUTED_VALUE"""),9495910565)</f>
        <v>9495910565</v>
      </c>
      <c r="F383" t="str">
        <f ca="1">IFERROR(__xludf.DUMMYFUNCTION("""COMPUTED_VALUE"""),"Thiruvananthapuram")</f>
        <v>Thiruvananthapuram</v>
      </c>
      <c r="G383" t="str">
        <f ca="1">IFERROR(__xludf.DUMMYFUNCTION("""COMPUTED_VALUE"""),"KELTRON")</f>
        <v>KELTRON</v>
      </c>
      <c r="H383">
        <f ca="1">IFERROR(__xludf.DUMMYFUNCTION("""COMPUTED_VALUE"""),3)</f>
        <v>3</v>
      </c>
      <c r="I383" s="4">
        <f ca="1">IFERROR(__xludf.DUMMYFUNCTION("""COMPUTED_VALUE"""),43200)</f>
        <v>43200</v>
      </c>
      <c r="J383">
        <f ca="1">IFERROR(__xludf.DUMMYFUNCTION("""COMPUTED_VALUE"""),30)</f>
        <v>30</v>
      </c>
      <c r="K383">
        <f ca="1">IFERROR(__xludf.DUMMYFUNCTION("""COMPUTED_VALUE"""),1145115007295)</f>
        <v>1145115007295</v>
      </c>
      <c r="L383" t="str">
        <f ca="1">IFERROR(__xludf.DUMMYFUNCTION("""COMPUTED_VALUE"""),"Thirumala")</f>
        <v>Thirumala</v>
      </c>
      <c r="M383" t="str">
        <f ca="1">IFERROR(__xludf.DUMMYFUNCTION("""COMPUTED_VALUE"""),"I Accept")</f>
        <v>I Accept</v>
      </c>
      <c r="N383" s="4">
        <f ca="1">IFERROR(__xludf.DUMMYFUNCTION("""COMPUTED_VALUE"""),43177)</f>
        <v>43177</v>
      </c>
      <c r="O383" s="4">
        <f ca="1">IFERROR(__xludf.DUMMYFUNCTION("""COMPUTED_VALUE"""),43177)</f>
        <v>43177</v>
      </c>
      <c r="P383">
        <f ca="1">IFERROR(__xludf.DUMMYFUNCTION("""COMPUTED_VALUE"""),30)</f>
        <v>30</v>
      </c>
      <c r="Q383" t="str">
        <f ca="1">IFERROR(__xludf.DUMMYFUNCTION("""COMPUTED_VALUE"""),"kecsolar2017@gmail.com")</f>
        <v>kecsolar2017@gmail.com</v>
      </c>
      <c r="R383" s="2" t="s">
        <v>2797</v>
      </c>
    </row>
    <row r="384" spans="1:18" ht="13" x14ac:dyDescent="0.15">
      <c r="A384" s="3">
        <f ca="1">IFERROR(__xludf.DUMMYFUNCTION("""COMPUTED_VALUE"""),43202.5728792476)</f>
        <v>43202.5728792476</v>
      </c>
      <c r="B384" t="str">
        <f ca="1">IFERROR(__xludf.DUMMYFUNCTION("""COMPUTED_VALUE"""),"nestrokochi@gmail.com")</f>
        <v>nestrokochi@gmail.com</v>
      </c>
      <c r="C384">
        <f ca="1">IFERROR(__xludf.DUMMYFUNCTION("""COMPUTED_VALUE"""),774)</f>
        <v>774</v>
      </c>
      <c r="D384" t="str">
        <f ca="1">IFERROR(__xludf.DUMMYFUNCTION("""COMPUTED_VALUE"""),"SAIRA FAISAL")</f>
        <v>SAIRA FAISAL</v>
      </c>
      <c r="E384">
        <f ca="1">IFERROR(__xludf.DUMMYFUNCTION("""COMPUTED_VALUE"""),9387037222)</f>
        <v>9387037222</v>
      </c>
      <c r="F384" t="str">
        <f ca="1">IFERROR(__xludf.DUMMYFUNCTION("""COMPUTED_VALUE"""),"Ernakulam")</f>
        <v>Ernakulam</v>
      </c>
      <c r="G384" t="str">
        <f ca="1">IFERROR(__xludf.DUMMYFUNCTION("""COMPUTED_VALUE"""),"NESTRO MARKETING LLP")</f>
        <v>NESTRO MARKETING LLP</v>
      </c>
      <c r="H384">
        <f ca="1">IFERROR(__xludf.DUMMYFUNCTION("""COMPUTED_VALUE"""),14)</f>
        <v>14</v>
      </c>
      <c r="I384" s="4">
        <f ca="1">IFERROR(__xludf.DUMMYFUNCTION("""COMPUTED_VALUE"""),43227)</f>
        <v>43227</v>
      </c>
      <c r="J384">
        <f ca="1">IFERROR(__xludf.DUMMYFUNCTION("""COMPUTED_VALUE"""),5)</f>
        <v>5</v>
      </c>
      <c r="K384">
        <f ca="1">IFERROR(__xludf.DUMMYFUNCTION("""COMPUTED_VALUE"""),1155672018614)</f>
        <v>1155672018614</v>
      </c>
      <c r="L384" t="str">
        <f ca="1">IFERROR(__xludf.DUMMYFUNCTION("""COMPUTED_VALUE"""),"ALUVA TOWN (5567)")</f>
        <v>ALUVA TOWN (5567)</v>
      </c>
      <c r="M384" t="str">
        <f ca="1">IFERROR(__xludf.DUMMYFUNCTION("""COMPUTED_VALUE"""),"I Accept")</f>
        <v>I Accept</v>
      </c>
      <c r="N384" s="4">
        <f ca="1">IFERROR(__xludf.DUMMYFUNCTION("""COMPUTED_VALUE"""),43196)</f>
        <v>43196</v>
      </c>
      <c r="O384" s="4">
        <f ca="1">IFERROR(__xludf.DUMMYFUNCTION("""COMPUTED_VALUE"""),43196)</f>
        <v>43196</v>
      </c>
      <c r="P384">
        <f ca="1">IFERROR(__xludf.DUMMYFUNCTION("""COMPUTED_VALUE"""),5)</f>
        <v>5</v>
      </c>
      <c r="Q384" t="str">
        <f ca="1">IFERROR(__xludf.DUMMYFUNCTION("""COMPUTED_VALUE"""),"nestromarketing@gmail.com")</f>
        <v>nestromarketing@gmail.com</v>
      </c>
      <c r="R384" s="2" t="s">
        <v>2798</v>
      </c>
    </row>
    <row r="385" spans="1:18" ht="13" x14ac:dyDescent="0.15">
      <c r="A385" s="3">
        <f ca="1">IFERROR(__xludf.DUMMYFUNCTION("""COMPUTED_VALUE"""),43202.60391125)</f>
        <v>43202.60391125</v>
      </c>
      <c r="B385" t="str">
        <f ca="1">IFERROR(__xludf.DUMMYFUNCTION("""COMPUTED_VALUE"""),"jojijohnt@gmail.com")</f>
        <v>jojijohnt@gmail.com</v>
      </c>
      <c r="C385">
        <f ca="1">IFERROR(__xludf.DUMMYFUNCTION("""COMPUTED_VALUE"""),744)</f>
        <v>744</v>
      </c>
      <c r="D385" t="str">
        <f ca="1">IFERROR(__xludf.DUMMYFUNCTION("""COMPUTED_VALUE"""),"SAJITH CHANDRAN")</f>
        <v>SAJITH CHANDRAN</v>
      </c>
      <c r="E385">
        <f ca="1">IFERROR(__xludf.DUMMYFUNCTION("""COMPUTED_VALUE"""),9539004140)</f>
        <v>9539004140</v>
      </c>
      <c r="F385" t="str">
        <f ca="1">IFERROR(__xludf.DUMMYFUNCTION("""COMPUTED_VALUE"""),"Ernakulam")</f>
        <v>Ernakulam</v>
      </c>
      <c r="G385" t="str">
        <f ca="1">IFERROR(__xludf.DUMMYFUNCTION("""COMPUTED_VALUE"""),"SIRET SOLAR PVT.LTD")</f>
        <v>SIRET SOLAR PVT.LTD</v>
      </c>
      <c r="H385">
        <f ca="1">IFERROR(__xludf.DUMMYFUNCTION("""COMPUTED_VALUE"""),21)</f>
        <v>21</v>
      </c>
      <c r="I385" s="4">
        <f ca="1">IFERROR(__xludf.DUMMYFUNCTION("""COMPUTED_VALUE"""),43202)</f>
        <v>43202</v>
      </c>
      <c r="J385">
        <f ca="1">IFERROR(__xludf.DUMMYFUNCTION("""COMPUTED_VALUE"""),3)</f>
        <v>3</v>
      </c>
      <c r="K385">
        <f ca="1">IFERROR(__xludf.DUMMYFUNCTION("""COMPUTED_VALUE"""),1157336013316)</f>
        <v>1157336013316</v>
      </c>
      <c r="L385" t="str">
        <f ca="1">IFERROR(__xludf.DUMMYFUNCTION("""COMPUTED_VALUE"""),"EROOR")</f>
        <v>EROOR</v>
      </c>
      <c r="M385" t="str">
        <f ca="1">IFERROR(__xludf.DUMMYFUNCTION("""COMPUTED_VALUE"""),"I Accept")</f>
        <v>I Accept</v>
      </c>
      <c r="N385" s="4">
        <f ca="1">IFERROR(__xludf.DUMMYFUNCTION("""COMPUTED_VALUE"""),43187)</f>
        <v>43187</v>
      </c>
      <c r="O385" s="4">
        <f ca="1">IFERROR(__xludf.DUMMYFUNCTION("""COMPUTED_VALUE"""),43187)</f>
        <v>43187</v>
      </c>
      <c r="P385">
        <f ca="1">IFERROR(__xludf.DUMMYFUNCTION("""COMPUTED_VALUE"""),3)</f>
        <v>3</v>
      </c>
      <c r="Q385" t="str">
        <f ca="1">IFERROR(__xludf.DUMMYFUNCTION("""COMPUTED_VALUE"""),"jojijohnt@gmail.com")</f>
        <v>jojijohnt@gmail.com</v>
      </c>
      <c r="R385" s="2" t="s">
        <v>2799</v>
      </c>
    </row>
    <row r="386" spans="1:18" ht="13" x14ac:dyDescent="0.15">
      <c r="A386" s="3">
        <f ca="1">IFERROR(__xludf.DUMMYFUNCTION("""COMPUTED_VALUE"""),43202.6125376504)</f>
        <v>43202.612537650399</v>
      </c>
      <c r="B386" t="str">
        <f ca="1">IFERROR(__xludf.DUMMYFUNCTION("""COMPUTED_VALUE"""),"silverwoodsekm@gmail.com")</f>
        <v>silverwoodsekm@gmail.com</v>
      </c>
      <c r="C386">
        <f ca="1">IFERROR(__xludf.DUMMYFUNCTION("""COMPUTED_VALUE"""),703)</f>
        <v>703</v>
      </c>
      <c r="D386" t="str">
        <f ca="1">IFERROR(__xludf.DUMMYFUNCTION("""COMPUTED_VALUE"""),"GOPAKUMAR M")</f>
        <v>GOPAKUMAR M</v>
      </c>
      <c r="E386">
        <f ca="1">IFERROR(__xludf.DUMMYFUNCTION("""COMPUTED_VALUE"""),9526991113)</f>
        <v>9526991113</v>
      </c>
      <c r="F386" t="str">
        <f ca="1">IFERROR(__xludf.DUMMYFUNCTION("""COMPUTED_VALUE"""),"Ernakulam")</f>
        <v>Ernakulam</v>
      </c>
      <c r="G386" t="str">
        <f ca="1">IFERROR(__xludf.DUMMYFUNCTION("""COMPUTED_VALUE"""),"TATA POWER SOLAR SYSTEMS LTD")</f>
        <v>TATA POWER SOLAR SYSTEMS LTD</v>
      </c>
      <c r="H386">
        <f ca="1">IFERROR(__xludf.DUMMYFUNCTION("""COMPUTED_VALUE"""),20)</f>
        <v>20</v>
      </c>
      <c r="I386" s="4">
        <f ca="1">IFERROR(__xludf.DUMMYFUNCTION("""COMPUTED_VALUE"""),43202)</f>
        <v>43202</v>
      </c>
      <c r="J386">
        <f ca="1">IFERROR(__xludf.DUMMYFUNCTION("""COMPUTED_VALUE"""),3)</f>
        <v>3</v>
      </c>
      <c r="K386">
        <f ca="1">IFERROR(__xludf.DUMMYFUNCTION("""COMPUTED_VALUE"""),1157319011444)</f>
        <v>1157319011444</v>
      </c>
      <c r="L386" t="str">
        <f ca="1">IFERROR(__xludf.DUMMYFUNCTION("""COMPUTED_VALUE"""),"THRIKKAKKARA WEST")</f>
        <v>THRIKKAKKARA WEST</v>
      </c>
      <c r="M386" t="str">
        <f ca="1">IFERROR(__xludf.DUMMYFUNCTION("""COMPUTED_VALUE"""),"I Accept")</f>
        <v>I Accept</v>
      </c>
      <c r="N386" s="4">
        <f ca="1">IFERROR(__xludf.DUMMYFUNCTION("""COMPUTED_VALUE"""),43199)</f>
        <v>43199</v>
      </c>
      <c r="O386" s="4">
        <f ca="1">IFERROR(__xludf.DUMMYFUNCTION("""COMPUTED_VALUE"""),43199)</f>
        <v>43199</v>
      </c>
      <c r="P386">
        <f ca="1">IFERROR(__xludf.DUMMYFUNCTION("""COMPUTED_VALUE"""),3)</f>
        <v>3</v>
      </c>
      <c r="Q386" t="str">
        <f ca="1">IFERROR(__xludf.DUMMYFUNCTION("""COMPUTED_VALUE"""),"silverwoodsekm@gmail.com")</f>
        <v>silverwoodsekm@gmail.com</v>
      </c>
      <c r="R386" s="2" t="s">
        <v>2800</v>
      </c>
    </row>
    <row r="387" spans="1:18" ht="13" x14ac:dyDescent="0.15">
      <c r="A387" s="3">
        <f ca="1">IFERROR(__xludf.DUMMYFUNCTION("""COMPUTED_VALUE"""),43202.6184132986)</f>
        <v>43202.618413298602</v>
      </c>
      <c r="B387" t="str">
        <f ca="1">IFERROR(__xludf.DUMMYFUNCTION("""COMPUTED_VALUE"""),"rajanthundiamkulathu@yahoo.com")</f>
        <v>rajanthundiamkulathu@yahoo.com</v>
      </c>
      <c r="C387">
        <f ca="1">IFERROR(__xludf.DUMMYFUNCTION("""COMPUTED_VALUE"""),660)</f>
        <v>660</v>
      </c>
      <c r="D387" t="str">
        <f ca="1">IFERROR(__xludf.DUMMYFUNCTION("""COMPUTED_VALUE"""),"K E THOMAS")</f>
        <v>K E THOMAS</v>
      </c>
      <c r="E387">
        <f ca="1">IFERROR(__xludf.DUMMYFUNCTION("""COMPUTED_VALUE"""),9400928128)</f>
        <v>9400928128</v>
      </c>
      <c r="F387" t="str">
        <f ca="1">IFERROR(__xludf.DUMMYFUNCTION("""COMPUTED_VALUE"""),"Pathanamthitta")</f>
        <v>Pathanamthitta</v>
      </c>
      <c r="G387" t="str">
        <f ca="1">IFERROR(__xludf.DUMMYFUNCTION("""COMPUTED_VALUE"""),"SIRET SOLAR PVT.LTD")</f>
        <v>SIRET SOLAR PVT.LTD</v>
      </c>
      <c r="H387">
        <f ca="1">IFERROR(__xludf.DUMMYFUNCTION("""COMPUTED_VALUE"""),21)</f>
        <v>21</v>
      </c>
      <c r="I387" s="4">
        <f ca="1">IFERROR(__xludf.DUMMYFUNCTION("""COMPUTED_VALUE"""),43202)</f>
        <v>43202</v>
      </c>
      <c r="J387">
        <f ca="1">IFERROR(__xludf.DUMMYFUNCTION("""COMPUTED_VALUE"""),2)</f>
        <v>2</v>
      </c>
      <c r="K387">
        <f ca="1">IFERROR(__xludf.DUMMYFUNCTION("""COMPUTED_VALUE"""),1146230004334)</f>
        <v>1146230004334</v>
      </c>
      <c r="L387" t="str">
        <f ca="1">IFERROR(__xludf.DUMMYFUNCTION("""COMPUTED_VALUE"""),"MALLAPPALLY")</f>
        <v>MALLAPPALLY</v>
      </c>
      <c r="M387" t="str">
        <f ca="1">IFERROR(__xludf.DUMMYFUNCTION("""COMPUTED_VALUE"""),"I Accept")</f>
        <v>I Accept</v>
      </c>
      <c r="N387" s="4">
        <f ca="1">IFERROR(__xludf.DUMMYFUNCTION("""COMPUTED_VALUE"""),43193)</f>
        <v>43193</v>
      </c>
      <c r="O387" s="4">
        <f ca="1">IFERROR(__xludf.DUMMYFUNCTION("""COMPUTED_VALUE"""),43193)</f>
        <v>43193</v>
      </c>
      <c r="P387">
        <f ca="1">IFERROR(__xludf.DUMMYFUNCTION("""COMPUTED_VALUE"""),2)</f>
        <v>2</v>
      </c>
      <c r="Q387" t="str">
        <f ca="1">IFERROR(__xludf.DUMMYFUNCTION("""COMPUTED_VALUE"""),"rajanthundiamkulathu@yahoo.com")</f>
        <v>rajanthundiamkulathu@yahoo.com</v>
      </c>
      <c r="R387" s="2" t="s">
        <v>2801</v>
      </c>
    </row>
    <row r="388" spans="1:18" ht="13" x14ac:dyDescent="0.15">
      <c r="A388" s="3">
        <f ca="1">IFERROR(__xludf.DUMMYFUNCTION("""COMPUTED_VALUE"""),43202.6544110185)</f>
        <v>43202.654411018499</v>
      </c>
      <c r="B388" t="str">
        <f ca="1">IFERROR(__xludf.DUMMYFUNCTION("""COMPUTED_VALUE"""),"solarconnect2018@gmail.com")</f>
        <v>solarconnect2018@gmail.com</v>
      </c>
      <c r="C388">
        <f ca="1">IFERROR(__xludf.DUMMYFUNCTION("""COMPUTED_VALUE"""),719)</f>
        <v>719</v>
      </c>
      <c r="D388" t="str">
        <f ca="1">IFERROR(__xludf.DUMMYFUNCTION("""COMPUTED_VALUE"""),"MOITHEENKUTTY")</f>
        <v>MOITHEENKUTTY</v>
      </c>
      <c r="E388">
        <f ca="1">IFERROR(__xludf.DUMMYFUNCTION("""COMPUTED_VALUE"""),9895810851)</f>
        <v>9895810851</v>
      </c>
      <c r="F388" t="str">
        <f ca="1">IFERROR(__xludf.DUMMYFUNCTION("""COMPUTED_VALUE"""),"Malappuram")</f>
        <v>Malappuram</v>
      </c>
      <c r="G388" t="str">
        <f ca="1">IFERROR(__xludf.DUMMYFUNCTION("""COMPUTED_VALUE"""),"SPECTRUM TECHNO PRODUCTS")</f>
        <v>SPECTRUM TECHNO PRODUCTS</v>
      </c>
      <c r="H388">
        <f ca="1">IFERROR(__xludf.DUMMYFUNCTION("""COMPUTED_VALUE"""),66)</f>
        <v>66</v>
      </c>
      <c r="I388" s="4">
        <f ca="1">IFERROR(__xludf.DUMMYFUNCTION("""COMPUTED_VALUE"""),43197)</f>
        <v>43197</v>
      </c>
      <c r="J388">
        <f ca="1">IFERROR(__xludf.DUMMYFUNCTION("""COMPUTED_VALUE"""),3)</f>
        <v>3</v>
      </c>
      <c r="K388">
        <f ca="1">IFERROR(__xludf.DUMMYFUNCTION("""COMPUTED_VALUE"""),1167086002806)</f>
        <v>1167086002806</v>
      </c>
      <c r="L388" t="str">
        <f ca="1">IFERROR(__xludf.DUMMYFUNCTION("""COMPUTED_VALUE"""),"CHATTIPRAMBA")</f>
        <v>CHATTIPRAMBA</v>
      </c>
      <c r="M388" t="str">
        <f ca="1">IFERROR(__xludf.DUMMYFUNCTION("""COMPUTED_VALUE"""),"I Accept")</f>
        <v>I Accept</v>
      </c>
      <c r="N388" s="4">
        <f ca="1">IFERROR(__xludf.DUMMYFUNCTION("""COMPUTED_VALUE"""),43193)</f>
        <v>43193</v>
      </c>
      <c r="O388" s="4">
        <f ca="1">IFERROR(__xludf.DUMMYFUNCTION("""COMPUTED_VALUE"""),43193)</f>
        <v>43193</v>
      </c>
      <c r="P388">
        <f ca="1">IFERROR(__xludf.DUMMYFUNCTION("""COMPUTED_VALUE"""),3)</f>
        <v>3</v>
      </c>
      <c r="Q388" t="str">
        <f ca="1">IFERROR(__xludf.DUMMYFUNCTION("""COMPUTED_VALUE"""),"solarconnect2018@gmail.com")</f>
        <v>solarconnect2018@gmail.com</v>
      </c>
      <c r="R388" s="2" t="s">
        <v>2802</v>
      </c>
    </row>
    <row r="389" spans="1:18" ht="13" x14ac:dyDescent="0.15">
      <c r="A389" s="3">
        <f ca="1">IFERROR(__xludf.DUMMYFUNCTION("""COMPUTED_VALUE"""),43202.6573984259)</f>
        <v>43202.657398425901</v>
      </c>
      <c r="B389" t="str">
        <f ca="1">IFERROR(__xludf.DUMMYFUNCTION("""COMPUTED_VALUE"""),"solarconnect2018@gmail.com")</f>
        <v>solarconnect2018@gmail.com</v>
      </c>
      <c r="C389">
        <f ca="1">IFERROR(__xludf.DUMMYFUNCTION("""COMPUTED_VALUE"""),720)</f>
        <v>720</v>
      </c>
      <c r="D389" t="str">
        <f ca="1">IFERROR(__xludf.DUMMYFUNCTION("""COMPUTED_VALUE"""),"HYDROSSKUTTY")</f>
        <v>HYDROSSKUTTY</v>
      </c>
      <c r="E389">
        <f ca="1">IFERROR(__xludf.DUMMYFUNCTION("""COMPUTED_VALUE"""),9895810851)</f>
        <v>9895810851</v>
      </c>
      <c r="F389" t="str">
        <f ca="1">IFERROR(__xludf.DUMMYFUNCTION("""COMPUTED_VALUE"""),"Malappuram")</f>
        <v>Malappuram</v>
      </c>
      <c r="G389" t="str">
        <f ca="1">IFERROR(__xludf.DUMMYFUNCTION("""COMPUTED_VALUE"""),"SPECTRUM TECHNO PRODUCTS")</f>
        <v>SPECTRUM TECHNO PRODUCTS</v>
      </c>
      <c r="H389">
        <f ca="1">IFERROR(__xludf.DUMMYFUNCTION("""COMPUTED_VALUE"""),66)</f>
        <v>66</v>
      </c>
      <c r="I389" s="4">
        <f ca="1">IFERROR(__xludf.DUMMYFUNCTION("""COMPUTED_VALUE"""),43197)</f>
        <v>43197</v>
      </c>
      <c r="J389">
        <f ca="1">IFERROR(__xludf.DUMMYFUNCTION("""COMPUTED_VALUE"""),3)</f>
        <v>3</v>
      </c>
      <c r="K389">
        <f ca="1">IFERROR(__xludf.DUMMYFUNCTION("""COMPUTED_VALUE"""),1165551001648)</f>
        <v>1165551001648</v>
      </c>
      <c r="L389" t="str">
        <f ca="1">IFERROR(__xludf.DUMMYFUNCTION("""COMPUTED_VALUE"""),"MALAPPURAM EAST")</f>
        <v>MALAPPURAM EAST</v>
      </c>
      <c r="M389" t="str">
        <f ca="1">IFERROR(__xludf.DUMMYFUNCTION("""COMPUTED_VALUE"""),"I Accept")</f>
        <v>I Accept</v>
      </c>
      <c r="N389" s="4">
        <f ca="1">IFERROR(__xludf.DUMMYFUNCTION("""COMPUTED_VALUE"""),43185)</f>
        <v>43185</v>
      </c>
      <c r="O389" s="4">
        <f ca="1">IFERROR(__xludf.DUMMYFUNCTION("""COMPUTED_VALUE"""),43185)</f>
        <v>43185</v>
      </c>
      <c r="P389">
        <f ca="1">IFERROR(__xludf.DUMMYFUNCTION("""COMPUTED_VALUE"""),3)</f>
        <v>3</v>
      </c>
      <c r="Q389" t="str">
        <f ca="1">IFERROR(__xludf.DUMMYFUNCTION("""COMPUTED_VALUE"""),"solarconnect2018@gmail.com")</f>
        <v>solarconnect2018@gmail.com</v>
      </c>
      <c r="R389" s="2" t="s">
        <v>2803</v>
      </c>
    </row>
    <row r="390" spans="1:18" ht="13" x14ac:dyDescent="0.15">
      <c r="A390" s="3">
        <f ca="1">IFERROR(__xludf.DUMMYFUNCTION("""COMPUTED_VALUE"""),43202.6582091319)</f>
        <v>43202.6582091319</v>
      </c>
      <c r="B390" t="str">
        <f ca="1">IFERROR(__xludf.DUMMYFUNCTION("""COMPUTED_VALUE"""),"serin.soura@gmail.com")</f>
        <v>serin.soura@gmail.com</v>
      </c>
      <c r="C390">
        <f ca="1">IFERROR(__xludf.DUMMYFUNCTION("""COMPUTED_VALUE"""),772)</f>
        <v>772</v>
      </c>
      <c r="D390" t="str">
        <f ca="1">IFERROR(__xludf.DUMMYFUNCTION("""COMPUTED_VALUE"""),"Haseena")</f>
        <v>Haseena</v>
      </c>
      <c r="E390">
        <f ca="1">IFERROR(__xludf.DUMMYFUNCTION("""COMPUTED_VALUE"""),9656155418)</f>
        <v>9656155418</v>
      </c>
      <c r="F390" t="str">
        <f ca="1">IFERROR(__xludf.DUMMYFUNCTION("""COMPUTED_VALUE"""),"Thrissur")</f>
        <v>Thrissur</v>
      </c>
      <c r="G390" t="str">
        <f ca="1">IFERROR(__xludf.DUMMYFUNCTION("""COMPUTED_VALUE"""),"Soura Natural Energy Solutions India pvt ltd")</f>
        <v>Soura Natural Energy Solutions India pvt ltd</v>
      </c>
      <c r="H390">
        <f ca="1">IFERROR(__xludf.DUMMYFUNCTION("""COMPUTED_VALUE"""),11)</f>
        <v>11</v>
      </c>
      <c r="I390" s="4">
        <f ca="1">IFERROR(__xludf.DUMMYFUNCTION("""COMPUTED_VALUE"""),43202)</f>
        <v>43202</v>
      </c>
      <c r="J390">
        <f ca="1">IFERROR(__xludf.DUMMYFUNCTION("""COMPUTED_VALUE"""),5)</f>
        <v>5</v>
      </c>
      <c r="K390">
        <f ca="1">IFERROR(__xludf.DUMMYFUNCTION("""COMPUTED_VALUE"""),21552)</f>
        <v>21552</v>
      </c>
      <c r="L390" t="str">
        <f ca="1">IFERROR(__xludf.DUMMYFUNCTION("""COMPUTED_VALUE"""),"kundannur")</f>
        <v>kundannur</v>
      </c>
      <c r="M390" t="str">
        <f ca="1">IFERROR(__xludf.DUMMYFUNCTION("""COMPUTED_VALUE"""),"I Accept")</f>
        <v>I Accept</v>
      </c>
      <c r="N390" s="4">
        <f ca="1">IFERROR(__xludf.DUMMYFUNCTION("""COMPUTED_VALUE"""),43202)</f>
        <v>43202</v>
      </c>
      <c r="O390" s="4">
        <f ca="1">IFERROR(__xludf.DUMMYFUNCTION("""COMPUTED_VALUE"""),43202)</f>
        <v>43202</v>
      </c>
      <c r="P390">
        <f ca="1">IFERROR(__xludf.DUMMYFUNCTION("""COMPUTED_VALUE"""),5)</f>
        <v>5</v>
      </c>
      <c r="Q390" t="str">
        <f ca="1">IFERROR(__xludf.DUMMYFUNCTION("""COMPUTED_VALUE"""),"serin.soura@gmail.com")</f>
        <v>serin.soura@gmail.com</v>
      </c>
      <c r="R390" s="2" t="s">
        <v>2804</v>
      </c>
    </row>
    <row r="391" spans="1:18" ht="13" x14ac:dyDescent="0.15">
      <c r="A391" s="3">
        <f ca="1">IFERROR(__xludf.DUMMYFUNCTION("""COMPUTED_VALUE"""),43202.6879228124)</f>
        <v>43202.687922812402</v>
      </c>
      <c r="B391" t="str">
        <f ca="1">IFERROR(__xludf.DUMMYFUNCTION("""COMPUTED_VALUE"""),"sunilkumaralayil@gmail.com")</f>
        <v>sunilkumaralayil@gmail.com</v>
      </c>
      <c r="C391">
        <f ca="1">IFERROR(__xludf.DUMMYFUNCTION("""COMPUTED_VALUE"""),40)</f>
        <v>40</v>
      </c>
      <c r="D391" t="str">
        <f ca="1">IFERROR(__xludf.DUMMYFUNCTION("""COMPUTED_VALUE"""),"SUNIL KUMAR AS")</f>
        <v>SUNIL KUMAR AS</v>
      </c>
      <c r="E391">
        <f ca="1">IFERROR(__xludf.DUMMYFUNCTION("""COMPUTED_VALUE"""),9496346223)</f>
        <v>9496346223</v>
      </c>
      <c r="F391" t="str">
        <f ca="1">IFERROR(__xludf.DUMMYFUNCTION("""COMPUTED_VALUE"""),"Thrissur")</f>
        <v>Thrissur</v>
      </c>
      <c r="G391" t="str">
        <f ca="1">IFERROR(__xludf.DUMMYFUNCTION("""COMPUTED_VALUE"""),"TATA POWER SOLAR SYSTEMS LIMITED")</f>
        <v>TATA POWER SOLAR SYSTEMS LIMITED</v>
      </c>
      <c r="H391">
        <f ca="1">IFERROR(__xludf.DUMMYFUNCTION("""COMPUTED_VALUE"""),20)</f>
        <v>20</v>
      </c>
      <c r="I391" s="4">
        <f ca="1">IFERROR(__xludf.DUMMYFUNCTION("""COMPUTED_VALUE"""),43201)</f>
        <v>43201</v>
      </c>
      <c r="J391">
        <f ca="1">IFERROR(__xludf.DUMMYFUNCTION("""COMPUTED_VALUE"""),5)</f>
        <v>5</v>
      </c>
      <c r="K391">
        <f ca="1">IFERROR(__xludf.DUMMYFUNCTION("""COMPUTED_VALUE"""),1156699019963)</f>
        <v>1156699019963</v>
      </c>
      <c r="L391" t="str">
        <f ca="1">IFERROR(__xludf.DUMMYFUNCTION("""COMPUTED_VALUE"""),"KOORKANCHERY")</f>
        <v>KOORKANCHERY</v>
      </c>
      <c r="M391" t="str">
        <f ca="1">IFERROR(__xludf.DUMMYFUNCTION("""COMPUTED_VALUE"""),"I Accept")</f>
        <v>I Accept</v>
      </c>
      <c r="N391" s="4">
        <f ca="1">IFERROR(__xludf.DUMMYFUNCTION("""COMPUTED_VALUE"""),43195)</f>
        <v>43195</v>
      </c>
      <c r="O391" s="4">
        <f ca="1">IFERROR(__xludf.DUMMYFUNCTION("""COMPUTED_VALUE"""),43195)</f>
        <v>43195</v>
      </c>
      <c r="P391">
        <f ca="1">IFERROR(__xludf.DUMMYFUNCTION("""COMPUTED_VALUE"""),10)</f>
        <v>10</v>
      </c>
      <c r="Q391" t="str">
        <f ca="1">IFERROR(__xludf.DUMMYFUNCTION("""COMPUTED_VALUE"""),"sunilkumaralayil@gmail.com")</f>
        <v>sunilkumaralayil@gmail.com</v>
      </c>
      <c r="R391" s="2" t="s">
        <v>2805</v>
      </c>
    </row>
    <row r="392" spans="1:18" ht="13" x14ac:dyDescent="0.15">
      <c r="A392" s="3">
        <f ca="1">IFERROR(__xludf.DUMMYFUNCTION("""COMPUTED_VALUE"""),43202.6992623379)</f>
        <v>43202.699262337897</v>
      </c>
      <c r="B392" t="str">
        <f ca="1">IFERROR(__xludf.DUMMYFUNCTION("""COMPUTED_VALUE"""),"connectdsk@gmail.com")</f>
        <v>connectdsk@gmail.com</v>
      </c>
      <c r="C392">
        <f ca="1">IFERROR(__xludf.DUMMYFUNCTION("""COMPUTED_VALUE"""),900)</f>
        <v>900</v>
      </c>
      <c r="D392" t="str">
        <f ca="1">IFERROR(__xludf.DUMMYFUNCTION("""COMPUTED_VALUE"""),"AYISHABI K P")</f>
        <v>AYISHABI K P</v>
      </c>
      <c r="E392">
        <f ca="1">IFERROR(__xludf.DUMMYFUNCTION("""COMPUTED_VALUE"""),8547564126)</f>
        <v>8547564126</v>
      </c>
      <c r="F392" t="str">
        <f ca="1">IFERROR(__xludf.DUMMYFUNCTION("""COMPUTED_VALUE"""),"Kozhikode")</f>
        <v>Kozhikode</v>
      </c>
      <c r="G392" t="str">
        <f ca="1">IFERROR(__xludf.DUMMYFUNCTION("""COMPUTED_VALUE"""),"FERT")</f>
        <v>FERT</v>
      </c>
      <c r="H392">
        <f ca="1">IFERROR(__xludf.DUMMYFUNCTION("""COMPUTED_VALUE"""),27)</f>
        <v>27</v>
      </c>
      <c r="I392" s="4">
        <f ca="1">IFERROR(__xludf.DUMMYFUNCTION("""COMPUTED_VALUE"""),43201)</f>
        <v>43201</v>
      </c>
      <c r="J392">
        <f ca="1">IFERROR(__xludf.DUMMYFUNCTION("""COMPUTED_VALUE"""),3)</f>
        <v>3</v>
      </c>
      <c r="K392">
        <f ca="1">IFERROR(__xludf.DUMMYFUNCTION("""COMPUTED_VALUE"""),116604011263)</f>
        <v>116604011263</v>
      </c>
      <c r="L392" t="str">
        <f ca="1">IFERROR(__xludf.DUMMYFUNCTION("""COMPUTED_VALUE"""),"WESTHILL")</f>
        <v>WESTHILL</v>
      </c>
      <c r="M392" t="str">
        <f ca="1">IFERROR(__xludf.DUMMYFUNCTION("""COMPUTED_VALUE"""),"I Accept")</f>
        <v>I Accept</v>
      </c>
      <c r="N392" s="4">
        <f ca="1">IFERROR(__xludf.DUMMYFUNCTION("""COMPUTED_VALUE"""),43194)</f>
        <v>43194</v>
      </c>
      <c r="O392" s="4">
        <f ca="1">IFERROR(__xludf.DUMMYFUNCTION("""COMPUTED_VALUE"""),43194)</f>
        <v>43194</v>
      </c>
      <c r="P392">
        <f ca="1">IFERROR(__xludf.DUMMYFUNCTION("""COMPUTED_VALUE"""),3)</f>
        <v>3</v>
      </c>
      <c r="Q392" t="str">
        <f ca="1">IFERROR(__xludf.DUMMYFUNCTION("""COMPUTED_VALUE"""),"connectdsk@gmail.com")</f>
        <v>connectdsk@gmail.com</v>
      </c>
      <c r="R392" s="2" t="s">
        <v>2806</v>
      </c>
    </row>
    <row r="393" spans="1:18" ht="13" x14ac:dyDescent="0.15">
      <c r="A393" s="3">
        <f ca="1">IFERROR(__xludf.DUMMYFUNCTION("""COMPUTED_VALUE"""),43202.81867728)</f>
        <v>43202.818677280004</v>
      </c>
      <c r="B393" t="str">
        <f ca="1">IFERROR(__xludf.DUMMYFUNCTION("""COMPUTED_VALUE"""),"joseph.joejo@gmail.com")</f>
        <v>joseph.joejo@gmail.com</v>
      </c>
      <c r="C393">
        <f ca="1">IFERROR(__xludf.DUMMYFUNCTION("""COMPUTED_VALUE"""),690)</f>
        <v>690</v>
      </c>
      <c r="D393" t="str">
        <f ca="1">IFERROR(__xludf.DUMMYFUNCTION("""COMPUTED_VALUE"""),"joseph joseph")</f>
        <v>joseph joseph</v>
      </c>
      <c r="E393">
        <f ca="1">IFERROR(__xludf.DUMMYFUNCTION("""COMPUTED_VALUE"""),9446552548)</f>
        <v>9446552548</v>
      </c>
      <c r="F393" t="str">
        <f ca="1">IFERROR(__xludf.DUMMYFUNCTION("""COMPUTED_VALUE"""),"Idukki")</f>
        <v>Idukki</v>
      </c>
      <c r="G393" t="str">
        <f ca="1">IFERROR(__xludf.DUMMYFUNCTION("""COMPUTED_VALUE"""),"Tata power solar systems ltd")</f>
        <v>Tata power solar systems ltd</v>
      </c>
      <c r="H393">
        <f ca="1">IFERROR(__xludf.DUMMYFUNCTION("""COMPUTED_VALUE"""),20)</f>
        <v>20</v>
      </c>
      <c r="I393" s="4">
        <f ca="1">IFERROR(__xludf.DUMMYFUNCTION("""COMPUTED_VALUE"""),43202)</f>
        <v>43202</v>
      </c>
      <c r="J393">
        <f ca="1">IFERROR(__xludf.DUMMYFUNCTION("""COMPUTED_VALUE"""),3)</f>
        <v>3</v>
      </c>
      <c r="K393">
        <f ca="1">IFERROR(__xludf.DUMMYFUNCTION("""COMPUTED_VALUE"""),1156195001415)</f>
        <v>1156195001415</v>
      </c>
      <c r="L393" t="str">
        <f ca="1">IFERROR(__xludf.DUMMYFUNCTION("""COMPUTED_VALUE"""),"moolamattom")</f>
        <v>moolamattom</v>
      </c>
      <c r="M393" t="str">
        <f ca="1">IFERROR(__xludf.DUMMYFUNCTION("""COMPUTED_VALUE"""),"I Accept")</f>
        <v>I Accept</v>
      </c>
      <c r="N393" s="4">
        <f ca="1">IFERROR(__xludf.DUMMYFUNCTION("""COMPUTED_VALUE"""),43180)</f>
        <v>43180</v>
      </c>
      <c r="O393" s="4">
        <f ca="1">IFERROR(__xludf.DUMMYFUNCTION("""COMPUTED_VALUE"""),43180)</f>
        <v>43180</v>
      </c>
      <c r="P393">
        <f ca="1">IFERROR(__xludf.DUMMYFUNCTION("""COMPUTED_VALUE"""),3)</f>
        <v>3</v>
      </c>
      <c r="Q393" t="str">
        <f ca="1">IFERROR(__xludf.DUMMYFUNCTION("""COMPUTED_VALUE"""),"binoyjose41@gmail.com")</f>
        <v>binoyjose41@gmail.com</v>
      </c>
      <c r="R393" s="2" t="s">
        <v>2807</v>
      </c>
    </row>
    <row r="394" spans="1:18" ht="13" x14ac:dyDescent="0.15">
      <c r="A394" s="3">
        <f ca="1">IFERROR(__xludf.DUMMYFUNCTION("""COMPUTED_VALUE"""),43203.4223844444)</f>
        <v>43203.422384444399</v>
      </c>
      <c r="B394" t="str">
        <f ca="1">IFERROR(__xludf.DUMMYFUNCTION("""COMPUTED_VALUE"""),"nestromarketing@gmail.com")</f>
        <v>nestromarketing@gmail.com</v>
      </c>
      <c r="C394">
        <f ca="1">IFERROR(__xludf.DUMMYFUNCTION("""COMPUTED_VALUE"""),467)</f>
        <v>467</v>
      </c>
      <c r="D394" t="str">
        <f ca="1">IFERROR(__xludf.DUMMYFUNCTION("""COMPUTED_VALUE"""),"Shanavas Elachola")</f>
        <v>Shanavas Elachola</v>
      </c>
      <c r="E394">
        <f ca="1">IFERROR(__xludf.DUMMYFUNCTION("""COMPUTED_VALUE"""),7356817771)</f>
        <v>7356817771</v>
      </c>
      <c r="F394" t="str">
        <f ca="1">IFERROR(__xludf.DUMMYFUNCTION("""COMPUTED_VALUE"""),"Malappuram")</f>
        <v>Malappuram</v>
      </c>
      <c r="G394" t="str">
        <f ca="1">IFERROR(__xludf.DUMMYFUNCTION("""COMPUTED_VALUE"""),"nestro marketing LLP")</f>
        <v>nestro marketing LLP</v>
      </c>
      <c r="H394">
        <f ca="1">IFERROR(__xludf.DUMMYFUNCTION("""COMPUTED_VALUE"""),14)</f>
        <v>14</v>
      </c>
      <c r="I394" s="4">
        <f ca="1">IFERROR(__xludf.DUMMYFUNCTION("""COMPUTED_VALUE"""),43202)</f>
        <v>43202</v>
      </c>
      <c r="J394">
        <f ca="1">IFERROR(__xludf.DUMMYFUNCTION("""COMPUTED_VALUE"""),3)</f>
        <v>3</v>
      </c>
      <c r="K394">
        <f ca="1">IFERROR(__xludf.DUMMYFUNCTION("""COMPUTED_VALUE"""),1165654029901)</f>
        <v>1165654029901</v>
      </c>
      <c r="L394" t="str">
        <f ca="1">IFERROR(__xludf.DUMMYFUNCTION("""COMPUTED_VALUE"""),"Makkaraparamba")</f>
        <v>Makkaraparamba</v>
      </c>
      <c r="M394" t="str">
        <f ca="1">IFERROR(__xludf.DUMMYFUNCTION("""COMPUTED_VALUE"""),"I Accept")</f>
        <v>I Accept</v>
      </c>
      <c r="N394" s="4">
        <f ca="1">IFERROR(__xludf.DUMMYFUNCTION("""COMPUTED_VALUE"""),43201)</f>
        <v>43201</v>
      </c>
      <c r="O394" s="4">
        <f ca="1">IFERROR(__xludf.DUMMYFUNCTION("""COMPUTED_VALUE"""),43201)</f>
        <v>43201</v>
      </c>
      <c r="P394">
        <f ca="1">IFERROR(__xludf.DUMMYFUNCTION("""COMPUTED_VALUE"""),3)</f>
        <v>3</v>
      </c>
      <c r="Q394" t="str">
        <f ca="1">IFERROR(__xludf.DUMMYFUNCTION("""COMPUTED_VALUE"""),"nestromarketing@gmail.com")</f>
        <v>nestromarketing@gmail.com</v>
      </c>
      <c r="R394" s="2" t="s">
        <v>2808</v>
      </c>
    </row>
    <row r="395" spans="1:18" ht="13" x14ac:dyDescent="0.15">
      <c r="A395" s="3">
        <f ca="1">IFERROR(__xludf.DUMMYFUNCTION("""COMPUTED_VALUE"""),43203.4641169675)</f>
        <v>43203.464116967501</v>
      </c>
      <c r="B395" t="str">
        <f ca="1">IFERROR(__xludf.DUMMYFUNCTION("""COMPUTED_VALUE"""),"nestromarketing@gmail.com")</f>
        <v>nestromarketing@gmail.com</v>
      </c>
      <c r="C395">
        <f ca="1">IFERROR(__xludf.DUMMYFUNCTION("""COMPUTED_VALUE"""),134)</f>
        <v>134</v>
      </c>
      <c r="D395" t="str">
        <f ca="1">IFERROR(__xludf.DUMMYFUNCTION("""COMPUTED_VALUE"""),"Shahul Hameed")</f>
        <v>Shahul Hameed</v>
      </c>
      <c r="E395">
        <f ca="1">IFERROR(__xludf.DUMMYFUNCTION("""COMPUTED_VALUE"""),9142099977)</f>
        <v>9142099977</v>
      </c>
      <c r="F395" t="str">
        <f ca="1">IFERROR(__xludf.DUMMYFUNCTION("""COMPUTED_VALUE"""),"Malappuram")</f>
        <v>Malappuram</v>
      </c>
      <c r="G395" t="str">
        <f ca="1">IFERROR(__xludf.DUMMYFUNCTION("""COMPUTED_VALUE"""),"nestro marketing LLP")</f>
        <v>nestro marketing LLP</v>
      </c>
      <c r="H395">
        <f ca="1">IFERROR(__xludf.DUMMYFUNCTION("""COMPUTED_VALUE"""),14)</f>
        <v>14</v>
      </c>
      <c r="I395" s="4">
        <f ca="1">IFERROR(__xludf.DUMMYFUNCTION("""COMPUTED_VALUE"""),43200)</f>
        <v>43200</v>
      </c>
      <c r="J395">
        <f ca="1">IFERROR(__xludf.DUMMYFUNCTION("""COMPUTED_VALUE"""),5)</f>
        <v>5</v>
      </c>
      <c r="K395">
        <f ca="1">IFERROR(__xludf.DUMMYFUNCTION("""COMPUTED_VALUE"""),1167418006561)</f>
        <v>1167418006561</v>
      </c>
      <c r="L395" t="str">
        <f ca="1">IFERROR(__xludf.DUMMYFUNCTION("""COMPUTED_VALUE"""),"Kalpakancheri")</f>
        <v>Kalpakancheri</v>
      </c>
      <c r="M395" t="str">
        <f ca="1">IFERROR(__xludf.DUMMYFUNCTION("""COMPUTED_VALUE"""),"I Accept")</f>
        <v>I Accept</v>
      </c>
      <c r="N395" s="4">
        <f ca="1">IFERROR(__xludf.DUMMYFUNCTION("""COMPUTED_VALUE"""),43199)</f>
        <v>43199</v>
      </c>
      <c r="O395" s="4">
        <f ca="1">IFERROR(__xludf.DUMMYFUNCTION("""COMPUTED_VALUE"""),43199)</f>
        <v>43199</v>
      </c>
      <c r="P395">
        <f ca="1">IFERROR(__xludf.DUMMYFUNCTION("""COMPUTED_VALUE"""),5)</f>
        <v>5</v>
      </c>
      <c r="Q395" t="str">
        <f ca="1">IFERROR(__xludf.DUMMYFUNCTION("""COMPUTED_VALUE"""),"nestromarketing@gmail.com")</f>
        <v>nestromarketing@gmail.com</v>
      </c>
      <c r="R395" s="2" t="s">
        <v>2809</v>
      </c>
    </row>
    <row r="396" spans="1:18" ht="13" x14ac:dyDescent="0.15">
      <c r="A396" s="3">
        <f ca="1">IFERROR(__xludf.DUMMYFUNCTION("""COMPUTED_VALUE"""),43203.53772978)</f>
        <v>43203.537729780001</v>
      </c>
      <c r="B396" t="str">
        <f ca="1">IFERROR(__xludf.DUMMYFUNCTION("""COMPUTED_VALUE"""),"projects.basta@gmail.com")</f>
        <v>projects.basta@gmail.com</v>
      </c>
      <c r="C396">
        <f ca="1">IFERROR(__xludf.DUMMYFUNCTION("""COMPUTED_VALUE"""),751)</f>
        <v>751</v>
      </c>
      <c r="D396" t="str">
        <f ca="1">IFERROR(__xludf.DUMMYFUNCTION("""COMPUTED_VALUE"""),"St. Mary's Minor Seminary (Heralda of good news)")</f>
        <v>St. Mary's Minor Seminary (Heralda of good news)</v>
      </c>
      <c r="E396">
        <f ca="1">IFERROR(__xludf.DUMMYFUNCTION("""COMPUTED_VALUE"""),9061327111)</f>
        <v>9061327111</v>
      </c>
      <c r="F396" t="str">
        <f ca="1">IFERROR(__xludf.DUMMYFUNCTION("""COMPUTED_VALUE"""),"Kannur")</f>
        <v>Kannur</v>
      </c>
      <c r="G396" t="str">
        <f ca="1">IFERROR(__xludf.DUMMYFUNCTION("""COMPUTED_VALUE"""),"Bosch Ltd")</f>
        <v>Bosch Ltd</v>
      </c>
      <c r="H396">
        <f ca="1">IFERROR(__xludf.DUMMYFUNCTION("""COMPUTED_VALUE"""),18)</f>
        <v>18</v>
      </c>
      <c r="I396" s="4">
        <f ca="1">IFERROR(__xludf.DUMMYFUNCTION("""COMPUTED_VALUE"""),43203)</f>
        <v>43203</v>
      </c>
      <c r="J396">
        <f ca="1">IFERROR(__xludf.DUMMYFUNCTION("""COMPUTED_VALUE"""),10)</f>
        <v>10</v>
      </c>
      <c r="K396">
        <f ca="1">IFERROR(__xludf.DUMMYFUNCTION("""COMPUTED_VALUE"""),1166488011845)</f>
        <v>1166488011845</v>
      </c>
      <c r="L396" t="str">
        <f ca="1">IFERROR(__xludf.DUMMYFUNCTION("""COMPUTED_VALUE"""),"Alakkode")</f>
        <v>Alakkode</v>
      </c>
      <c r="M396" t="str">
        <f ca="1">IFERROR(__xludf.DUMMYFUNCTION("""COMPUTED_VALUE"""),"I Accept")</f>
        <v>I Accept</v>
      </c>
      <c r="N396" s="4">
        <f ca="1">IFERROR(__xludf.DUMMYFUNCTION("""COMPUTED_VALUE"""),43200)</f>
        <v>43200</v>
      </c>
      <c r="O396" s="4">
        <f ca="1">IFERROR(__xludf.DUMMYFUNCTION("""COMPUTED_VALUE"""),43200)</f>
        <v>43200</v>
      </c>
      <c r="P396">
        <f ca="1">IFERROR(__xludf.DUMMYFUNCTION("""COMPUTED_VALUE"""),10)</f>
        <v>10</v>
      </c>
      <c r="Q396" t="str">
        <f ca="1">IFERROR(__xludf.DUMMYFUNCTION("""COMPUTED_VALUE"""),"projects.basta@gmail.com")</f>
        <v>projects.basta@gmail.com</v>
      </c>
      <c r="R396" s="2" t="s">
        <v>2810</v>
      </c>
    </row>
    <row r="397" spans="1:18" ht="13" x14ac:dyDescent="0.15">
      <c r="A397" s="3">
        <f ca="1">IFERROR(__xludf.DUMMYFUNCTION("""COMPUTED_VALUE"""),43203.618552662)</f>
        <v>43203.618552662003</v>
      </c>
      <c r="B397" t="str">
        <f ca="1">IFERROR(__xludf.DUMMYFUNCTION("""COMPUTED_VALUE"""),"projects.basta@gmail.com")</f>
        <v>projects.basta@gmail.com</v>
      </c>
      <c r="C397">
        <f ca="1">IFERROR(__xludf.DUMMYFUNCTION("""COMPUTED_VALUE"""),777)</f>
        <v>777</v>
      </c>
      <c r="D397" t="str">
        <f ca="1">IFERROR(__xludf.DUMMYFUNCTION("""COMPUTED_VALUE"""),"PRESIDENT- HERALDS OF GOOD NEWS")</f>
        <v>PRESIDENT- HERALDS OF GOOD NEWS</v>
      </c>
      <c r="E397">
        <f ca="1">IFERROR(__xludf.DUMMYFUNCTION("""COMPUTED_VALUE"""),9061327111)</f>
        <v>9061327111</v>
      </c>
      <c r="F397" t="str">
        <f ca="1">IFERROR(__xludf.DUMMYFUNCTION("""COMPUTED_VALUE"""),"Kottayam")</f>
        <v>Kottayam</v>
      </c>
      <c r="G397" t="str">
        <f ca="1">IFERROR(__xludf.DUMMYFUNCTION("""COMPUTED_VALUE"""),"Bosch Ltd")</f>
        <v>Bosch Ltd</v>
      </c>
      <c r="H397">
        <f ca="1">IFERROR(__xludf.DUMMYFUNCTION("""COMPUTED_VALUE"""),18)</f>
        <v>18</v>
      </c>
      <c r="I397" s="4">
        <f ca="1">IFERROR(__xludf.DUMMYFUNCTION("""COMPUTED_VALUE"""),43203)</f>
        <v>43203</v>
      </c>
      <c r="J397">
        <f ca="1">IFERROR(__xludf.DUMMYFUNCTION("""COMPUTED_VALUE"""),10)</f>
        <v>10</v>
      </c>
      <c r="K397">
        <f ca="1">IFERROR(__xludf.DUMMYFUNCTION("""COMPUTED_VALUE"""),1156352018557)</f>
        <v>1156352018557</v>
      </c>
      <c r="L397" t="str">
        <f ca="1">IFERROR(__xludf.DUMMYFUNCTION("""COMPUTED_VALUE"""),"PAMPADY")</f>
        <v>PAMPADY</v>
      </c>
      <c r="M397" t="str">
        <f ca="1">IFERROR(__xludf.DUMMYFUNCTION("""COMPUTED_VALUE"""),"I Accept")</f>
        <v>I Accept</v>
      </c>
      <c r="N397" s="4">
        <f ca="1">IFERROR(__xludf.DUMMYFUNCTION("""COMPUTED_VALUE"""),43187)</f>
        <v>43187</v>
      </c>
      <c r="O397" s="4">
        <f ca="1">IFERROR(__xludf.DUMMYFUNCTION("""COMPUTED_VALUE"""),43187)</f>
        <v>43187</v>
      </c>
      <c r="P397">
        <f ca="1">IFERROR(__xludf.DUMMYFUNCTION("""COMPUTED_VALUE"""),10)</f>
        <v>10</v>
      </c>
      <c r="Q397" t="str">
        <f ca="1">IFERROR(__xludf.DUMMYFUNCTION("""COMPUTED_VALUE"""),"projects.basta@gmail.com")</f>
        <v>projects.basta@gmail.com</v>
      </c>
      <c r="R397" s="2" t="s">
        <v>2811</v>
      </c>
    </row>
    <row r="398" spans="1:18" ht="13" x14ac:dyDescent="0.15">
      <c r="A398" s="3">
        <f ca="1">IFERROR(__xludf.DUMMYFUNCTION("""COMPUTED_VALUE"""),43203.8548820949)</f>
        <v>43203.8548820949</v>
      </c>
      <c r="B398" t="str">
        <f ca="1">IFERROR(__xludf.DUMMYFUNCTION("""COMPUTED_VALUE"""),"bkrish07@gmail.com")</f>
        <v>bkrish07@gmail.com</v>
      </c>
      <c r="C398">
        <f ca="1">IFERROR(__xludf.DUMMYFUNCTION("""COMPUTED_VALUE"""),795)</f>
        <v>795</v>
      </c>
      <c r="D398" t="str">
        <f ca="1">IFERROR(__xludf.DUMMYFUNCTION("""COMPUTED_VALUE"""),"Biju Chandrasekharan")</f>
        <v>Biju Chandrasekharan</v>
      </c>
      <c r="E398">
        <f ca="1">IFERROR(__xludf.DUMMYFUNCTION("""COMPUTED_VALUE"""),9847342428)</f>
        <v>9847342428</v>
      </c>
      <c r="F398" t="str">
        <f ca="1">IFERROR(__xludf.DUMMYFUNCTION("""COMPUTED_VALUE"""),"Idukki")</f>
        <v>Idukki</v>
      </c>
      <c r="G398" t="str">
        <f ca="1">IFERROR(__xludf.DUMMYFUNCTION("""COMPUTED_VALUE"""),"enArka India Private Limited")</f>
        <v>enArka India Private Limited</v>
      </c>
      <c r="H398">
        <f ca="1">IFERROR(__xludf.DUMMYFUNCTION("""COMPUTED_VALUE"""),17)</f>
        <v>17</v>
      </c>
      <c r="I398" s="4">
        <f ca="1">IFERROR(__xludf.DUMMYFUNCTION("""COMPUTED_VALUE"""),43199)</f>
        <v>43199</v>
      </c>
      <c r="J398">
        <f ca="1">IFERROR(__xludf.DUMMYFUNCTION("""COMPUTED_VALUE"""),3)</f>
        <v>3</v>
      </c>
      <c r="K398">
        <f ca="1">IFERROR(__xludf.DUMMYFUNCTION("""COMPUTED_VALUE"""),1157436008965)</f>
        <v>1157436008965</v>
      </c>
      <c r="L398" t="str">
        <f ca="1">IFERROR(__xludf.DUMMYFUNCTION("""COMPUTED_VALUE"""),"Purappuzha")</f>
        <v>Purappuzha</v>
      </c>
      <c r="M398" t="str">
        <f ca="1">IFERROR(__xludf.DUMMYFUNCTION("""COMPUTED_VALUE"""),"I Accept")</f>
        <v>I Accept</v>
      </c>
      <c r="N398" s="4">
        <f ca="1">IFERROR(__xludf.DUMMYFUNCTION("""COMPUTED_VALUE"""),43203)</f>
        <v>43203</v>
      </c>
      <c r="O398" s="4">
        <f ca="1">IFERROR(__xludf.DUMMYFUNCTION("""COMPUTED_VALUE"""),43203)</f>
        <v>43203</v>
      </c>
      <c r="P398">
        <f ca="1">IFERROR(__xludf.DUMMYFUNCTION("""COMPUTED_VALUE"""),3)</f>
        <v>3</v>
      </c>
      <c r="Q398" t="str">
        <f ca="1">IFERROR(__xludf.DUMMYFUNCTION("""COMPUTED_VALUE"""),"bijucsekhar@yahoo.com")</f>
        <v>bijucsekhar@yahoo.com</v>
      </c>
      <c r="R398" s="2" t="s">
        <v>2812</v>
      </c>
    </row>
    <row r="399" spans="1:18" ht="13" x14ac:dyDescent="0.15">
      <c r="A399" s="3">
        <f ca="1">IFERROR(__xludf.DUMMYFUNCTION("""COMPUTED_VALUE"""),43204.6658371527)</f>
        <v>43204.665837152701</v>
      </c>
      <c r="B399" t="str">
        <f ca="1">IFERROR(__xludf.DUMMYFUNCTION("""COMPUTED_VALUE"""),"vargheseisac@gmail.com")</f>
        <v>vargheseisac@gmail.com</v>
      </c>
      <c r="C399">
        <f ca="1">IFERROR(__xludf.DUMMYFUNCTION("""COMPUTED_VALUE"""),622)</f>
        <v>622</v>
      </c>
      <c r="D399" t="str">
        <f ca="1">IFERROR(__xludf.DUMMYFUNCTION("""COMPUTED_VALUE"""),"Mariamma Mathew")</f>
        <v>Mariamma Mathew</v>
      </c>
      <c r="E399">
        <f ca="1">IFERROR(__xludf.DUMMYFUNCTION("""COMPUTED_VALUE"""),9495764190)</f>
        <v>9495764190</v>
      </c>
      <c r="F399" t="str">
        <f ca="1">IFERROR(__xludf.DUMMYFUNCTION("""COMPUTED_VALUE"""),"Ernakulam")</f>
        <v>Ernakulam</v>
      </c>
      <c r="G399" t="str">
        <f ca="1">IFERROR(__xludf.DUMMYFUNCTION("""COMPUTED_VALUE"""),"Kraftwork Solar Pvt. Ltd.")</f>
        <v>Kraftwork Solar Pvt. Ltd.</v>
      </c>
      <c r="H399">
        <f ca="1">IFERROR(__xludf.DUMMYFUNCTION("""COMPUTED_VALUE"""),26)</f>
        <v>26</v>
      </c>
      <c r="I399" s="4">
        <f ca="1">IFERROR(__xludf.DUMMYFUNCTION("""COMPUTED_VALUE"""),43190)</f>
        <v>43190</v>
      </c>
      <c r="J399">
        <f ca="1">IFERROR(__xludf.DUMMYFUNCTION("""COMPUTED_VALUE"""),3)</f>
        <v>3</v>
      </c>
      <c r="K399">
        <f ca="1">IFERROR(__xludf.DUMMYFUNCTION("""COMPUTED_VALUE"""),1155689011946)</f>
        <v>1155689011946</v>
      </c>
      <c r="L399" t="str">
        <f ca="1">IFERROR(__xludf.DUMMYFUNCTION("""COMPUTED_VALUE"""),"Aluva North")</f>
        <v>Aluva North</v>
      </c>
      <c r="M399" t="str">
        <f ca="1">IFERROR(__xludf.DUMMYFUNCTION("""COMPUTED_VALUE"""),"I Accept")</f>
        <v>I Accept</v>
      </c>
      <c r="N399" s="4">
        <f ca="1">IFERROR(__xludf.DUMMYFUNCTION("""COMPUTED_VALUE"""),43194)</f>
        <v>43194</v>
      </c>
      <c r="O399" s="4">
        <f ca="1">IFERROR(__xludf.DUMMYFUNCTION("""COMPUTED_VALUE"""),43194)</f>
        <v>43194</v>
      </c>
      <c r="P399">
        <f ca="1">IFERROR(__xludf.DUMMYFUNCTION("""COMPUTED_VALUE"""),28)</f>
        <v>28</v>
      </c>
      <c r="Q399" t="str">
        <f ca="1">IFERROR(__xludf.DUMMYFUNCTION("""COMPUTED_VALUE"""),"info@kraftworksolar.com")</f>
        <v>info@kraftworksolar.com</v>
      </c>
      <c r="R399" s="2" t="s">
        <v>2813</v>
      </c>
    </row>
    <row r="400" spans="1:18" ht="13" x14ac:dyDescent="0.15">
      <c r="A400" s="3">
        <f ca="1">IFERROR(__xludf.DUMMYFUNCTION("""COMPUTED_VALUE"""),43204.6739919212)</f>
        <v>43204.673991921198</v>
      </c>
      <c r="B400" t="str">
        <f ca="1">IFERROR(__xludf.DUMMYFUNCTION("""COMPUTED_VALUE"""),"fr.dominicpathiala@gmail.com")</f>
        <v>fr.dominicpathiala@gmail.com</v>
      </c>
      <c r="C400">
        <f ca="1">IFERROR(__xludf.DUMMYFUNCTION("""COMPUTED_VALUE"""),515)</f>
        <v>515</v>
      </c>
      <c r="D400" t="str">
        <f ca="1">IFERROR(__xludf.DUMMYFUNCTION("""COMPUTED_VALUE"""),"Dominic Pathiala")</f>
        <v>Dominic Pathiala</v>
      </c>
      <c r="E400">
        <f ca="1">IFERROR(__xludf.DUMMYFUNCTION("""COMPUTED_VALUE"""),9995009963)</f>
        <v>9995009963</v>
      </c>
      <c r="F400" t="str">
        <f ca="1">IFERROR(__xludf.DUMMYFUNCTION("""COMPUTED_VALUE"""),"Ernakulam")</f>
        <v>Ernakulam</v>
      </c>
      <c r="G400" t="str">
        <f ca="1">IFERROR(__xludf.DUMMYFUNCTION("""COMPUTED_VALUE"""),"Kraftwork Solar Pvt. Ltd.")</f>
        <v>Kraftwork Solar Pvt. Ltd.</v>
      </c>
      <c r="H400">
        <f ca="1">IFERROR(__xludf.DUMMYFUNCTION("""COMPUTED_VALUE"""),26)</f>
        <v>26</v>
      </c>
      <c r="I400" s="4">
        <f ca="1">IFERROR(__xludf.DUMMYFUNCTION("""COMPUTED_VALUE"""),43194)</f>
        <v>43194</v>
      </c>
      <c r="J400">
        <f ca="1">IFERROR(__xludf.DUMMYFUNCTION("""COMPUTED_VALUE"""),3)</f>
        <v>3</v>
      </c>
      <c r="K400">
        <f ca="1">IFERROR(__xludf.DUMMYFUNCTION("""COMPUTED_VALUE"""),1155500016268)</f>
        <v>1155500016268</v>
      </c>
      <c r="L400" t="str">
        <f ca="1">IFERROR(__xludf.DUMMYFUNCTION("""COMPUTED_VALUE"""),"Maradu")</f>
        <v>Maradu</v>
      </c>
      <c r="M400" t="str">
        <f ca="1">IFERROR(__xludf.DUMMYFUNCTION("""COMPUTED_VALUE"""),"I Accept")</f>
        <v>I Accept</v>
      </c>
      <c r="N400" s="4">
        <f ca="1">IFERROR(__xludf.DUMMYFUNCTION("""COMPUTED_VALUE"""),43161)</f>
        <v>43161</v>
      </c>
      <c r="O400" s="4">
        <f ca="1">IFERROR(__xludf.DUMMYFUNCTION("""COMPUTED_VALUE"""),43161)</f>
        <v>43161</v>
      </c>
      <c r="P400">
        <f ca="1">IFERROR(__xludf.DUMMYFUNCTION("""COMPUTED_VALUE"""),13)</f>
        <v>13</v>
      </c>
      <c r="Q400" t="str">
        <f ca="1">IFERROR(__xludf.DUMMYFUNCTION("""COMPUTED_VALUE"""),"info@kraftworksolar.com")</f>
        <v>info@kraftworksolar.com</v>
      </c>
      <c r="R400" s="2" t="s">
        <v>2814</v>
      </c>
    </row>
    <row r="401" spans="1:18" ht="13" x14ac:dyDescent="0.15">
      <c r="A401" s="3">
        <f ca="1">IFERROR(__xludf.DUMMYFUNCTION("""COMPUTED_VALUE"""),43204.6802149768)</f>
        <v>43204.680214976797</v>
      </c>
      <c r="B401" t="str">
        <f ca="1">IFERROR(__xludf.DUMMYFUNCTION("""COMPUTED_VALUE"""),"jagadeesan.ts@gmail.com")</f>
        <v>jagadeesan.ts@gmail.com</v>
      </c>
      <c r="C401">
        <f ca="1">IFERROR(__xludf.DUMMYFUNCTION("""COMPUTED_VALUE"""),591)</f>
        <v>591</v>
      </c>
      <c r="D401" t="str">
        <f ca="1">IFERROR(__xludf.DUMMYFUNCTION("""COMPUTED_VALUE"""),"Jagadeesan T.S.")</f>
        <v>Jagadeesan T.S.</v>
      </c>
      <c r="E401">
        <f ca="1">IFERROR(__xludf.DUMMYFUNCTION("""COMPUTED_VALUE"""),9447062174)</f>
        <v>9447062174</v>
      </c>
      <c r="F401" t="str">
        <f ca="1">IFERROR(__xludf.DUMMYFUNCTION("""COMPUTED_VALUE"""),"Ernakulam")</f>
        <v>Ernakulam</v>
      </c>
      <c r="G401" t="str">
        <f ca="1">IFERROR(__xludf.DUMMYFUNCTION("""COMPUTED_VALUE"""),"Kraftwork Solar Pvt. Ltd.")</f>
        <v>Kraftwork Solar Pvt. Ltd.</v>
      </c>
      <c r="H401">
        <f ca="1">IFERROR(__xludf.DUMMYFUNCTION("""COMPUTED_VALUE"""),26)</f>
        <v>26</v>
      </c>
      <c r="I401" s="4">
        <f ca="1">IFERROR(__xludf.DUMMYFUNCTION("""COMPUTED_VALUE"""),43193)</f>
        <v>43193</v>
      </c>
      <c r="J401">
        <f ca="1">IFERROR(__xludf.DUMMYFUNCTION("""COMPUTED_VALUE"""),5)</f>
        <v>5</v>
      </c>
      <c r="K401">
        <f ca="1">IFERROR(__xludf.DUMMYFUNCTION("""COMPUTED_VALUE"""),1155685009668)</f>
        <v>1155685009668</v>
      </c>
      <c r="L401" t="str">
        <f ca="1">IFERROR(__xludf.DUMMYFUNCTION("""COMPUTED_VALUE"""),"Aluva North")</f>
        <v>Aluva North</v>
      </c>
      <c r="M401" t="str">
        <f ca="1">IFERROR(__xludf.DUMMYFUNCTION("""COMPUTED_VALUE"""),"I Accept")</f>
        <v>I Accept</v>
      </c>
      <c r="N401" s="4">
        <f ca="1">IFERROR(__xludf.DUMMYFUNCTION("""COMPUTED_VALUE"""),43194)</f>
        <v>43194</v>
      </c>
      <c r="O401" s="4">
        <f ca="1">IFERROR(__xludf.DUMMYFUNCTION("""COMPUTED_VALUE"""),43194)</f>
        <v>43194</v>
      </c>
      <c r="P401">
        <f ca="1">IFERROR(__xludf.DUMMYFUNCTION("""COMPUTED_VALUE"""),5)</f>
        <v>5</v>
      </c>
      <c r="Q401" t="str">
        <f ca="1">IFERROR(__xludf.DUMMYFUNCTION("""COMPUTED_VALUE"""),"info@kraftworksolar.com")</f>
        <v>info@kraftworksolar.com</v>
      </c>
      <c r="R401" s="2" t="s">
        <v>2815</v>
      </c>
    </row>
    <row r="402" spans="1:18" ht="13" x14ac:dyDescent="0.15">
      <c r="A402" s="3">
        <f ca="1">IFERROR(__xludf.DUMMYFUNCTION("""COMPUTED_VALUE"""),43206.4824980555)</f>
        <v>43206.482498055499</v>
      </c>
      <c r="B402" t="str">
        <f ca="1">IFERROR(__xludf.DUMMYFUNCTION("""COMPUTED_VALUE"""),"pjissac@gmail.com")</f>
        <v>pjissac@gmail.com</v>
      </c>
      <c r="C402">
        <f ca="1">IFERROR(__xludf.DUMMYFUNCTION("""COMPUTED_VALUE"""),600)</f>
        <v>600</v>
      </c>
      <c r="D402" t="str">
        <f ca="1">IFERROR(__xludf.DUMMYFUNCTION("""COMPUTED_VALUE"""),"ANNES SHEELA JOY")</f>
        <v>ANNES SHEELA JOY</v>
      </c>
      <c r="E402">
        <f ca="1">IFERROR(__xludf.DUMMYFUNCTION("""COMPUTED_VALUE"""),9061480999)</f>
        <v>9061480999</v>
      </c>
      <c r="F402" t="str">
        <f ca="1">IFERROR(__xludf.DUMMYFUNCTION("""COMPUTED_VALUE"""),"Pathanamthitta")</f>
        <v>Pathanamthitta</v>
      </c>
      <c r="G402" t="str">
        <f ca="1">IFERROR(__xludf.DUMMYFUNCTION("""COMPUTED_VALUE"""),"SIRET SOLAR PVT LTD")</f>
        <v>SIRET SOLAR PVT LTD</v>
      </c>
      <c r="H402">
        <f ca="1">IFERROR(__xludf.DUMMYFUNCTION("""COMPUTED_VALUE"""),21)</f>
        <v>21</v>
      </c>
      <c r="I402" s="4">
        <f ca="1">IFERROR(__xludf.DUMMYFUNCTION("""COMPUTED_VALUE"""),43195)</f>
        <v>43195</v>
      </c>
      <c r="J402">
        <f ca="1">IFERROR(__xludf.DUMMYFUNCTION("""COMPUTED_VALUE"""),3)</f>
        <v>3</v>
      </c>
      <c r="K402">
        <f ca="1">IFERROR(__xludf.DUMMYFUNCTION("""COMPUTED_VALUE"""),1146232001094)</f>
        <v>1146232001094</v>
      </c>
      <c r="L402" t="str">
        <f ca="1">IFERROR(__xludf.DUMMYFUNCTION("""COMPUTED_VALUE"""),"MALLAPPALLY")</f>
        <v>MALLAPPALLY</v>
      </c>
      <c r="M402" t="str">
        <f ca="1">IFERROR(__xludf.DUMMYFUNCTION("""COMPUTED_VALUE"""),"I Accept")</f>
        <v>I Accept</v>
      </c>
      <c r="N402" s="4">
        <f ca="1">IFERROR(__xludf.DUMMYFUNCTION("""COMPUTED_VALUE"""),43202)</f>
        <v>43202</v>
      </c>
      <c r="O402" s="4">
        <f ca="1">IFERROR(__xludf.DUMMYFUNCTION("""COMPUTED_VALUE"""),43202)</f>
        <v>43202</v>
      </c>
      <c r="P402">
        <f ca="1">IFERROR(__xludf.DUMMYFUNCTION("""COMPUTED_VALUE"""),3)</f>
        <v>3</v>
      </c>
      <c r="Q402" t="str">
        <f ca="1">IFERROR(__xludf.DUMMYFUNCTION("""COMPUTED_VALUE"""),"pjissac@gmail.com")</f>
        <v>pjissac@gmail.com</v>
      </c>
      <c r="R402" s="2" t="s">
        <v>2816</v>
      </c>
    </row>
    <row r="403" spans="1:18" ht="13" x14ac:dyDescent="0.15">
      <c r="A403" s="3">
        <f ca="1">IFERROR(__xludf.DUMMYFUNCTION("""COMPUTED_VALUE"""),43206.5206399189)</f>
        <v>43206.520639918897</v>
      </c>
      <c r="B403" t="str">
        <f ca="1">IFERROR(__xludf.DUMMYFUNCTION("""COMPUTED_VALUE"""),"info@wattsun.in")</f>
        <v>info@wattsun.in</v>
      </c>
      <c r="C403">
        <f ca="1">IFERROR(__xludf.DUMMYFUNCTION("""COMPUTED_VALUE"""),574)</f>
        <v>574</v>
      </c>
      <c r="D403" t="str">
        <f ca="1">IFERROR(__xludf.DUMMYFUNCTION("""COMPUTED_VALUE"""),"The Director,Snehashramam")</f>
        <v>The Director,Snehashramam</v>
      </c>
      <c r="E403">
        <f ca="1">IFERROR(__xludf.DUMMYFUNCTION("""COMPUTED_VALUE"""),9072666513)</f>
        <v>9072666513</v>
      </c>
      <c r="F403" t="str">
        <f ca="1">IFERROR(__xludf.DUMMYFUNCTION("""COMPUTED_VALUE"""),"Thiruvananthapuram")</f>
        <v>Thiruvananthapuram</v>
      </c>
      <c r="G403" t="str">
        <f ca="1">IFERROR(__xludf.DUMMYFUNCTION("""COMPUTED_VALUE"""),"Wattsun Energy India Private Limited")</f>
        <v>Wattsun Energy India Private Limited</v>
      </c>
      <c r="H403">
        <f ca="1">IFERROR(__xludf.DUMMYFUNCTION("""COMPUTED_VALUE"""),54)</f>
        <v>54</v>
      </c>
      <c r="I403" s="4">
        <f ca="1">IFERROR(__xludf.DUMMYFUNCTION("""COMPUTED_VALUE"""),43206)</f>
        <v>43206</v>
      </c>
      <c r="J403">
        <f ca="1">IFERROR(__xludf.DUMMYFUNCTION("""COMPUTED_VALUE"""),3)</f>
        <v>3</v>
      </c>
      <c r="K403">
        <f ca="1">IFERROR(__xludf.DUMMYFUNCTION("""COMPUTED_VALUE"""),1145208005002)</f>
        <v>1145208005002</v>
      </c>
      <c r="L403" t="str">
        <f ca="1">IFERROR(__xludf.DUMMYFUNCTION("""COMPUTED_VALUE"""),"Kulathoor")</f>
        <v>Kulathoor</v>
      </c>
      <c r="M403" t="str">
        <f ca="1">IFERROR(__xludf.DUMMYFUNCTION("""COMPUTED_VALUE"""),"I Accept")</f>
        <v>I Accept</v>
      </c>
      <c r="N403" s="4">
        <f ca="1">IFERROR(__xludf.DUMMYFUNCTION("""COMPUTED_VALUE"""),43178)</f>
        <v>43178</v>
      </c>
      <c r="O403" s="4">
        <f ca="1">IFERROR(__xludf.DUMMYFUNCTION("""COMPUTED_VALUE"""),43178)</f>
        <v>43178</v>
      </c>
      <c r="P403">
        <f ca="1">IFERROR(__xludf.DUMMYFUNCTION("""COMPUTED_VALUE"""),3)</f>
        <v>3</v>
      </c>
      <c r="Q403" t="str">
        <f ca="1">IFERROR(__xludf.DUMMYFUNCTION("""COMPUTED_VALUE"""),"info@wattsun.in")</f>
        <v>info@wattsun.in</v>
      </c>
      <c r="R403" s="2" t="s">
        <v>2817</v>
      </c>
    </row>
    <row r="404" spans="1:18" ht="13" x14ac:dyDescent="0.15">
      <c r="A404" s="3">
        <f ca="1">IFERROR(__xludf.DUMMYFUNCTION("""COMPUTED_VALUE"""),43206.543635243)</f>
        <v>43206.543635242997</v>
      </c>
      <c r="B404" t="str">
        <f ca="1">IFERROR(__xludf.DUMMYFUNCTION("""COMPUTED_VALUE"""),"solarconnect2018@gmail.com")</f>
        <v>solarconnect2018@gmail.com</v>
      </c>
      <c r="C404">
        <f ca="1">IFERROR(__xludf.DUMMYFUNCTION("""COMPUTED_VALUE"""),728)</f>
        <v>728</v>
      </c>
      <c r="D404" t="str">
        <f ca="1">IFERROR(__xludf.DUMMYFUNCTION("""COMPUTED_VALUE"""),"ANIAMMA VARGHESE")</f>
        <v>ANIAMMA VARGHESE</v>
      </c>
      <c r="E404">
        <f ca="1">IFERROR(__xludf.DUMMYFUNCTION("""COMPUTED_VALUE"""),9846044370)</f>
        <v>9846044370</v>
      </c>
      <c r="F404" t="str">
        <f ca="1">IFERROR(__xludf.DUMMYFUNCTION("""COMPUTED_VALUE"""),"Ernakulam")</f>
        <v>Ernakulam</v>
      </c>
      <c r="G404" t="str">
        <f ca="1">IFERROR(__xludf.DUMMYFUNCTION("""COMPUTED_VALUE"""),"SPECTRUM TECHNO PRODUCTS")</f>
        <v>SPECTRUM TECHNO PRODUCTS</v>
      </c>
      <c r="H404">
        <f ca="1">IFERROR(__xludf.DUMMYFUNCTION("""COMPUTED_VALUE"""),66)</f>
        <v>66</v>
      </c>
      <c r="I404" s="4">
        <f ca="1">IFERROR(__xludf.DUMMYFUNCTION("""COMPUTED_VALUE"""),43210)</f>
        <v>43210</v>
      </c>
      <c r="J404">
        <f ca="1">IFERROR(__xludf.DUMMYFUNCTION("""COMPUTED_VALUE"""),5)</f>
        <v>5</v>
      </c>
      <c r="K404">
        <f ca="1">IFERROR(__xludf.DUMMYFUNCTION("""COMPUTED_VALUE"""),1155455025540)</f>
        <v>1155455025540</v>
      </c>
      <c r="L404" t="str">
        <f ca="1">IFERROR(__xludf.DUMMYFUNCTION("""COMPUTED_VALUE"""),"KALOOR")</f>
        <v>KALOOR</v>
      </c>
      <c r="M404" t="str">
        <f ca="1">IFERROR(__xludf.DUMMYFUNCTION("""COMPUTED_VALUE"""),"I Accept")</f>
        <v>I Accept</v>
      </c>
      <c r="N404" s="4">
        <f ca="1">IFERROR(__xludf.DUMMYFUNCTION("""COMPUTED_VALUE"""),43183)</f>
        <v>43183</v>
      </c>
      <c r="O404" s="4">
        <f ca="1">IFERROR(__xludf.DUMMYFUNCTION("""COMPUTED_VALUE"""),43183)</f>
        <v>43183</v>
      </c>
      <c r="P404">
        <f ca="1">IFERROR(__xludf.DUMMYFUNCTION("""COMPUTED_VALUE"""),5)</f>
        <v>5</v>
      </c>
      <c r="Q404" t="str">
        <f ca="1">IFERROR(__xludf.DUMMYFUNCTION("""COMPUTED_VALUE"""),"solarconnect2018@gmail.com")</f>
        <v>solarconnect2018@gmail.com</v>
      </c>
      <c r="R404" s="2" t="s">
        <v>2818</v>
      </c>
    </row>
    <row r="405" spans="1:18" ht="13" x14ac:dyDescent="0.15">
      <c r="A405" s="3">
        <f ca="1">IFERROR(__xludf.DUMMYFUNCTION("""COMPUTED_VALUE"""),43206.5542181481)</f>
        <v>43206.5542181481</v>
      </c>
      <c r="B405" t="str">
        <f ca="1">IFERROR(__xludf.DUMMYFUNCTION("""COMPUTED_VALUE"""),"solarconnect2018@gmail.com")</f>
        <v>solarconnect2018@gmail.com</v>
      </c>
      <c r="C405">
        <f ca="1">IFERROR(__xludf.DUMMYFUNCTION("""COMPUTED_VALUE"""),488)</f>
        <v>488</v>
      </c>
      <c r="D405" t="str">
        <f ca="1">IFERROR(__xludf.DUMMYFUNCTION("""COMPUTED_VALUE"""),"K T DAVY")</f>
        <v>K T DAVY</v>
      </c>
      <c r="E405">
        <f ca="1">IFERROR(__xludf.DUMMYFUNCTION("""COMPUTED_VALUE"""),9400741816)</f>
        <v>9400741816</v>
      </c>
      <c r="F405" t="str">
        <f ca="1">IFERROR(__xludf.DUMMYFUNCTION("""COMPUTED_VALUE"""),"Ernakulam")</f>
        <v>Ernakulam</v>
      </c>
      <c r="G405" t="str">
        <f ca="1">IFERROR(__xludf.DUMMYFUNCTION("""COMPUTED_VALUE"""),"SPECTRUM TECHNO PRODUCTS")</f>
        <v>SPECTRUM TECHNO PRODUCTS</v>
      </c>
      <c r="H405">
        <f ca="1">IFERROR(__xludf.DUMMYFUNCTION("""COMPUTED_VALUE"""),66)</f>
        <v>66</v>
      </c>
      <c r="I405" s="4">
        <f ca="1">IFERROR(__xludf.DUMMYFUNCTION("""COMPUTED_VALUE"""),43210)</f>
        <v>43210</v>
      </c>
      <c r="J405">
        <f ca="1">IFERROR(__xludf.DUMMYFUNCTION("""COMPUTED_VALUE"""),3)</f>
        <v>3</v>
      </c>
      <c r="K405">
        <f ca="1">IFERROR(__xludf.DUMMYFUNCTION("""COMPUTED_VALUE"""),1157486004453)</f>
        <v>1157486004453</v>
      </c>
      <c r="L405" t="str">
        <f ca="1">IFERROR(__xludf.DUMMYFUNCTION("""COMPUTED_VALUE"""),"MULANTHURUTHY")</f>
        <v>MULANTHURUTHY</v>
      </c>
      <c r="M405" t="str">
        <f ca="1">IFERROR(__xludf.DUMMYFUNCTION("""COMPUTED_VALUE"""),"I Accept")</f>
        <v>I Accept</v>
      </c>
      <c r="N405" s="4">
        <f ca="1">IFERROR(__xludf.DUMMYFUNCTION("""COMPUTED_VALUE"""),43186)</f>
        <v>43186</v>
      </c>
      <c r="O405" s="4">
        <f ca="1">IFERROR(__xludf.DUMMYFUNCTION("""COMPUTED_VALUE"""),43186)</f>
        <v>43186</v>
      </c>
      <c r="P405">
        <f ca="1">IFERROR(__xludf.DUMMYFUNCTION("""COMPUTED_VALUE"""),3)</f>
        <v>3</v>
      </c>
      <c r="Q405" t="str">
        <f ca="1">IFERROR(__xludf.DUMMYFUNCTION("""COMPUTED_VALUE"""),"solarconnect2018@gmail.com")</f>
        <v>solarconnect2018@gmail.com</v>
      </c>
      <c r="R405" s="2" t="s">
        <v>2819</v>
      </c>
    </row>
    <row r="406" spans="1:18" ht="13" x14ac:dyDescent="0.15">
      <c r="A406" s="3">
        <f ca="1">IFERROR(__xludf.DUMMYFUNCTION("""COMPUTED_VALUE"""),43206.7001433912)</f>
        <v>43206.700143391201</v>
      </c>
      <c r="B406" t="str">
        <f ca="1">IFERROR(__xludf.DUMMYFUNCTION("""COMPUTED_VALUE"""),"hykonkollam@gmail.com")</f>
        <v>hykonkollam@gmail.com</v>
      </c>
      <c r="C406">
        <f ca="1">IFERROR(__xludf.DUMMYFUNCTION("""COMPUTED_VALUE"""),834)</f>
        <v>834</v>
      </c>
      <c r="D406" t="str">
        <f ca="1">IFERROR(__xludf.DUMMYFUNCTION("""COMPUTED_VALUE"""),"Shobhana T")</f>
        <v>Shobhana T</v>
      </c>
      <c r="E406">
        <f ca="1">IFERROR(__xludf.DUMMYFUNCTION("""COMPUTED_VALUE"""),9495336654)</f>
        <v>9495336654</v>
      </c>
      <c r="F406" t="str">
        <f ca="1">IFERROR(__xludf.DUMMYFUNCTION("""COMPUTED_VALUE"""),"Kollam")</f>
        <v>Kollam</v>
      </c>
      <c r="G406" t="str">
        <f ca="1">IFERROR(__xludf.DUMMYFUNCTION("""COMPUTED_VALUE"""),"Hykon India (Pvt) Ltd")</f>
        <v>Hykon India (Pvt) Ltd</v>
      </c>
      <c r="H406">
        <f ca="1">IFERROR(__xludf.DUMMYFUNCTION("""COMPUTED_VALUE"""),41)</f>
        <v>41</v>
      </c>
      <c r="I406" s="4">
        <f ca="1">IFERROR(__xludf.DUMMYFUNCTION("""COMPUTED_VALUE"""),43202)</f>
        <v>43202</v>
      </c>
      <c r="J406">
        <f ca="1">IFERROR(__xludf.DUMMYFUNCTION("""COMPUTED_VALUE"""),3)</f>
        <v>3</v>
      </c>
      <c r="K406">
        <f ca="1">IFERROR(__xludf.DUMMYFUNCTION("""COMPUTED_VALUE"""),1145624012522)</f>
        <v>1145624012522</v>
      </c>
      <c r="L406" t="str">
        <f ca="1">IFERROR(__xludf.DUMMYFUNCTION("""COMPUTED_VALUE"""),"Thankassery (4562)")</f>
        <v>Thankassery (4562)</v>
      </c>
      <c r="M406" t="str">
        <f ca="1">IFERROR(__xludf.DUMMYFUNCTION("""COMPUTED_VALUE"""),"I Accept")</f>
        <v>I Accept</v>
      </c>
      <c r="N406" s="4">
        <f ca="1">IFERROR(__xludf.DUMMYFUNCTION("""COMPUTED_VALUE"""),43186)</f>
        <v>43186</v>
      </c>
      <c r="O406" s="4">
        <f ca="1">IFERROR(__xludf.DUMMYFUNCTION("""COMPUTED_VALUE"""),43186)</f>
        <v>43186</v>
      </c>
      <c r="P406">
        <f ca="1">IFERROR(__xludf.DUMMYFUNCTION("""COMPUTED_VALUE"""),3)</f>
        <v>3</v>
      </c>
      <c r="Q406" t="str">
        <f ca="1">IFERROR(__xludf.DUMMYFUNCTION("""COMPUTED_VALUE"""),"hykonkollam@gmail.com")</f>
        <v>hykonkollam@gmail.com</v>
      </c>
      <c r="R406" s="2" t="s">
        <v>2820</v>
      </c>
    </row>
    <row r="407" spans="1:18" ht="13" x14ac:dyDescent="0.15">
      <c r="A407" s="3">
        <f ca="1">IFERROR(__xludf.DUMMYFUNCTION("""COMPUTED_VALUE"""),43207.4380824884)</f>
        <v>43207.438082488399</v>
      </c>
      <c r="B407" t="str">
        <f ca="1">IFERROR(__xludf.DUMMYFUNCTION("""COMPUTED_VALUE"""),"amprojects@hykonindia.com")</f>
        <v>amprojects@hykonindia.com</v>
      </c>
      <c r="C407">
        <f ca="1">IFERROR(__xludf.DUMMYFUNCTION("""COMPUTED_VALUE"""),930)</f>
        <v>930</v>
      </c>
      <c r="D407" t="str">
        <f ca="1">IFERROR(__xludf.DUMMYFUNCTION("""COMPUTED_VALUE"""),"Sister Superior")</f>
        <v>Sister Superior</v>
      </c>
      <c r="E407">
        <f ca="1">IFERROR(__xludf.DUMMYFUNCTION("""COMPUTED_VALUE"""),9447719274)</f>
        <v>9447719274</v>
      </c>
      <c r="F407" t="str">
        <f ca="1">IFERROR(__xludf.DUMMYFUNCTION("""COMPUTED_VALUE"""),"Thrissur")</f>
        <v>Thrissur</v>
      </c>
      <c r="G407" t="str">
        <f ca="1">IFERROR(__xludf.DUMMYFUNCTION("""COMPUTED_VALUE"""),"Hykon India Ltd")</f>
        <v>Hykon India Ltd</v>
      </c>
      <c r="H407">
        <f ca="1">IFERROR(__xludf.DUMMYFUNCTION("""COMPUTED_VALUE"""),41)</f>
        <v>41</v>
      </c>
      <c r="I407" s="4">
        <f ca="1">IFERROR(__xludf.DUMMYFUNCTION("""COMPUTED_VALUE"""),43206)</f>
        <v>43206</v>
      </c>
      <c r="J407">
        <f ca="1">IFERROR(__xludf.DUMMYFUNCTION("""COMPUTED_VALUE"""),10)</f>
        <v>10</v>
      </c>
      <c r="K407">
        <f ca="1">IFERROR(__xludf.DUMMYFUNCTION("""COMPUTED_VALUE"""),1156865008724)</f>
        <v>1156865008724</v>
      </c>
      <c r="L407" t="str">
        <f ca="1">IFERROR(__xludf.DUMMYFUNCTION("""COMPUTED_VALUE"""),"Parappur")</f>
        <v>Parappur</v>
      </c>
      <c r="M407" t="str">
        <f ca="1">IFERROR(__xludf.DUMMYFUNCTION("""COMPUTED_VALUE"""),"I Accept")</f>
        <v>I Accept</v>
      </c>
      <c r="N407" s="4">
        <f ca="1">IFERROR(__xludf.DUMMYFUNCTION("""COMPUTED_VALUE"""),43186)</f>
        <v>43186</v>
      </c>
      <c r="O407" s="4">
        <f ca="1">IFERROR(__xludf.DUMMYFUNCTION("""COMPUTED_VALUE"""),43186)</f>
        <v>43186</v>
      </c>
      <c r="P407">
        <f ca="1">IFERROR(__xludf.DUMMYFUNCTION("""COMPUTED_VALUE"""),10)</f>
        <v>10</v>
      </c>
      <c r="Q407" t="str">
        <f ca="1">IFERROR(__xludf.DUMMYFUNCTION("""COMPUTED_VALUE"""),"amprojects@hykonindia.com")</f>
        <v>amprojects@hykonindia.com</v>
      </c>
      <c r="R407" s="2" t="s">
        <v>2821</v>
      </c>
    </row>
    <row r="408" spans="1:18" ht="13" x14ac:dyDescent="0.15">
      <c r="A408" s="3">
        <f ca="1">IFERROR(__xludf.DUMMYFUNCTION("""COMPUTED_VALUE"""),43207.4514829976)</f>
        <v>43207.451482997603</v>
      </c>
      <c r="B408" t="str">
        <f ca="1">IFERROR(__xludf.DUMMYFUNCTION("""COMPUTED_VALUE"""),"silverwoodsekm@gmail.com")</f>
        <v>silverwoodsekm@gmail.com</v>
      </c>
      <c r="C408">
        <f ca="1">IFERROR(__xludf.DUMMYFUNCTION("""COMPUTED_VALUE"""),278)</f>
        <v>278</v>
      </c>
      <c r="D408" t="str">
        <f ca="1">IFERROR(__xludf.DUMMYFUNCTION("""COMPUTED_VALUE"""),"REETHA JOSE")</f>
        <v>REETHA JOSE</v>
      </c>
      <c r="E408">
        <f ca="1">IFERROR(__xludf.DUMMYFUNCTION("""COMPUTED_VALUE"""),9895591724)</f>
        <v>9895591724</v>
      </c>
      <c r="F408" t="str">
        <f ca="1">IFERROR(__xludf.DUMMYFUNCTION("""COMPUTED_VALUE"""),"Ernakulam")</f>
        <v>Ernakulam</v>
      </c>
      <c r="G408" t="str">
        <f ca="1">IFERROR(__xludf.DUMMYFUNCTION("""COMPUTED_VALUE"""),"TATA POWER SOLAR SYSTEMS LTD")</f>
        <v>TATA POWER SOLAR SYSTEMS LTD</v>
      </c>
      <c r="H408">
        <f ca="1">IFERROR(__xludf.DUMMYFUNCTION("""COMPUTED_VALUE"""),20)</f>
        <v>20</v>
      </c>
      <c r="I408" s="4">
        <f ca="1">IFERROR(__xludf.DUMMYFUNCTION("""COMPUTED_VALUE"""),43201)</f>
        <v>43201</v>
      </c>
      <c r="J408">
        <f ca="1">IFERROR(__xludf.DUMMYFUNCTION("""COMPUTED_VALUE"""),3)</f>
        <v>3</v>
      </c>
      <c r="K408">
        <f ca="1">IFERROR(__xludf.DUMMYFUNCTION("""COMPUTED_VALUE"""),1155693022141)</f>
        <v>1155693022141</v>
      </c>
      <c r="L408" t="str">
        <f ca="1">IFERROR(__xludf.DUMMYFUNCTION("""COMPUTED_VALUE"""),"ALUVA WEST")</f>
        <v>ALUVA WEST</v>
      </c>
      <c r="M408" t="str">
        <f ca="1">IFERROR(__xludf.DUMMYFUNCTION("""COMPUTED_VALUE"""),"I Accept")</f>
        <v>I Accept</v>
      </c>
      <c r="N408" s="4">
        <f ca="1">IFERROR(__xludf.DUMMYFUNCTION("""COMPUTED_VALUE"""),43154)</f>
        <v>43154</v>
      </c>
      <c r="O408" s="4">
        <f ca="1">IFERROR(__xludf.DUMMYFUNCTION("""COMPUTED_VALUE"""),43154)</f>
        <v>43154</v>
      </c>
      <c r="P408">
        <f ca="1">IFERROR(__xludf.DUMMYFUNCTION("""COMPUTED_VALUE"""),3)</f>
        <v>3</v>
      </c>
      <c r="Q408" t="str">
        <f ca="1">IFERROR(__xludf.DUMMYFUNCTION("""COMPUTED_VALUE"""),"silverwoodsekm@gmail.com")</f>
        <v>silverwoodsekm@gmail.com</v>
      </c>
      <c r="R408" s="2" t="s">
        <v>2822</v>
      </c>
    </row>
    <row r="409" spans="1:18" ht="13" x14ac:dyDescent="0.15">
      <c r="A409" s="3">
        <f ca="1">IFERROR(__xludf.DUMMYFUNCTION("""COMPUTED_VALUE"""),43207.4626290625)</f>
        <v>43207.462629062502</v>
      </c>
      <c r="B409" t="str">
        <f ca="1">IFERROR(__xludf.DUMMYFUNCTION("""COMPUTED_VALUE"""),"silverwoodsekm@gmail.com")</f>
        <v>silverwoodsekm@gmail.com</v>
      </c>
      <c r="C409">
        <f ca="1">IFERROR(__xludf.DUMMYFUNCTION("""COMPUTED_VALUE"""),34)</f>
        <v>34</v>
      </c>
      <c r="D409" t="str">
        <f ca="1">IFERROR(__xludf.DUMMYFUNCTION("""COMPUTED_VALUE"""),"JAYASREE R NAIR")</f>
        <v>JAYASREE R NAIR</v>
      </c>
      <c r="E409">
        <f ca="1">IFERROR(__xludf.DUMMYFUNCTION("""COMPUTED_VALUE"""),9447921639)</f>
        <v>9447921639</v>
      </c>
      <c r="F409" t="str">
        <f ca="1">IFERROR(__xludf.DUMMYFUNCTION("""COMPUTED_VALUE"""),"Ernakulam")</f>
        <v>Ernakulam</v>
      </c>
      <c r="G409" t="str">
        <f ca="1">IFERROR(__xludf.DUMMYFUNCTION("""COMPUTED_VALUE"""),"TATA POWER SOLAR SYSTEMS LTD")</f>
        <v>TATA POWER SOLAR SYSTEMS LTD</v>
      </c>
      <c r="H409">
        <f ca="1">IFERROR(__xludf.DUMMYFUNCTION("""COMPUTED_VALUE"""),20)</f>
        <v>20</v>
      </c>
      <c r="I409" s="4">
        <f ca="1">IFERROR(__xludf.DUMMYFUNCTION("""COMPUTED_VALUE"""),43182)</f>
        <v>43182</v>
      </c>
      <c r="J409">
        <f ca="1">IFERROR(__xludf.DUMMYFUNCTION("""COMPUTED_VALUE"""),3)</f>
        <v>3</v>
      </c>
      <c r="K409">
        <f ca="1">IFERROR(__xludf.DUMMYFUNCTION("""COMPUTED_VALUE"""),1155972008673)</f>
        <v>1155972008673</v>
      </c>
      <c r="L409" t="str">
        <f ca="1">IFERROR(__xludf.DUMMYFUNCTION("""COMPUTED_VALUE"""),"PIRAVOM")</f>
        <v>PIRAVOM</v>
      </c>
      <c r="M409" t="str">
        <f ca="1">IFERROR(__xludf.DUMMYFUNCTION("""COMPUTED_VALUE"""),"I Accept")</f>
        <v>I Accept</v>
      </c>
      <c r="N409" s="4">
        <f ca="1">IFERROR(__xludf.DUMMYFUNCTION("""COMPUTED_VALUE"""),43140)</f>
        <v>43140</v>
      </c>
      <c r="O409" s="4">
        <f ca="1">IFERROR(__xludf.DUMMYFUNCTION("""COMPUTED_VALUE"""),43140)</f>
        <v>43140</v>
      </c>
      <c r="P409">
        <f ca="1">IFERROR(__xludf.DUMMYFUNCTION("""COMPUTED_VALUE"""),3)</f>
        <v>3</v>
      </c>
      <c r="Q409" t="str">
        <f ca="1">IFERROR(__xludf.DUMMYFUNCTION("""COMPUTED_VALUE"""),"silverwoodsekm@gmail.com")</f>
        <v>silverwoodsekm@gmail.com</v>
      </c>
      <c r="R409" s="2" t="s">
        <v>2823</v>
      </c>
    </row>
    <row r="410" spans="1:18" ht="13" x14ac:dyDescent="0.15">
      <c r="A410" s="3">
        <f ca="1">IFERROR(__xludf.DUMMYFUNCTION("""COMPUTED_VALUE"""),43207.4636303588)</f>
        <v>43207.463630358798</v>
      </c>
      <c r="B410" t="str">
        <f ca="1">IFERROR(__xludf.DUMMYFUNCTION("""COMPUTED_VALUE"""),"mathuputhusseril@gmail.com")</f>
        <v>mathuputhusseril@gmail.com</v>
      </c>
      <c r="C410">
        <f ca="1">IFERROR(__xludf.DUMMYFUNCTION("""COMPUTED_VALUE"""),737)</f>
        <v>737</v>
      </c>
      <c r="D410" t="str">
        <f ca="1">IFERROR(__xludf.DUMMYFUNCTION("""COMPUTED_VALUE"""),"Mariamma Mathew")</f>
        <v>Mariamma Mathew</v>
      </c>
      <c r="E410">
        <f ca="1">IFERROR(__xludf.DUMMYFUNCTION("""COMPUTED_VALUE"""),8891873088)</f>
        <v>8891873088</v>
      </c>
      <c r="F410" t="str">
        <f ca="1">IFERROR(__xludf.DUMMYFUNCTION("""COMPUTED_VALUE"""),"Ernakulam")</f>
        <v>Ernakulam</v>
      </c>
      <c r="G410" t="str">
        <f ca="1">IFERROR(__xludf.DUMMYFUNCTION("""COMPUTED_VALUE"""),"Reecco Energy India Pvt. Ltd")</f>
        <v>Reecco Energy India Pvt. Ltd</v>
      </c>
      <c r="H410">
        <f ca="1">IFERROR(__xludf.DUMMYFUNCTION("""COMPUTED_VALUE"""),47)</f>
        <v>47</v>
      </c>
      <c r="I410" s="4">
        <f ca="1">IFERROR(__xludf.DUMMYFUNCTION("""COMPUTED_VALUE"""),43206)</f>
        <v>43206</v>
      </c>
      <c r="J410">
        <f ca="1">IFERROR(__xludf.DUMMYFUNCTION("""COMPUTED_VALUE"""),3)</f>
        <v>3</v>
      </c>
      <c r="K410">
        <f ca="1">IFERROR(__xludf.DUMMYFUNCTION("""COMPUTED_VALUE"""),1155681011633)</f>
        <v>1155681011633</v>
      </c>
      <c r="L410" t="str">
        <f ca="1">IFERROR(__xludf.DUMMYFUNCTION("""COMPUTED_VALUE"""),"Aluva North")</f>
        <v>Aluva North</v>
      </c>
      <c r="M410" t="str">
        <f ca="1">IFERROR(__xludf.DUMMYFUNCTION("""COMPUTED_VALUE"""),"I Accept")</f>
        <v>I Accept</v>
      </c>
      <c r="N410" s="4">
        <f ca="1">IFERROR(__xludf.DUMMYFUNCTION("""COMPUTED_VALUE"""),43207)</f>
        <v>43207</v>
      </c>
      <c r="O410" s="4">
        <f ca="1">IFERROR(__xludf.DUMMYFUNCTION("""COMPUTED_VALUE"""),43207)</f>
        <v>43207</v>
      </c>
      <c r="P410">
        <f ca="1">IFERROR(__xludf.DUMMYFUNCTION("""COMPUTED_VALUE"""),3)</f>
        <v>3</v>
      </c>
      <c r="Q410" t="str">
        <f ca="1">IFERROR(__xludf.DUMMYFUNCTION("""COMPUTED_VALUE"""),"mathuputhusseril@gmail.com")</f>
        <v>mathuputhusseril@gmail.com</v>
      </c>
      <c r="R410" s="2" t="s">
        <v>2824</v>
      </c>
    </row>
    <row r="411" spans="1:18" ht="13" x14ac:dyDescent="0.15">
      <c r="A411" s="3">
        <f ca="1">IFERROR(__xludf.DUMMYFUNCTION("""COMPUTED_VALUE"""),43207.4749081597)</f>
        <v>43207.474908159696</v>
      </c>
      <c r="B411" t="str">
        <f ca="1">IFERROR(__xludf.DUMMYFUNCTION("""COMPUTED_VALUE"""),"silverwoodsekm@gmail.com")</f>
        <v>silverwoodsekm@gmail.com</v>
      </c>
      <c r="C411">
        <f ca="1">IFERROR(__xludf.DUMMYFUNCTION("""COMPUTED_VALUE"""),84)</f>
        <v>84</v>
      </c>
      <c r="D411" t="str">
        <f ca="1">IFERROR(__xludf.DUMMYFUNCTION("""COMPUTED_VALUE"""),"RAJU")</f>
        <v>RAJU</v>
      </c>
      <c r="E411">
        <f ca="1">IFERROR(__xludf.DUMMYFUNCTION("""COMPUTED_VALUE"""),9526991113)</f>
        <v>9526991113</v>
      </c>
      <c r="F411" t="str">
        <f ca="1">IFERROR(__xludf.DUMMYFUNCTION("""COMPUTED_VALUE"""),"Ernakulam")</f>
        <v>Ernakulam</v>
      </c>
      <c r="G411" t="str">
        <f ca="1">IFERROR(__xludf.DUMMYFUNCTION("""COMPUTED_VALUE"""),"TATA POWER SOLAR SYSTEMS LTD")</f>
        <v>TATA POWER SOLAR SYSTEMS LTD</v>
      </c>
      <c r="H411">
        <f ca="1">IFERROR(__xludf.DUMMYFUNCTION("""COMPUTED_VALUE"""),20)</f>
        <v>20</v>
      </c>
      <c r="I411" s="4">
        <f ca="1">IFERROR(__xludf.DUMMYFUNCTION("""COMPUTED_VALUE"""),43169)</f>
        <v>43169</v>
      </c>
      <c r="J411">
        <f ca="1">IFERROR(__xludf.DUMMYFUNCTION("""COMPUTED_VALUE"""),3)</f>
        <v>3</v>
      </c>
      <c r="K411">
        <f ca="1">IFERROR(__xludf.DUMMYFUNCTION("""COMPUTED_VALUE"""),1155918019126)</f>
        <v>1155918019126</v>
      </c>
      <c r="L411" t="str">
        <f ca="1">IFERROR(__xludf.DUMMYFUNCTION("""COMPUTED_VALUE"""),"MOOVATTUPUZHA")</f>
        <v>MOOVATTUPUZHA</v>
      </c>
      <c r="M411" t="str">
        <f ca="1">IFERROR(__xludf.DUMMYFUNCTION("""COMPUTED_VALUE"""),"I Accept")</f>
        <v>I Accept</v>
      </c>
      <c r="N411" s="4">
        <f ca="1">IFERROR(__xludf.DUMMYFUNCTION("""COMPUTED_VALUE"""),43155)</f>
        <v>43155</v>
      </c>
      <c r="O411" s="4">
        <f ca="1">IFERROR(__xludf.DUMMYFUNCTION("""COMPUTED_VALUE"""),43155)</f>
        <v>43155</v>
      </c>
      <c r="P411">
        <f ca="1">IFERROR(__xludf.DUMMYFUNCTION("""COMPUTED_VALUE"""),3)</f>
        <v>3</v>
      </c>
      <c r="Q411" t="str">
        <f ca="1">IFERROR(__xludf.DUMMYFUNCTION("""COMPUTED_VALUE"""),"silverwoodsekm@gmail.com")</f>
        <v>silverwoodsekm@gmail.com</v>
      </c>
      <c r="R411" s="2" t="s">
        <v>2825</v>
      </c>
    </row>
    <row r="412" spans="1:18" ht="13" x14ac:dyDescent="0.15">
      <c r="A412" s="3">
        <f ca="1">IFERROR(__xludf.DUMMYFUNCTION("""COMPUTED_VALUE"""),43207.6354765393)</f>
        <v>43207.635476539297</v>
      </c>
      <c r="B412" t="str">
        <f ca="1">IFERROR(__xludf.DUMMYFUNCTION("""COMPUTED_VALUE"""),"connectdsk@gmail.com")</f>
        <v>connectdsk@gmail.com</v>
      </c>
      <c r="C412">
        <f ca="1">IFERROR(__xludf.DUMMYFUNCTION("""COMPUTED_VALUE"""),948)</f>
        <v>948</v>
      </c>
      <c r="D412" t="str">
        <f ca="1">IFERROR(__xludf.DUMMYFUNCTION("""COMPUTED_VALUE"""),"T K HARIDAS")</f>
        <v>T K HARIDAS</v>
      </c>
      <c r="E412">
        <f ca="1">IFERROR(__xludf.DUMMYFUNCTION("""COMPUTED_VALUE"""),8547564126)</f>
        <v>8547564126</v>
      </c>
      <c r="F412" t="str">
        <f ca="1">IFERROR(__xludf.DUMMYFUNCTION("""COMPUTED_VALUE"""),"Thrissur")</f>
        <v>Thrissur</v>
      </c>
      <c r="G412" t="str">
        <f ca="1">IFERROR(__xludf.DUMMYFUNCTION("""COMPUTED_VALUE"""),"FERT")</f>
        <v>FERT</v>
      </c>
      <c r="H412">
        <f ca="1">IFERROR(__xludf.DUMMYFUNCTION("""COMPUTED_VALUE"""),27)</f>
        <v>27</v>
      </c>
      <c r="I412" s="4">
        <f ca="1">IFERROR(__xludf.DUMMYFUNCTION("""COMPUTED_VALUE"""),43200)</f>
        <v>43200</v>
      </c>
      <c r="J412">
        <f ca="1">IFERROR(__xludf.DUMMYFUNCTION("""COMPUTED_VALUE"""),3)</f>
        <v>3</v>
      </c>
      <c r="K412">
        <f ca="1">IFERROR(__xludf.DUMMYFUNCTION("""COMPUTED_VALUE"""),1156671004607)</f>
        <v>1156671004607</v>
      </c>
      <c r="L412" t="str">
        <f ca="1">IFERROR(__xludf.DUMMYFUNCTION("""COMPUTED_VALUE"""),"Thriprayar")</f>
        <v>Thriprayar</v>
      </c>
      <c r="M412" t="str">
        <f ca="1">IFERROR(__xludf.DUMMYFUNCTION("""COMPUTED_VALUE"""),"I Accept")</f>
        <v>I Accept</v>
      </c>
      <c r="N412" s="4">
        <f ca="1">IFERROR(__xludf.DUMMYFUNCTION("""COMPUTED_VALUE"""),43207)</f>
        <v>43207</v>
      </c>
      <c r="O412" s="4">
        <f ca="1">IFERROR(__xludf.DUMMYFUNCTION("""COMPUTED_VALUE"""),43207)</f>
        <v>43207</v>
      </c>
      <c r="P412">
        <f ca="1">IFERROR(__xludf.DUMMYFUNCTION("""COMPUTED_VALUE"""),3)</f>
        <v>3</v>
      </c>
      <c r="Q412" t="str">
        <f ca="1">IFERROR(__xludf.DUMMYFUNCTION("""COMPUTED_VALUE"""),"connectdsk@gmail.com")</f>
        <v>connectdsk@gmail.com</v>
      </c>
      <c r="R412" s="2" t="s">
        <v>2826</v>
      </c>
    </row>
    <row r="413" spans="1:18" ht="13" x14ac:dyDescent="0.15">
      <c r="A413" s="3">
        <f ca="1">IFERROR(__xludf.DUMMYFUNCTION("""COMPUTED_VALUE"""),43207.6542495833)</f>
        <v>43207.654249583298</v>
      </c>
      <c r="B413" t="str">
        <f ca="1">IFERROR(__xludf.DUMMYFUNCTION("""COMPUTED_VALUE"""),"connectdsk@gmail.com")</f>
        <v>connectdsk@gmail.com</v>
      </c>
      <c r="C413">
        <f ca="1">IFERROR(__xludf.DUMMYFUNCTION("""COMPUTED_VALUE"""),878)</f>
        <v>878</v>
      </c>
      <c r="D413" t="str">
        <f ca="1">IFERROR(__xludf.DUMMYFUNCTION("""COMPUTED_VALUE"""),"DEVIPRASAD P N")</f>
        <v>DEVIPRASAD P N</v>
      </c>
      <c r="E413">
        <f ca="1">IFERROR(__xludf.DUMMYFUNCTION("""COMPUTED_VALUE"""),8547564126)</f>
        <v>8547564126</v>
      </c>
      <c r="F413" t="str">
        <f ca="1">IFERROR(__xludf.DUMMYFUNCTION("""COMPUTED_VALUE"""),"Thrissur")</f>
        <v>Thrissur</v>
      </c>
      <c r="G413" t="str">
        <f ca="1">IFERROR(__xludf.DUMMYFUNCTION("""COMPUTED_VALUE"""),"FERT")</f>
        <v>FERT</v>
      </c>
      <c r="H413">
        <f ca="1">IFERROR(__xludf.DUMMYFUNCTION("""COMPUTED_VALUE"""),27)</f>
        <v>27</v>
      </c>
      <c r="I413" s="4">
        <f ca="1">IFERROR(__xludf.DUMMYFUNCTION("""COMPUTED_VALUE"""),43201)</f>
        <v>43201</v>
      </c>
      <c r="J413">
        <f ca="1">IFERROR(__xludf.DUMMYFUNCTION("""COMPUTED_VALUE"""),3)</f>
        <v>3</v>
      </c>
      <c r="K413">
        <f ca="1">IFERROR(__xludf.DUMMYFUNCTION("""COMPUTED_VALUE"""),1156602003347)</f>
        <v>1156602003347</v>
      </c>
      <c r="L413" t="str">
        <f ca="1">IFERROR(__xludf.DUMMYFUNCTION("""COMPUTED_VALUE"""),"KAIPAMANGALAM")</f>
        <v>KAIPAMANGALAM</v>
      </c>
      <c r="M413" t="str">
        <f ca="1">IFERROR(__xludf.DUMMYFUNCTION("""COMPUTED_VALUE"""),"I Accept")</f>
        <v>I Accept</v>
      </c>
      <c r="N413" s="4">
        <f ca="1">IFERROR(__xludf.DUMMYFUNCTION("""COMPUTED_VALUE"""),43204)</f>
        <v>43204</v>
      </c>
      <c r="O413" s="4">
        <f ca="1">IFERROR(__xludf.DUMMYFUNCTION("""COMPUTED_VALUE"""),43204)</f>
        <v>43204</v>
      </c>
      <c r="P413">
        <f ca="1">IFERROR(__xludf.DUMMYFUNCTION("""COMPUTED_VALUE"""),3)</f>
        <v>3</v>
      </c>
      <c r="Q413" t="str">
        <f ca="1">IFERROR(__xludf.DUMMYFUNCTION("""COMPUTED_VALUE"""),"connectdsk@gmail.com")</f>
        <v>connectdsk@gmail.com</v>
      </c>
      <c r="R413" s="2" t="s">
        <v>2827</v>
      </c>
    </row>
    <row r="414" spans="1:18" ht="13" x14ac:dyDescent="0.15">
      <c r="A414" s="3">
        <f ca="1">IFERROR(__xludf.DUMMYFUNCTION("""COMPUTED_VALUE"""),43207.7935953819)</f>
        <v>43207.793595381903</v>
      </c>
      <c r="B414" t="str">
        <f ca="1">IFERROR(__xludf.DUMMYFUNCTION("""COMPUTED_VALUE"""),"newtonluiz@gmail.com")</f>
        <v>newtonluiz@gmail.com</v>
      </c>
      <c r="C414">
        <f ca="1">IFERROR(__xludf.DUMMYFUNCTION("""COMPUTED_VALUE"""),117)</f>
        <v>117</v>
      </c>
      <c r="D414" t="str">
        <f ca="1">IFERROR(__xludf.DUMMYFUNCTION("""COMPUTED_VALUE"""),"Newton Luiz")</f>
        <v>Newton Luiz</v>
      </c>
      <c r="E414">
        <f ca="1">IFERROR(__xludf.DUMMYFUNCTION("""COMPUTED_VALUE"""),9747562754)</f>
        <v>9747562754</v>
      </c>
      <c r="F414" t="str">
        <f ca="1">IFERROR(__xludf.DUMMYFUNCTION("""COMPUTED_VALUE"""),"Thrissur")</f>
        <v>Thrissur</v>
      </c>
      <c r="G414" t="str">
        <f ca="1">IFERROR(__xludf.DUMMYFUNCTION("""COMPUTED_VALUE"""),"Power One Microsystems Private Ltd")</f>
        <v>Power One Microsystems Private Ltd</v>
      </c>
      <c r="H414">
        <f ca="1">IFERROR(__xludf.DUMMYFUNCTION("""COMPUTED_VALUE"""),7)</f>
        <v>7</v>
      </c>
      <c r="I414" s="4">
        <f ca="1">IFERROR(__xludf.DUMMYFUNCTION("""COMPUTED_VALUE"""),43162)</f>
        <v>43162</v>
      </c>
      <c r="J414">
        <f ca="1">IFERROR(__xludf.DUMMYFUNCTION("""COMPUTED_VALUE"""),2)</f>
        <v>2</v>
      </c>
      <c r="K414">
        <f ca="1">IFERROR(__xludf.DUMMYFUNCTION("""COMPUTED_VALUE"""),1156514026761)</f>
        <v>1156514026761</v>
      </c>
      <c r="L414" t="str">
        <f ca="1">IFERROR(__xludf.DUMMYFUNCTION("""COMPUTED_VALUE"""),"Chalakkudy (5651)")</f>
        <v>Chalakkudy (5651)</v>
      </c>
      <c r="M414" t="str">
        <f ca="1">IFERROR(__xludf.DUMMYFUNCTION("""COMPUTED_VALUE"""),"I Accept")</f>
        <v>I Accept</v>
      </c>
      <c r="N414" s="4">
        <f ca="1">IFERROR(__xludf.DUMMYFUNCTION("""COMPUTED_VALUE"""),43145)</f>
        <v>43145</v>
      </c>
      <c r="O414" s="4">
        <f ca="1">IFERROR(__xludf.DUMMYFUNCTION("""COMPUTED_VALUE"""),43145)</f>
        <v>43145</v>
      </c>
      <c r="P414">
        <f ca="1">IFERROR(__xludf.DUMMYFUNCTION("""COMPUTED_VALUE"""),2)</f>
        <v>2</v>
      </c>
      <c r="Q414" t="str">
        <f ca="1">IFERROR(__xludf.DUMMYFUNCTION("""COMPUTED_VALUE"""),"newtonluiz@gmail.com")</f>
        <v>newtonluiz@gmail.com</v>
      </c>
      <c r="R414" s="2" t="s">
        <v>2828</v>
      </c>
    </row>
    <row r="415" spans="1:18" ht="13" x14ac:dyDescent="0.15">
      <c r="A415" s="3">
        <f ca="1">IFERROR(__xludf.DUMMYFUNCTION("""COMPUTED_VALUE"""),43208.4534963078)</f>
        <v>43208.453496307797</v>
      </c>
      <c r="B415" t="str">
        <f ca="1">IFERROR(__xludf.DUMMYFUNCTION("""COMPUTED_VALUE"""),"info@wattsun.in")</f>
        <v>info@wattsun.in</v>
      </c>
      <c r="C415">
        <f ca="1">IFERROR(__xludf.DUMMYFUNCTION("""COMPUTED_VALUE"""),259)</f>
        <v>259</v>
      </c>
      <c r="D415" t="str">
        <f ca="1">IFERROR(__xludf.DUMMYFUNCTION("""COMPUTED_VALUE"""),"G Raghunath")</f>
        <v>G Raghunath</v>
      </c>
      <c r="E415">
        <f ca="1">IFERROR(__xludf.DUMMYFUNCTION("""COMPUTED_VALUE"""),9072666513)</f>
        <v>9072666513</v>
      </c>
      <c r="F415" t="str">
        <f ca="1">IFERROR(__xludf.DUMMYFUNCTION("""COMPUTED_VALUE"""),"Thiruvananthapuram")</f>
        <v>Thiruvananthapuram</v>
      </c>
      <c r="G415" t="str">
        <f ca="1">IFERROR(__xludf.DUMMYFUNCTION("""COMPUTED_VALUE"""),"Wattsun Energy India Private Limited")</f>
        <v>Wattsun Energy India Private Limited</v>
      </c>
      <c r="H415">
        <f ca="1">IFERROR(__xludf.DUMMYFUNCTION("""COMPUTED_VALUE"""),54)</f>
        <v>54</v>
      </c>
      <c r="I415" s="4">
        <f ca="1">IFERROR(__xludf.DUMMYFUNCTION("""COMPUTED_VALUE"""),43208)</f>
        <v>43208</v>
      </c>
      <c r="J415">
        <f ca="1">IFERROR(__xludf.DUMMYFUNCTION("""COMPUTED_VALUE"""),5)</f>
        <v>5</v>
      </c>
      <c r="K415">
        <f ca="1">IFERROR(__xludf.DUMMYFUNCTION("""COMPUTED_VALUE"""),1145596001262)</f>
        <v>1145596001262</v>
      </c>
      <c r="L415" t="str">
        <f ca="1">IFERROR(__xludf.DUMMYFUNCTION("""COMPUTED_VALUE"""),"Kadappakkada")</f>
        <v>Kadappakkada</v>
      </c>
      <c r="M415" t="str">
        <f ca="1">IFERROR(__xludf.DUMMYFUNCTION("""COMPUTED_VALUE"""),"I Accept")</f>
        <v>I Accept</v>
      </c>
      <c r="N415" s="4">
        <f ca="1">IFERROR(__xludf.DUMMYFUNCTION("""COMPUTED_VALUE"""),43197)</f>
        <v>43197</v>
      </c>
      <c r="O415" s="4">
        <f ca="1">IFERROR(__xludf.DUMMYFUNCTION("""COMPUTED_VALUE"""),43197)</f>
        <v>43197</v>
      </c>
      <c r="P415">
        <f ca="1">IFERROR(__xludf.DUMMYFUNCTION("""COMPUTED_VALUE"""),5)</f>
        <v>5</v>
      </c>
      <c r="Q415" t="str">
        <f ca="1">IFERROR(__xludf.DUMMYFUNCTION("""COMPUTED_VALUE"""),"info@wattsun.in")</f>
        <v>info@wattsun.in</v>
      </c>
      <c r="R415" s="2" t="s">
        <v>2829</v>
      </c>
    </row>
    <row r="416" spans="1:18" ht="13" x14ac:dyDescent="0.15">
      <c r="A416" s="3">
        <f ca="1">IFERROR(__xludf.DUMMYFUNCTION("""COMPUTED_VALUE"""),43208.5115076273)</f>
        <v>43208.5115076273</v>
      </c>
      <c r="B416" t="str">
        <f ca="1">IFERROR(__xludf.DUMMYFUNCTION("""COMPUTED_VALUE"""),"kader866@gmail.com")</f>
        <v>kader866@gmail.com</v>
      </c>
      <c r="C416">
        <f ca="1">IFERROR(__xludf.DUMMYFUNCTION("""COMPUTED_VALUE"""),624)</f>
        <v>624</v>
      </c>
      <c r="D416" t="str">
        <f ca="1">IFERROR(__xludf.DUMMYFUNCTION("""COMPUTED_VALUE"""),"ABDUL KADER. P.H")</f>
        <v>ABDUL KADER. P.H</v>
      </c>
      <c r="E416">
        <f ca="1">IFERROR(__xludf.DUMMYFUNCTION("""COMPUTED_VALUE"""),9400622930)</f>
        <v>9400622930</v>
      </c>
      <c r="F416" t="str">
        <f ca="1">IFERROR(__xludf.DUMMYFUNCTION("""COMPUTED_VALUE"""),"Palakkad")</f>
        <v>Palakkad</v>
      </c>
      <c r="G416" t="str">
        <f ca="1">IFERROR(__xludf.DUMMYFUNCTION("""COMPUTED_VALUE"""),"TATA POWER SOLAR SYSTEMS LTD")</f>
        <v>TATA POWER SOLAR SYSTEMS LTD</v>
      </c>
      <c r="H416">
        <f ca="1">IFERROR(__xludf.DUMMYFUNCTION("""COMPUTED_VALUE"""),20)</f>
        <v>20</v>
      </c>
      <c r="I416" s="4">
        <f ca="1">IFERROR(__xludf.DUMMYFUNCTION("""COMPUTED_VALUE"""),43196)</f>
        <v>43196</v>
      </c>
      <c r="J416">
        <f ca="1">IFERROR(__xludf.DUMMYFUNCTION("""COMPUTED_VALUE"""),3)</f>
        <v>3</v>
      </c>
      <c r="K416">
        <f ca="1">IFERROR(__xludf.DUMMYFUNCTION("""COMPUTED_VALUE"""),1167540013198)</f>
        <v>1167540013198</v>
      </c>
      <c r="L416" t="str">
        <f ca="1">IFERROR(__xludf.DUMMYFUNCTION("""COMPUTED_VALUE"""),"kizhakkencheri electrical section")</f>
        <v>kizhakkencheri electrical section</v>
      </c>
      <c r="M416" t="str">
        <f ca="1">IFERROR(__xludf.DUMMYFUNCTION("""COMPUTED_VALUE"""),"I Accept")</f>
        <v>I Accept</v>
      </c>
      <c r="N416" s="4">
        <f ca="1">IFERROR(__xludf.DUMMYFUNCTION("""COMPUTED_VALUE"""),43196)</f>
        <v>43196</v>
      </c>
      <c r="O416" s="4">
        <f ca="1">IFERROR(__xludf.DUMMYFUNCTION("""COMPUTED_VALUE"""),43196)</f>
        <v>43196</v>
      </c>
      <c r="P416">
        <f ca="1">IFERROR(__xludf.DUMMYFUNCTION("""COMPUTED_VALUE"""),3)</f>
        <v>3</v>
      </c>
      <c r="Q416" t="str">
        <f ca="1">IFERROR(__xludf.DUMMYFUNCTION("""COMPUTED_VALUE"""),"kader866@gmail.com")</f>
        <v>kader866@gmail.com</v>
      </c>
      <c r="R416" s="2" t="s">
        <v>2830</v>
      </c>
    </row>
    <row r="417" spans="1:18" ht="13" x14ac:dyDescent="0.15">
      <c r="A417" s="3">
        <f ca="1">IFERROR(__xludf.DUMMYFUNCTION("""COMPUTED_VALUE"""),43208.6168515393)</f>
        <v>43208.6168515393</v>
      </c>
      <c r="B417" t="str">
        <f ca="1">IFERROR(__xludf.DUMMYFUNCTION("""COMPUTED_VALUE"""),"kvmtrustchla@gmail.com")</f>
        <v>kvmtrustchla@gmail.com</v>
      </c>
      <c r="C417">
        <f ca="1">IFERROR(__xludf.DUMMYFUNCTION("""COMPUTED_VALUE"""),472)</f>
        <v>472</v>
      </c>
      <c r="D417" t="str">
        <f ca="1">IFERROR(__xludf.DUMMYFUNCTION("""COMPUTED_VALUE"""),"SARASWATHY PYARELAL")</f>
        <v>SARASWATHY PYARELAL</v>
      </c>
      <c r="E417">
        <f ca="1">IFERROR(__xludf.DUMMYFUNCTION("""COMPUTED_VALUE"""),9446572480)</f>
        <v>9446572480</v>
      </c>
      <c r="F417" t="str">
        <f ca="1">IFERROR(__xludf.DUMMYFUNCTION("""COMPUTED_VALUE"""),"Alappuzha")</f>
        <v>Alappuzha</v>
      </c>
      <c r="G417" t="str">
        <f ca="1">IFERROR(__xludf.DUMMYFUNCTION("""COMPUTED_VALUE"""),"POWER ONE MICRO SYSTEMS PVT LTD")</f>
        <v>POWER ONE MICRO SYSTEMS PVT LTD</v>
      </c>
      <c r="H417">
        <f ca="1">IFERROR(__xludf.DUMMYFUNCTION("""COMPUTED_VALUE"""),7)</f>
        <v>7</v>
      </c>
      <c r="I417" s="4">
        <f ca="1">IFERROR(__xludf.DUMMYFUNCTION("""COMPUTED_VALUE"""),43206)</f>
        <v>43206</v>
      </c>
      <c r="J417">
        <f ca="1">IFERROR(__xludf.DUMMYFUNCTION("""COMPUTED_VALUE"""),10)</f>
        <v>10</v>
      </c>
      <c r="K417">
        <f ca="1">IFERROR(__xludf.DUMMYFUNCTION("""COMPUTED_VALUE"""),1157047025199)</f>
        <v>1157047025199</v>
      </c>
      <c r="L417" t="str">
        <f ca="1">IFERROR(__xludf.DUMMYFUNCTION("""COMPUTED_VALUE"""),"CHERTHALA EASR")</f>
        <v>CHERTHALA EASR</v>
      </c>
      <c r="M417" t="str">
        <f ca="1">IFERROR(__xludf.DUMMYFUNCTION("""COMPUTED_VALUE"""),"I Accept")</f>
        <v>I Accept</v>
      </c>
      <c r="N417" s="4">
        <f ca="1">IFERROR(__xludf.DUMMYFUNCTION("""COMPUTED_VALUE"""),43194)</f>
        <v>43194</v>
      </c>
      <c r="O417" s="4">
        <f ca="1">IFERROR(__xludf.DUMMYFUNCTION("""COMPUTED_VALUE"""),43194)</f>
        <v>43194</v>
      </c>
      <c r="P417">
        <f ca="1">IFERROR(__xludf.DUMMYFUNCTION("""COMPUTED_VALUE"""),10)</f>
        <v>10</v>
      </c>
      <c r="Q417" t="str">
        <f ca="1">IFERROR(__xludf.DUMMYFUNCTION("""COMPUTED_VALUE"""),"kvmtrustchla@gmail.com")</f>
        <v>kvmtrustchla@gmail.com</v>
      </c>
      <c r="R417" s="2" t="s">
        <v>2831</v>
      </c>
    </row>
    <row r="418" spans="1:18" ht="13" x14ac:dyDescent="0.15">
      <c r="A418" s="3">
        <f ca="1">IFERROR(__xludf.DUMMYFUNCTION("""COMPUTED_VALUE"""),43208.7467050462)</f>
        <v>43208.7467050462</v>
      </c>
      <c r="B418" t="str">
        <f ca="1">IFERROR(__xludf.DUMMYFUNCTION("""COMPUTED_VALUE"""),"shivsree29@yahoo.com")</f>
        <v>shivsree29@yahoo.com</v>
      </c>
      <c r="C418">
        <f ca="1">IFERROR(__xludf.DUMMYFUNCTION("""COMPUTED_VALUE"""),750)</f>
        <v>750</v>
      </c>
      <c r="D418" t="str">
        <f ca="1">IFERROR(__xludf.DUMMYFUNCTION("""COMPUTED_VALUE"""),"t.v shivdas")</f>
        <v>t.v shivdas</v>
      </c>
      <c r="E418">
        <f ca="1">IFERROR(__xludf.DUMMYFUNCTION("""COMPUTED_VALUE"""),9495018286)</f>
        <v>9495018286</v>
      </c>
      <c r="F418" t="str">
        <f ca="1">IFERROR(__xludf.DUMMYFUNCTION("""COMPUTED_VALUE"""),"Palakkad")</f>
        <v>Palakkad</v>
      </c>
      <c r="G418" t="str">
        <f ca="1">IFERROR(__xludf.DUMMYFUNCTION("""COMPUTED_VALUE"""),"tata power solar system ltd")</f>
        <v>tata power solar system ltd</v>
      </c>
      <c r="H418">
        <f ca="1">IFERROR(__xludf.DUMMYFUNCTION("""COMPUTED_VALUE"""),20)</f>
        <v>20</v>
      </c>
      <c r="I418" s="4">
        <f ca="1">IFERROR(__xludf.DUMMYFUNCTION("""COMPUTED_VALUE"""),43186)</f>
        <v>43186</v>
      </c>
      <c r="J418">
        <f ca="1">IFERROR(__xludf.DUMMYFUNCTION("""COMPUTED_VALUE"""),3)</f>
        <v>3</v>
      </c>
      <c r="K418">
        <f ca="1">IFERROR(__xludf.DUMMYFUNCTION("""COMPUTED_VALUE"""),16555)</f>
        <v>16555</v>
      </c>
      <c r="L418" t="str">
        <f ca="1">IFERROR(__xludf.DUMMYFUNCTION("""COMPUTED_VALUE"""),"kalpathy elecreical section")</f>
        <v>kalpathy elecreical section</v>
      </c>
      <c r="M418" t="str">
        <f ca="1">IFERROR(__xludf.DUMMYFUNCTION("""COMPUTED_VALUE"""),"I Accept")</f>
        <v>I Accept</v>
      </c>
      <c r="N418" s="4">
        <f ca="1">IFERROR(__xludf.DUMMYFUNCTION("""COMPUTED_VALUE"""),43206)</f>
        <v>43206</v>
      </c>
      <c r="O418" s="4">
        <f ca="1">IFERROR(__xludf.DUMMYFUNCTION("""COMPUTED_VALUE"""),43206)</f>
        <v>43206</v>
      </c>
      <c r="P418">
        <f ca="1">IFERROR(__xludf.DUMMYFUNCTION("""COMPUTED_VALUE"""),3)</f>
        <v>3</v>
      </c>
      <c r="Q418" t="str">
        <f ca="1">IFERROR(__xludf.DUMMYFUNCTION("""COMPUTED_VALUE"""),"shivsree29@yahoo.com")</f>
        <v>shivsree29@yahoo.com</v>
      </c>
      <c r="R418" s="2" t="s">
        <v>2832</v>
      </c>
    </row>
    <row r="419" spans="1:18" ht="13" x14ac:dyDescent="0.15">
      <c r="A419" s="3">
        <f ca="1">IFERROR(__xludf.DUMMYFUNCTION("""COMPUTED_VALUE"""),43208.7510791435)</f>
        <v>43208.751079143498</v>
      </c>
      <c r="B419" t="str">
        <f ca="1">IFERROR(__xludf.DUMMYFUNCTION("""COMPUTED_VALUE"""),"mannileth.vinodkm@gmail.com")</f>
        <v>mannileth.vinodkm@gmail.com</v>
      </c>
      <c r="C419">
        <f ca="1">IFERROR(__xludf.DUMMYFUNCTION("""COMPUTED_VALUE"""),567)</f>
        <v>567</v>
      </c>
      <c r="D419" t="str">
        <f ca="1">IFERROR(__xludf.DUMMYFUNCTION("""COMPUTED_VALUE"""),"vinodh kumar.m")</f>
        <v>vinodh kumar.m</v>
      </c>
      <c r="E419">
        <f ca="1">IFERROR(__xludf.DUMMYFUNCTION("""COMPUTED_VALUE"""),9496176703)</f>
        <v>9496176703</v>
      </c>
      <c r="F419" t="str">
        <f ca="1">IFERROR(__xludf.DUMMYFUNCTION("""COMPUTED_VALUE"""),"Palakkad")</f>
        <v>Palakkad</v>
      </c>
      <c r="G419" t="str">
        <f ca="1">IFERROR(__xludf.DUMMYFUNCTION("""COMPUTED_VALUE"""),"tata power solar system ltd")</f>
        <v>tata power solar system ltd</v>
      </c>
      <c r="H419">
        <f ca="1">IFERROR(__xludf.DUMMYFUNCTION("""COMPUTED_VALUE"""),20)</f>
        <v>20</v>
      </c>
      <c r="I419" s="4">
        <f ca="1">IFERROR(__xludf.DUMMYFUNCTION("""COMPUTED_VALUE"""),43193)</f>
        <v>43193</v>
      </c>
      <c r="J419">
        <f ca="1">IFERROR(__xludf.DUMMYFUNCTION("""COMPUTED_VALUE"""),3)</f>
        <v>3</v>
      </c>
      <c r="K419">
        <f ca="1">IFERROR(__xludf.DUMMYFUNCTION("""COMPUTED_VALUE"""),22359)</f>
        <v>22359</v>
      </c>
      <c r="L419" t="str">
        <f ca="1">IFERROR(__xludf.DUMMYFUNCTION("""COMPUTED_VALUE"""),"kalpathy electrical section")</f>
        <v>kalpathy electrical section</v>
      </c>
      <c r="M419" t="str">
        <f ca="1">IFERROR(__xludf.DUMMYFUNCTION("""COMPUTED_VALUE"""),"I Accept")</f>
        <v>I Accept</v>
      </c>
      <c r="N419" s="4">
        <f ca="1">IFERROR(__xludf.DUMMYFUNCTION("""COMPUTED_VALUE"""),43206)</f>
        <v>43206</v>
      </c>
      <c r="O419" s="4">
        <f ca="1">IFERROR(__xludf.DUMMYFUNCTION("""COMPUTED_VALUE"""),43206)</f>
        <v>43206</v>
      </c>
      <c r="P419">
        <f ca="1">IFERROR(__xludf.DUMMYFUNCTION("""COMPUTED_VALUE"""),3)</f>
        <v>3</v>
      </c>
      <c r="Q419" t="str">
        <f ca="1">IFERROR(__xludf.DUMMYFUNCTION("""COMPUTED_VALUE"""),"mannileth.vinodkm@gmail.com")</f>
        <v>mannileth.vinodkm@gmail.com</v>
      </c>
      <c r="R419" s="2" t="s">
        <v>2833</v>
      </c>
    </row>
    <row r="420" spans="1:18" ht="13" x14ac:dyDescent="0.15">
      <c r="A420" s="3">
        <f ca="1">IFERROR(__xludf.DUMMYFUNCTION("""COMPUTED_VALUE"""),43208.9508017592)</f>
        <v>43208.950801759202</v>
      </c>
      <c r="B420" t="str">
        <f ca="1">IFERROR(__xludf.DUMMYFUNCTION("""COMPUTED_VALUE"""),"binoysolgen@gmail.com")</f>
        <v>binoysolgen@gmail.com</v>
      </c>
      <c r="C420">
        <f ca="1">IFERROR(__xludf.DUMMYFUNCTION("""COMPUTED_VALUE"""),922)</f>
        <v>922</v>
      </c>
      <c r="D420" t="str">
        <f ca="1">IFERROR(__xludf.DUMMYFUNCTION("""COMPUTED_VALUE"""),"ABDULLA.E.M")</f>
        <v>ABDULLA.E.M</v>
      </c>
      <c r="E420">
        <f ca="1">IFERROR(__xludf.DUMMYFUNCTION("""COMPUTED_VALUE"""),9846542746)</f>
        <v>9846542746</v>
      </c>
      <c r="F420" t="str">
        <f ca="1">IFERROR(__xludf.DUMMYFUNCTION("""COMPUTED_VALUE"""),"Kasaragod")</f>
        <v>Kasaragod</v>
      </c>
      <c r="G420" t="str">
        <f ca="1">IFERROR(__xludf.DUMMYFUNCTION("""COMPUTED_VALUE"""),"SOLGEN ENERGY PVT LTD")</f>
        <v>SOLGEN ENERGY PVT LTD</v>
      </c>
      <c r="H420">
        <f ca="1">IFERROR(__xludf.DUMMYFUNCTION("""COMPUTED_VALUE"""),42)</f>
        <v>42</v>
      </c>
      <c r="I420" s="4">
        <f ca="1">IFERROR(__xludf.DUMMYFUNCTION("""COMPUTED_VALUE"""),43208)</f>
        <v>43208</v>
      </c>
      <c r="J420">
        <f ca="1">IFERROR(__xludf.DUMMYFUNCTION("""COMPUTED_VALUE"""),3)</f>
        <v>3</v>
      </c>
      <c r="K420">
        <f ca="1">IFERROR(__xludf.DUMMYFUNCTION("""COMPUTED_VALUE"""),1166920005595)</f>
        <v>1166920005595</v>
      </c>
      <c r="L420" t="str">
        <f ca="1">IFERROR(__xludf.DUMMYFUNCTION("""COMPUTED_VALUE"""),"UDUMA")</f>
        <v>UDUMA</v>
      </c>
      <c r="M420" t="str">
        <f ca="1">IFERROR(__xludf.DUMMYFUNCTION("""COMPUTED_VALUE"""),"I Accept")</f>
        <v>I Accept</v>
      </c>
      <c r="N420" s="4">
        <f ca="1">IFERROR(__xludf.DUMMYFUNCTION("""COMPUTED_VALUE"""),43200)</f>
        <v>43200</v>
      </c>
      <c r="O420" s="4">
        <f ca="1">IFERROR(__xludf.DUMMYFUNCTION("""COMPUTED_VALUE"""),43200)</f>
        <v>43200</v>
      </c>
      <c r="P420">
        <f ca="1">IFERROR(__xludf.DUMMYFUNCTION("""COMPUTED_VALUE"""),3)</f>
        <v>3</v>
      </c>
      <c r="Q420" t="str">
        <f ca="1">IFERROR(__xludf.DUMMYFUNCTION("""COMPUTED_VALUE"""),"binoysolgen@gmail.com")</f>
        <v>binoysolgen@gmail.com</v>
      </c>
      <c r="R420" s="2" t="s">
        <v>2834</v>
      </c>
    </row>
    <row r="421" spans="1:18" ht="13" x14ac:dyDescent="0.15">
      <c r="A421" s="3">
        <f ca="1">IFERROR(__xludf.DUMMYFUNCTION("""COMPUTED_VALUE"""),43209.3917138888)</f>
        <v>43209.391713888799</v>
      </c>
      <c r="B421" t="str">
        <f ca="1">IFERROR(__xludf.DUMMYFUNCTION("""COMPUTED_VALUE"""),"raisonsolar2018@gmail.com")</f>
        <v>raisonsolar2018@gmail.com</v>
      </c>
      <c r="C421">
        <f ca="1">IFERROR(__xludf.DUMMYFUNCTION("""COMPUTED_VALUE"""),925)</f>
        <v>925</v>
      </c>
      <c r="D421" t="str">
        <f ca="1">IFERROR(__xludf.DUMMYFUNCTION("""COMPUTED_VALUE"""),"RAISON J MATHEWS")</f>
        <v>RAISON J MATHEWS</v>
      </c>
      <c r="E421">
        <f ca="1">IFERROR(__xludf.DUMMYFUNCTION("""COMPUTED_VALUE"""),9447393634)</f>
        <v>9447393634</v>
      </c>
      <c r="F421" t="str">
        <f ca="1">IFERROR(__xludf.DUMMYFUNCTION("""COMPUTED_VALUE"""),"Idukki")</f>
        <v>Idukki</v>
      </c>
      <c r="G421" t="str">
        <f ca="1">IFERROR(__xludf.DUMMYFUNCTION("""COMPUTED_VALUE"""),"Reecco Energy India Pvt. Ltd")</f>
        <v>Reecco Energy India Pvt. Ltd</v>
      </c>
      <c r="H421">
        <f ca="1">IFERROR(__xludf.DUMMYFUNCTION("""COMPUTED_VALUE"""),47)</f>
        <v>47</v>
      </c>
      <c r="I421" s="4">
        <f ca="1">IFERROR(__xludf.DUMMYFUNCTION("""COMPUTED_VALUE"""),43209)</f>
        <v>43209</v>
      </c>
      <c r="J421">
        <f ca="1">IFERROR(__xludf.DUMMYFUNCTION("""COMPUTED_VALUE"""),5)</f>
        <v>5</v>
      </c>
      <c r="K421">
        <f ca="1">IFERROR(__xludf.DUMMYFUNCTION("""COMPUTED_VALUE"""),1157537011151)</f>
        <v>1157537011151</v>
      </c>
      <c r="L421" t="str">
        <f ca="1">IFERROR(__xludf.DUMMYFUNCTION("""COMPUTED_VALUE"""),"Alakode- Thodupuzha [5753]")</f>
        <v>Alakode- Thodupuzha [5753]</v>
      </c>
      <c r="M421" t="str">
        <f ca="1">IFERROR(__xludf.DUMMYFUNCTION("""COMPUTED_VALUE"""),"I Accept")</f>
        <v>I Accept</v>
      </c>
      <c r="N421" s="4">
        <f ca="1">IFERROR(__xludf.DUMMYFUNCTION("""COMPUTED_VALUE"""),43208)</f>
        <v>43208</v>
      </c>
      <c r="O421" s="4">
        <f ca="1">IFERROR(__xludf.DUMMYFUNCTION("""COMPUTED_VALUE"""),43208)</f>
        <v>43208</v>
      </c>
      <c r="P421">
        <f ca="1">IFERROR(__xludf.DUMMYFUNCTION("""COMPUTED_VALUE"""),5)</f>
        <v>5</v>
      </c>
      <c r="Q421" t="str">
        <f ca="1">IFERROR(__xludf.DUMMYFUNCTION("""COMPUTED_VALUE"""),"raisonsolar2018@gmail.com")</f>
        <v>raisonsolar2018@gmail.com</v>
      </c>
      <c r="R421" s="2" t="s">
        <v>2835</v>
      </c>
    </row>
    <row r="422" spans="1:18" ht="13" x14ac:dyDescent="0.15">
      <c r="A422" s="3">
        <f ca="1">IFERROR(__xludf.DUMMYFUNCTION("""COMPUTED_VALUE"""),43209.4036629166)</f>
        <v>43209.4036629166</v>
      </c>
      <c r="B422" t="str">
        <f ca="1">IFERROR(__xludf.DUMMYFUNCTION("""COMPUTED_VALUE"""),"jeev.sahadevan@gmail.com")</f>
        <v>jeev.sahadevan@gmail.com</v>
      </c>
      <c r="C422">
        <f ca="1">IFERROR(__xludf.DUMMYFUNCTION("""COMPUTED_VALUE"""),982)</f>
        <v>982</v>
      </c>
      <c r="D422" t="str">
        <f ca="1">IFERROR(__xludf.DUMMYFUNCTION("""COMPUTED_VALUE"""),"Rajeev.S")</f>
        <v>Rajeev.S</v>
      </c>
      <c r="E422">
        <f ca="1">IFERROR(__xludf.DUMMYFUNCTION("""COMPUTED_VALUE"""),7012781155)</f>
        <v>7012781155</v>
      </c>
      <c r="F422" t="str">
        <f ca="1">IFERROR(__xludf.DUMMYFUNCTION("""COMPUTED_VALUE"""),"Palakkad")</f>
        <v>Palakkad</v>
      </c>
      <c r="G422" t="str">
        <f ca="1">IFERROR(__xludf.DUMMYFUNCTION("""COMPUTED_VALUE"""),"IGA TECH INDUSTRIAL ELECTRONICS PVT LTD")</f>
        <v>IGA TECH INDUSTRIAL ELECTRONICS PVT LTD</v>
      </c>
      <c r="H422">
        <f ca="1">IFERROR(__xludf.DUMMYFUNCTION("""COMPUTED_VALUE"""),53)</f>
        <v>53</v>
      </c>
      <c r="I422" s="4">
        <f ca="1">IFERROR(__xludf.DUMMYFUNCTION("""COMPUTED_VALUE"""),43209)</f>
        <v>43209</v>
      </c>
      <c r="J422">
        <f ca="1">IFERROR(__xludf.DUMMYFUNCTION("""COMPUTED_VALUE"""),3)</f>
        <v>3</v>
      </c>
      <c r="K422">
        <f ca="1">IFERROR(__xludf.DUMMYFUNCTION("""COMPUTED_VALUE"""),1165102026954)</f>
        <v>1165102026954</v>
      </c>
      <c r="L422" t="str">
        <f ca="1">IFERROR(__xludf.DUMMYFUNCTION("""COMPUTED_VALUE"""),"Kollengode ")</f>
        <v xml:space="preserve">Kollengode </v>
      </c>
      <c r="M422" t="str">
        <f ca="1">IFERROR(__xludf.DUMMYFUNCTION("""COMPUTED_VALUE"""),"I Accept")</f>
        <v>I Accept</v>
      </c>
      <c r="N422" s="4">
        <f ca="1">IFERROR(__xludf.DUMMYFUNCTION("""COMPUTED_VALUE"""),43187)</f>
        <v>43187</v>
      </c>
      <c r="O422" s="4">
        <f ca="1">IFERROR(__xludf.DUMMYFUNCTION("""COMPUTED_VALUE"""),43187)</f>
        <v>43187</v>
      </c>
      <c r="P422">
        <f ca="1">IFERROR(__xludf.DUMMYFUNCTION("""COMPUTED_VALUE"""),3)</f>
        <v>3</v>
      </c>
      <c r="Q422" t="str">
        <f ca="1">IFERROR(__xludf.DUMMYFUNCTION("""COMPUTED_VALUE"""),"igatechsales@gmail.com")</f>
        <v>igatechsales@gmail.com</v>
      </c>
      <c r="R422" s="2" t="s">
        <v>2836</v>
      </c>
    </row>
    <row r="423" spans="1:18" ht="13" x14ac:dyDescent="0.15">
      <c r="A423" s="3">
        <f ca="1">IFERROR(__xludf.DUMMYFUNCTION("""COMPUTED_VALUE"""),43209.4506129166)</f>
        <v>43209.450612916597</v>
      </c>
      <c r="B423" t="str">
        <f ca="1">IFERROR(__xludf.DUMMYFUNCTION("""COMPUTED_VALUE"""),"sales.kodco@gmail.com")</f>
        <v>sales.kodco@gmail.com</v>
      </c>
      <c r="C423">
        <f ca="1">IFERROR(__xludf.DUMMYFUNCTION("""COMPUTED_VALUE"""),980)</f>
        <v>980</v>
      </c>
      <c r="D423" t="str">
        <f ca="1">IFERROR(__xludf.DUMMYFUNCTION("""COMPUTED_VALUE"""),"BEENA MANNARAKKAL")</f>
        <v>BEENA MANNARAKKAL</v>
      </c>
      <c r="E423">
        <f ca="1">IFERROR(__xludf.DUMMYFUNCTION("""COMPUTED_VALUE"""),7293224916)</f>
        <v>7293224916</v>
      </c>
      <c r="F423" t="str">
        <f ca="1">IFERROR(__xludf.DUMMYFUNCTION("""COMPUTED_VALUE"""),"Kozhikode")</f>
        <v>Kozhikode</v>
      </c>
      <c r="G423" t="str">
        <f ca="1">IFERROR(__xludf.DUMMYFUNCTION("""COMPUTED_VALUE"""),"TATA POWER SOLAR")</f>
        <v>TATA POWER SOLAR</v>
      </c>
      <c r="H423">
        <f ca="1">IFERROR(__xludf.DUMMYFUNCTION("""COMPUTED_VALUE"""),20)</f>
        <v>20</v>
      </c>
      <c r="I423" s="4">
        <f ca="1">IFERROR(__xludf.DUMMYFUNCTION("""COMPUTED_VALUE"""),43166)</f>
        <v>43166</v>
      </c>
      <c r="J423">
        <f ca="1">IFERROR(__xludf.DUMMYFUNCTION("""COMPUTED_VALUE"""),3)</f>
        <v>3</v>
      </c>
      <c r="K423">
        <f ca="1">IFERROR(__xludf.DUMMYFUNCTION("""COMPUTED_VALUE"""),1165975011702)</f>
        <v>1165975011702</v>
      </c>
      <c r="L423" t="str">
        <f ca="1">IFERROR(__xludf.DUMMYFUNCTION("""COMPUTED_VALUE"""),"POTTAMMAL")</f>
        <v>POTTAMMAL</v>
      </c>
      <c r="M423" t="str">
        <f ca="1">IFERROR(__xludf.DUMMYFUNCTION("""COMPUTED_VALUE"""),"I Accept")</f>
        <v>I Accept</v>
      </c>
      <c r="N423" s="4">
        <f ca="1">IFERROR(__xludf.DUMMYFUNCTION("""COMPUTED_VALUE"""),43171)</f>
        <v>43171</v>
      </c>
      <c r="O423" s="4">
        <f ca="1">IFERROR(__xludf.DUMMYFUNCTION("""COMPUTED_VALUE"""),43171)</f>
        <v>43171</v>
      </c>
      <c r="P423">
        <f ca="1">IFERROR(__xludf.DUMMYFUNCTION("""COMPUTED_VALUE"""),3)</f>
        <v>3</v>
      </c>
      <c r="Q423" t="str">
        <f ca="1">IFERROR(__xludf.DUMMYFUNCTION("""COMPUTED_VALUE"""),"sales.kodco@gmail.com")</f>
        <v>sales.kodco@gmail.com</v>
      </c>
      <c r="R423" s="2" t="s">
        <v>2837</v>
      </c>
    </row>
    <row r="424" spans="1:18" ht="13" x14ac:dyDescent="0.15">
      <c r="A424" s="3">
        <f ca="1">IFERROR(__xludf.DUMMYFUNCTION("""COMPUTED_VALUE"""),43209.6342251504)</f>
        <v>43209.634225150403</v>
      </c>
      <c r="B424" t="str">
        <f ca="1">IFERROR(__xludf.DUMMYFUNCTION("""COMPUTED_VALUE"""),"philipsreni1@gmail.com")</f>
        <v>philipsreni1@gmail.com</v>
      </c>
      <c r="C424">
        <f ca="1">IFERROR(__xludf.DUMMYFUNCTION("""COMPUTED_VALUE"""),659)</f>
        <v>659</v>
      </c>
      <c r="D424" t="str">
        <f ca="1">IFERROR(__xludf.DUMMYFUNCTION("""COMPUTED_VALUE"""),"GEETHA RENI PHILIP")</f>
        <v>GEETHA RENI PHILIP</v>
      </c>
      <c r="E424">
        <f ca="1">IFERROR(__xludf.DUMMYFUNCTION("""COMPUTED_VALUE"""),9447269497)</f>
        <v>9447269497</v>
      </c>
      <c r="F424" t="str">
        <f ca="1">IFERROR(__xludf.DUMMYFUNCTION("""COMPUTED_VALUE"""),"Pathanamthitta")</f>
        <v>Pathanamthitta</v>
      </c>
      <c r="G424" t="str">
        <f ca="1">IFERROR(__xludf.DUMMYFUNCTION("""COMPUTED_VALUE"""),"SIRET SOLAR PVT LTD")</f>
        <v>SIRET SOLAR PVT LTD</v>
      </c>
      <c r="H424">
        <f ca="1">IFERROR(__xludf.DUMMYFUNCTION("""COMPUTED_VALUE"""),21)</f>
        <v>21</v>
      </c>
      <c r="I424" s="4">
        <f ca="1">IFERROR(__xludf.DUMMYFUNCTION("""COMPUTED_VALUE"""),43209)</f>
        <v>43209</v>
      </c>
      <c r="J424">
        <f ca="1">IFERROR(__xludf.DUMMYFUNCTION("""COMPUTED_VALUE"""),3)</f>
        <v>3</v>
      </c>
      <c r="K424">
        <f ca="1">IFERROR(__xludf.DUMMYFUNCTION("""COMPUTED_VALUE"""),1146142000764)</f>
        <v>1146142000764</v>
      </c>
      <c r="L424" t="str">
        <f ca="1">IFERROR(__xludf.DUMMYFUNCTION("""COMPUTED_VALUE"""),"PANDALAM")</f>
        <v>PANDALAM</v>
      </c>
      <c r="M424" t="str">
        <f ca="1">IFERROR(__xludf.DUMMYFUNCTION("""COMPUTED_VALUE"""),"I Accept")</f>
        <v>I Accept</v>
      </c>
      <c r="N424" s="4">
        <f ca="1">IFERROR(__xludf.DUMMYFUNCTION("""COMPUTED_VALUE"""),43195)</f>
        <v>43195</v>
      </c>
      <c r="O424" s="4">
        <f ca="1">IFERROR(__xludf.DUMMYFUNCTION("""COMPUTED_VALUE"""),43195)</f>
        <v>43195</v>
      </c>
      <c r="P424">
        <f ca="1">IFERROR(__xludf.DUMMYFUNCTION("""COMPUTED_VALUE"""),3)</f>
        <v>3</v>
      </c>
      <c r="Q424" t="str">
        <f ca="1">IFERROR(__xludf.DUMMYFUNCTION("""COMPUTED_VALUE"""),"philipsreni1@gmail.com")</f>
        <v>philipsreni1@gmail.com</v>
      </c>
      <c r="R424" s="2" t="s">
        <v>2838</v>
      </c>
    </row>
    <row r="425" spans="1:18" ht="13" x14ac:dyDescent="0.15">
      <c r="A425" s="3">
        <f ca="1">IFERROR(__xludf.DUMMYFUNCTION("""COMPUTED_VALUE"""),43209.6404988425)</f>
        <v>43209.640498842498</v>
      </c>
      <c r="B425" t="str">
        <f ca="1">IFERROR(__xludf.DUMMYFUNCTION("""COMPUTED_VALUE"""),"suncitycustomercare@gmail.com")</f>
        <v>suncitycustomercare@gmail.com</v>
      </c>
      <c r="C425">
        <f ca="1">IFERROR(__xludf.DUMMYFUNCTION("""COMPUTED_VALUE"""),909)</f>
        <v>909</v>
      </c>
      <c r="D425" t="str">
        <f ca="1">IFERROR(__xludf.DUMMYFUNCTION("""COMPUTED_VALUE"""),"A.G.JOHN")</f>
        <v>A.G.JOHN</v>
      </c>
      <c r="E425">
        <f ca="1">IFERROR(__xludf.DUMMYFUNCTION("""COMPUTED_VALUE"""),9846033557)</f>
        <v>9846033557</v>
      </c>
      <c r="F425" t="str">
        <f ca="1">IFERROR(__xludf.DUMMYFUNCTION("""COMPUTED_VALUE"""),"Thrissur")</f>
        <v>Thrissur</v>
      </c>
      <c r="G425" t="str">
        <f ca="1">IFERROR(__xludf.DUMMYFUNCTION("""COMPUTED_VALUE"""),"TATA POWER SOLAR SYSTEMS LIMITED")</f>
        <v>TATA POWER SOLAR SYSTEMS LIMITED</v>
      </c>
      <c r="H425">
        <f ca="1">IFERROR(__xludf.DUMMYFUNCTION("""COMPUTED_VALUE"""),20)</f>
        <v>20</v>
      </c>
      <c r="I425" s="4">
        <f ca="1">IFERROR(__xludf.DUMMYFUNCTION("""COMPUTED_VALUE"""),43209)</f>
        <v>43209</v>
      </c>
      <c r="J425">
        <f ca="1">IFERROR(__xludf.DUMMYFUNCTION("""COMPUTED_VALUE"""),5)</f>
        <v>5</v>
      </c>
      <c r="K425">
        <f ca="1">IFERROR(__xludf.DUMMYFUNCTION("""COMPUTED_VALUE"""),13420)</f>
        <v>13420</v>
      </c>
      <c r="L425" t="str">
        <f ca="1">IFERROR(__xludf.DUMMYFUNCTION("""COMPUTED_VALUE"""),"THRISSUR CORPORATION")</f>
        <v>THRISSUR CORPORATION</v>
      </c>
      <c r="M425" t="str">
        <f ca="1">IFERROR(__xludf.DUMMYFUNCTION("""COMPUTED_VALUE"""),"I Accept")</f>
        <v>I Accept</v>
      </c>
      <c r="N425" s="4">
        <f ca="1">IFERROR(__xludf.DUMMYFUNCTION("""COMPUTED_VALUE"""),43207)</f>
        <v>43207</v>
      </c>
      <c r="O425" s="4">
        <f ca="1">IFERROR(__xludf.DUMMYFUNCTION("""COMPUTED_VALUE"""),43207)</f>
        <v>43207</v>
      </c>
      <c r="P425">
        <f ca="1">IFERROR(__xludf.DUMMYFUNCTION("""COMPUTED_VALUE"""),5)</f>
        <v>5</v>
      </c>
      <c r="Q425" t="str">
        <f ca="1">IFERROR(__xludf.DUMMYFUNCTION("""COMPUTED_VALUE"""),"suncitycustomercare@gmail.com")</f>
        <v>suncitycustomercare@gmail.com</v>
      </c>
      <c r="R425" s="2" t="s">
        <v>2839</v>
      </c>
    </row>
    <row r="426" spans="1:18" ht="13" x14ac:dyDescent="0.15">
      <c r="A426" s="3">
        <f ca="1">IFERROR(__xludf.DUMMYFUNCTION("""COMPUTED_VALUE"""),43209.7219985648)</f>
        <v>43209.721998564797</v>
      </c>
      <c r="B426" t="str">
        <f ca="1">IFERROR(__xludf.DUMMYFUNCTION("""COMPUTED_VALUE"""),"connectdsk@gmail.com")</f>
        <v>connectdsk@gmail.com</v>
      </c>
      <c r="C426">
        <f ca="1">IFERROR(__xludf.DUMMYFUNCTION("""COMPUTED_VALUE"""),779)</f>
        <v>779</v>
      </c>
      <c r="D426" t="str">
        <f ca="1">IFERROR(__xludf.DUMMYFUNCTION("""COMPUTED_VALUE"""),"SUBHASHITHAN E P K")</f>
        <v>SUBHASHITHAN E P K</v>
      </c>
      <c r="E426">
        <f ca="1">IFERROR(__xludf.DUMMYFUNCTION("""COMPUTED_VALUE"""),8547564126)</f>
        <v>8547564126</v>
      </c>
      <c r="F426" t="str">
        <f ca="1">IFERROR(__xludf.DUMMYFUNCTION("""COMPUTED_VALUE"""),"Thrissur")</f>
        <v>Thrissur</v>
      </c>
      <c r="G426" t="str">
        <f ca="1">IFERROR(__xludf.DUMMYFUNCTION("""COMPUTED_VALUE"""),"FERT")</f>
        <v>FERT</v>
      </c>
      <c r="H426">
        <f ca="1">IFERROR(__xludf.DUMMYFUNCTION("""COMPUTED_VALUE"""),27)</f>
        <v>27</v>
      </c>
      <c r="I426" s="4">
        <f ca="1">IFERROR(__xludf.DUMMYFUNCTION("""COMPUTED_VALUE"""),43207)</f>
        <v>43207</v>
      </c>
      <c r="J426">
        <f ca="1">IFERROR(__xludf.DUMMYFUNCTION("""COMPUTED_VALUE"""),3)</f>
        <v>3</v>
      </c>
      <c r="K426">
        <f ca="1">IFERROR(__xludf.DUMMYFUNCTION("""COMPUTED_VALUE"""),1157160008464)</f>
        <v>1157160008464</v>
      </c>
      <c r="L426" t="str">
        <f ca="1">IFERROR(__xludf.DUMMYFUNCTION("""COMPUTED_VALUE"""),"THALIKULAM")</f>
        <v>THALIKULAM</v>
      </c>
      <c r="M426" t="str">
        <f ca="1">IFERROR(__xludf.DUMMYFUNCTION("""COMPUTED_VALUE"""),"I Accept")</f>
        <v>I Accept</v>
      </c>
      <c r="N426" s="4">
        <f ca="1">IFERROR(__xludf.DUMMYFUNCTION("""COMPUTED_VALUE"""),43207)</f>
        <v>43207</v>
      </c>
      <c r="O426" s="4">
        <f ca="1">IFERROR(__xludf.DUMMYFUNCTION("""COMPUTED_VALUE"""),43207)</f>
        <v>43207</v>
      </c>
      <c r="P426">
        <f ca="1">IFERROR(__xludf.DUMMYFUNCTION("""COMPUTED_VALUE"""),3)</f>
        <v>3</v>
      </c>
      <c r="Q426" t="str">
        <f ca="1">IFERROR(__xludf.DUMMYFUNCTION("""COMPUTED_VALUE"""),"connectdsk@gmail.com")</f>
        <v>connectdsk@gmail.com</v>
      </c>
      <c r="R426" s="2" t="s">
        <v>2840</v>
      </c>
    </row>
    <row r="427" spans="1:18" ht="13" x14ac:dyDescent="0.15">
      <c r="A427" s="3">
        <f ca="1">IFERROR(__xludf.DUMMYFUNCTION("""COMPUTED_VALUE"""),43210.4325541782)</f>
        <v>43210.432554178202</v>
      </c>
      <c r="B427" t="str">
        <f ca="1">IFERROR(__xludf.DUMMYFUNCTION("""COMPUTED_VALUE"""),"solarconnect2018@gmail.com")</f>
        <v>solarconnect2018@gmail.com</v>
      </c>
      <c r="C427">
        <f ca="1">IFERROR(__xludf.DUMMYFUNCTION("""COMPUTED_VALUE"""),717)</f>
        <v>717</v>
      </c>
      <c r="D427" t="str">
        <f ca="1">IFERROR(__xludf.DUMMYFUNCTION("""COMPUTED_VALUE"""),"ISMAIL C")</f>
        <v>ISMAIL C</v>
      </c>
      <c r="E427">
        <f ca="1">IFERROR(__xludf.DUMMYFUNCTION("""COMPUTED_VALUE"""),9400940508)</f>
        <v>9400940508</v>
      </c>
      <c r="F427" t="str">
        <f ca="1">IFERROR(__xludf.DUMMYFUNCTION("""COMPUTED_VALUE"""),"Kasaragod")</f>
        <v>Kasaragod</v>
      </c>
      <c r="G427" t="str">
        <f ca="1">IFERROR(__xludf.DUMMYFUNCTION("""COMPUTED_VALUE"""),"SPECTRUM TECHNO PRODUCTS")</f>
        <v>SPECTRUM TECHNO PRODUCTS</v>
      </c>
      <c r="H427">
        <f ca="1">IFERROR(__xludf.DUMMYFUNCTION("""COMPUTED_VALUE"""),66)</f>
        <v>66</v>
      </c>
      <c r="I427" s="4">
        <f ca="1">IFERROR(__xludf.DUMMYFUNCTION("""COMPUTED_VALUE"""),43211)</f>
        <v>43211</v>
      </c>
      <c r="J427">
        <f ca="1">IFERROR(__xludf.DUMMYFUNCTION("""COMPUTED_VALUE"""),2)</f>
        <v>2</v>
      </c>
      <c r="K427">
        <f ca="1">IFERROR(__xludf.DUMMYFUNCTION("""COMPUTED_VALUE"""),1166898003745)</f>
        <v>1166898003745</v>
      </c>
      <c r="L427" t="str">
        <f ca="1">IFERROR(__xludf.DUMMYFUNCTION("""COMPUTED_VALUE"""),"CHERKALA")</f>
        <v>CHERKALA</v>
      </c>
      <c r="M427" t="str">
        <f ca="1">IFERROR(__xludf.DUMMYFUNCTION("""COMPUTED_VALUE"""),"I Accept")</f>
        <v>I Accept</v>
      </c>
      <c r="N427" s="4">
        <f ca="1">IFERROR(__xludf.DUMMYFUNCTION("""COMPUTED_VALUE"""),43174)</f>
        <v>43174</v>
      </c>
      <c r="O427" s="4">
        <f ca="1">IFERROR(__xludf.DUMMYFUNCTION("""COMPUTED_VALUE"""),43174)</f>
        <v>43174</v>
      </c>
      <c r="P427">
        <f ca="1">IFERROR(__xludf.DUMMYFUNCTION("""COMPUTED_VALUE"""),2)</f>
        <v>2</v>
      </c>
      <c r="Q427" t="str">
        <f ca="1">IFERROR(__xludf.DUMMYFUNCTION("""COMPUTED_VALUE"""),"solarconnect2018@gmail.com")</f>
        <v>solarconnect2018@gmail.com</v>
      </c>
      <c r="R427" s="2" t="s">
        <v>2841</v>
      </c>
    </row>
    <row r="428" spans="1:18" ht="13" x14ac:dyDescent="0.15">
      <c r="A428" s="3">
        <f ca="1">IFERROR(__xludf.DUMMYFUNCTION("""COMPUTED_VALUE"""),43210.5260941088)</f>
        <v>43210.526094108798</v>
      </c>
      <c r="B428" t="str">
        <f ca="1">IFERROR(__xludf.DUMMYFUNCTION("""COMPUTED_VALUE"""),"info@solartechind.com")</f>
        <v>info@solartechind.com</v>
      </c>
      <c r="C428">
        <f ca="1">IFERROR(__xludf.DUMMYFUNCTION("""COMPUTED_VALUE"""),735)</f>
        <v>735</v>
      </c>
      <c r="D428" t="str">
        <f ca="1">IFERROR(__xludf.DUMMYFUNCTION("""COMPUTED_VALUE"""),"Justin George")</f>
        <v>Justin George</v>
      </c>
      <c r="E428">
        <f ca="1">IFERROR(__xludf.DUMMYFUNCTION("""COMPUTED_VALUE"""),9387707733)</f>
        <v>9387707733</v>
      </c>
      <c r="F428" t="str">
        <f ca="1">IFERROR(__xludf.DUMMYFUNCTION("""COMPUTED_VALUE"""),"Thrissur")</f>
        <v>Thrissur</v>
      </c>
      <c r="G428" t="str">
        <f ca="1">IFERROR(__xludf.DUMMYFUNCTION("""COMPUTED_VALUE"""),"Solartech")</f>
        <v>Solartech</v>
      </c>
      <c r="H428">
        <f ca="1">IFERROR(__xludf.DUMMYFUNCTION("""COMPUTED_VALUE"""),4)</f>
        <v>4</v>
      </c>
      <c r="I428" s="4">
        <f ca="1">IFERROR(__xludf.DUMMYFUNCTION("""COMPUTED_VALUE"""),43209)</f>
        <v>43209</v>
      </c>
      <c r="J428">
        <f ca="1">IFERROR(__xludf.DUMMYFUNCTION("""COMPUTED_VALUE"""),3)</f>
        <v>3</v>
      </c>
      <c r="K428">
        <f ca="1">IFERROR(__xludf.DUMMYFUNCTION("""COMPUTED_VALUE"""),1156828005653)</f>
        <v>1156828005653</v>
      </c>
      <c r="L428" t="str">
        <f ca="1">IFERROR(__xludf.DUMMYFUNCTION("""COMPUTED_VALUE"""),"Mulamkunnathukavu")</f>
        <v>Mulamkunnathukavu</v>
      </c>
      <c r="M428" t="str">
        <f ca="1">IFERROR(__xludf.DUMMYFUNCTION("""COMPUTED_VALUE"""),"I Accept")</f>
        <v>I Accept</v>
      </c>
      <c r="N428" s="4">
        <f ca="1">IFERROR(__xludf.DUMMYFUNCTION("""COMPUTED_VALUE"""),43208)</f>
        <v>43208</v>
      </c>
      <c r="O428" s="4">
        <f ca="1">IFERROR(__xludf.DUMMYFUNCTION("""COMPUTED_VALUE"""),43208)</f>
        <v>43208</v>
      </c>
      <c r="P428">
        <f ca="1">IFERROR(__xludf.DUMMYFUNCTION("""COMPUTED_VALUE"""),3)</f>
        <v>3</v>
      </c>
      <c r="Q428" t="str">
        <f ca="1">IFERROR(__xludf.DUMMYFUNCTION("""COMPUTED_VALUE"""),"info@solartechind.com")</f>
        <v>info@solartechind.com</v>
      </c>
      <c r="R428" s="2" t="s">
        <v>2842</v>
      </c>
    </row>
    <row r="429" spans="1:18" ht="13" x14ac:dyDescent="0.15">
      <c r="A429" s="3">
        <f ca="1">IFERROR(__xludf.DUMMYFUNCTION("""COMPUTED_VALUE"""),43211.4525070601)</f>
        <v>43211.452507060101</v>
      </c>
      <c r="B429" t="str">
        <f ca="1">IFERROR(__xludf.DUMMYFUNCTION("""COMPUTED_VALUE"""),"sooraj4suresh@gmail.com")</f>
        <v>sooraj4suresh@gmail.com</v>
      </c>
      <c r="C429">
        <f ca="1">IFERROR(__xludf.DUMMYFUNCTION("""COMPUTED_VALUE"""),969)</f>
        <v>969</v>
      </c>
      <c r="D429" t="str">
        <f ca="1">IFERROR(__xludf.DUMMYFUNCTION("""COMPUTED_VALUE"""),"Carmel Hospital")</f>
        <v>Carmel Hospital</v>
      </c>
      <c r="E429">
        <f ca="1">IFERROR(__xludf.DUMMYFUNCTION("""COMPUTED_VALUE"""),8289938304)</f>
        <v>8289938304</v>
      </c>
      <c r="F429" t="str">
        <f ca="1">IFERROR(__xludf.DUMMYFUNCTION("""COMPUTED_VALUE"""),"Ernakulam")</f>
        <v>Ernakulam</v>
      </c>
      <c r="G429" t="str">
        <f ca="1">IFERROR(__xludf.DUMMYFUNCTION("""COMPUTED_VALUE"""),"SIRET SOLAR PVT.LTD")</f>
        <v>SIRET SOLAR PVT.LTD</v>
      </c>
      <c r="H429">
        <f ca="1">IFERROR(__xludf.DUMMYFUNCTION("""COMPUTED_VALUE"""),21)</f>
        <v>21</v>
      </c>
      <c r="I429" s="4">
        <f ca="1">IFERROR(__xludf.DUMMYFUNCTION("""COMPUTED_VALUE"""),43214)</f>
        <v>43214</v>
      </c>
      <c r="J429">
        <f ca="1">IFERROR(__xludf.DUMMYFUNCTION("""COMPUTED_VALUE"""),100)</f>
        <v>100</v>
      </c>
      <c r="K429">
        <f ca="1">IFERROR(__xludf.DUMMYFUNCTION("""COMPUTED_VALUE"""),1355670002136)</f>
        <v>1355670002136</v>
      </c>
      <c r="L429" t="str">
        <f ca="1">IFERROR(__xludf.DUMMYFUNCTION("""COMPUTED_VALUE"""),"Aluva Town (5567)")</f>
        <v>Aluva Town (5567)</v>
      </c>
      <c r="M429" t="str">
        <f ca="1">IFERROR(__xludf.DUMMYFUNCTION("""COMPUTED_VALUE"""),"I Accept")</f>
        <v>I Accept</v>
      </c>
      <c r="N429" s="4">
        <f ca="1">IFERROR(__xludf.DUMMYFUNCTION("""COMPUTED_VALUE"""),43195)</f>
        <v>43195</v>
      </c>
      <c r="O429" s="4">
        <f ca="1">IFERROR(__xludf.DUMMYFUNCTION("""COMPUTED_VALUE"""),43195)</f>
        <v>43195</v>
      </c>
      <c r="P429">
        <f ca="1">IFERROR(__xludf.DUMMYFUNCTION("""COMPUTED_VALUE"""),100)</f>
        <v>100</v>
      </c>
      <c r="Q429" t="str">
        <f ca="1">IFERROR(__xludf.DUMMYFUNCTION("""COMPUTED_VALUE"""),"sooraj4suresh@gmail.com")</f>
        <v>sooraj4suresh@gmail.com</v>
      </c>
      <c r="R429" s="2" t="s">
        <v>2843</v>
      </c>
    </row>
    <row r="430" spans="1:18" ht="13" x14ac:dyDescent="0.15">
      <c r="A430" s="3">
        <f ca="1">IFERROR(__xludf.DUMMYFUNCTION("""COMPUTED_VALUE"""),43211.4693510995)</f>
        <v>43211.469351099498</v>
      </c>
      <c r="B430" t="str">
        <f ca="1">IFERROR(__xludf.DUMMYFUNCTION("""COMPUTED_VALUE"""),"wesley.shalomclinic@gmail.com")</f>
        <v>wesley.shalomclinic@gmail.com</v>
      </c>
      <c r="C430">
        <f ca="1">IFERROR(__xludf.DUMMYFUNCTION("""COMPUTED_VALUE"""),743)</f>
        <v>743</v>
      </c>
      <c r="D430" t="str">
        <f ca="1">IFERROR(__xludf.DUMMYFUNCTION("""COMPUTED_VALUE"""),"WESLEY KOSHY JOHN")</f>
        <v>WESLEY KOSHY JOHN</v>
      </c>
      <c r="E430">
        <f ca="1">IFERROR(__xludf.DUMMYFUNCTION("""COMPUTED_VALUE"""),9447258255)</f>
        <v>9447258255</v>
      </c>
      <c r="F430" t="str">
        <f ca="1">IFERROR(__xludf.DUMMYFUNCTION("""COMPUTED_VALUE"""),"Alappuzha")</f>
        <v>Alappuzha</v>
      </c>
      <c r="G430" t="str">
        <f ca="1">IFERROR(__xludf.DUMMYFUNCTION("""COMPUTED_VALUE"""),"SIRET SOLAR PVT LTD")</f>
        <v>SIRET SOLAR PVT LTD</v>
      </c>
      <c r="H430">
        <f ca="1">IFERROR(__xludf.DUMMYFUNCTION("""COMPUTED_VALUE"""),21)</f>
        <v>21</v>
      </c>
      <c r="I430" s="4">
        <f ca="1">IFERROR(__xludf.DUMMYFUNCTION("""COMPUTED_VALUE"""),43205)</f>
        <v>43205</v>
      </c>
      <c r="J430">
        <f ca="1">IFERROR(__xludf.DUMMYFUNCTION("""COMPUTED_VALUE"""),2)</f>
        <v>2</v>
      </c>
      <c r="K430">
        <f ca="1">IFERROR(__xludf.DUMMYFUNCTION("""COMPUTED_VALUE"""),1155262000388)</f>
        <v>1155262000388</v>
      </c>
      <c r="L430" t="str">
        <f ca="1">IFERROR(__xludf.DUMMYFUNCTION("""COMPUTED_VALUE"""),"KARTHIKAPPALLY")</f>
        <v>KARTHIKAPPALLY</v>
      </c>
      <c r="M430" t="str">
        <f ca="1">IFERROR(__xludf.DUMMYFUNCTION("""COMPUTED_VALUE"""),"I Accept")</f>
        <v>I Accept</v>
      </c>
      <c r="N430" s="4">
        <f ca="1">IFERROR(__xludf.DUMMYFUNCTION("""COMPUTED_VALUE"""),43206)</f>
        <v>43206</v>
      </c>
      <c r="O430" s="4">
        <f ca="1">IFERROR(__xludf.DUMMYFUNCTION("""COMPUTED_VALUE"""),43206)</f>
        <v>43206</v>
      </c>
      <c r="P430">
        <f ca="1">IFERROR(__xludf.DUMMYFUNCTION("""COMPUTED_VALUE"""),2)</f>
        <v>2</v>
      </c>
      <c r="Q430" t="str">
        <f ca="1">IFERROR(__xludf.DUMMYFUNCTION("""COMPUTED_VALUE"""),"wesley.shalomclinic@gmail.com")</f>
        <v>wesley.shalomclinic@gmail.com</v>
      </c>
      <c r="R430" s="2" t="s">
        <v>2844</v>
      </c>
    </row>
    <row r="431" spans="1:18" ht="13" x14ac:dyDescent="0.15">
      <c r="A431" s="3">
        <f ca="1">IFERROR(__xludf.DUMMYFUNCTION("""COMPUTED_VALUE"""),43211.6429658333)</f>
        <v>43211.6429658333</v>
      </c>
      <c r="B431" t="str">
        <f ca="1">IFERROR(__xludf.DUMMYFUNCTION("""COMPUTED_VALUE"""),"solarconnect2018@gmail.com")</f>
        <v>solarconnect2018@gmail.com</v>
      </c>
      <c r="C431">
        <f ca="1">IFERROR(__xludf.DUMMYFUNCTION("""COMPUTED_VALUE"""),810)</f>
        <v>810</v>
      </c>
      <c r="D431" t="str">
        <f ca="1">IFERROR(__xludf.DUMMYFUNCTION("""COMPUTED_VALUE"""),"YATHINDRAN K V")</f>
        <v>YATHINDRAN K V</v>
      </c>
      <c r="E431">
        <f ca="1">IFERROR(__xludf.DUMMYFUNCTION("""COMPUTED_VALUE"""),9387393939)</f>
        <v>9387393939</v>
      </c>
      <c r="F431" t="str">
        <f ca="1">IFERROR(__xludf.DUMMYFUNCTION("""COMPUTED_VALUE"""),"Kannur")</f>
        <v>Kannur</v>
      </c>
      <c r="G431" t="str">
        <f ca="1">IFERROR(__xludf.DUMMYFUNCTION("""COMPUTED_VALUE"""),"SPECTRUM TECHNO PRODUCTS")</f>
        <v>SPECTRUM TECHNO PRODUCTS</v>
      </c>
      <c r="H431">
        <f ca="1">IFERROR(__xludf.DUMMYFUNCTION("""COMPUTED_VALUE"""),66)</f>
        <v>66</v>
      </c>
      <c r="I431" s="4">
        <f ca="1">IFERROR(__xludf.DUMMYFUNCTION("""COMPUTED_VALUE"""),43210)</f>
        <v>43210</v>
      </c>
      <c r="J431">
        <f ca="1">IFERROR(__xludf.DUMMYFUNCTION("""COMPUTED_VALUE"""),5)</f>
        <v>5</v>
      </c>
      <c r="K431">
        <f ca="1">IFERROR(__xludf.DUMMYFUNCTION("""COMPUTED_VALUE"""),1166588018060)</f>
        <v>1166588018060</v>
      </c>
      <c r="L431" t="str">
        <f ca="1">IFERROR(__xludf.DUMMYFUNCTION("""COMPUTED_VALUE"""),"KADACHIRA")</f>
        <v>KADACHIRA</v>
      </c>
      <c r="M431" t="str">
        <f ca="1">IFERROR(__xludf.DUMMYFUNCTION("""COMPUTED_VALUE"""),"I Accept")</f>
        <v>I Accept</v>
      </c>
      <c r="N431" s="4">
        <f ca="1">IFERROR(__xludf.DUMMYFUNCTION("""COMPUTED_VALUE"""),43197)</f>
        <v>43197</v>
      </c>
      <c r="O431" s="4">
        <f ca="1">IFERROR(__xludf.DUMMYFUNCTION("""COMPUTED_VALUE"""),43197)</f>
        <v>43197</v>
      </c>
      <c r="P431">
        <f ca="1">IFERROR(__xludf.DUMMYFUNCTION("""COMPUTED_VALUE"""),5)</f>
        <v>5</v>
      </c>
      <c r="Q431" t="str">
        <f ca="1">IFERROR(__xludf.DUMMYFUNCTION("""COMPUTED_VALUE"""),"solarconnect2018@gmail.com")</f>
        <v>solarconnect2018@gmail.com</v>
      </c>
      <c r="R431" s="2" t="s">
        <v>2845</v>
      </c>
    </row>
    <row r="432" spans="1:18" ht="13" x14ac:dyDescent="0.15">
      <c r="A432" s="3">
        <f ca="1">IFERROR(__xludf.DUMMYFUNCTION("""COMPUTED_VALUE"""),43211.678161493)</f>
        <v>43211.678161493001</v>
      </c>
      <c r="B432" t="str">
        <f ca="1">IFERROR(__xludf.DUMMYFUNCTION("""COMPUTED_VALUE"""),"solarconnect2018@gmail.com")</f>
        <v>solarconnect2018@gmail.com</v>
      </c>
      <c r="C432">
        <f ca="1">IFERROR(__xludf.DUMMYFUNCTION("""COMPUTED_VALUE"""),630)</f>
        <v>630</v>
      </c>
      <c r="D432" t="str">
        <f ca="1">IFERROR(__xludf.DUMMYFUNCTION("""COMPUTED_VALUE"""),"ASHRAF")</f>
        <v>ASHRAF</v>
      </c>
      <c r="E432">
        <f ca="1">IFERROR(__xludf.DUMMYFUNCTION("""COMPUTED_VALUE"""),8606390151)</f>
        <v>8606390151</v>
      </c>
      <c r="F432" t="str">
        <f ca="1">IFERROR(__xludf.DUMMYFUNCTION("""COMPUTED_VALUE"""),"Kannur")</f>
        <v>Kannur</v>
      </c>
      <c r="G432" t="str">
        <f ca="1">IFERROR(__xludf.DUMMYFUNCTION("""COMPUTED_VALUE"""),"SPECTRUM TECHNO PRODUCTS")</f>
        <v>SPECTRUM TECHNO PRODUCTS</v>
      </c>
      <c r="H432">
        <f ca="1">IFERROR(__xludf.DUMMYFUNCTION("""COMPUTED_VALUE"""),66)</f>
        <v>66</v>
      </c>
      <c r="I432" s="4">
        <f ca="1">IFERROR(__xludf.DUMMYFUNCTION("""COMPUTED_VALUE"""),43210)</f>
        <v>43210</v>
      </c>
      <c r="J432">
        <f ca="1">IFERROR(__xludf.DUMMYFUNCTION("""COMPUTED_VALUE"""),2)</f>
        <v>2</v>
      </c>
      <c r="K432">
        <f ca="1">IFERROR(__xludf.DUMMYFUNCTION("""COMPUTED_VALUE"""),1166739015440)</f>
        <v>1166739015440</v>
      </c>
      <c r="L432" t="str">
        <f ca="1">IFERROR(__xludf.DUMMYFUNCTION("""COMPUTED_VALUE"""),"PARAD")</f>
        <v>PARAD</v>
      </c>
      <c r="M432" t="str">
        <f ca="1">IFERROR(__xludf.DUMMYFUNCTION("""COMPUTED_VALUE"""),"I Accept")</f>
        <v>I Accept</v>
      </c>
      <c r="N432" s="4">
        <f ca="1">IFERROR(__xludf.DUMMYFUNCTION("""COMPUTED_VALUE"""),43210)</f>
        <v>43210</v>
      </c>
      <c r="O432" s="4">
        <f ca="1">IFERROR(__xludf.DUMMYFUNCTION("""COMPUTED_VALUE"""),43210)</f>
        <v>43210</v>
      </c>
      <c r="P432">
        <f ca="1">IFERROR(__xludf.DUMMYFUNCTION("""COMPUTED_VALUE"""),2)</f>
        <v>2</v>
      </c>
      <c r="Q432" t="str">
        <f ca="1">IFERROR(__xludf.DUMMYFUNCTION("""COMPUTED_VALUE"""),"solarconnect2018@gmail.com")</f>
        <v>solarconnect2018@gmail.com</v>
      </c>
      <c r="R432" s="2" t="s">
        <v>2846</v>
      </c>
    </row>
    <row r="433" spans="1:18" ht="13" x14ac:dyDescent="0.15">
      <c r="A433" s="3">
        <f ca="1">IFERROR(__xludf.DUMMYFUNCTION("""COMPUTED_VALUE"""),43212.4969460532)</f>
        <v>43212.496946053201</v>
      </c>
      <c r="B433" t="str">
        <f ca="1">IFERROR(__xludf.DUMMYFUNCTION("""COMPUTED_VALUE"""),"ktpanicker@gmail.com")</f>
        <v>ktpanicker@gmail.com</v>
      </c>
      <c r="C433">
        <f ca="1">IFERROR(__xludf.DUMMYFUNCTION("""COMPUTED_VALUE"""),957)</f>
        <v>957</v>
      </c>
      <c r="D433" t="str">
        <f ca="1">IFERROR(__xludf.DUMMYFUNCTION("""COMPUTED_VALUE"""),"THOMAS PANICKER K")</f>
        <v>THOMAS PANICKER K</v>
      </c>
      <c r="E433">
        <f ca="1">IFERROR(__xludf.DUMMYFUNCTION("""COMPUTED_VALUE"""),8547736075)</f>
        <v>8547736075</v>
      </c>
      <c r="F433" t="str">
        <f ca="1">IFERROR(__xludf.DUMMYFUNCTION("""COMPUTED_VALUE"""),"Kollam")</f>
        <v>Kollam</v>
      </c>
      <c r="G433" t="str">
        <f ca="1">IFERROR(__xludf.DUMMYFUNCTION("""COMPUTED_VALUE"""),"SOLGEN ENERGY PVT LTD")</f>
        <v>SOLGEN ENERGY PVT LTD</v>
      </c>
      <c r="H433">
        <f ca="1">IFERROR(__xludf.DUMMYFUNCTION("""COMPUTED_VALUE"""),42)</f>
        <v>42</v>
      </c>
      <c r="I433" s="4">
        <f ca="1">IFERROR(__xludf.DUMMYFUNCTION("""COMPUTED_VALUE"""),43209)</f>
        <v>43209</v>
      </c>
      <c r="J433">
        <f ca="1">IFERROR(__xludf.DUMMYFUNCTION("""COMPUTED_VALUE"""),5)</f>
        <v>5</v>
      </c>
      <c r="K433">
        <f ca="1">IFERROR(__xludf.DUMMYFUNCTION("""COMPUTED_VALUE"""),1145852005537)</f>
        <v>1145852005537</v>
      </c>
      <c r="L433" t="str">
        <f ca="1">IFERROR(__xludf.DUMMYFUNCTION("""COMPUTED_VALUE"""),"4585 PERUMPUZHA")</f>
        <v>4585 PERUMPUZHA</v>
      </c>
      <c r="M433" t="str">
        <f ca="1">IFERROR(__xludf.DUMMYFUNCTION("""COMPUTED_VALUE"""),"I Accept")</f>
        <v>I Accept</v>
      </c>
      <c r="N433" s="4">
        <f ca="1">IFERROR(__xludf.DUMMYFUNCTION("""COMPUTED_VALUE"""),43207)</f>
        <v>43207</v>
      </c>
      <c r="O433" s="4">
        <f ca="1">IFERROR(__xludf.DUMMYFUNCTION("""COMPUTED_VALUE"""),43207)</f>
        <v>43207</v>
      </c>
      <c r="P433">
        <f ca="1">IFERROR(__xludf.DUMMYFUNCTION("""COMPUTED_VALUE"""),5)</f>
        <v>5</v>
      </c>
      <c r="Q433" t="str">
        <f ca="1">IFERROR(__xludf.DUMMYFUNCTION("""COMPUTED_VALUE"""),"ktpanicker@gmail.com")</f>
        <v>ktpanicker@gmail.com</v>
      </c>
      <c r="R433" s="2" t="s">
        <v>2847</v>
      </c>
    </row>
    <row r="434" spans="1:18" ht="13" x14ac:dyDescent="0.15">
      <c r="A434" s="3">
        <f ca="1">IFERROR(__xludf.DUMMYFUNCTION("""COMPUTED_VALUE"""),43213.4338251388)</f>
        <v>43213.433825138804</v>
      </c>
      <c r="B434" t="str">
        <f ca="1">IFERROR(__xludf.DUMMYFUNCTION("""COMPUTED_VALUE"""),"info@wattsun.in")</f>
        <v>info@wattsun.in</v>
      </c>
      <c r="C434">
        <f ca="1">IFERROR(__xludf.DUMMYFUNCTION("""COMPUTED_VALUE"""),797)</f>
        <v>797</v>
      </c>
      <c r="D434" t="str">
        <f ca="1">IFERROR(__xludf.DUMMYFUNCTION("""COMPUTED_VALUE"""),"Vinu  Thomas Mathew ")</f>
        <v xml:space="preserve">Vinu  Thomas Mathew </v>
      </c>
      <c r="E434">
        <f ca="1">IFERROR(__xludf.DUMMYFUNCTION("""COMPUTED_VALUE"""),9388106363)</f>
        <v>9388106363</v>
      </c>
      <c r="F434" t="str">
        <f ca="1">IFERROR(__xludf.DUMMYFUNCTION("""COMPUTED_VALUE"""),"Thiruvananthapuram")</f>
        <v>Thiruvananthapuram</v>
      </c>
      <c r="G434" t="str">
        <f ca="1">IFERROR(__xludf.DUMMYFUNCTION("""COMPUTED_VALUE"""),"Wattsun ?Energy India Private Limited")</f>
        <v>Wattsun ?Energy India Private Limited</v>
      </c>
      <c r="H434">
        <f ca="1">IFERROR(__xludf.DUMMYFUNCTION("""COMPUTED_VALUE"""),54)</f>
        <v>54</v>
      </c>
      <c r="I434" s="4">
        <f ca="1">IFERROR(__xludf.DUMMYFUNCTION("""COMPUTED_VALUE"""),43213)</f>
        <v>43213</v>
      </c>
      <c r="J434">
        <f ca="1">IFERROR(__xludf.DUMMYFUNCTION("""COMPUTED_VALUE"""),3)</f>
        <v>3</v>
      </c>
      <c r="K434">
        <f ca="1">IFERROR(__xludf.DUMMYFUNCTION("""COMPUTED_VALUE"""),1145098025497)</f>
        <v>1145098025497</v>
      </c>
      <c r="L434" t="str">
        <f ca="1">IFERROR(__xludf.DUMMYFUNCTION("""COMPUTED_VALUE"""),"Vattiyoorkavu")</f>
        <v>Vattiyoorkavu</v>
      </c>
      <c r="M434" t="str">
        <f ca="1">IFERROR(__xludf.DUMMYFUNCTION("""COMPUTED_VALUE"""),"I Accept")</f>
        <v>I Accept</v>
      </c>
      <c r="N434" s="4">
        <f ca="1">IFERROR(__xludf.DUMMYFUNCTION("""COMPUTED_VALUE"""),43196)</f>
        <v>43196</v>
      </c>
      <c r="O434" s="4">
        <f ca="1">IFERROR(__xludf.DUMMYFUNCTION("""COMPUTED_VALUE"""),43196)</f>
        <v>43196</v>
      </c>
      <c r="P434">
        <f ca="1">IFERROR(__xludf.DUMMYFUNCTION("""COMPUTED_VALUE"""),3)</f>
        <v>3</v>
      </c>
      <c r="Q434" t="str">
        <f ca="1">IFERROR(__xludf.DUMMYFUNCTION("""COMPUTED_VALUE"""),"info@wattsun.in")</f>
        <v>info@wattsun.in</v>
      </c>
      <c r="R434" s="2" t="s">
        <v>2848</v>
      </c>
    </row>
    <row r="435" spans="1:18" ht="13" x14ac:dyDescent="0.15">
      <c r="A435" s="3">
        <f ca="1">IFERROR(__xludf.DUMMYFUNCTION("""COMPUTED_VALUE"""),43213.5102995486)</f>
        <v>43213.510299548601</v>
      </c>
      <c r="B435" t="str">
        <f ca="1">IFERROR(__xludf.DUMMYFUNCTION("""COMPUTED_VALUE"""),"solarconnect2018@gmail.com")</f>
        <v>solarconnect2018@gmail.com</v>
      </c>
      <c r="C435">
        <f ca="1">IFERROR(__xludf.DUMMYFUNCTION("""COMPUTED_VALUE"""),491)</f>
        <v>491</v>
      </c>
      <c r="D435" t="str">
        <f ca="1">IFERROR(__xludf.DUMMYFUNCTION("""COMPUTED_VALUE"""),"S CLEMENT")</f>
        <v>S CLEMENT</v>
      </c>
      <c r="E435">
        <f ca="1">IFERROR(__xludf.DUMMYFUNCTION("""COMPUTED_VALUE"""),9447656938)</f>
        <v>9447656938</v>
      </c>
      <c r="F435" t="str">
        <f ca="1">IFERROR(__xludf.DUMMYFUNCTION("""COMPUTED_VALUE"""),"Thiruvananthapuram")</f>
        <v>Thiruvananthapuram</v>
      </c>
      <c r="G435" t="str">
        <f ca="1">IFERROR(__xludf.DUMMYFUNCTION("""COMPUTED_VALUE"""),"SPECTRUM TECHNO PRODUCTS")</f>
        <v>SPECTRUM TECHNO PRODUCTS</v>
      </c>
      <c r="H435">
        <f ca="1">IFERROR(__xludf.DUMMYFUNCTION("""COMPUTED_VALUE"""),66)</f>
        <v>66</v>
      </c>
      <c r="I435" s="4">
        <f ca="1">IFERROR(__xludf.DUMMYFUNCTION("""COMPUTED_VALUE"""),43216)</f>
        <v>43216</v>
      </c>
      <c r="J435">
        <f ca="1">IFERROR(__xludf.DUMMYFUNCTION("""COMPUTED_VALUE"""),2)</f>
        <v>2</v>
      </c>
      <c r="K435">
        <f ca="1">IFERROR(__xludf.DUMMYFUNCTION("""COMPUTED_VALUE"""),1146761001300)</f>
        <v>1146761001300</v>
      </c>
      <c r="L435" t="str">
        <f ca="1">IFERROR(__xludf.DUMMYFUNCTION("""COMPUTED_VALUE"""),"KADAPPANAKKUNNU")</f>
        <v>KADAPPANAKKUNNU</v>
      </c>
      <c r="M435" t="str">
        <f ca="1">IFERROR(__xludf.DUMMYFUNCTION("""COMPUTED_VALUE"""),"I Accept")</f>
        <v>I Accept</v>
      </c>
      <c r="N435" s="4">
        <f ca="1">IFERROR(__xludf.DUMMYFUNCTION("""COMPUTED_VALUE"""),43179)</f>
        <v>43179</v>
      </c>
      <c r="O435" s="4">
        <f ca="1">IFERROR(__xludf.DUMMYFUNCTION("""COMPUTED_VALUE"""),43179)</f>
        <v>43179</v>
      </c>
      <c r="P435">
        <f ca="1">IFERROR(__xludf.DUMMYFUNCTION("""COMPUTED_VALUE"""),2)</f>
        <v>2</v>
      </c>
      <c r="Q435" t="str">
        <f ca="1">IFERROR(__xludf.DUMMYFUNCTION("""COMPUTED_VALUE"""),"solarconnect2018@gmail.com")</f>
        <v>solarconnect2018@gmail.com</v>
      </c>
      <c r="R435" s="2" t="s">
        <v>2849</v>
      </c>
    </row>
    <row r="436" spans="1:18" ht="13" x14ac:dyDescent="0.15">
      <c r="A436" s="3">
        <f ca="1">IFERROR(__xludf.DUMMYFUNCTION("""COMPUTED_VALUE"""),43213.5173974421)</f>
        <v>43213.517397442098</v>
      </c>
      <c r="B436" t="str">
        <f ca="1">IFERROR(__xludf.DUMMYFUNCTION("""COMPUTED_VALUE"""),"info@wattsun.in")</f>
        <v>info@wattsun.in</v>
      </c>
      <c r="C436">
        <f ca="1">IFERROR(__xludf.DUMMYFUNCTION("""COMPUTED_VALUE"""),994)</f>
        <v>994</v>
      </c>
      <c r="D436" t="str">
        <f ca="1">IFERROR(__xludf.DUMMYFUNCTION("""COMPUTED_VALUE"""),"The Secretary ,Cotton Hills Heights Cotton Hills Heights Apartment")</f>
        <v>The Secretary ,Cotton Hills Heights Cotton Hills Heights Apartment</v>
      </c>
      <c r="E436">
        <f ca="1">IFERROR(__xludf.DUMMYFUNCTION("""COMPUTED_VALUE"""),9388106363)</f>
        <v>9388106363</v>
      </c>
      <c r="F436" t="str">
        <f ca="1">IFERROR(__xludf.DUMMYFUNCTION("""COMPUTED_VALUE"""),"Thiruvananthapuram")</f>
        <v>Thiruvananthapuram</v>
      </c>
      <c r="G436" t="str">
        <f ca="1">IFERROR(__xludf.DUMMYFUNCTION("""COMPUTED_VALUE"""),"Wattsun Energy India Private Limited")</f>
        <v>Wattsun Energy India Private Limited</v>
      </c>
      <c r="H436">
        <f ca="1">IFERROR(__xludf.DUMMYFUNCTION("""COMPUTED_VALUE"""),54)</f>
        <v>54</v>
      </c>
      <c r="I436" s="4">
        <f ca="1">IFERROR(__xludf.DUMMYFUNCTION("""COMPUTED_VALUE"""),43213)</f>
        <v>43213</v>
      </c>
      <c r="J436">
        <f ca="1">IFERROR(__xludf.DUMMYFUNCTION("""COMPUTED_VALUE"""),40)</f>
        <v>40</v>
      </c>
      <c r="K436">
        <f ca="1">IFERROR(__xludf.DUMMYFUNCTION("""COMPUTED_VALUE"""),1145074009002)</f>
        <v>1145074009002</v>
      </c>
      <c r="L436" t="str">
        <f ca="1">IFERROR(__xludf.DUMMYFUNCTION("""COMPUTED_VALUE"""),"Vellayambalam ")</f>
        <v xml:space="preserve">Vellayambalam </v>
      </c>
      <c r="M436" t="str">
        <f ca="1">IFERROR(__xludf.DUMMYFUNCTION("""COMPUTED_VALUE"""),"I Accept")</f>
        <v>I Accept</v>
      </c>
      <c r="N436" s="4">
        <f ca="1">IFERROR(__xludf.DUMMYFUNCTION("""COMPUTED_VALUE"""),43209)</f>
        <v>43209</v>
      </c>
      <c r="O436" s="4">
        <f ca="1">IFERROR(__xludf.DUMMYFUNCTION("""COMPUTED_VALUE"""),43209)</f>
        <v>43209</v>
      </c>
      <c r="P436">
        <f ca="1">IFERROR(__xludf.DUMMYFUNCTION("""COMPUTED_VALUE"""),40)</f>
        <v>40</v>
      </c>
      <c r="Q436" t="str">
        <f ca="1">IFERROR(__xludf.DUMMYFUNCTION("""COMPUTED_VALUE"""),"info@wattsun.in")</f>
        <v>info@wattsun.in</v>
      </c>
      <c r="R436" s="2" t="s">
        <v>2850</v>
      </c>
    </row>
    <row r="437" spans="1:18" ht="13" x14ac:dyDescent="0.15">
      <c r="A437" s="3">
        <f ca="1">IFERROR(__xludf.DUMMYFUNCTION("""COMPUTED_VALUE"""),43213.5629651388)</f>
        <v>43213.562965138801</v>
      </c>
      <c r="B437" t="str">
        <f ca="1">IFERROR(__xludf.DUMMYFUNCTION("""COMPUTED_VALUE"""),"nestromarketing@gmail.com")</f>
        <v>nestromarketing@gmail.com</v>
      </c>
      <c r="C437">
        <f ca="1">IFERROR(__xludf.DUMMYFUNCTION("""COMPUTED_VALUE"""),41)</f>
        <v>41</v>
      </c>
      <c r="D437" t="str">
        <f ca="1">IFERROR(__xludf.DUMMYFUNCTION("""COMPUTED_VALUE"""),"Hyder Arafath C.K")</f>
        <v>Hyder Arafath C.K</v>
      </c>
      <c r="E437">
        <f ca="1">IFERROR(__xludf.DUMMYFUNCTION("""COMPUTED_VALUE"""),9142099977)</f>
        <v>9142099977</v>
      </c>
      <c r="F437" t="str">
        <f ca="1">IFERROR(__xludf.DUMMYFUNCTION("""COMPUTED_VALUE"""),"Malappuram")</f>
        <v>Malappuram</v>
      </c>
      <c r="G437" t="str">
        <f ca="1">IFERROR(__xludf.DUMMYFUNCTION("""COMPUTED_VALUE"""),"NESTRO MARKETING LLP")</f>
        <v>NESTRO MARKETING LLP</v>
      </c>
      <c r="H437">
        <f ca="1">IFERROR(__xludf.DUMMYFUNCTION("""COMPUTED_VALUE"""),14)</f>
        <v>14</v>
      </c>
      <c r="I437" s="4">
        <f ca="1">IFERROR(__xludf.DUMMYFUNCTION("""COMPUTED_VALUE"""),43213)</f>
        <v>43213</v>
      </c>
      <c r="J437">
        <f ca="1">IFERROR(__xludf.DUMMYFUNCTION("""COMPUTED_VALUE"""),2)</f>
        <v>2</v>
      </c>
      <c r="K437">
        <f ca="1">IFERROR(__xludf.DUMMYFUNCTION("""COMPUTED_VALUE"""),1165717038758)</f>
        <v>1165717038758</v>
      </c>
      <c r="L437" t="str">
        <f ca="1">IFERROR(__xludf.DUMMYFUNCTION("""COMPUTED_VALUE"""),"PUTHENATHANI(6571)")</f>
        <v>PUTHENATHANI(6571)</v>
      </c>
      <c r="M437" t="str">
        <f ca="1">IFERROR(__xludf.DUMMYFUNCTION("""COMPUTED_VALUE"""),"I Accept")</f>
        <v>I Accept</v>
      </c>
      <c r="N437" s="4">
        <f ca="1">IFERROR(__xludf.DUMMYFUNCTION("""COMPUTED_VALUE"""),43210)</f>
        <v>43210</v>
      </c>
      <c r="O437" s="4">
        <f ca="1">IFERROR(__xludf.DUMMYFUNCTION("""COMPUTED_VALUE"""),43210)</f>
        <v>43210</v>
      </c>
      <c r="P437">
        <f ca="1">IFERROR(__xludf.DUMMYFUNCTION("""COMPUTED_VALUE"""),2)</f>
        <v>2</v>
      </c>
      <c r="Q437" t="str">
        <f ca="1">IFERROR(__xludf.DUMMYFUNCTION("""COMPUTED_VALUE"""),"nestromarketing@gmail.com")</f>
        <v>nestromarketing@gmail.com</v>
      </c>
      <c r="R437" s="2" t="s">
        <v>2851</v>
      </c>
    </row>
    <row r="438" spans="1:18" ht="13" x14ac:dyDescent="0.15">
      <c r="A438" s="3">
        <f ca="1">IFERROR(__xludf.DUMMYFUNCTION("""COMPUTED_VALUE"""),43213.6461259953)</f>
        <v>43213.646125995299</v>
      </c>
      <c r="B438" t="str">
        <f ca="1">IFERROR(__xludf.DUMMYFUNCTION("""COMPUTED_VALUE"""),"shpklm@yahoo.com ")</f>
        <v xml:space="preserve">shpklm@yahoo.com </v>
      </c>
      <c r="C438">
        <f ca="1">IFERROR(__xludf.DUMMYFUNCTION("""COMPUTED_VALUE"""),654)</f>
        <v>654</v>
      </c>
      <c r="D438" t="str">
        <f ca="1">IFERROR(__xludf.DUMMYFUNCTION("""COMPUTED_VALUE"""),"8547300303")</f>
        <v>8547300303</v>
      </c>
      <c r="E438">
        <f ca="1">IFERROR(__xludf.DUMMYFUNCTION("""COMPUTED_VALUE"""),8547300303)</f>
        <v>8547300303</v>
      </c>
      <c r="F438" t="str">
        <f ca="1">IFERROR(__xludf.DUMMYFUNCTION("""COMPUTED_VALUE"""),"Ernakulam")</f>
        <v>Ernakulam</v>
      </c>
      <c r="G438" t="str">
        <f ca="1">IFERROR(__xludf.DUMMYFUNCTION("""COMPUTED_VALUE"""),"ALTERNATE ENERGY CORPORATION")</f>
        <v>ALTERNATE ENERGY CORPORATION</v>
      </c>
      <c r="H438">
        <f ca="1">IFERROR(__xludf.DUMMYFUNCTION("""COMPUTED_VALUE"""),22)</f>
        <v>22</v>
      </c>
      <c r="I438" s="4">
        <f ca="1">IFERROR(__xludf.DUMMYFUNCTION("""COMPUTED_VALUE"""),43186)</f>
        <v>43186</v>
      </c>
      <c r="J438">
        <f ca="1">IFERROR(__xludf.DUMMYFUNCTION("""COMPUTED_VALUE"""),10)</f>
        <v>10</v>
      </c>
      <c r="K438">
        <f ca="1">IFERROR(__xludf.DUMMYFUNCTION("""COMPUTED_VALUE"""),1156016010309)</f>
        <v>1156016010309</v>
      </c>
      <c r="L438" t="str">
        <f ca="1">IFERROR(__xludf.DUMMYFUNCTION("""COMPUTED_VALUE"""),"Kothamangalam II")</f>
        <v>Kothamangalam II</v>
      </c>
      <c r="M438" t="str">
        <f ca="1">IFERROR(__xludf.DUMMYFUNCTION("""COMPUTED_VALUE"""),"I Accept")</f>
        <v>I Accept</v>
      </c>
      <c r="N438" s="4">
        <f ca="1">IFERROR(__xludf.DUMMYFUNCTION("""COMPUTED_VALUE"""),43185)</f>
        <v>43185</v>
      </c>
      <c r="O438" s="4">
        <f ca="1">IFERROR(__xludf.DUMMYFUNCTION("""COMPUTED_VALUE"""),43185)</f>
        <v>43185</v>
      </c>
      <c r="P438">
        <f ca="1">IFERROR(__xludf.DUMMYFUNCTION("""COMPUTED_VALUE"""),10)</f>
        <v>10</v>
      </c>
      <c r="Q438" t="str">
        <f ca="1">IFERROR(__xludf.DUMMYFUNCTION("""COMPUTED_VALUE"""),"shpklm@yahoo.com")</f>
        <v>shpklm@yahoo.com</v>
      </c>
      <c r="R438" s="2" t="s">
        <v>2852</v>
      </c>
    </row>
    <row r="439" spans="1:18" ht="13" x14ac:dyDescent="0.15">
      <c r="A439" s="3">
        <f ca="1">IFERROR(__xludf.DUMMYFUNCTION("""COMPUTED_VALUE"""),43214.5280987152)</f>
        <v>43214.5280987152</v>
      </c>
      <c r="B439" t="str">
        <f ca="1">IFERROR(__xludf.DUMMYFUNCTION("""COMPUTED_VALUE"""),"benny_kain@yahoo.co.in")</f>
        <v>benny_kain@yahoo.co.in</v>
      </c>
      <c r="C439">
        <f ca="1">IFERROR(__xludf.DUMMYFUNCTION("""COMPUTED_VALUE"""),693)</f>
        <v>693</v>
      </c>
      <c r="D439" t="str">
        <f ca="1">IFERROR(__xludf.DUMMYFUNCTION("""COMPUTED_VALUE"""),"BENNY K A")</f>
        <v>BENNY K A</v>
      </c>
      <c r="E439">
        <f ca="1">IFERROR(__xludf.DUMMYFUNCTION("""COMPUTED_VALUE"""),9746479500)</f>
        <v>9746479500</v>
      </c>
      <c r="F439" t="str">
        <f ca="1">IFERROR(__xludf.DUMMYFUNCTION("""COMPUTED_VALUE"""),"Ernakulam")</f>
        <v>Ernakulam</v>
      </c>
      <c r="G439" t="str">
        <f ca="1">IFERROR(__xludf.DUMMYFUNCTION("""COMPUTED_VALUE"""),"SPECTRUM TECHNO PRODUCTS")</f>
        <v>SPECTRUM TECHNO PRODUCTS</v>
      </c>
      <c r="H439">
        <f ca="1">IFERROR(__xludf.DUMMYFUNCTION("""COMPUTED_VALUE"""),66)</f>
        <v>66</v>
      </c>
      <c r="I439" s="4">
        <f ca="1">IFERROR(__xludf.DUMMYFUNCTION("""COMPUTED_VALUE"""),43214)</f>
        <v>43214</v>
      </c>
      <c r="J439">
        <f ca="1">IFERROR(__xludf.DUMMYFUNCTION("""COMPUTED_VALUE"""),3)</f>
        <v>3</v>
      </c>
      <c r="K439">
        <f ca="1">IFERROR(__xludf.DUMMYFUNCTION("""COMPUTED_VALUE"""),1157505006499)</f>
        <v>1157505006499</v>
      </c>
      <c r="L439" t="str">
        <f ca="1">IFERROR(__xludf.DUMMYFUNCTION("""COMPUTED_VALUE"""),"EDATHALA")</f>
        <v>EDATHALA</v>
      </c>
      <c r="M439" t="str">
        <f ca="1">IFERROR(__xludf.DUMMYFUNCTION("""COMPUTED_VALUE"""),"I Accept")</f>
        <v>I Accept</v>
      </c>
      <c r="N439" s="4">
        <f ca="1">IFERROR(__xludf.DUMMYFUNCTION("""COMPUTED_VALUE"""),43197)</f>
        <v>43197</v>
      </c>
      <c r="O439" s="4">
        <f ca="1">IFERROR(__xludf.DUMMYFUNCTION("""COMPUTED_VALUE"""),43197)</f>
        <v>43197</v>
      </c>
      <c r="P439">
        <f ca="1">IFERROR(__xludf.DUMMYFUNCTION("""COMPUTED_VALUE"""),3)</f>
        <v>3</v>
      </c>
      <c r="Q439" t="str">
        <f ca="1">IFERROR(__xludf.DUMMYFUNCTION("""COMPUTED_VALUE"""),"benny_kain@yahoo.co.in")</f>
        <v>benny_kain@yahoo.co.in</v>
      </c>
      <c r="R439" s="2" t="s">
        <v>2853</v>
      </c>
    </row>
    <row r="440" spans="1:18" ht="13" x14ac:dyDescent="0.15">
      <c r="A440" s="3">
        <f ca="1">IFERROR(__xludf.DUMMYFUNCTION("""COMPUTED_VALUE"""),43214.5309710879)</f>
        <v>43214.530971087901</v>
      </c>
      <c r="B440" t="str">
        <f ca="1">IFERROR(__xludf.DUMMYFUNCTION("""COMPUTED_VALUE"""),"captgovind@gmail.com")</f>
        <v>captgovind@gmail.com</v>
      </c>
      <c r="C440">
        <f ca="1">IFERROR(__xludf.DUMMYFUNCTION("""COMPUTED_VALUE"""),542)</f>
        <v>542</v>
      </c>
      <c r="D440" t="str">
        <f ca="1">IFERROR(__xludf.DUMMYFUNCTION("""COMPUTED_VALUE"""),"GOVIND AZHAKATH")</f>
        <v>GOVIND AZHAKATH</v>
      </c>
      <c r="E440">
        <f ca="1">IFERROR(__xludf.DUMMYFUNCTION("""COMPUTED_VALUE"""),9895057000)</f>
        <v>9895057000</v>
      </c>
      <c r="F440" t="str">
        <f ca="1">IFERROR(__xludf.DUMMYFUNCTION("""COMPUTED_VALUE"""),"Ernakulam")</f>
        <v>Ernakulam</v>
      </c>
      <c r="G440" t="str">
        <f ca="1">IFERROR(__xludf.DUMMYFUNCTION("""COMPUTED_VALUE"""),"SPECTRUM TECHNO PRODUCTS")</f>
        <v>SPECTRUM TECHNO PRODUCTS</v>
      </c>
      <c r="H440">
        <f ca="1">IFERROR(__xludf.DUMMYFUNCTION("""COMPUTED_VALUE"""),66)</f>
        <v>66</v>
      </c>
      <c r="I440" s="4">
        <f ca="1">IFERROR(__xludf.DUMMYFUNCTION("""COMPUTED_VALUE"""),43214)</f>
        <v>43214</v>
      </c>
      <c r="J440">
        <f ca="1">IFERROR(__xludf.DUMMYFUNCTION("""COMPUTED_VALUE"""),5)</f>
        <v>5</v>
      </c>
      <c r="K440">
        <f ca="1">IFERROR(__xludf.DUMMYFUNCTION("""COMPUTED_VALUE"""),1157334003911)</f>
        <v>1157334003911</v>
      </c>
      <c r="L440" t="str">
        <f ca="1">IFERROR(__xludf.DUMMYFUNCTION("""COMPUTED_VALUE"""),"EROOR")</f>
        <v>EROOR</v>
      </c>
      <c r="M440" t="str">
        <f ca="1">IFERROR(__xludf.DUMMYFUNCTION("""COMPUTED_VALUE"""),"I Accept")</f>
        <v>I Accept</v>
      </c>
      <c r="N440" s="4">
        <f ca="1">IFERROR(__xludf.DUMMYFUNCTION("""COMPUTED_VALUE"""),43187)</f>
        <v>43187</v>
      </c>
      <c r="O440" s="4">
        <f ca="1">IFERROR(__xludf.DUMMYFUNCTION("""COMPUTED_VALUE"""),43187)</f>
        <v>43187</v>
      </c>
      <c r="P440">
        <f ca="1">IFERROR(__xludf.DUMMYFUNCTION("""COMPUTED_VALUE"""),5)</f>
        <v>5</v>
      </c>
      <c r="Q440" t="str">
        <f ca="1">IFERROR(__xludf.DUMMYFUNCTION("""COMPUTED_VALUE"""),"captgovind@gmail.com")</f>
        <v>captgovind@gmail.com</v>
      </c>
      <c r="R440" s="2" t="s">
        <v>2854</v>
      </c>
    </row>
    <row r="441" spans="1:18" ht="13" x14ac:dyDescent="0.15">
      <c r="A441" s="3">
        <f ca="1">IFERROR(__xludf.DUMMYFUNCTION("""COMPUTED_VALUE"""),43214.5350035185)</f>
        <v>43214.535003518497</v>
      </c>
      <c r="B441" t="str">
        <f ca="1">IFERROR(__xludf.DUMMYFUNCTION("""COMPUTED_VALUE"""),"darsanasupermart@gmail.com")</f>
        <v>darsanasupermart@gmail.com</v>
      </c>
      <c r="C441">
        <f ca="1">IFERROR(__xludf.DUMMYFUNCTION("""COMPUTED_VALUE"""),589)</f>
        <v>589</v>
      </c>
      <c r="D441" t="str">
        <f ca="1">IFERROR(__xludf.DUMMYFUNCTION("""COMPUTED_VALUE"""),"T S UDAYAN")</f>
        <v>T S UDAYAN</v>
      </c>
      <c r="E441">
        <f ca="1">IFERROR(__xludf.DUMMYFUNCTION("""COMPUTED_VALUE"""),9562121110)</f>
        <v>9562121110</v>
      </c>
      <c r="F441" t="str">
        <f ca="1">IFERROR(__xludf.DUMMYFUNCTION("""COMPUTED_VALUE"""),"Ernakulam")</f>
        <v>Ernakulam</v>
      </c>
      <c r="G441" t="str">
        <f ca="1">IFERROR(__xludf.DUMMYFUNCTION("""COMPUTED_VALUE"""),"SPECTRUM TECHNO PRODUCTS")</f>
        <v>SPECTRUM TECHNO PRODUCTS</v>
      </c>
      <c r="H441">
        <f ca="1">IFERROR(__xludf.DUMMYFUNCTION("""COMPUTED_VALUE"""),66)</f>
        <v>66</v>
      </c>
      <c r="I441" s="4">
        <f ca="1">IFERROR(__xludf.DUMMYFUNCTION("""COMPUTED_VALUE"""),43214)</f>
        <v>43214</v>
      </c>
      <c r="J441">
        <f ca="1">IFERROR(__xludf.DUMMYFUNCTION("""COMPUTED_VALUE"""),3)</f>
        <v>3</v>
      </c>
      <c r="K441">
        <f ca="1">IFERROR(__xludf.DUMMYFUNCTION("""COMPUTED_VALUE"""),1157333001380)</f>
        <v>1157333001380</v>
      </c>
      <c r="L441" t="str">
        <f ca="1">IFERROR(__xludf.DUMMYFUNCTION("""COMPUTED_VALUE"""),"EROOR")</f>
        <v>EROOR</v>
      </c>
      <c r="M441" t="str">
        <f ca="1">IFERROR(__xludf.DUMMYFUNCTION("""COMPUTED_VALUE"""),"I Accept")</f>
        <v>I Accept</v>
      </c>
      <c r="N441" s="4">
        <f ca="1">IFERROR(__xludf.DUMMYFUNCTION("""COMPUTED_VALUE"""),43175)</f>
        <v>43175</v>
      </c>
      <c r="O441" s="4">
        <f ca="1">IFERROR(__xludf.DUMMYFUNCTION("""COMPUTED_VALUE"""),43175)</f>
        <v>43175</v>
      </c>
      <c r="P441">
        <f ca="1">IFERROR(__xludf.DUMMYFUNCTION("""COMPUTED_VALUE"""),3)</f>
        <v>3</v>
      </c>
      <c r="Q441" t="str">
        <f ca="1">IFERROR(__xludf.DUMMYFUNCTION("""COMPUTED_VALUE"""),"darsanasupermart@gmail.com")</f>
        <v>darsanasupermart@gmail.com</v>
      </c>
      <c r="R441" s="2" t="s">
        <v>2855</v>
      </c>
    </row>
    <row r="442" spans="1:18" ht="13" x14ac:dyDescent="0.15">
      <c r="A442" s="3">
        <f ca="1">IFERROR(__xludf.DUMMYFUNCTION("""COMPUTED_VALUE"""),43214.5381987152)</f>
        <v>43214.5381987152</v>
      </c>
      <c r="B442" t="str">
        <f ca="1">IFERROR(__xludf.DUMMYFUNCTION("""COMPUTED_VALUE"""),"faizalfaizu36@gmail.com")</f>
        <v>faizalfaizu36@gmail.com</v>
      </c>
      <c r="C442">
        <f ca="1">IFERROR(__xludf.DUMMYFUNCTION("""COMPUTED_VALUE"""),691)</f>
        <v>691</v>
      </c>
      <c r="D442" t="str">
        <f ca="1">IFERROR(__xludf.DUMMYFUNCTION("""COMPUTED_VALUE"""),"MOHAMMED FAIZAL")</f>
        <v>MOHAMMED FAIZAL</v>
      </c>
      <c r="E442">
        <f ca="1">IFERROR(__xludf.DUMMYFUNCTION("""COMPUTED_VALUE"""),7736070266)</f>
        <v>7736070266</v>
      </c>
      <c r="F442" t="str">
        <f ca="1">IFERROR(__xludf.DUMMYFUNCTION("""COMPUTED_VALUE"""),"Ernakulam")</f>
        <v>Ernakulam</v>
      </c>
      <c r="G442" t="str">
        <f ca="1">IFERROR(__xludf.DUMMYFUNCTION("""COMPUTED_VALUE"""),"SPECTRUM TECHNO PRODUCTS")</f>
        <v>SPECTRUM TECHNO PRODUCTS</v>
      </c>
      <c r="H442">
        <f ca="1">IFERROR(__xludf.DUMMYFUNCTION("""COMPUTED_VALUE"""),66)</f>
        <v>66</v>
      </c>
      <c r="I442" s="4">
        <f ca="1">IFERROR(__xludf.DUMMYFUNCTION("""COMPUTED_VALUE"""),43214)</f>
        <v>43214</v>
      </c>
      <c r="J442">
        <f ca="1">IFERROR(__xludf.DUMMYFUNCTION("""COMPUTED_VALUE"""),3)</f>
        <v>3</v>
      </c>
      <c r="K442">
        <f ca="1">IFERROR(__xludf.DUMMYFUNCTION("""COMPUTED_VALUE"""),1155568021880)</f>
        <v>1155568021880</v>
      </c>
      <c r="L442" t="str">
        <f ca="1">IFERROR(__xludf.DUMMYFUNCTION("""COMPUTED_VALUE"""),"VYTILLA")</f>
        <v>VYTILLA</v>
      </c>
      <c r="M442" t="str">
        <f ca="1">IFERROR(__xludf.DUMMYFUNCTION("""COMPUTED_VALUE"""),"I Accept")</f>
        <v>I Accept</v>
      </c>
      <c r="N442" s="4">
        <f ca="1">IFERROR(__xludf.DUMMYFUNCTION("""COMPUTED_VALUE"""),43185)</f>
        <v>43185</v>
      </c>
      <c r="O442" s="4">
        <f ca="1">IFERROR(__xludf.DUMMYFUNCTION("""COMPUTED_VALUE"""),43185)</f>
        <v>43185</v>
      </c>
      <c r="P442">
        <f ca="1">IFERROR(__xludf.DUMMYFUNCTION("""COMPUTED_VALUE"""),3)</f>
        <v>3</v>
      </c>
      <c r="Q442" t="str">
        <f ca="1">IFERROR(__xludf.DUMMYFUNCTION("""COMPUTED_VALUE"""),"faizalfaizu36@gmail.com")</f>
        <v>faizalfaizu36@gmail.com</v>
      </c>
      <c r="R442" s="2" t="s">
        <v>2856</v>
      </c>
    </row>
    <row r="443" spans="1:18" ht="13" x14ac:dyDescent="0.15">
      <c r="A443" s="3">
        <f ca="1">IFERROR(__xludf.DUMMYFUNCTION("""COMPUTED_VALUE"""),43214.5410676388)</f>
        <v>43214.541067638798</v>
      </c>
      <c r="B443" t="str">
        <f ca="1">IFERROR(__xludf.DUMMYFUNCTION("""COMPUTED_VALUE"""),"varghese.knth@gmail.com")</f>
        <v>varghese.knth@gmail.com</v>
      </c>
      <c r="C443">
        <f ca="1">IFERROR(__xludf.DUMMYFUNCTION("""COMPUTED_VALUE"""),532)</f>
        <v>532</v>
      </c>
      <c r="D443" t="str">
        <f ca="1">IFERROR(__xludf.DUMMYFUNCTION("""COMPUTED_VALUE"""),"VARGHESE MATHEW")</f>
        <v>VARGHESE MATHEW</v>
      </c>
      <c r="E443">
        <f ca="1">IFERROR(__xludf.DUMMYFUNCTION("""COMPUTED_VALUE"""),9349949390)</f>
        <v>9349949390</v>
      </c>
      <c r="F443" t="str">
        <f ca="1">IFERROR(__xludf.DUMMYFUNCTION("""COMPUTED_VALUE"""),"Ernakulam")</f>
        <v>Ernakulam</v>
      </c>
      <c r="G443" t="str">
        <f ca="1">IFERROR(__xludf.DUMMYFUNCTION("""COMPUTED_VALUE"""),"SPECTRUM TECHNO PRODUCTS")</f>
        <v>SPECTRUM TECHNO PRODUCTS</v>
      </c>
      <c r="H443">
        <f ca="1">IFERROR(__xludf.DUMMYFUNCTION("""COMPUTED_VALUE"""),66)</f>
        <v>66</v>
      </c>
      <c r="I443" s="4">
        <f ca="1">IFERROR(__xludf.DUMMYFUNCTION("""COMPUTED_VALUE"""),43214)</f>
        <v>43214</v>
      </c>
      <c r="J443">
        <f ca="1">IFERROR(__xludf.DUMMYFUNCTION("""COMPUTED_VALUE"""),3)</f>
        <v>3</v>
      </c>
      <c r="K443">
        <f ca="1">IFERROR(__xludf.DUMMYFUNCTION("""COMPUTED_VALUE"""),1155567008792)</f>
        <v>1155567008792</v>
      </c>
      <c r="L443" t="str">
        <f ca="1">IFERROR(__xludf.DUMMYFUNCTION("""COMPUTED_VALUE"""),"VYTILLA")</f>
        <v>VYTILLA</v>
      </c>
      <c r="M443" t="str">
        <f ca="1">IFERROR(__xludf.DUMMYFUNCTION("""COMPUTED_VALUE"""),"I Accept")</f>
        <v>I Accept</v>
      </c>
      <c r="N443" s="4">
        <f ca="1">IFERROR(__xludf.DUMMYFUNCTION("""COMPUTED_VALUE"""),43174)</f>
        <v>43174</v>
      </c>
      <c r="O443" s="4">
        <f ca="1">IFERROR(__xludf.DUMMYFUNCTION("""COMPUTED_VALUE"""),43174)</f>
        <v>43174</v>
      </c>
      <c r="P443">
        <f ca="1">IFERROR(__xludf.DUMMYFUNCTION("""COMPUTED_VALUE"""),3)</f>
        <v>3</v>
      </c>
      <c r="Q443" t="str">
        <f ca="1">IFERROR(__xludf.DUMMYFUNCTION("""COMPUTED_VALUE"""),"varghese.knth@gmail.com")</f>
        <v>varghese.knth@gmail.com</v>
      </c>
      <c r="R443" s="2" t="s">
        <v>2857</v>
      </c>
    </row>
    <row r="444" spans="1:18" ht="13" x14ac:dyDescent="0.15">
      <c r="A444" s="3">
        <f ca="1">IFERROR(__xludf.DUMMYFUNCTION("""COMPUTED_VALUE"""),43214.5457576851)</f>
        <v>43214.545757685097</v>
      </c>
      <c r="B444" t="str">
        <f ca="1">IFERROR(__xludf.DUMMYFUNCTION("""COMPUTED_VALUE"""),"pamathewpallath@gmail.com")</f>
        <v>pamathewpallath@gmail.com</v>
      </c>
      <c r="C444">
        <f ca="1">IFERROR(__xludf.DUMMYFUNCTION("""COMPUTED_VALUE"""),395)</f>
        <v>395</v>
      </c>
      <c r="D444" t="str">
        <f ca="1">IFERROR(__xludf.DUMMYFUNCTION("""COMPUTED_VALUE"""),"MATHEW P A")</f>
        <v>MATHEW P A</v>
      </c>
      <c r="E444">
        <f ca="1">IFERROR(__xludf.DUMMYFUNCTION("""COMPUTED_VALUE"""),9995373886)</f>
        <v>9995373886</v>
      </c>
      <c r="F444" t="str">
        <f ca="1">IFERROR(__xludf.DUMMYFUNCTION("""COMPUTED_VALUE"""),"Ernakulam")</f>
        <v>Ernakulam</v>
      </c>
      <c r="G444" t="str">
        <f ca="1">IFERROR(__xludf.DUMMYFUNCTION("""COMPUTED_VALUE"""),"SPECTRUM TECHNO PRODUCTS")</f>
        <v>SPECTRUM TECHNO PRODUCTS</v>
      </c>
      <c r="H444">
        <f ca="1">IFERROR(__xludf.DUMMYFUNCTION("""COMPUTED_VALUE"""),66)</f>
        <v>66</v>
      </c>
      <c r="I444" s="4">
        <f ca="1">IFERROR(__xludf.DUMMYFUNCTION("""COMPUTED_VALUE"""),43214)</f>
        <v>43214</v>
      </c>
      <c r="J444">
        <f ca="1">IFERROR(__xludf.DUMMYFUNCTION("""COMPUTED_VALUE"""),3)</f>
        <v>3</v>
      </c>
      <c r="K444">
        <f ca="1">IFERROR(__xludf.DUMMYFUNCTION("""COMPUTED_VALUE"""),1155437000655)</f>
        <v>1155437000655</v>
      </c>
      <c r="L444" t="str">
        <f ca="1">IFERROR(__xludf.DUMMYFUNCTION("""COMPUTED_VALUE"""),"PALARIVATTOM")</f>
        <v>PALARIVATTOM</v>
      </c>
      <c r="M444" t="str">
        <f ca="1">IFERROR(__xludf.DUMMYFUNCTION("""COMPUTED_VALUE"""),"I Accept")</f>
        <v>I Accept</v>
      </c>
      <c r="N444" s="4">
        <f ca="1">IFERROR(__xludf.DUMMYFUNCTION("""COMPUTED_VALUE"""),43178)</f>
        <v>43178</v>
      </c>
      <c r="O444" s="4">
        <f ca="1">IFERROR(__xludf.DUMMYFUNCTION("""COMPUTED_VALUE"""),43178)</f>
        <v>43178</v>
      </c>
      <c r="P444">
        <f ca="1">IFERROR(__xludf.DUMMYFUNCTION("""COMPUTED_VALUE"""),3)</f>
        <v>3</v>
      </c>
      <c r="Q444" t="str">
        <f ca="1">IFERROR(__xludf.DUMMYFUNCTION("""COMPUTED_VALUE"""),"pamathewpallath@gmail.com")</f>
        <v>pamathewpallath@gmail.com</v>
      </c>
      <c r="R444" s="2" t="s">
        <v>2858</v>
      </c>
    </row>
    <row r="445" spans="1:18" ht="13" x14ac:dyDescent="0.15">
      <c r="A445" s="3">
        <f ca="1">IFERROR(__xludf.DUMMYFUNCTION("""COMPUTED_VALUE"""),43214.5593868981)</f>
        <v>43214.559386898101</v>
      </c>
      <c r="B445" t="str">
        <f ca="1">IFERROR(__xludf.DUMMYFUNCTION("""COMPUTED_VALUE"""),"ramgopalk13@yahoo.com")</f>
        <v>ramgopalk13@yahoo.com</v>
      </c>
      <c r="C445">
        <f ca="1">IFERROR(__xludf.DUMMYFUNCTION("""COMPUTED_VALUE"""),786)</f>
        <v>786</v>
      </c>
      <c r="D445" t="str">
        <f ca="1">IFERROR(__xludf.DUMMYFUNCTION("""COMPUTED_VALUE"""),"PRASANNA RAMGOPAL")</f>
        <v>PRASANNA RAMGOPAL</v>
      </c>
      <c r="E445">
        <f ca="1">IFERROR(__xludf.DUMMYFUNCTION("""COMPUTED_VALUE"""),9447150067)</f>
        <v>9447150067</v>
      </c>
      <c r="F445" t="str">
        <f ca="1">IFERROR(__xludf.DUMMYFUNCTION("""COMPUTED_VALUE"""),"Ernakulam")</f>
        <v>Ernakulam</v>
      </c>
      <c r="G445" t="str">
        <f ca="1">IFERROR(__xludf.DUMMYFUNCTION("""COMPUTED_VALUE"""),"SPECTRUM TECHNO PRODUCTS")</f>
        <v>SPECTRUM TECHNO PRODUCTS</v>
      </c>
      <c r="H445">
        <f ca="1">IFERROR(__xludf.DUMMYFUNCTION("""COMPUTED_VALUE"""),66)</f>
        <v>66</v>
      </c>
      <c r="I445" s="4">
        <f ca="1">IFERROR(__xludf.DUMMYFUNCTION("""COMPUTED_VALUE"""),43214)</f>
        <v>43214</v>
      </c>
      <c r="J445">
        <f ca="1">IFERROR(__xludf.DUMMYFUNCTION("""COMPUTED_VALUE"""),2)</f>
        <v>2</v>
      </c>
      <c r="K445">
        <f ca="1">IFERROR(__xludf.DUMMYFUNCTION("""COMPUTED_VALUE"""),1155550026907)</f>
        <v>1155550026907</v>
      </c>
      <c r="L445" t="str">
        <f ca="1">IFERROR(__xludf.DUMMYFUNCTION("""COMPUTED_VALUE"""),"PUTHENCRUZ")</f>
        <v>PUTHENCRUZ</v>
      </c>
      <c r="M445" t="str">
        <f ca="1">IFERROR(__xludf.DUMMYFUNCTION("""COMPUTED_VALUE"""),"I Accept")</f>
        <v>I Accept</v>
      </c>
      <c r="N445" s="4">
        <f ca="1">IFERROR(__xludf.DUMMYFUNCTION("""COMPUTED_VALUE"""),43192)</f>
        <v>43192</v>
      </c>
      <c r="O445" s="4">
        <f ca="1">IFERROR(__xludf.DUMMYFUNCTION("""COMPUTED_VALUE"""),43192)</f>
        <v>43192</v>
      </c>
      <c r="P445">
        <f ca="1">IFERROR(__xludf.DUMMYFUNCTION("""COMPUTED_VALUE"""),2)</f>
        <v>2</v>
      </c>
      <c r="Q445" t="str">
        <f ca="1">IFERROR(__xludf.DUMMYFUNCTION("""COMPUTED_VALUE"""),"ramgopalk13@yahoo.com")</f>
        <v>ramgopalk13@yahoo.com</v>
      </c>
      <c r="R445" s="2" t="s">
        <v>2859</v>
      </c>
    </row>
    <row r="446" spans="1:18" ht="13" x14ac:dyDescent="0.15">
      <c r="A446" s="3">
        <f ca="1">IFERROR(__xludf.DUMMYFUNCTION("""COMPUTED_VALUE"""),43214.5626295601)</f>
        <v>43214.562629560103</v>
      </c>
      <c r="B446" t="str">
        <f ca="1">IFERROR(__xludf.DUMMYFUNCTION("""COMPUTED_VALUE"""),"bijupaul03@gmail.com")</f>
        <v>bijupaul03@gmail.com</v>
      </c>
      <c r="C446">
        <f ca="1">IFERROR(__xludf.DUMMYFUNCTION("""COMPUTED_VALUE"""),529)</f>
        <v>529</v>
      </c>
      <c r="D446" t="str">
        <f ca="1">IFERROR(__xludf.DUMMYFUNCTION("""COMPUTED_VALUE"""),"VICAR ST AUGUSTINE CHURCH")</f>
        <v>VICAR ST AUGUSTINE CHURCH</v>
      </c>
      <c r="E446">
        <f ca="1">IFERROR(__xludf.DUMMYFUNCTION("""COMPUTED_VALUE"""),9961664620)</f>
        <v>9961664620</v>
      </c>
      <c r="F446" t="str">
        <f ca="1">IFERROR(__xludf.DUMMYFUNCTION("""COMPUTED_VALUE"""),"Ernakulam")</f>
        <v>Ernakulam</v>
      </c>
      <c r="G446" t="str">
        <f ca="1">IFERROR(__xludf.DUMMYFUNCTION("""COMPUTED_VALUE"""),"SPECTRUM TECHNO PRODUCTS")</f>
        <v>SPECTRUM TECHNO PRODUCTS</v>
      </c>
      <c r="H446">
        <f ca="1">IFERROR(__xludf.DUMMYFUNCTION("""COMPUTED_VALUE"""),66)</f>
        <v>66</v>
      </c>
      <c r="I446" s="4">
        <f ca="1">IFERROR(__xludf.DUMMYFUNCTION("""COMPUTED_VALUE"""),43214)</f>
        <v>43214</v>
      </c>
      <c r="J446">
        <f ca="1">IFERROR(__xludf.DUMMYFUNCTION("""COMPUTED_VALUE"""),5)</f>
        <v>5</v>
      </c>
      <c r="K446">
        <f ca="1">IFERROR(__xludf.DUMMYFUNCTION("""COMPUTED_VALUE"""),1156023022138)</f>
        <v>1156023022138</v>
      </c>
      <c r="L446" t="str">
        <f ca="1">IFERROR(__xludf.DUMMYFUNCTION("""COMPUTED_VALUE"""),"VARAPUZHA")</f>
        <v>VARAPUZHA</v>
      </c>
      <c r="M446" t="str">
        <f ca="1">IFERROR(__xludf.DUMMYFUNCTION("""COMPUTED_VALUE"""),"I Accept")</f>
        <v>I Accept</v>
      </c>
      <c r="N446" s="4">
        <f ca="1">IFERROR(__xludf.DUMMYFUNCTION("""COMPUTED_VALUE"""),43173)</f>
        <v>43173</v>
      </c>
      <c r="O446" s="4">
        <f ca="1">IFERROR(__xludf.DUMMYFUNCTION("""COMPUTED_VALUE"""),43173)</f>
        <v>43173</v>
      </c>
      <c r="P446">
        <f ca="1">IFERROR(__xludf.DUMMYFUNCTION("""COMPUTED_VALUE"""),6)</f>
        <v>6</v>
      </c>
      <c r="Q446" t="str">
        <f ca="1">IFERROR(__xludf.DUMMYFUNCTION("""COMPUTED_VALUE"""),"bijupaul03@gmail.com")</f>
        <v>bijupaul03@gmail.com</v>
      </c>
      <c r="R446" s="2" t="s">
        <v>2860</v>
      </c>
    </row>
    <row r="447" spans="1:18" ht="13" x14ac:dyDescent="0.15">
      <c r="A447" s="3">
        <f ca="1">IFERROR(__xludf.DUMMYFUNCTION("""COMPUTED_VALUE"""),43214.5654830092)</f>
        <v>43214.565483009203</v>
      </c>
      <c r="B447" t="str">
        <f ca="1">IFERROR(__xludf.DUMMYFUNCTION("""COMPUTED_VALUE"""),"vharikn@gmail.com")</f>
        <v>vharikn@gmail.com</v>
      </c>
      <c r="C447">
        <f ca="1">IFERROR(__xludf.DUMMYFUNCTION("""COMPUTED_VALUE"""),696)</f>
        <v>696</v>
      </c>
      <c r="D447" t="str">
        <f ca="1">IFERROR(__xludf.DUMMYFUNCTION("""COMPUTED_VALUE"""),"HARI KUMARAN NAIR V")</f>
        <v>HARI KUMARAN NAIR V</v>
      </c>
      <c r="E447">
        <f ca="1">IFERROR(__xludf.DUMMYFUNCTION("""COMPUTED_VALUE"""),7907875445)</f>
        <v>7907875445</v>
      </c>
      <c r="F447" t="str">
        <f ca="1">IFERROR(__xludf.DUMMYFUNCTION("""COMPUTED_VALUE"""),"Ernakulam")</f>
        <v>Ernakulam</v>
      </c>
      <c r="G447" t="str">
        <f ca="1">IFERROR(__xludf.DUMMYFUNCTION("""COMPUTED_VALUE"""),"SPECTRUM TECHNO PRODUCTS")</f>
        <v>SPECTRUM TECHNO PRODUCTS</v>
      </c>
      <c r="H447">
        <f ca="1">IFERROR(__xludf.DUMMYFUNCTION("""COMPUTED_VALUE"""),66)</f>
        <v>66</v>
      </c>
      <c r="I447" s="4">
        <f ca="1">IFERROR(__xludf.DUMMYFUNCTION("""COMPUTED_VALUE"""),43214)</f>
        <v>43214</v>
      </c>
      <c r="J447">
        <f ca="1">IFERROR(__xludf.DUMMYFUNCTION("""COMPUTED_VALUE"""),3)</f>
        <v>3</v>
      </c>
      <c r="K447">
        <f ca="1">IFERROR(__xludf.DUMMYFUNCTION("""COMPUTED_VALUE"""),1155628036179)</f>
        <v>1155628036179</v>
      </c>
      <c r="L447" t="str">
        <f ca="1">IFERROR(__xludf.DUMMYFUNCTION("""COMPUTED_VALUE"""),"THOPUMPADY")</f>
        <v>THOPUMPADY</v>
      </c>
      <c r="M447" t="str">
        <f ca="1">IFERROR(__xludf.DUMMYFUNCTION("""COMPUTED_VALUE"""),"I Accept")</f>
        <v>I Accept</v>
      </c>
      <c r="N447" s="4">
        <f ca="1">IFERROR(__xludf.DUMMYFUNCTION("""COMPUTED_VALUE"""),43203)</f>
        <v>43203</v>
      </c>
      <c r="O447" s="4">
        <f ca="1">IFERROR(__xludf.DUMMYFUNCTION("""COMPUTED_VALUE"""),43203)</f>
        <v>43203</v>
      </c>
      <c r="P447">
        <f ca="1">IFERROR(__xludf.DUMMYFUNCTION("""COMPUTED_VALUE"""),3)</f>
        <v>3</v>
      </c>
      <c r="Q447" t="str">
        <f ca="1">IFERROR(__xludf.DUMMYFUNCTION("""COMPUTED_VALUE"""),"vharikn@gmail.com")</f>
        <v>vharikn@gmail.com</v>
      </c>
      <c r="R447" s="2" t="s">
        <v>2861</v>
      </c>
    </row>
    <row r="448" spans="1:18" ht="13" x14ac:dyDescent="0.15">
      <c r="A448" s="3">
        <f ca="1">IFERROR(__xludf.DUMMYFUNCTION("""COMPUTED_VALUE"""),43214.5710878472)</f>
        <v>43214.571087847202</v>
      </c>
      <c r="B448" t="str">
        <f ca="1">IFERROR(__xludf.DUMMYFUNCTION("""COMPUTED_VALUE"""),"pajanchris@gmail.com")</f>
        <v>pajanchris@gmail.com</v>
      </c>
      <c r="C448">
        <f ca="1">IFERROR(__xludf.DUMMYFUNCTION("""COMPUTED_VALUE"""),785)</f>
        <v>785</v>
      </c>
      <c r="D448" t="str">
        <f ca="1">IFERROR(__xludf.DUMMYFUNCTION("""COMPUTED_VALUE"""),"JOSE THOMAS CHRISTO")</f>
        <v>JOSE THOMAS CHRISTO</v>
      </c>
      <c r="E448">
        <f ca="1">IFERROR(__xludf.DUMMYFUNCTION("""COMPUTED_VALUE"""),9388638933)</f>
        <v>9388638933</v>
      </c>
      <c r="F448" t="str">
        <f ca="1">IFERROR(__xludf.DUMMYFUNCTION("""COMPUTED_VALUE"""),"Ernakulam")</f>
        <v>Ernakulam</v>
      </c>
      <c r="G448" t="str">
        <f ca="1">IFERROR(__xludf.DUMMYFUNCTION("""COMPUTED_VALUE"""),"SPECTRUM TECHNO PRODUCTS")</f>
        <v>SPECTRUM TECHNO PRODUCTS</v>
      </c>
      <c r="H448">
        <f ca="1">IFERROR(__xludf.DUMMYFUNCTION("""COMPUTED_VALUE"""),66)</f>
        <v>66</v>
      </c>
      <c r="I448" s="4">
        <f ca="1">IFERROR(__xludf.DUMMYFUNCTION("""COMPUTED_VALUE"""),43214)</f>
        <v>43214</v>
      </c>
      <c r="J448">
        <f ca="1">IFERROR(__xludf.DUMMYFUNCTION("""COMPUTED_VALUE"""),10)</f>
        <v>10</v>
      </c>
      <c r="K448">
        <f ca="1">IFERROR(__xludf.DUMMYFUNCTION("""COMPUTED_VALUE"""),1155479018094)</f>
        <v>1155479018094</v>
      </c>
      <c r="L448" t="str">
        <f ca="1">IFERROR(__xludf.DUMMYFUNCTION("""COMPUTED_VALUE"""),"VADUTHALA")</f>
        <v>VADUTHALA</v>
      </c>
      <c r="M448" t="str">
        <f ca="1">IFERROR(__xludf.DUMMYFUNCTION("""COMPUTED_VALUE"""),"I Accept")</f>
        <v>I Accept</v>
      </c>
      <c r="N448" s="4">
        <f ca="1">IFERROR(__xludf.DUMMYFUNCTION("""COMPUTED_VALUE"""),43193)</f>
        <v>43193</v>
      </c>
      <c r="O448" s="4">
        <f ca="1">IFERROR(__xludf.DUMMYFUNCTION("""COMPUTED_VALUE"""),43193)</f>
        <v>43193</v>
      </c>
      <c r="P448">
        <f ca="1">IFERROR(__xludf.DUMMYFUNCTION("""COMPUTED_VALUE"""),10)</f>
        <v>10</v>
      </c>
      <c r="Q448" t="str">
        <f ca="1">IFERROR(__xludf.DUMMYFUNCTION("""COMPUTED_VALUE"""),"pajanchris@gmail.com")</f>
        <v>pajanchris@gmail.com</v>
      </c>
      <c r="R448" s="2" t="s">
        <v>2862</v>
      </c>
    </row>
    <row r="449" spans="1:18" ht="13" x14ac:dyDescent="0.15">
      <c r="A449" s="3">
        <f ca="1">IFERROR(__xludf.DUMMYFUNCTION("""COMPUTED_VALUE"""),43214.5718616088)</f>
        <v>43214.571861608798</v>
      </c>
      <c r="B449" t="str">
        <f ca="1">IFERROR(__xludf.DUMMYFUNCTION("""COMPUTED_VALUE"""),"ani_kum2004@yahoo.com")</f>
        <v>ani_kum2004@yahoo.com</v>
      </c>
      <c r="C449">
        <f ca="1">IFERROR(__xludf.DUMMYFUNCTION("""COMPUTED_VALUE"""),97)</f>
        <v>97</v>
      </c>
      <c r="D449" t="str">
        <f ca="1">IFERROR(__xludf.DUMMYFUNCTION("""COMPUTED_VALUE"""),"U.S. ANILKUMAR")</f>
        <v>U.S. ANILKUMAR</v>
      </c>
      <c r="E449">
        <f ca="1">IFERROR(__xludf.DUMMYFUNCTION("""COMPUTED_VALUE"""),9544295120)</f>
        <v>9544295120</v>
      </c>
      <c r="F449" t="str">
        <f ca="1">IFERROR(__xludf.DUMMYFUNCTION("""COMPUTED_VALUE"""),"Palakkad")</f>
        <v>Palakkad</v>
      </c>
      <c r="G449" t="str">
        <f ca="1">IFERROR(__xludf.DUMMYFUNCTION("""COMPUTED_VALUE"""),"TATA POWER SOLAR SYSTEM LTD")</f>
        <v>TATA POWER SOLAR SYSTEM LTD</v>
      </c>
      <c r="H449">
        <f ca="1">IFERROR(__xludf.DUMMYFUNCTION("""COMPUTED_VALUE"""),20)</f>
        <v>20</v>
      </c>
      <c r="I449" s="4">
        <f ca="1">IFERROR(__xludf.DUMMYFUNCTION("""COMPUTED_VALUE"""),43170)</f>
        <v>43170</v>
      </c>
      <c r="J449">
        <f ca="1">IFERROR(__xludf.DUMMYFUNCTION("""COMPUTED_VALUE"""),5)</f>
        <v>5</v>
      </c>
      <c r="K449">
        <f ca="1">IFERROR(__xludf.DUMMYFUNCTION("""COMPUTED_VALUE"""),12347)</f>
        <v>12347</v>
      </c>
      <c r="L449" t="str">
        <f ca="1">IFERROR(__xludf.DUMMYFUNCTION("""COMPUTED_VALUE"""),"PUTHUKODE ")</f>
        <v xml:space="preserve">PUTHUKODE </v>
      </c>
      <c r="M449" t="str">
        <f ca="1">IFERROR(__xludf.DUMMYFUNCTION("""COMPUTED_VALUE"""),"I Accept")</f>
        <v>I Accept</v>
      </c>
      <c r="N449" s="4">
        <f ca="1">IFERROR(__xludf.DUMMYFUNCTION("""COMPUTED_VALUE"""),43208)</f>
        <v>43208</v>
      </c>
      <c r="O449" s="4">
        <f ca="1">IFERROR(__xludf.DUMMYFUNCTION("""COMPUTED_VALUE"""),43208)</f>
        <v>43208</v>
      </c>
      <c r="P449">
        <f ca="1">IFERROR(__xludf.DUMMYFUNCTION("""COMPUTED_VALUE"""),5)</f>
        <v>5</v>
      </c>
      <c r="Q449" t="str">
        <f ca="1">IFERROR(__xludf.DUMMYFUNCTION("""COMPUTED_VALUE"""),"ani_kum2004@yahoo.com")</f>
        <v>ani_kum2004@yahoo.com</v>
      </c>
      <c r="R449" s="2" t="s">
        <v>2863</v>
      </c>
    </row>
    <row r="450" spans="1:18" ht="13" x14ac:dyDescent="0.15">
      <c r="A450" s="3">
        <f ca="1">IFERROR(__xludf.DUMMYFUNCTION("""COMPUTED_VALUE"""),43214.5736587963)</f>
        <v>43214.573658796297</v>
      </c>
      <c r="B450" t="str">
        <f ca="1">IFERROR(__xludf.DUMMYFUNCTION("""COMPUTED_VALUE"""),"rejoyjose@gmail.com")</f>
        <v>rejoyjose@gmail.com</v>
      </c>
      <c r="C450">
        <f ca="1">IFERROR(__xludf.DUMMYFUNCTION("""COMPUTED_VALUE"""),697)</f>
        <v>697</v>
      </c>
      <c r="D450" t="str">
        <f ca="1">IFERROR(__xludf.DUMMYFUNCTION("""COMPUTED_VALUE"""),"JOSE M P")</f>
        <v>JOSE M P</v>
      </c>
      <c r="E450">
        <f ca="1">IFERROR(__xludf.DUMMYFUNCTION("""COMPUTED_VALUE"""),9446020172)</f>
        <v>9446020172</v>
      </c>
      <c r="F450" t="str">
        <f ca="1">IFERROR(__xludf.DUMMYFUNCTION("""COMPUTED_VALUE"""),"Ernakulam")</f>
        <v>Ernakulam</v>
      </c>
      <c r="G450" t="str">
        <f ca="1">IFERROR(__xludf.DUMMYFUNCTION("""COMPUTED_VALUE"""),"SPECTRUM TECHNO PRODUCTS")</f>
        <v>SPECTRUM TECHNO PRODUCTS</v>
      </c>
      <c r="H450">
        <f ca="1">IFERROR(__xludf.DUMMYFUNCTION("""COMPUTED_VALUE"""),66)</f>
        <v>66</v>
      </c>
      <c r="I450" s="4">
        <f ca="1">IFERROR(__xludf.DUMMYFUNCTION("""COMPUTED_VALUE"""),43214)</f>
        <v>43214</v>
      </c>
      <c r="J450">
        <f ca="1">IFERROR(__xludf.DUMMYFUNCTION("""COMPUTED_VALUE"""),3)</f>
        <v>3</v>
      </c>
      <c r="K450">
        <f ca="1">IFERROR(__xludf.DUMMYFUNCTION("""COMPUTED_VALUE"""),1156713004364)</f>
        <v>1156713004364</v>
      </c>
      <c r="L450" t="str">
        <f ca="1">IFERROR(__xludf.DUMMYFUNCTION("""COMPUTED_VALUE"""),"CHENGAMANAD")</f>
        <v>CHENGAMANAD</v>
      </c>
      <c r="M450" t="str">
        <f ca="1">IFERROR(__xludf.DUMMYFUNCTION("""COMPUTED_VALUE"""),"I Accept")</f>
        <v>I Accept</v>
      </c>
      <c r="N450" s="4">
        <f ca="1">IFERROR(__xludf.DUMMYFUNCTION("""COMPUTED_VALUE"""),43187)</f>
        <v>43187</v>
      </c>
      <c r="O450" s="4">
        <f ca="1">IFERROR(__xludf.DUMMYFUNCTION("""COMPUTED_VALUE"""),43187)</f>
        <v>43187</v>
      </c>
      <c r="P450">
        <f ca="1">IFERROR(__xludf.DUMMYFUNCTION("""COMPUTED_VALUE"""),3)</f>
        <v>3</v>
      </c>
      <c r="Q450" t="str">
        <f ca="1">IFERROR(__xludf.DUMMYFUNCTION("""COMPUTED_VALUE"""),"rejoyjose@gmail.com")</f>
        <v>rejoyjose@gmail.com</v>
      </c>
      <c r="R450" s="2" t="s">
        <v>2864</v>
      </c>
    </row>
    <row r="451" spans="1:18" ht="13" x14ac:dyDescent="0.15">
      <c r="A451" s="3">
        <f ca="1">IFERROR(__xludf.DUMMYFUNCTION("""COMPUTED_VALUE"""),43214.575791875)</f>
        <v>43214.575791875002</v>
      </c>
      <c r="B451" t="str">
        <f ca="1">IFERROR(__xludf.DUMMYFUNCTION("""COMPUTED_VALUE"""),"sreepree@yahoo.com")</f>
        <v>sreepree@yahoo.com</v>
      </c>
      <c r="C451">
        <f ca="1">IFERROR(__xludf.DUMMYFUNCTION("""COMPUTED_VALUE"""),612)</f>
        <v>612</v>
      </c>
      <c r="D451" t="str">
        <f ca="1">IFERROR(__xludf.DUMMYFUNCTION("""COMPUTED_VALUE"""),"ISMAIL C A")</f>
        <v>ISMAIL C A</v>
      </c>
      <c r="E451">
        <f ca="1">IFERROR(__xludf.DUMMYFUNCTION("""COMPUTED_VALUE"""),9846067550)</f>
        <v>9846067550</v>
      </c>
      <c r="F451" t="str">
        <f ca="1">IFERROR(__xludf.DUMMYFUNCTION("""COMPUTED_VALUE"""),"Ernakulam")</f>
        <v>Ernakulam</v>
      </c>
      <c r="G451" t="str">
        <f ca="1">IFERROR(__xludf.DUMMYFUNCTION("""COMPUTED_VALUE"""),"SPECTRUM TECHNO PRODUCTS")</f>
        <v>SPECTRUM TECHNO PRODUCTS</v>
      </c>
      <c r="H451">
        <f ca="1">IFERROR(__xludf.DUMMYFUNCTION("""COMPUTED_VALUE"""),66)</f>
        <v>66</v>
      </c>
      <c r="I451" s="4">
        <f ca="1">IFERROR(__xludf.DUMMYFUNCTION("""COMPUTED_VALUE"""),43214)</f>
        <v>43214</v>
      </c>
      <c r="J451">
        <f ca="1">IFERROR(__xludf.DUMMYFUNCTION("""COMPUTED_VALUE"""),3)</f>
        <v>3</v>
      </c>
      <c r="K451">
        <f ca="1">IFERROR(__xludf.DUMMYFUNCTION("""COMPUTED_VALUE"""),1156075006047)</f>
        <v>1156075006047</v>
      </c>
      <c r="L451" t="str">
        <f ca="1">IFERROR(__xludf.DUMMYFUNCTION("""COMPUTED_VALUE"""),"VADAKKEKARA")</f>
        <v>VADAKKEKARA</v>
      </c>
      <c r="M451" t="str">
        <f ca="1">IFERROR(__xludf.DUMMYFUNCTION("""COMPUTED_VALUE"""),"I Accept")</f>
        <v>I Accept</v>
      </c>
      <c r="N451" s="4">
        <f ca="1">IFERROR(__xludf.DUMMYFUNCTION("""COMPUTED_VALUE"""),43181)</f>
        <v>43181</v>
      </c>
      <c r="O451" s="4">
        <f ca="1">IFERROR(__xludf.DUMMYFUNCTION("""COMPUTED_VALUE"""),43181)</f>
        <v>43181</v>
      </c>
      <c r="P451">
        <f ca="1">IFERROR(__xludf.DUMMYFUNCTION("""COMPUTED_VALUE"""),3)</f>
        <v>3</v>
      </c>
      <c r="Q451" t="str">
        <f ca="1">IFERROR(__xludf.DUMMYFUNCTION("""COMPUTED_VALUE"""),"sreepree@yahoo.com")</f>
        <v>sreepree@yahoo.com</v>
      </c>
      <c r="R451" s="2" t="s">
        <v>2865</v>
      </c>
    </row>
    <row r="452" spans="1:18" ht="13" x14ac:dyDescent="0.15">
      <c r="A452" s="3">
        <f ca="1">IFERROR(__xludf.DUMMYFUNCTION("""COMPUTED_VALUE"""),43214.5779922685)</f>
        <v>43214.577992268503</v>
      </c>
      <c r="B452" t="str">
        <f ca="1">IFERROR(__xludf.DUMMYFUNCTION("""COMPUTED_VALUE"""),"sreepree@yahoo.com")</f>
        <v>sreepree@yahoo.com</v>
      </c>
      <c r="C452">
        <f ca="1">IFERROR(__xludf.DUMMYFUNCTION("""COMPUTED_VALUE"""),738)</f>
        <v>738</v>
      </c>
      <c r="D452" t="str">
        <f ca="1">IFERROR(__xludf.DUMMYFUNCTION("""COMPUTED_VALUE"""),"SAHIDA ISMAIL")</f>
        <v>SAHIDA ISMAIL</v>
      </c>
      <c r="E452">
        <f ca="1">IFERROR(__xludf.DUMMYFUNCTION("""COMPUTED_VALUE"""),9961256898)</f>
        <v>9961256898</v>
      </c>
      <c r="F452" t="str">
        <f ca="1">IFERROR(__xludf.DUMMYFUNCTION("""COMPUTED_VALUE"""),"Ernakulam")</f>
        <v>Ernakulam</v>
      </c>
      <c r="G452" t="str">
        <f ca="1">IFERROR(__xludf.DUMMYFUNCTION("""COMPUTED_VALUE"""),"SPECTRUM TECHNO PRODUCTS")</f>
        <v>SPECTRUM TECHNO PRODUCTS</v>
      </c>
      <c r="H452">
        <f ca="1">IFERROR(__xludf.DUMMYFUNCTION("""COMPUTED_VALUE"""),66)</f>
        <v>66</v>
      </c>
      <c r="I452" s="4">
        <f ca="1">IFERROR(__xludf.DUMMYFUNCTION("""COMPUTED_VALUE"""),43214)</f>
        <v>43214</v>
      </c>
      <c r="J452">
        <f ca="1">IFERROR(__xludf.DUMMYFUNCTION("""COMPUTED_VALUE"""),2)</f>
        <v>2</v>
      </c>
      <c r="K452">
        <f ca="1">IFERROR(__xludf.DUMMYFUNCTION("""COMPUTED_VALUE"""),1156078000636)</f>
        <v>1156078000636</v>
      </c>
      <c r="L452" t="str">
        <f ca="1">IFERROR(__xludf.DUMMYFUNCTION("""COMPUTED_VALUE"""),"VADAKKEKARA")</f>
        <v>VADAKKEKARA</v>
      </c>
      <c r="M452" t="str">
        <f ca="1">IFERROR(__xludf.DUMMYFUNCTION("""COMPUTED_VALUE"""),"I Accept")</f>
        <v>I Accept</v>
      </c>
      <c r="N452" s="4">
        <f ca="1">IFERROR(__xludf.DUMMYFUNCTION("""COMPUTED_VALUE"""),43190)</f>
        <v>43190</v>
      </c>
      <c r="O452" s="4">
        <f ca="1">IFERROR(__xludf.DUMMYFUNCTION("""COMPUTED_VALUE"""),43190)</f>
        <v>43190</v>
      </c>
      <c r="P452">
        <f ca="1">IFERROR(__xludf.DUMMYFUNCTION("""COMPUTED_VALUE"""),2)</f>
        <v>2</v>
      </c>
      <c r="Q452" t="str">
        <f ca="1">IFERROR(__xludf.DUMMYFUNCTION("""COMPUTED_VALUE"""),"sreepree@yahoo.com")</f>
        <v>sreepree@yahoo.com</v>
      </c>
      <c r="R452" s="2" t="s">
        <v>2866</v>
      </c>
    </row>
    <row r="453" spans="1:18" ht="13" x14ac:dyDescent="0.15">
      <c r="A453" s="3">
        <f ca="1">IFERROR(__xludf.DUMMYFUNCTION("""COMPUTED_VALUE"""),43214.5803300578)</f>
        <v>43214.580330057797</v>
      </c>
      <c r="B453" t="str">
        <f ca="1">IFERROR(__xludf.DUMMYFUNCTION("""COMPUTED_VALUE"""),"binros@gmail.com")</f>
        <v>binros@gmail.com</v>
      </c>
      <c r="C453">
        <f ca="1">IFERROR(__xludf.DUMMYFUNCTION("""COMPUTED_VALUE"""),740)</f>
        <v>740</v>
      </c>
      <c r="D453" t="str">
        <f ca="1">IFERROR(__xludf.DUMMYFUNCTION("""COMPUTED_VALUE"""),"BINDU ROSHEN")</f>
        <v>BINDU ROSHEN</v>
      </c>
      <c r="E453">
        <f ca="1">IFERROR(__xludf.DUMMYFUNCTION("""COMPUTED_VALUE"""),9895184339)</f>
        <v>9895184339</v>
      </c>
      <c r="F453" t="str">
        <f ca="1">IFERROR(__xludf.DUMMYFUNCTION("""COMPUTED_VALUE"""),"Ernakulam")</f>
        <v>Ernakulam</v>
      </c>
      <c r="G453" t="str">
        <f ca="1">IFERROR(__xludf.DUMMYFUNCTION("""COMPUTED_VALUE"""),"SPECTRUM TECHNO PRODUCTS")</f>
        <v>SPECTRUM TECHNO PRODUCTS</v>
      </c>
      <c r="H453">
        <f ca="1">IFERROR(__xludf.DUMMYFUNCTION("""COMPUTED_VALUE"""),66)</f>
        <v>66</v>
      </c>
      <c r="I453" s="4">
        <f ca="1">IFERROR(__xludf.DUMMYFUNCTION("""COMPUTED_VALUE"""),43214)</f>
        <v>43214</v>
      </c>
      <c r="J453">
        <f ca="1">IFERROR(__xludf.DUMMYFUNCTION("""COMPUTED_VALUE"""),3)</f>
        <v>3</v>
      </c>
      <c r="K453">
        <f ca="1">IFERROR(__xludf.DUMMYFUNCTION("""COMPUTED_VALUE"""),1155618008237)</f>
        <v>1155618008237</v>
      </c>
      <c r="L453" t="str">
        <f ca="1">IFERROR(__xludf.DUMMYFUNCTION("""COMPUTED_VALUE"""),"KUMBLANGI")</f>
        <v>KUMBLANGI</v>
      </c>
      <c r="M453" t="str">
        <f ca="1">IFERROR(__xludf.DUMMYFUNCTION("""COMPUTED_VALUE"""),"I Accept")</f>
        <v>I Accept</v>
      </c>
      <c r="N453" s="4">
        <f ca="1">IFERROR(__xludf.DUMMYFUNCTION("""COMPUTED_VALUE"""),43196)</f>
        <v>43196</v>
      </c>
      <c r="O453" s="4">
        <f ca="1">IFERROR(__xludf.DUMMYFUNCTION("""COMPUTED_VALUE"""),43196)</f>
        <v>43196</v>
      </c>
      <c r="P453">
        <f ca="1">IFERROR(__xludf.DUMMYFUNCTION("""COMPUTED_VALUE"""),3)</f>
        <v>3</v>
      </c>
      <c r="Q453" t="str">
        <f ca="1">IFERROR(__xludf.DUMMYFUNCTION("""COMPUTED_VALUE"""),"binros@gmail.com")</f>
        <v>binros@gmail.com</v>
      </c>
      <c r="R453" s="2" t="s">
        <v>2867</v>
      </c>
    </row>
    <row r="454" spans="1:18" ht="13" x14ac:dyDescent="0.15">
      <c r="A454" s="3">
        <f ca="1">IFERROR(__xludf.DUMMYFUNCTION("""COMPUTED_VALUE"""),43214.5824088541)</f>
        <v>43214.582408854098</v>
      </c>
      <c r="B454" t="str">
        <f ca="1">IFERROR(__xludf.DUMMYFUNCTION("""COMPUTED_VALUE"""),"sreekumarsreeram@gmail.com")</f>
        <v>sreekumarsreeram@gmail.com</v>
      </c>
      <c r="C454">
        <f ca="1">IFERROR(__xludf.DUMMYFUNCTION("""COMPUTED_VALUE"""),695)</f>
        <v>695</v>
      </c>
      <c r="D454" t="str">
        <f ca="1">IFERROR(__xludf.DUMMYFUNCTION("""COMPUTED_VALUE"""),"GOPALAKRISHNAN P P")</f>
        <v>GOPALAKRISHNAN P P</v>
      </c>
      <c r="E454">
        <f ca="1">IFERROR(__xludf.DUMMYFUNCTION("""COMPUTED_VALUE"""),9447007077)</f>
        <v>9447007077</v>
      </c>
      <c r="F454" t="str">
        <f ca="1">IFERROR(__xludf.DUMMYFUNCTION("""COMPUTED_VALUE"""),"Ernakulam")</f>
        <v>Ernakulam</v>
      </c>
      <c r="G454" t="str">
        <f ca="1">IFERROR(__xludf.DUMMYFUNCTION("""COMPUTED_VALUE"""),"SPECTRUM TECHNO PRODUCTS")</f>
        <v>SPECTRUM TECHNO PRODUCTS</v>
      </c>
      <c r="H454">
        <f ca="1">IFERROR(__xludf.DUMMYFUNCTION("""COMPUTED_VALUE"""),66)</f>
        <v>66</v>
      </c>
      <c r="I454" s="4">
        <f ca="1">IFERROR(__xludf.DUMMYFUNCTION("""COMPUTED_VALUE"""),43214)</f>
        <v>43214</v>
      </c>
      <c r="J454">
        <f ca="1">IFERROR(__xludf.DUMMYFUNCTION("""COMPUTED_VALUE"""),3)</f>
        <v>3</v>
      </c>
      <c r="K454">
        <f ca="1">IFERROR(__xludf.DUMMYFUNCTION("""COMPUTED_VALUE"""),1157352000079)</f>
        <v>1157352000079</v>
      </c>
      <c r="L454" t="str">
        <f ca="1">IFERROR(__xludf.DUMMYFUNCTION("""COMPUTED_VALUE"""),"PANAGAD")</f>
        <v>PANAGAD</v>
      </c>
      <c r="M454" t="str">
        <f ca="1">IFERROR(__xludf.DUMMYFUNCTION("""COMPUTED_VALUE"""),"I Accept")</f>
        <v>I Accept</v>
      </c>
      <c r="N454" s="4">
        <f ca="1">IFERROR(__xludf.DUMMYFUNCTION("""COMPUTED_VALUE"""),43181)</f>
        <v>43181</v>
      </c>
      <c r="O454" s="4">
        <f ca="1">IFERROR(__xludf.DUMMYFUNCTION("""COMPUTED_VALUE"""),43181)</f>
        <v>43181</v>
      </c>
      <c r="P454">
        <f ca="1">IFERROR(__xludf.DUMMYFUNCTION("""COMPUTED_VALUE"""),3)</f>
        <v>3</v>
      </c>
      <c r="Q454" t="str">
        <f ca="1">IFERROR(__xludf.DUMMYFUNCTION("""COMPUTED_VALUE"""),"sreekumarsreeram@gmail.com")</f>
        <v>sreekumarsreeram@gmail.com</v>
      </c>
      <c r="R454" s="2" t="s">
        <v>2868</v>
      </c>
    </row>
    <row r="455" spans="1:18" ht="13" x14ac:dyDescent="0.15">
      <c r="A455" s="3">
        <f ca="1">IFERROR(__xludf.DUMMYFUNCTION("""COMPUTED_VALUE"""),43214.5862961689)</f>
        <v>43214.586296168898</v>
      </c>
      <c r="B455" t="str">
        <f ca="1">IFERROR(__xludf.DUMMYFUNCTION("""COMPUTED_VALUE"""),"sreekumarsreeram@gmail.com")</f>
        <v>sreekumarsreeram@gmail.com</v>
      </c>
      <c r="C455">
        <f ca="1">IFERROR(__xludf.DUMMYFUNCTION("""COMPUTED_VALUE"""),694)</f>
        <v>694</v>
      </c>
      <c r="D455" t="str">
        <f ca="1">IFERROR(__xludf.DUMMYFUNCTION("""COMPUTED_VALUE"""),"SREE RAMAKRISHNAN")</f>
        <v>SREE RAMAKRISHNAN</v>
      </c>
      <c r="E455">
        <f ca="1">IFERROR(__xludf.DUMMYFUNCTION("""COMPUTED_VALUE"""),9900014667)</f>
        <v>9900014667</v>
      </c>
      <c r="F455" t="str">
        <f ca="1">IFERROR(__xludf.DUMMYFUNCTION("""COMPUTED_VALUE"""),"Ernakulam")</f>
        <v>Ernakulam</v>
      </c>
      <c r="G455" t="str">
        <f ca="1">IFERROR(__xludf.DUMMYFUNCTION("""COMPUTED_VALUE"""),"SPECTRUM TECHNO PRODUCTS")</f>
        <v>SPECTRUM TECHNO PRODUCTS</v>
      </c>
      <c r="H455">
        <f ca="1">IFERROR(__xludf.DUMMYFUNCTION("""COMPUTED_VALUE"""),66)</f>
        <v>66</v>
      </c>
      <c r="I455" s="4">
        <f ca="1">IFERROR(__xludf.DUMMYFUNCTION("""COMPUTED_VALUE"""),43214)</f>
        <v>43214</v>
      </c>
      <c r="J455">
        <f ca="1">IFERROR(__xludf.DUMMYFUNCTION("""COMPUTED_VALUE"""),5)</f>
        <v>5</v>
      </c>
      <c r="K455">
        <f ca="1">IFERROR(__xludf.DUMMYFUNCTION("""COMPUTED_VALUE"""),1157358000081)</f>
        <v>1157358000081</v>
      </c>
      <c r="L455" t="str">
        <f ca="1">IFERROR(__xludf.DUMMYFUNCTION("""COMPUTED_VALUE"""),"PANAGAD")</f>
        <v>PANAGAD</v>
      </c>
      <c r="M455" t="str">
        <f ca="1">IFERROR(__xludf.DUMMYFUNCTION("""COMPUTED_VALUE"""),"I Accept")</f>
        <v>I Accept</v>
      </c>
      <c r="N455" s="4">
        <f ca="1">IFERROR(__xludf.DUMMYFUNCTION("""COMPUTED_VALUE"""),43181)</f>
        <v>43181</v>
      </c>
      <c r="O455" s="4">
        <f ca="1">IFERROR(__xludf.DUMMYFUNCTION("""COMPUTED_VALUE"""),43181)</f>
        <v>43181</v>
      </c>
      <c r="P455">
        <f ca="1">IFERROR(__xludf.DUMMYFUNCTION("""COMPUTED_VALUE"""),5)</f>
        <v>5</v>
      </c>
      <c r="Q455" t="str">
        <f ca="1">IFERROR(__xludf.DUMMYFUNCTION("""COMPUTED_VALUE"""),"sreekumarsreeram@gmail.com")</f>
        <v>sreekumarsreeram@gmail.com</v>
      </c>
      <c r="R455" s="2" t="s">
        <v>2869</v>
      </c>
    </row>
    <row r="456" spans="1:18" ht="13" x14ac:dyDescent="0.15">
      <c r="A456" s="3">
        <f ca="1">IFERROR(__xludf.DUMMYFUNCTION("""COMPUTED_VALUE"""),43214.6130963888)</f>
        <v>43214.613096388799</v>
      </c>
      <c r="B456" t="str">
        <f ca="1">IFERROR(__xludf.DUMMYFUNCTION("""COMPUTED_VALUE"""),"solarconnect2018@gmail.com")</f>
        <v>solarconnect2018@gmail.com</v>
      </c>
      <c r="C456">
        <f ca="1">IFERROR(__xludf.DUMMYFUNCTION("""COMPUTED_VALUE"""),523)</f>
        <v>523</v>
      </c>
      <c r="D456" t="str">
        <f ca="1">IFERROR(__xludf.DUMMYFUNCTION("""COMPUTED_VALUE"""),"PRIYALATHA K")</f>
        <v>PRIYALATHA K</v>
      </c>
      <c r="E456">
        <f ca="1">IFERROR(__xludf.DUMMYFUNCTION("""COMPUTED_VALUE"""),9447817206)</f>
        <v>9447817206</v>
      </c>
      <c r="F456" t="str">
        <f ca="1">IFERROR(__xludf.DUMMYFUNCTION("""COMPUTED_VALUE"""),"Thiruvananthapuram")</f>
        <v>Thiruvananthapuram</v>
      </c>
      <c r="G456" t="str">
        <f ca="1">IFERROR(__xludf.DUMMYFUNCTION("""COMPUTED_VALUE"""),"SPECTRUM TECHNO PRODUCTS")</f>
        <v>SPECTRUM TECHNO PRODUCTS</v>
      </c>
      <c r="H456">
        <f ca="1">IFERROR(__xludf.DUMMYFUNCTION("""COMPUTED_VALUE"""),66)</f>
        <v>66</v>
      </c>
      <c r="I456" s="4">
        <f ca="1">IFERROR(__xludf.DUMMYFUNCTION("""COMPUTED_VALUE"""),43215)</f>
        <v>43215</v>
      </c>
      <c r="J456">
        <f ca="1">IFERROR(__xludf.DUMMYFUNCTION("""COMPUTED_VALUE"""),5)</f>
        <v>5</v>
      </c>
      <c r="K456">
        <f ca="1">IFERROR(__xludf.DUMMYFUNCTION("""COMPUTED_VALUE"""),1145124021783)</f>
        <v>1145124021783</v>
      </c>
      <c r="L456" t="str">
        <f ca="1">IFERROR(__xludf.DUMMYFUNCTION("""COMPUTED_VALUE"""),"POOJAPPURA")</f>
        <v>POOJAPPURA</v>
      </c>
      <c r="M456" t="str">
        <f ca="1">IFERROR(__xludf.DUMMYFUNCTION("""COMPUTED_VALUE"""),"I Accept")</f>
        <v>I Accept</v>
      </c>
      <c r="N456" s="4">
        <f ca="1">IFERROR(__xludf.DUMMYFUNCTION("""COMPUTED_VALUE"""),43188)</f>
        <v>43188</v>
      </c>
      <c r="O456" s="4">
        <f ca="1">IFERROR(__xludf.DUMMYFUNCTION("""COMPUTED_VALUE"""),43188)</f>
        <v>43188</v>
      </c>
      <c r="P456">
        <f ca="1">IFERROR(__xludf.DUMMYFUNCTION("""COMPUTED_VALUE"""),5)</f>
        <v>5</v>
      </c>
      <c r="Q456" t="str">
        <f ca="1">IFERROR(__xludf.DUMMYFUNCTION("""COMPUTED_VALUE"""),"solarconnect2018@gmail.com")</f>
        <v>solarconnect2018@gmail.com</v>
      </c>
      <c r="R456" s="2" t="s">
        <v>2870</v>
      </c>
    </row>
    <row r="457" spans="1:18" ht="13" x14ac:dyDescent="0.15">
      <c r="A457" s="3">
        <f ca="1">IFERROR(__xludf.DUMMYFUNCTION("""COMPUTED_VALUE"""),43214.6253284375)</f>
        <v>43214.625328437498</v>
      </c>
      <c r="B457" t="str">
        <f ca="1">IFERROR(__xludf.DUMMYFUNCTION("""COMPUTED_VALUE"""),"solarconnect2018@gmail.com")</f>
        <v>solarconnect2018@gmail.com</v>
      </c>
      <c r="C457">
        <f ca="1">IFERROR(__xludf.DUMMYFUNCTION("""COMPUTED_VALUE"""),718)</f>
        <v>718</v>
      </c>
      <c r="D457" t="str">
        <f ca="1">IFERROR(__xludf.DUMMYFUNCTION("""COMPUTED_VALUE"""),"AJITH R")</f>
        <v>AJITH R</v>
      </c>
      <c r="E457">
        <f ca="1">IFERROR(__xludf.DUMMYFUNCTION("""COMPUTED_VALUE"""),9895900001)</f>
        <v>9895900001</v>
      </c>
      <c r="F457" t="str">
        <f ca="1">IFERROR(__xludf.DUMMYFUNCTION("""COMPUTED_VALUE"""),"Thiruvananthapuram")</f>
        <v>Thiruvananthapuram</v>
      </c>
      <c r="G457" t="str">
        <f ca="1">IFERROR(__xludf.DUMMYFUNCTION("""COMPUTED_VALUE"""),"SPECTRUM TECHNO PRODUCTS")</f>
        <v>SPECTRUM TECHNO PRODUCTS</v>
      </c>
      <c r="H457">
        <f ca="1">IFERROR(__xludf.DUMMYFUNCTION("""COMPUTED_VALUE"""),66)</f>
        <v>66</v>
      </c>
      <c r="I457" s="4">
        <f ca="1">IFERROR(__xludf.DUMMYFUNCTION("""COMPUTED_VALUE"""),43214)</f>
        <v>43214</v>
      </c>
      <c r="J457">
        <f ca="1">IFERROR(__xludf.DUMMYFUNCTION("""COMPUTED_VALUE"""),5)</f>
        <v>5</v>
      </c>
      <c r="K457">
        <f ca="1">IFERROR(__xludf.DUMMYFUNCTION("""COMPUTED_VALUE"""),1146912009433)</f>
        <v>1146912009433</v>
      </c>
      <c r="L457" t="str">
        <f ca="1">IFERROR(__xludf.DUMMYFUNCTION("""COMPUTED_VALUE"""),"KACHANI")</f>
        <v>KACHANI</v>
      </c>
      <c r="M457" t="str">
        <f ca="1">IFERROR(__xludf.DUMMYFUNCTION("""COMPUTED_VALUE"""),"I Accept")</f>
        <v>I Accept</v>
      </c>
      <c r="N457" s="4">
        <f ca="1">IFERROR(__xludf.DUMMYFUNCTION("""COMPUTED_VALUE"""),43188)</f>
        <v>43188</v>
      </c>
      <c r="O457" s="4">
        <f ca="1">IFERROR(__xludf.DUMMYFUNCTION("""COMPUTED_VALUE"""),43188)</f>
        <v>43188</v>
      </c>
      <c r="P457">
        <f ca="1">IFERROR(__xludf.DUMMYFUNCTION("""COMPUTED_VALUE"""),5)</f>
        <v>5</v>
      </c>
      <c r="Q457" t="str">
        <f ca="1">IFERROR(__xludf.DUMMYFUNCTION("""COMPUTED_VALUE"""),"solarconnect2018@gmail.com")</f>
        <v>solarconnect2018@gmail.com</v>
      </c>
      <c r="R457" s="2" t="s">
        <v>2871</v>
      </c>
    </row>
    <row r="458" spans="1:18" ht="13" x14ac:dyDescent="0.15">
      <c r="A458" s="3">
        <f ca="1">IFERROR(__xludf.DUMMYFUNCTION("""COMPUTED_VALUE"""),43214.6588004513)</f>
        <v>43214.658800451303</v>
      </c>
      <c r="B458" t="str">
        <f ca="1">IFERROR(__xludf.DUMMYFUNCTION("""COMPUTED_VALUE"""),"kovoor.kurian@gmail.com")</f>
        <v>kovoor.kurian@gmail.com</v>
      </c>
      <c r="C458">
        <f ca="1">IFERROR(__xludf.DUMMYFUNCTION("""COMPUTED_VALUE"""),853)</f>
        <v>853</v>
      </c>
      <c r="D458" t="str">
        <f ca="1">IFERROR(__xludf.DUMMYFUNCTION("""COMPUTED_VALUE"""),"Thomas Kurian")</f>
        <v>Thomas Kurian</v>
      </c>
      <c r="E458">
        <f ca="1">IFERROR(__xludf.DUMMYFUNCTION("""COMPUTED_VALUE"""),9446043898)</f>
        <v>9446043898</v>
      </c>
      <c r="F458" t="str">
        <f ca="1">IFERROR(__xludf.DUMMYFUNCTION("""COMPUTED_VALUE"""),"Pathanamthitta")</f>
        <v>Pathanamthitta</v>
      </c>
      <c r="G458" t="str">
        <f ca="1">IFERROR(__xludf.DUMMYFUNCTION("""COMPUTED_VALUE"""),"SIRET SOLAR PVT LTD")</f>
        <v>SIRET SOLAR PVT LTD</v>
      </c>
      <c r="H458">
        <f ca="1">IFERROR(__xludf.DUMMYFUNCTION("""COMPUTED_VALUE"""),21)</f>
        <v>21</v>
      </c>
      <c r="I458" s="4">
        <f ca="1">IFERROR(__xludf.DUMMYFUNCTION("""COMPUTED_VALUE"""),43214)</f>
        <v>43214</v>
      </c>
      <c r="J458">
        <f ca="1">IFERROR(__xludf.DUMMYFUNCTION("""COMPUTED_VALUE"""),2)</f>
        <v>2</v>
      </c>
      <c r="K458">
        <f ca="1">IFERROR(__xludf.DUMMYFUNCTION("""COMPUTED_VALUE"""),1146172017466)</f>
        <v>1146172017466</v>
      </c>
      <c r="L458" t="str">
        <f ca="1">IFERROR(__xludf.DUMMYFUNCTION("""COMPUTED_VALUE"""),"Thiruvalla")</f>
        <v>Thiruvalla</v>
      </c>
      <c r="M458" t="str">
        <f ca="1">IFERROR(__xludf.DUMMYFUNCTION("""COMPUTED_VALUE"""),"I Accept")</f>
        <v>I Accept</v>
      </c>
      <c r="N458" s="4">
        <f ca="1">IFERROR(__xludf.DUMMYFUNCTION("""COMPUTED_VALUE"""),43206)</f>
        <v>43206</v>
      </c>
      <c r="O458" s="4">
        <f ca="1">IFERROR(__xludf.DUMMYFUNCTION("""COMPUTED_VALUE"""),43206)</f>
        <v>43206</v>
      </c>
      <c r="P458">
        <f ca="1">IFERROR(__xludf.DUMMYFUNCTION("""COMPUTED_VALUE"""),2)</f>
        <v>2</v>
      </c>
      <c r="Q458" t="str">
        <f ca="1">IFERROR(__xludf.DUMMYFUNCTION("""COMPUTED_VALUE"""),"kovoor.kurian@gmail.com")</f>
        <v>kovoor.kurian@gmail.com</v>
      </c>
      <c r="R458" s="2" t="s">
        <v>2872</v>
      </c>
    </row>
    <row r="459" spans="1:18" ht="13" x14ac:dyDescent="0.15">
      <c r="A459" s="3">
        <f ca="1">IFERROR(__xludf.DUMMYFUNCTION("""COMPUTED_VALUE"""),43214.6835546759)</f>
        <v>43214.683554675903</v>
      </c>
      <c r="B459" t="str">
        <f ca="1">IFERROR(__xludf.DUMMYFUNCTION("""COMPUTED_VALUE"""),"emmanuelsarto@yahoo.co.in")</f>
        <v>emmanuelsarto@yahoo.co.in</v>
      </c>
      <c r="C459">
        <f ca="1">IFERROR(__xludf.DUMMYFUNCTION("""COMPUTED_VALUE"""),739)</f>
        <v>739</v>
      </c>
      <c r="D459" t="str">
        <f ca="1">IFERROR(__xludf.DUMMYFUNCTION("""COMPUTED_VALUE"""),"EMMANUEL SARTO")</f>
        <v>EMMANUEL SARTO</v>
      </c>
      <c r="E459">
        <f ca="1">IFERROR(__xludf.DUMMYFUNCTION("""COMPUTED_VALUE"""),9497461391)</f>
        <v>9497461391</v>
      </c>
      <c r="F459" t="str">
        <f ca="1">IFERROR(__xludf.DUMMYFUNCTION("""COMPUTED_VALUE"""),"Ernakulam")</f>
        <v>Ernakulam</v>
      </c>
      <c r="G459" t="str">
        <f ca="1">IFERROR(__xludf.DUMMYFUNCTION("""COMPUTED_VALUE"""),"SPECTRUM TECHNOPRODUCTS")</f>
        <v>SPECTRUM TECHNOPRODUCTS</v>
      </c>
      <c r="H459">
        <f ca="1">IFERROR(__xludf.DUMMYFUNCTION("""COMPUTED_VALUE"""),66)</f>
        <v>66</v>
      </c>
      <c r="I459" s="4">
        <f ca="1">IFERROR(__xludf.DUMMYFUNCTION("""COMPUTED_VALUE"""),43214)</f>
        <v>43214</v>
      </c>
      <c r="J459">
        <f ca="1">IFERROR(__xludf.DUMMYFUNCTION("""COMPUTED_VALUE"""),2)</f>
        <v>2</v>
      </c>
      <c r="K459">
        <f ca="1">IFERROR(__xludf.DUMMYFUNCTION("""COMPUTED_VALUE"""),1155473016889)</f>
        <v>1155473016889</v>
      </c>
      <c r="L459" t="str">
        <f ca="1">IFERROR(__xludf.DUMMYFUNCTION("""COMPUTED_VALUE"""),"VADUTHALA")</f>
        <v>VADUTHALA</v>
      </c>
      <c r="M459" t="str">
        <f ca="1">IFERROR(__xludf.DUMMYFUNCTION("""COMPUTED_VALUE"""),"I Accept")</f>
        <v>I Accept</v>
      </c>
      <c r="N459" s="4">
        <f ca="1">IFERROR(__xludf.DUMMYFUNCTION("""COMPUTED_VALUE"""),43182)</f>
        <v>43182</v>
      </c>
      <c r="O459" s="4">
        <f ca="1">IFERROR(__xludf.DUMMYFUNCTION("""COMPUTED_VALUE"""),43182)</f>
        <v>43182</v>
      </c>
      <c r="P459">
        <f ca="1">IFERROR(__xludf.DUMMYFUNCTION("""COMPUTED_VALUE"""),2)</f>
        <v>2</v>
      </c>
      <c r="Q459" t="str">
        <f ca="1">IFERROR(__xludf.DUMMYFUNCTION("""COMPUTED_VALUE"""),"emmanuelsarto@yahoo.co.in")</f>
        <v>emmanuelsarto@yahoo.co.in</v>
      </c>
      <c r="R459" s="2" t="s">
        <v>2873</v>
      </c>
    </row>
    <row r="460" spans="1:18" ht="13" x14ac:dyDescent="0.15">
      <c r="A460" s="3">
        <f ca="1">IFERROR(__xludf.DUMMYFUNCTION("""COMPUTED_VALUE"""),43215.5650182638)</f>
        <v>43215.565018263798</v>
      </c>
      <c r="B460" t="str">
        <f ca="1">IFERROR(__xludf.DUMMYFUNCTION("""COMPUTED_VALUE"""),"silverwoodsekm@gmail.com")</f>
        <v>silverwoodsekm@gmail.com</v>
      </c>
      <c r="C460">
        <f ca="1">IFERROR(__xludf.DUMMYFUNCTION("""COMPUTED_VALUE"""),519)</f>
        <v>519</v>
      </c>
      <c r="D460" t="str">
        <f ca="1">IFERROR(__xludf.DUMMYFUNCTION("""COMPUTED_VALUE"""),"JOSEPH M G")</f>
        <v>JOSEPH M G</v>
      </c>
      <c r="E460">
        <f ca="1">IFERROR(__xludf.DUMMYFUNCTION("""COMPUTED_VALUE"""),9526991113)</f>
        <v>9526991113</v>
      </c>
      <c r="F460" t="str">
        <f ca="1">IFERROR(__xludf.DUMMYFUNCTION("""COMPUTED_VALUE"""),"Ernakulam")</f>
        <v>Ernakulam</v>
      </c>
      <c r="G460" t="str">
        <f ca="1">IFERROR(__xludf.DUMMYFUNCTION("""COMPUTED_VALUE"""),"TATA POWER SOLAR SYSTEMS LTD")</f>
        <v>TATA POWER SOLAR SYSTEMS LTD</v>
      </c>
      <c r="H460">
        <f ca="1">IFERROR(__xludf.DUMMYFUNCTION("""COMPUTED_VALUE"""),20)</f>
        <v>20</v>
      </c>
      <c r="I460" s="4">
        <f ca="1">IFERROR(__xludf.DUMMYFUNCTION("""COMPUTED_VALUE"""),43205)</f>
        <v>43205</v>
      </c>
      <c r="J460">
        <f ca="1">IFERROR(__xludf.DUMMYFUNCTION("""COMPUTED_VALUE"""),3)</f>
        <v>3</v>
      </c>
      <c r="K460">
        <f ca="1">IFERROR(__xludf.DUMMYFUNCTION("""COMPUTED_VALUE"""),1155486011825)</f>
        <v>1155486011825</v>
      </c>
      <c r="L460" t="str">
        <f ca="1">IFERROR(__xludf.DUMMYFUNCTION("""COMPUTED_VALUE"""),"THRIPONITHURA")</f>
        <v>THRIPONITHURA</v>
      </c>
      <c r="M460" t="str">
        <f ca="1">IFERROR(__xludf.DUMMYFUNCTION("""COMPUTED_VALUE"""),"I Accept")</f>
        <v>I Accept</v>
      </c>
      <c r="N460" s="4">
        <f ca="1">IFERROR(__xludf.DUMMYFUNCTION("""COMPUTED_VALUE"""),43192)</f>
        <v>43192</v>
      </c>
      <c r="O460" s="4">
        <f ca="1">IFERROR(__xludf.DUMMYFUNCTION("""COMPUTED_VALUE"""),43192)</f>
        <v>43192</v>
      </c>
      <c r="P460">
        <f ca="1">IFERROR(__xludf.DUMMYFUNCTION("""COMPUTED_VALUE"""),3)</f>
        <v>3</v>
      </c>
      <c r="Q460" t="str">
        <f ca="1">IFERROR(__xludf.DUMMYFUNCTION("""COMPUTED_VALUE"""),"silverwoodsekm@gmail.com")</f>
        <v>silverwoodsekm@gmail.com</v>
      </c>
      <c r="R460" s="2" t="s">
        <v>2874</v>
      </c>
    </row>
    <row r="461" spans="1:18" ht="13" x14ac:dyDescent="0.15">
      <c r="A461" s="3">
        <f ca="1">IFERROR(__xludf.DUMMYFUNCTION("""COMPUTED_VALUE"""),43215.6914845486)</f>
        <v>43215.691484548603</v>
      </c>
      <c r="B461" t="str">
        <f ca="1">IFERROR(__xludf.DUMMYFUNCTION("""COMPUTED_VALUE"""),"sanjeev.v.thomas@gmail.com")</f>
        <v>sanjeev.v.thomas@gmail.com</v>
      </c>
      <c r="C461">
        <f ca="1">IFERROR(__xludf.DUMMYFUNCTION("""COMPUTED_VALUE"""),444)</f>
        <v>444</v>
      </c>
      <c r="D461" t="str">
        <f ca="1">IFERROR(__xludf.DUMMYFUNCTION("""COMPUTED_VALUE"""),"Dr. Susan S Thomas")</f>
        <v>Dr. Susan S Thomas</v>
      </c>
      <c r="E461">
        <f ca="1">IFERROR(__xludf.DUMMYFUNCTION("""COMPUTED_VALUE"""),9447024425)</f>
        <v>9447024425</v>
      </c>
      <c r="F461" t="str">
        <f ca="1">IFERROR(__xludf.DUMMYFUNCTION("""COMPUTED_VALUE"""),"Thiruvananthapuram")</f>
        <v>Thiruvananthapuram</v>
      </c>
      <c r="G461" t="str">
        <f ca="1">IFERROR(__xludf.DUMMYFUNCTION("""COMPUTED_VALUE"""),"Tata Power Solar Systems LTD")</f>
        <v>Tata Power Solar Systems LTD</v>
      </c>
      <c r="H461">
        <f ca="1">IFERROR(__xludf.DUMMYFUNCTION("""COMPUTED_VALUE"""),20)</f>
        <v>20</v>
      </c>
      <c r="I461" s="4">
        <f ca="1">IFERROR(__xludf.DUMMYFUNCTION("""COMPUTED_VALUE"""),43172)</f>
        <v>43172</v>
      </c>
      <c r="J461">
        <f ca="1">IFERROR(__xludf.DUMMYFUNCTION("""COMPUTED_VALUE"""),3)</f>
        <v>3</v>
      </c>
      <c r="K461">
        <f ca="1">IFERROR(__xludf.DUMMYFUNCTION("""COMPUTED_VALUE"""),1145190011700)</f>
        <v>1145190011700</v>
      </c>
      <c r="L461" t="str">
        <f ca="1">IFERROR(__xludf.DUMMYFUNCTION("""COMPUTED_VALUE"""),"Sreekariyam")</f>
        <v>Sreekariyam</v>
      </c>
      <c r="M461" t="str">
        <f ca="1">IFERROR(__xludf.DUMMYFUNCTION("""COMPUTED_VALUE"""),"I Accept")</f>
        <v>I Accept</v>
      </c>
      <c r="N461" s="4">
        <f ca="1">IFERROR(__xludf.DUMMYFUNCTION("""COMPUTED_VALUE"""),43174)</f>
        <v>43174</v>
      </c>
      <c r="O461" s="4">
        <f ca="1">IFERROR(__xludf.DUMMYFUNCTION("""COMPUTED_VALUE"""),43174)</f>
        <v>43174</v>
      </c>
      <c r="P461">
        <f ca="1">IFERROR(__xludf.DUMMYFUNCTION("""COMPUTED_VALUE"""),3)</f>
        <v>3</v>
      </c>
      <c r="Q461" t="str">
        <f ca="1">IFERROR(__xludf.DUMMYFUNCTION("""COMPUTED_VALUE"""),"sanjeev.v.thomas@gmail.com")</f>
        <v>sanjeev.v.thomas@gmail.com</v>
      </c>
      <c r="R461" s="2" t="s">
        <v>2875</v>
      </c>
    </row>
    <row r="462" spans="1:18" ht="13" x14ac:dyDescent="0.15">
      <c r="A462" s="3">
        <f ca="1">IFERROR(__xludf.DUMMYFUNCTION("""COMPUTED_VALUE"""),43215.6959377546)</f>
        <v>43215.695937754601</v>
      </c>
      <c r="B462" t="str">
        <f ca="1">IFERROR(__xludf.DUMMYFUNCTION("""COMPUTED_VALUE"""),"chandrasenanp@yahoo.co.in")</f>
        <v>chandrasenanp@yahoo.co.in</v>
      </c>
      <c r="C462">
        <f ca="1">IFERROR(__xludf.DUMMYFUNCTION("""COMPUTED_VALUE"""),366)</f>
        <v>366</v>
      </c>
      <c r="D462" t="str">
        <f ca="1">IFERROR(__xludf.DUMMYFUNCTION("""COMPUTED_VALUE"""),"Mini P")</f>
        <v>Mini P</v>
      </c>
      <c r="E462">
        <f ca="1">IFERROR(__xludf.DUMMYFUNCTION("""COMPUTED_VALUE"""),9446558386)</f>
        <v>9446558386</v>
      </c>
      <c r="F462" t="str">
        <f ca="1">IFERROR(__xludf.DUMMYFUNCTION("""COMPUTED_VALUE"""),"Thiruvananthapuram")</f>
        <v>Thiruvananthapuram</v>
      </c>
      <c r="G462" t="str">
        <f ca="1">IFERROR(__xludf.DUMMYFUNCTION("""COMPUTED_VALUE"""),"Tata Power Solar Systems LTD")</f>
        <v>Tata Power Solar Systems LTD</v>
      </c>
      <c r="H462">
        <f ca="1">IFERROR(__xludf.DUMMYFUNCTION("""COMPUTED_VALUE"""),20)</f>
        <v>20</v>
      </c>
      <c r="I462" s="4">
        <f ca="1">IFERROR(__xludf.DUMMYFUNCTION("""COMPUTED_VALUE"""),43194)</f>
        <v>43194</v>
      </c>
      <c r="J462">
        <f ca="1">IFERROR(__xludf.DUMMYFUNCTION("""COMPUTED_VALUE"""),2)</f>
        <v>2</v>
      </c>
      <c r="K462">
        <f ca="1">IFERROR(__xludf.DUMMYFUNCTION("""COMPUTED_VALUE"""),1145167010259)</f>
        <v>1145167010259</v>
      </c>
      <c r="L462" t="str">
        <f ca="1">IFERROR(__xludf.DUMMYFUNCTION("""COMPUTED_VALUE"""),"Kesavadasapuram")</f>
        <v>Kesavadasapuram</v>
      </c>
      <c r="M462" t="str">
        <f ca="1">IFERROR(__xludf.DUMMYFUNCTION("""COMPUTED_VALUE"""),"I Accept")</f>
        <v>I Accept</v>
      </c>
      <c r="N462" s="4">
        <f ca="1">IFERROR(__xludf.DUMMYFUNCTION("""COMPUTED_VALUE"""),43188)</f>
        <v>43188</v>
      </c>
      <c r="O462" s="4">
        <f ca="1">IFERROR(__xludf.DUMMYFUNCTION("""COMPUTED_VALUE"""),43188)</f>
        <v>43188</v>
      </c>
      <c r="P462">
        <f ca="1">IFERROR(__xludf.DUMMYFUNCTION("""COMPUTED_VALUE"""),2)</f>
        <v>2</v>
      </c>
      <c r="Q462" t="str">
        <f ca="1">IFERROR(__xludf.DUMMYFUNCTION("""COMPUTED_VALUE"""),"chandrasenanp@yahoo.co.in")</f>
        <v>chandrasenanp@yahoo.co.in</v>
      </c>
      <c r="R462" s="2" t="s">
        <v>2876</v>
      </c>
    </row>
    <row r="463" spans="1:18" ht="13" x14ac:dyDescent="0.15">
      <c r="A463" s="3">
        <f ca="1">IFERROR(__xludf.DUMMYFUNCTION("""COMPUTED_VALUE"""),43215.6995733333)</f>
        <v>43215.699573333302</v>
      </c>
      <c r="B463" t="str">
        <f ca="1">IFERROR(__xludf.DUMMYFUNCTION("""COMPUTED_VALUE"""),"lesliejojo190@gmail.com")</f>
        <v>lesliejojo190@gmail.com</v>
      </c>
      <c r="C463">
        <f ca="1">IFERROR(__xludf.DUMMYFUNCTION("""COMPUTED_VALUE"""),581)</f>
        <v>581</v>
      </c>
      <c r="D463" t="str">
        <f ca="1">IFERROR(__xludf.DUMMYFUNCTION("""COMPUTED_VALUE"""),"Sindhia S")</f>
        <v>Sindhia S</v>
      </c>
      <c r="E463">
        <f ca="1">IFERROR(__xludf.DUMMYFUNCTION("""COMPUTED_VALUE"""),9895809060)</f>
        <v>9895809060</v>
      </c>
      <c r="F463" t="str">
        <f ca="1">IFERROR(__xludf.DUMMYFUNCTION("""COMPUTED_VALUE"""),"Thiruvananthapuram")</f>
        <v>Thiruvananthapuram</v>
      </c>
      <c r="G463" t="str">
        <f ca="1">IFERROR(__xludf.DUMMYFUNCTION("""COMPUTED_VALUE"""),"Tata Power Solar Systems LTD")</f>
        <v>Tata Power Solar Systems LTD</v>
      </c>
      <c r="H463">
        <f ca="1">IFERROR(__xludf.DUMMYFUNCTION("""COMPUTED_VALUE"""),20)</f>
        <v>20</v>
      </c>
      <c r="I463" s="4">
        <f ca="1">IFERROR(__xludf.DUMMYFUNCTION("""COMPUTED_VALUE"""),43200)</f>
        <v>43200</v>
      </c>
      <c r="J463">
        <f ca="1">IFERROR(__xludf.DUMMYFUNCTION("""COMPUTED_VALUE"""),5)</f>
        <v>5</v>
      </c>
      <c r="K463">
        <f ca="1">IFERROR(__xludf.DUMMYFUNCTION("""COMPUTED_VALUE"""),1145249018731)</f>
        <v>1145249018731</v>
      </c>
      <c r="L463" t="str">
        <f ca="1">IFERROR(__xludf.DUMMYFUNCTION("""COMPUTED_VALUE"""),"Pothencode")</f>
        <v>Pothencode</v>
      </c>
      <c r="M463" t="str">
        <f ca="1">IFERROR(__xludf.DUMMYFUNCTION("""COMPUTED_VALUE"""),"I Accept")</f>
        <v>I Accept</v>
      </c>
      <c r="N463" s="4">
        <f ca="1">IFERROR(__xludf.DUMMYFUNCTION("""COMPUTED_VALUE"""),43210)</f>
        <v>43210</v>
      </c>
      <c r="O463" s="4">
        <f ca="1">IFERROR(__xludf.DUMMYFUNCTION("""COMPUTED_VALUE"""),43210)</f>
        <v>43210</v>
      </c>
      <c r="P463">
        <f ca="1">IFERROR(__xludf.DUMMYFUNCTION("""COMPUTED_VALUE"""),5)</f>
        <v>5</v>
      </c>
      <c r="Q463" t="str">
        <f ca="1">IFERROR(__xludf.DUMMYFUNCTION("""COMPUTED_VALUE"""),"lesliejojo190@gmail.com")</f>
        <v>lesliejojo190@gmail.com</v>
      </c>
      <c r="R463" s="2" t="s">
        <v>2877</v>
      </c>
    </row>
    <row r="464" spans="1:18" ht="13" x14ac:dyDescent="0.15">
      <c r="A464" s="3">
        <f ca="1">IFERROR(__xludf.DUMMYFUNCTION("""COMPUTED_VALUE"""),43215.7051578472)</f>
        <v>43215.705157847202</v>
      </c>
      <c r="B464" t="str">
        <f ca="1">IFERROR(__xludf.DUMMYFUNCTION("""COMPUTED_VALUE"""),"mward1992@reddifmail.com")</f>
        <v>mward1992@reddifmail.com</v>
      </c>
      <c r="C464">
        <f ca="1">IFERROR(__xludf.DUMMYFUNCTION("""COMPUTED_VALUE"""),935)</f>
        <v>935</v>
      </c>
      <c r="D464" t="str">
        <f ca="1">IFERROR(__xludf.DUMMYFUNCTION("""COMPUTED_VALUE"""),"Mary Ward Educational Society")</f>
        <v>Mary Ward Educational Society</v>
      </c>
      <c r="E464">
        <f ca="1">IFERROR(__xludf.DUMMYFUNCTION("""COMPUTED_VALUE"""),8289938304)</f>
        <v>8289938304</v>
      </c>
      <c r="F464" t="str">
        <f ca="1">IFERROR(__xludf.DUMMYFUNCTION("""COMPUTED_VALUE"""),"Ernakulam")</f>
        <v>Ernakulam</v>
      </c>
      <c r="G464" t="str">
        <f ca="1">IFERROR(__xludf.DUMMYFUNCTION("""COMPUTED_VALUE"""),"SIRET SOLAR PVT.LTD ")</f>
        <v xml:space="preserve">SIRET SOLAR PVT.LTD </v>
      </c>
      <c r="H464">
        <f ca="1">IFERROR(__xludf.DUMMYFUNCTION("""COMPUTED_VALUE"""),21)</f>
        <v>21</v>
      </c>
      <c r="I464" s="4">
        <f ca="1">IFERROR(__xludf.DUMMYFUNCTION("""COMPUTED_VALUE"""),43216)</f>
        <v>43216</v>
      </c>
      <c r="J464">
        <f ca="1">IFERROR(__xludf.DUMMYFUNCTION("""COMPUTED_VALUE"""),20)</f>
        <v>20</v>
      </c>
      <c r="K464">
        <f ca="1">IFERROR(__xludf.DUMMYFUNCTION("""COMPUTED_VALUE"""),1156599008992)</f>
        <v>1156599008992</v>
      </c>
      <c r="L464" t="str">
        <f ca="1">IFERROR(__xludf.DUMMYFUNCTION("""COMPUTED_VALUE"""),"Puthenvelikkara")</f>
        <v>Puthenvelikkara</v>
      </c>
      <c r="M464" t="str">
        <f ca="1">IFERROR(__xludf.DUMMYFUNCTION("""COMPUTED_VALUE"""),"I Accept")</f>
        <v>I Accept</v>
      </c>
      <c r="N464" s="4">
        <f ca="1">IFERROR(__xludf.DUMMYFUNCTION("""COMPUTED_VALUE"""),43204)</f>
        <v>43204</v>
      </c>
      <c r="O464" s="4">
        <f ca="1">IFERROR(__xludf.DUMMYFUNCTION("""COMPUTED_VALUE"""),43204)</f>
        <v>43204</v>
      </c>
      <c r="P464">
        <f ca="1">IFERROR(__xludf.DUMMYFUNCTION("""COMPUTED_VALUE"""),20)</f>
        <v>20</v>
      </c>
      <c r="Q464" t="str">
        <f ca="1">IFERROR(__xludf.DUMMYFUNCTION("""COMPUTED_VALUE"""),"mward1992@reddifmail.com")</f>
        <v>mward1992@reddifmail.com</v>
      </c>
      <c r="R464" s="2" t="s">
        <v>2878</v>
      </c>
    </row>
    <row r="465" spans="1:18" ht="13" x14ac:dyDescent="0.15">
      <c r="A465" s="3">
        <f ca="1">IFERROR(__xludf.DUMMYFUNCTION("""COMPUTED_VALUE"""),43215.7069842013)</f>
        <v>43215.706984201301</v>
      </c>
      <c r="B465" t="str">
        <f ca="1">IFERROR(__xludf.DUMMYFUNCTION("""COMPUTED_VALUE"""),"gm@dean_holdings.com")</f>
        <v>gm@dean_holdings.com</v>
      </c>
      <c r="C465">
        <f ca="1">IFERROR(__xludf.DUMMYFUNCTION("""COMPUTED_VALUE"""),684)</f>
        <v>684</v>
      </c>
      <c r="D465" t="str">
        <f ca="1">IFERROR(__xludf.DUMMYFUNCTION("""COMPUTED_VALUE"""),"Ansari MM")</f>
        <v>Ansari MM</v>
      </c>
      <c r="E465">
        <f ca="1">IFERROR(__xludf.DUMMYFUNCTION("""COMPUTED_VALUE"""),8281419473)</f>
        <v>8281419473</v>
      </c>
      <c r="F465" t="str">
        <f ca="1">IFERROR(__xludf.DUMMYFUNCTION("""COMPUTED_VALUE"""),"Thiruvananthapuram")</f>
        <v>Thiruvananthapuram</v>
      </c>
      <c r="G465" t="str">
        <f ca="1">IFERROR(__xludf.DUMMYFUNCTION("""COMPUTED_VALUE"""),"Tata Power Solar Systems LTD")</f>
        <v>Tata Power Solar Systems LTD</v>
      </c>
      <c r="H465">
        <f ca="1">IFERROR(__xludf.DUMMYFUNCTION("""COMPUTED_VALUE"""),20)</f>
        <v>20</v>
      </c>
      <c r="I465" s="4">
        <f ca="1">IFERROR(__xludf.DUMMYFUNCTION("""COMPUTED_VALUE"""),43194)</f>
        <v>43194</v>
      </c>
      <c r="J465">
        <f ca="1">IFERROR(__xludf.DUMMYFUNCTION("""COMPUTED_VALUE"""),10)</f>
        <v>10</v>
      </c>
      <c r="K465">
        <f ca="1">IFERROR(__xludf.DUMMYFUNCTION("""COMPUTED_VALUE"""),1146748008848)</f>
        <v>1146748008848</v>
      </c>
      <c r="L465" t="str">
        <f ca="1">IFERROR(__xludf.DUMMYFUNCTION("""COMPUTED_VALUE"""),"Peringamala")</f>
        <v>Peringamala</v>
      </c>
      <c r="M465" t="str">
        <f ca="1">IFERROR(__xludf.DUMMYFUNCTION("""COMPUTED_VALUE"""),"I Accept")</f>
        <v>I Accept</v>
      </c>
      <c r="N465" s="4">
        <f ca="1">IFERROR(__xludf.DUMMYFUNCTION("""COMPUTED_VALUE"""),43182)</f>
        <v>43182</v>
      </c>
      <c r="O465" s="4">
        <f ca="1">IFERROR(__xludf.DUMMYFUNCTION("""COMPUTED_VALUE"""),43182)</f>
        <v>43182</v>
      </c>
      <c r="P465">
        <f ca="1">IFERROR(__xludf.DUMMYFUNCTION("""COMPUTED_VALUE"""),10)</f>
        <v>10</v>
      </c>
      <c r="Q465" t="str">
        <f ca="1">IFERROR(__xludf.DUMMYFUNCTION("""COMPUTED_VALUE"""),"lesliejojo190@gmail.com")</f>
        <v>lesliejojo190@gmail.com</v>
      </c>
      <c r="R465" s="2" t="s">
        <v>2879</v>
      </c>
    </row>
    <row r="466" spans="1:18" ht="13" x14ac:dyDescent="0.15">
      <c r="A466" s="3">
        <f ca="1">IFERROR(__xludf.DUMMYFUNCTION("""COMPUTED_VALUE"""),43215.7093293634)</f>
        <v>43215.709329363403</v>
      </c>
      <c r="B466" t="str">
        <f ca="1">IFERROR(__xludf.DUMMYFUNCTION("""COMPUTED_VALUE"""),"varunanparamu123@gmail.com")</f>
        <v>varunanparamu123@gmail.com</v>
      </c>
      <c r="C466">
        <f ca="1">IFERROR(__xludf.DUMMYFUNCTION("""COMPUTED_VALUE"""),742)</f>
        <v>742</v>
      </c>
      <c r="D466" t="str">
        <f ca="1">IFERROR(__xludf.DUMMYFUNCTION("""COMPUTED_VALUE"""),"P Varunan")</f>
        <v>P Varunan</v>
      </c>
      <c r="E466">
        <f ca="1">IFERROR(__xludf.DUMMYFUNCTION("""COMPUTED_VALUE"""),8921286203)</f>
        <v>8921286203</v>
      </c>
      <c r="F466" t="str">
        <f ca="1">IFERROR(__xludf.DUMMYFUNCTION("""COMPUTED_VALUE"""),"Thiruvananthapuram")</f>
        <v>Thiruvananthapuram</v>
      </c>
      <c r="G466" t="str">
        <f ca="1">IFERROR(__xludf.DUMMYFUNCTION("""COMPUTED_VALUE"""),"Tata Power Solar Systems LTD")</f>
        <v>Tata Power Solar Systems LTD</v>
      </c>
      <c r="H466">
        <f ca="1">IFERROR(__xludf.DUMMYFUNCTION("""COMPUTED_VALUE"""),20)</f>
        <v>20</v>
      </c>
      <c r="I466" s="4">
        <f ca="1">IFERROR(__xludf.DUMMYFUNCTION("""COMPUTED_VALUE"""),43195)</f>
        <v>43195</v>
      </c>
      <c r="J466">
        <f ca="1">IFERROR(__xludf.DUMMYFUNCTION("""COMPUTED_VALUE"""),3)</f>
        <v>3</v>
      </c>
      <c r="K466">
        <f ca="1">IFERROR(__xludf.DUMMYFUNCTION("""COMPUTED_VALUE"""),1145307006287)</f>
        <v>1145307006287</v>
      </c>
      <c r="L466" t="str">
        <f ca="1">IFERROR(__xludf.DUMMYFUNCTION("""COMPUTED_VALUE"""),"Vakkom")</f>
        <v>Vakkom</v>
      </c>
      <c r="M466" t="str">
        <f ca="1">IFERROR(__xludf.DUMMYFUNCTION("""COMPUTED_VALUE"""),"I Accept")</f>
        <v>I Accept</v>
      </c>
      <c r="N466" s="4">
        <f ca="1">IFERROR(__xludf.DUMMYFUNCTION("""COMPUTED_VALUE"""),43186)</f>
        <v>43186</v>
      </c>
      <c r="O466" s="4">
        <f ca="1">IFERROR(__xludf.DUMMYFUNCTION("""COMPUTED_VALUE"""),43186)</f>
        <v>43186</v>
      </c>
      <c r="P466">
        <f ca="1">IFERROR(__xludf.DUMMYFUNCTION("""COMPUTED_VALUE"""),3)</f>
        <v>3</v>
      </c>
      <c r="Q466" t="str">
        <f ca="1">IFERROR(__xludf.DUMMYFUNCTION("""COMPUTED_VALUE"""),"varunanparamu123@gmail.com")</f>
        <v>varunanparamu123@gmail.com</v>
      </c>
      <c r="R466" s="2" t="s">
        <v>2880</v>
      </c>
    </row>
    <row r="467" spans="1:18" ht="13" x14ac:dyDescent="0.15">
      <c r="A467" s="3">
        <f ca="1">IFERROR(__xludf.DUMMYFUNCTION("""COMPUTED_VALUE"""),43215.7271580208)</f>
        <v>43215.727158020803</v>
      </c>
      <c r="B467" t="str">
        <f ca="1">IFERROR(__xludf.DUMMYFUNCTION("""COMPUTED_VALUE"""),"lesliejojo190@gmail.com")</f>
        <v>lesliejojo190@gmail.com</v>
      </c>
      <c r="C467">
        <f ca="1">IFERROR(__xludf.DUMMYFUNCTION("""COMPUTED_VALUE"""),682)</f>
        <v>682</v>
      </c>
      <c r="D467" t="str">
        <f ca="1">IFERROR(__xludf.DUMMYFUNCTION("""COMPUTED_VALUE"""),"Arun George Philip")</f>
        <v>Arun George Philip</v>
      </c>
      <c r="E467">
        <f ca="1">IFERROR(__xludf.DUMMYFUNCTION("""COMPUTED_VALUE"""),9847192250)</f>
        <v>9847192250</v>
      </c>
      <c r="F467" t="str">
        <f ca="1">IFERROR(__xludf.DUMMYFUNCTION("""COMPUTED_VALUE"""),"Thiruvananthapuram")</f>
        <v>Thiruvananthapuram</v>
      </c>
      <c r="G467" t="str">
        <f ca="1">IFERROR(__xludf.DUMMYFUNCTION("""COMPUTED_VALUE"""),"Tata Power Solar Systems LTD")</f>
        <v>Tata Power Solar Systems LTD</v>
      </c>
      <c r="H467">
        <f ca="1">IFERROR(__xludf.DUMMYFUNCTION("""COMPUTED_VALUE"""),20)</f>
        <v>20</v>
      </c>
      <c r="I467" s="4">
        <f ca="1">IFERROR(__xludf.DUMMYFUNCTION("""COMPUTED_VALUE"""),43215)</f>
        <v>43215</v>
      </c>
      <c r="J467">
        <f ca="1">IFERROR(__xludf.DUMMYFUNCTION("""COMPUTED_VALUE"""),3)</f>
        <v>3</v>
      </c>
      <c r="K467">
        <f ca="1">IFERROR(__xludf.DUMMYFUNCTION("""COMPUTED_VALUE"""),1146764012338)</f>
        <v>1146764012338</v>
      </c>
      <c r="L467" t="str">
        <f ca="1">IFERROR(__xludf.DUMMYFUNCTION("""COMPUTED_VALUE"""),"Kudappanakkunnu")</f>
        <v>Kudappanakkunnu</v>
      </c>
      <c r="M467" t="str">
        <f ca="1">IFERROR(__xludf.DUMMYFUNCTION("""COMPUTED_VALUE"""),"I Accept")</f>
        <v>I Accept</v>
      </c>
      <c r="N467" s="4">
        <f ca="1">IFERROR(__xludf.DUMMYFUNCTION("""COMPUTED_VALUE"""),43197)</f>
        <v>43197</v>
      </c>
      <c r="O467" s="4">
        <f ca="1">IFERROR(__xludf.DUMMYFUNCTION("""COMPUTED_VALUE"""),43197)</f>
        <v>43197</v>
      </c>
      <c r="P467">
        <f ca="1">IFERROR(__xludf.DUMMYFUNCTION("""COMPUTED_VALUE"""),3)</f>
        <v>3</v>
      </c>
      <c r="Q467" t="str">
        <f ca="1">IFERROR(__xludf.DUMMYFUNCTION("""COMPUTED_VALUE"""),"lesliejojo190@gmail.com")</f>
        <v>lesliejojo190@gmail.com</v>
      </c>
      <c r="R467" s="2" t="s">
        <v>2881</v>
      </c>
    </row>
    <row r="468" spans="1:18" ht="13" x14ac:dyDescent="0.15">
      <c r="A468" s="3">
        <f ca="1">IFERROR(__xludf.DUMMYFUNCTION("""COMPUTED_VALUE"""),43215.7340524999)</f>
        <v>43215.734052499902</v>
      </c>
      <c r="B468" t="str">
        <f ca="1">IFERROR(__xludf.DUMMYFUNCTION("""COMPUTED_VALUE"""),"jacob3293@rediffmail.com")</f>
        <v>jacob3293@rediffmail.com</v>
      </c>
      <c r="C468">
        <f ca="1">IFERROR(__xludf.DUMMYFUNCTION("""COMPUTED_VALUE"""),584)</f>
        <v>584</v>
      </c>
      <c r="D468" t="str">
        <f ca="1">IFERROR(__xludf.DUMMYFUNCTION("""COMPUTED_VALUE"""),"Jacob John")</f>
        <v>Jacob John</v>
      </c>
      <c r="E468">
        <f ca="1">IFERROR(__xludf.DUMMYFUNCTION("""COMPUTED_VALUE"""),8943267973)</f>
        <v>8943267973</v>
      </c>
      <c r="F468" t="str">
        <f ca="1">IFERROR(__xludf.DUMMYFUNCTION("""COMPUTED_VALUE"""),"Thiruvananthapuram")</f>
        <v>Thiruvananthapuram</v>
      </c>
      <c r="G468" t="str">
        <f ca="1">IFERROR(__xludf.DUMMYFUNCTION("""COMPUTED_VALUE"""),"Tata Power Solar systems LTD")</f>
        <v>Tata Power Solar systems LTD</v>
      </c>
      <c r="H468">
        <f ca="1">IFERROR(__xludf.DUMMYFUNCTION("""COMPUTED_VALUE"""),20)</f>
        <v>20</v>
      </c>
      <c r="I468" s="4">
        <f ca="1">IFERROR(__xludf.DUMMYFUNCTION("""COMPUTED_VALUE"""),43206)</f>
        <v>43206</v>
      </c>
      <c r="J468">
        <f ca="1">IFERROR(__xludf.DUMMYFUNCTION("""COMPUTED_VALUE"""),3)</f>
        <v>3</v>
      </c>
      <c r="K468">
        <f ca="1">IFERROR(__xludf.DUMMYFUNCTION("""COMPUTED_VALUE"""),1145119004639)</f>
        <v>1145119004639</v>
      </c>
      <c r="L468" t="str">
        <f ca="1">IFERROR(__xludf.DUMMYFUNCTION("""COMPUTED_VALUE"""),"Thirumala")</f>
        <v>Thirumala</v>
      </c>
      <c r="M468" t="str">
        <f ca="1">IFERROR(__xludf.DUMMYFUNCTION("""COMPUTED_VALUE"""),"I Accept")</f>
        <v>I Accept</v>
      </c>
      <c r="N468" s="4">
        <f ca="1">IFERROR(__xludf.DUMMYFUNCTION("""COMPUTED_VALUE"""),43143)</f>
        <v>43143</v>
      </c>
      <c r="O468" s="4">
        <f ca="1">IFERROR(__xludf.DUMMYFUNCTION("""COMPUTED_VALUE"""),43143)</f>
        <v>43143</v>
      </c>
      <c r="P468">
        <f ca="1">IFERROR(__xludf.DUMMYFUNCTION("""COMPUTED_VALUE"""),3)</f>
        <v>3</v>
      </c>
      <c r="Q468" t="str">
        <f ca="1">IFERROR(__xludf.DUMMYFUNCTION("""COMPUTED_VALUE"""),"jacob3293@rediffmail.com")</f>
        <v>jacob3293@rediffmail.com</v>
      </c>
      <c r="R468" s="2" t="s">
        <v>2882</v>
      </c>
    </row>
    <row r="469" spans="1:18" ht="13" x14ac:dyDescent="0.15">
      <c r="A469" s="3">
        <f ca="1">IFERROR(__xludf.DUMMYFUNCTION("""COMPUTED_VALUE"""),43215.7366886458)</f>
        <v>43215.736688645797</v>
      </c>
      <c r="B469" t="str">
        <f ca="1">IFERROR(__xludf.DUMMYFUNCTION("""COMPUTED_VALUE"""),"lesliejojo190@gmail.com")</f>
        <v>lesliejojo190@gmail.com</v>
      </c>
      <c r="C469">
        <f ca="1">IFERROR(__xludf.DUMMYFUNCTION("""COMPUTED_VALUE"""),862)</f>
        <v>862</v>
      </c>
      <c r="D469" t="str">
        <f ca="1">IFERROR(__xludf.DUMMYFUNCTION("""COMPUTED_VALUE"""),"TM George")</f>
        <v>TM George</v>
      </c>
      <c r="E469">
        <f ca="1">IFERROR(__xludf.DUMMYFUNCTION("""COMPUTED_VALUE"""),9847525884)</f>
        <v>9847525884</v>
      </c>
      <c r="F469" t="str">
        <f ca="1">IFERROR(__xludf.DUMMYFUNCTION("""COMPUTED_VALUE"""),"Thiruvananthapuram")</f>
        <v>Thiruvananthapuram</v>
      </c>
      <c r="G469" t="str">
        <f ca="1">IFERROR(__xludf.DUMMYFUNCTION("""COMPUTED_VALUE"""),"Tata Power Solar Systems LTD")</f>
        <v>Tata Power Solar Systems LTD</v>
      </c>
      <c r="H469">
        <f ca="1">IFERROR(__xludf.DUMMYFUNCTION("""COMPUTED_VALUE"""),20)</f>
        <v>20</v>
      </c>
      <c r="I469" s="4">
        <f ca="1">IFERROR(__xludf.DUMMYFUNCTION("""COMPUTED_VALUE"""),43147)</f>
        <v>43147</v>
      </c>
      <c r="J469">
        <f ca="1">IFERROR(__xludf.DUMMYFUNCTION("""COMPUTED_VALUE"""),3)</f>
        <v>3</v>
      </c>
      <c r="K469">
        <f ca="1">IFERROR(__xludf.DUMMYFUNCTION("""COMPUTED_VALUE"""),5660)</f>
        <v>5660</v>
      </c>
      <c r="L469" t="str">
        <f ca="1">IFERROR(__xludf.DUMMYFUNCTION("""COMPUTED_VALUE"""),"Ulloor")</f>
        <v>Ulloor</v>
      </c>
      <c r="M469" t="str">
        <f ca="1">IFERROR(__xludf.DUMMYFUNCTION("""COMPUTED_VALUE"""),"I Accept")</f>
        <v>I Accept</v>
      </c>
      <c r="N469" s="4">
        <f ca="1">IFERROR(__xludf.DUMMYFUNCTION("""COMPUTED_VALUE"""),43203)</f>
        <v>43203</v>
      </c>
      <c r="O469" s="4">
        <f ca="1">IFERROR(__xludf.DUMMYFUNCTION("""COMPUTED_VALUE"""),43203)</f>
        <v>43203</v>
      </c>
      <c r="P469">
        <f ca="1">IFERROR(__xludf.DUMMYFUNCTION("""COMPUTED_VALUE"""),3)</f>
        <v>3</v>
      </c>
      <c r="Q469" t="str">
        <f ca="1">IFERROR(__xludf.DUMMYFUNCTION("""COMPUTED_VALUE"""),"lesliejojo190@gmail.com")</f>
        <v>lesliejojo190@gmail.com</v>
      </c>
      <c r="R469" s="2" t="s">
        <v>2883</v>
      </c>
    </row>
    <row r="470" spans="1:18" ht="13" x14ac:dyDescent="0.15">
      <c r="A470" s="3">
        <f ca="1">IFERROR(__xludf.DUMMYFUNCTION("""COMPUTED_VALUE"""),43215.73866478)</f>
        <v>43215.738664780001</v>
      </c>
      <c r="B470" t="str">
        <f ca="1">IFERROR(__xludf.DUMMYFUNCTION("""COMPUTED_VALUE"""),"vivekvs1987@gmail.com")</f>
        <v>vivekvs1987@gmail.com</v>
      </c>
      <c r="C470">
        <f ca="1">IFERROR(__xludf.DUMMYFUNCTION("""COMPUTED_VALUE"""),821)</f>
        <v>821</v>
      </c>
      <c r="D470" t="str">
        <f ca="1">IFERROR(__xludf.DUMMYFUNCTION("""COMPUTED_VALUE"""),"Sugatha Kumari P")</f>
        <v>Sugatha Kumari P</v>
      </c>
      <c r="E470">
        <f ca="1">IFERROR(__xludf.DUMMYFUNCTION("""COMPUTED_VALUE"""),9645759926)</f>
        <v>9645759926</v>
      </c>
      <c r="F470" t="str">
        <f ca="1">IFERROR(__xludf.DUMMYFUNCTION("""COMPUTED_VALUE"""),"Thiruvananthapuram")</f>
        <v>Thiruvananthapuram</v>
      </c>
      <c r="G470" t="str">
        <f ca="1">IFERROR(__xludf.DUMMYFUNCTION("""COMPUTED_VALUE"""),"Tata Power Solar Systems LTD")</f>
        <v>Tata Power Solar Systems LTD</v>
      </c>
      <c r="H470">
        <f ca="1">IFERROR(__xludf.DUMMYFUNCTION("""COMPUTED_VALUE"""),20)</f>
        <v>20</v>
      </c>
      <c r="I470" s="4">
        <f ca="1">IFERROR(__xludf.DUMMYFUNCTION("""COMPUTED_VALUE"""),43211)</f>
        <v>43211</v>
      </c>
      <c r="J470">
        <f ca="1">IFERROR(__xludf.DUMMYFUNCTION("""COMPUTED_VALUE"""),3)</f>
        <v>3</v>
      </c>
      <c r="K470">
        <f ca="1">IFERROR(__xludf.DUMMYFUNCTION("""COMPUTED_VALUE"""),12125)</f>
        <v>12125</v>
      </c>
      <c r="L470" t="str">
        <f ca="1">IFERROR(__xludf.DUMMYFUNCTION("""COMPUTED_VALUE"""),"ulloor")</f>
        <v>ulloor</v>
      </c>
      <c r="M470" t="str">
        <f ca="1">IFERROR(__xludf.DUMMYFUNCTION("""COMPUTED_VALUE"""),"I Accept")</f>
        <v>I Accept</v>
      </c>
      <c r="N470" s="4">
        <f ca="1">IFERROR(__xludf.DUMMYFUNCTION("""COMPUTED_VALUE"""),43207)</f>
        <v>43207</v>
      </c>
      <c r="O470" s="4">
        <f ca="1">IFERROR(__xludf.DUMMYFUNCTION("""COMPUTED_VALUE"""),43207)</f>
        <v>43207</v>
      </c>
      <c r="P470">
        <f ca="1">IFERROR(__xludf.DUMMYFUNCTION("""COMPUTED_VALUE"""),3)</f>
        <v>3</v>
      </c>
      <c r="Q470" t="str">
        <f ca="1">IFERROR(__xludf.DUMMYFUNCTION("""COMPUTED_VALUE"""),"vivekvs1987@gmail.com")</f>
        <v>vivekvs1987@gmail.com</v>
      </c>
      <c r="R470" s="2" t="s">
        <v>2884</v>
      </c>
    </row>
    <row r="471" spans="1:18" ht="13" x14ac:dyDescent="0.15">
      <c r="A471" s="3">
        <f ca="1">IFERROR(__xludf.DUMMYFUNCTION("""COMPUTED_VALUE"""),43215.7416951736)</f>
        <v>43215.741695173601</v>
      </c>
      <c r="B471" t="str">
        <f ca="1">IFERROR(__xludf.DUMMYFUNCTION("""COMPUTED_VALUE"""),"ganapathhome@gmail.com")</f>
        <v>ganapathhome@gmail.com</v>
      </c>
      <c r="C471">
        <f ca="1">IFERROR(__xludf.DUMMYFUNCTION("""COMPUTED_VALUE"""),832)</f>
        <v>832</v>
      </c>
      <c r="D471" t="str">
        <f ca="1">IFERROR(__xludf.DUMMYFUNCTION("""COMPUTED_VALUE"""),"R Ganesh")</f>
        <v>R Ganesh</v>
      </c>
      <c r="E471">
        <f ca="1">IFERROR(__xludf.DUMMYFUNCTION("""COMPUTED_VALUE"""),9447156255)</f>
        <v>9447156255</v>
      </c>
      <c r="F471" t="str">
        <f ca="1">IFERROR(__xludf.DUMMYFUNCTION("""COMPUTED_VALUE"""),"Thiruvananthapuram")</f>
        <v>Thiruvananthapuram</v>
      </c>
      <c r="G471" t="str">
        <f ca="1">IFERROR(__xludf.DUMMYFUNCTION("""COMPUTED_VALUE"""),"Tata Power Solar Systems LTD")</f>
        <v>Tata Power Solar Systems LTD</v>
      </c>
      <c r="H471">
        <f ca="1">IFERROR(__xludf.DUMMYFUNCTION("""COMPUTED_VALUE"""),20)</f>
        <v>20</v>
      </c>
      <c r="I471" s="4">
        <f ca="1">IFERROR(__xludf.DUMMYFUNCTION("""COMPUTED_VALUE"""),43215)</f>
        <v>43215</v>
      </c>
      <c r="J471">
        <f ca="1">IFERROR(__xludf.DUMMYFUNCTION("""COMPUTED_VALUE"""),2)</f>
        <v>2</v>
      </c>
      <c r="K471">
        <f ca="1">IFERROR(__xludf.DUMMYFUNCTION("""COMPUTED_VALUE"""),5870)</f>
        <v>5870</v>
      </c>
      <c r="L471" t="str">
        <f ca="1">IFERROR(__xludf.DUMMYFUNCTION("""COMPUTED_VALUE"""),"Ulloor")</f>
        <v>Ulloor</v>
      </c>
      <c r="M471" t="str">
        <f ca="1">IFERROR(__xludf.DUMMYFUNCTION("""COMPUTED_VALUE"""),"I Accept")</f>
        <v>I Accept</v>
      </c>
      <c r="N471" s="4">
        <f ca="1">IFERROR(__xludf.DUMMYFUNCTION("""COMPUTED_VALUE"""),43206)</f>
        <v>43206</v>
      </c>
      <c r="O471" s="4">
        <f ca="1">IFERROR(__xludf.DUMMYFUNCTION("""COMPUTED_VALUE"""),43206)</f>
        <v>43206</v>
      </c>
      <c r="P471">
        <f ca="1">IFERROR(__xludf.DUMMYFUNCTION("""COMPUTED_VALUE"""),2)</f>
        <v>2</v>
      </c>
      <c r="Q471" t="str">
        <f ca="1">IFERROR(__xludf.DUMMYFUNCTION("""COMPUTED_VALUE"""),"ganapathhome@gmail.com")</f>
        <v>ganapathhome@gmail.com</v>
      </c>
      <c r="R471" s="2" t="s">
        <v>2885</v>
      </c>
    </row>
    <row r="472" spans="1:18" ht="13" x14ac:dyDescent="0.15">
      <c r="A472" s="3">
        <f ca="1">IFERROR(__xludf.DUMMYFUNCTION("""COMPUTED_VALUE"""),43215.8676122106)</f>
        <v>43215.867612210597</v>
      </c>
      <c r="B472" t="str">
        <f ca="1">IFERROR(__xludf.DUMMYFUNCTION("""COMPUTED_VALUE"""),"info@wattsun.in")</f>
        <v>info@wattsun.in</v>
      </c>
      <c r="C472">
        <f ca="1">IFERROR(__xludf.DUMMYFUNCTION("""COMPUTED_VALUE"""),823)</f>
        <v>823</v>
      </c>
      <c r="D472" t="str">
        <f ca="1">IFERROR(__xludf.DUMMYFUNCTION("""COMPUTED_VALUE"""),"Susan Antony")</f>
        <v>Susan Antony</v>
      </c>
      <c r="E472">
        <f ca="1">IFERROR(__xludf.DUMMYFUNCTION("""COMPUTED_VALUE"""),9072666513)</f>
        <v>9072666513</v>
      </c>
      <c r="F472" t="str">
        <f ca="1">IFERROR(__xludf.DUMMYFUNCTION("""COMPUTED_VALUE"""),"Thiruvananthapuram")</f>
        <v>Thiruvananthapuram</v>
      </c>
      <c r="G472" t="str">
        <f ca="1">IFERROR(__xludf.DUMMYFUNCTION("""COMPUTED_VALUE"""),"Wattsun Energy India Private Limited")</f>
        <v>Wattsun Energy India Private Limited</v>
      </c>
      <c r="H472">
        <f ca="1">IFERROR(__xludf.DUMMYFUNCTION("""COMPUTED_VALUE"""),54)</f>
        <v>54</v>
      </c>
      <c r="I472" s="4">
        <f ca="1">IFERROR(__xludf.DUMMYFUNCTION("""COMPUTED_VALUE"""),43203)</f>
        <v>43203</v>
      </c>
      <c r="J472">
        <f ca="1">IFERROR(__xludf.DUMMYFUNCTION("""COMPUTED_VALUE"""),10)</f>
        <v>10</v>
      </c>
      <c r="K472">
        <f ca="1">IFERROR(__xludf.DUMMYFUNCTION("""COMPUTED_VALUE"""),1145079004534)</f>
        <v>1145079004534</v>
      </c>
      <c r="L472" t="str">
        <f ca="1">IFERROR(__xludf.DUMMYFUNCTION("""COMPUTED_VALUE"""),"vellayambalam")</f>
        <v>vellayambalam</v>
      </c>
      <c r="M472" t="str">
        <f ca="1">IFERROR(__xludf.DUMMYFUNCTION("""COMPUTED_VALUE"""),"I Accept")</f>
        <v>I Accept</v>
      </c>
      <c r="N472" s="4">
        <f ca="1">IFERROR(__xludf.DUMMYFUNCTION("""COMPUTED_VALUE"""),43203)</f>
        <v>43203</v>
      </c>
      <c r="O472" s="4">
        <f ca="1">IFERROR(__xludf.DUMMYFUNCTION("""COMPUTED_VALUE"""),43203)</f>
        <v>43203</v>
      </c>
      <c r="P472">
        <f ca="1">IFERROR(__xludf.DUMMYFUNCTION("""COMPUTED_VALUE"""),10)</f>
        <v>10</v>
      </c>
      <c r="Q472" t="str">
        <f ca="1">IFERROR(__xludf.DUMMYFUNCTION("""COMPUTED_VALUE"""),"info@wattsun.in")</f>
        <v>info@wattsun.in</v>
      </c>
      <c r="R472" s="2" t="s">
        <v>2886</v>
      </c>
    </row>
    <row r="473" spans="1:18" ht="13" x14ac:dyDescent="0.15">
      <c r="A473" s="3">
        <f ca="1">IFERROR(__xludf.DUMMYFUNCTION("""COMPUTED_VALUE"""),43216.470647905)</f>
        <v>43216.470647905</v>
      </c>
      <c r="B473" t="str">
        <f ca="1">IFERROR(__xludf.DUMMYFUNCTION("""COMPUTED_VALUE"""),"jose.dilip@gmail.com")</f>
        <v>jose.dilip@gmail.com</v>
      </c>
      <c r="C473">
        <f ca="1">IFERROR(__xludf.DUMMYFUNCTION("""COMPUTED_VALUE"""),905)</f>
        <v>905</v>
      </c>
      <c r="D473" t="str">
        <f ca="1">IFERROR(__xludf.DUMMYFUNCTION("""COMPUTED_VALUE"""),"MARY JOS")</f>
        <v>MARY JOS</v>
      </c>
      <c r="E473">
        <f ca="1">IFERROR(__xludf.DUMMYFUNCTION("""COMPUTED_VALUE"""),8137874406)</f>
        <v>8137874406</v>
      </c>
      <c r="F473" t="str">
        <f ca="1">IFERROR(__xludf.DUMMYFUNCTION("""COMPUTED_VALUE"""),"Thrissur")</f>
        <v>Thrissur</v>
      </c>
      <c r="G473" t="str">
        <f ca="1">IFERROR(__xludf.DUMMYFUNCTION("""COMPUTED_VALUE"""),"SOLGEN ENERGY PVT LTD")</f>
        <v>SOLGEN ENERGY PVT LTD</v>
      </c>
      <c r="H473">
        <f ca="1">IFERROR(__xludf.DUMMYFUNCTION("""COMPUTED_VALUE"""),42)</f>
        <v>42</v>
      </c>
      <c r="I473" s="4">
        <f ca="1">IFERROR(__xludf.DUMMYFUNCTION("""COMPUTED_VALUE"""),43188)</f>
        <v>43188</v>
      </c>
      <c r="J473">
        <f ca="1">IFERROR(__xludf.DUMMYFUNCTION("""COMPUTED_VALUE"""),10)</f>
        <v>10</v>
      </c>
      <c r="K473">
        <f ca="1">IFERROR(__xludf.DUMMYFUNCTION("""COMPUTED_VALUE"""),21)</f>
        <v>21</v>
      </c>
      <c r="L473" t="str">
        <f ca="1">IFERROR(__xludf.DUMMYFUNCTION("""COMPUTED_VALUE"""),"THRISSUR CORPORATION")</f>
        <v>THRISSUR CORPORATION</v>
      </c>
      <c r="M473" t="str">
        <f ca="1">IFERROR(__xludf.DUMMYFUNCTION("""COMPUTED_VALUE"""),"I Accept")</f>
        <v>I Accept</v>
      </c>
      <c r="N473" s="4">
        <f ca="1">IFERROR(__xludf.DUMMYFUNCTION("""COMPUTED_VALUE"""),43186)</f>
        <v>43186</v>
      </c>
      <c r="O473" s="4">
        <f ca="1">IFERROR(__xludf.DUMMYFUNCTION("""COMPUTED_VALUE"""),43186)</f>
        <v>43186</v>
      </c>
      <c r="P473">
        <f ca="1">IFERROR(__xludf.DUMMYFUNCTION("""COMPUTED_VALUE"""),10)</f>
        <v>10</v>
      </c>
      <c r="Q473" t="str">
        <f ca="1">IFERROR(__xludf.DUMMYFUNCTION("""COMPUTED_VALUE"""),"jose.dilip@gmail.com")</f>
        <v>jose.dilip@gmail.com</v>
      </c>
      <c r="R473" s="2" t="s">
        <v>2887</v>
      </c>
    </row>
    <row r="474" spans="1:18" ht="13" x14ac:dyDescent="0.15">
      <c r="A474" s="3">
        <f ca="1">IFERROR(__xludf.DUMMYFUNCTION("""COMPUTED_VALUE"""),43216.4787898263)</f>
        <v>43216.478789826302</v>
      </c>
      <c r="B474" t="str">
        <f ca="1">IFERROR(__xludf.DUMMYFUNCTION("""COMPUTED_VALUE"""),"info@wattsun.in")</f>
        <v>info@wattsun.in</v>
      </c>
      <c r="C474">
        <f ca="1">IFERROR(__xludf.DUMMYFUNCTION("""COMPUTED_VALUE"""),736)</f>
        <v>736</v>
      </c>
      <c r="D474" t="str">
        <f ca="1">IFERROR(__xludf.DUMMYFUNCTION("""COMPUTED_VALUE"""),"Dhananjayan Krishnan")</f>
        <v>Dhananjayan Krishnan</v>
      </c>
      <c r="E474">
        <f ca="1">IFERROR(__xludf.DUMMYFUNCTION("""COMPUTED_VALUE"""),9388106363)</f>
        <v>9388106363</v>
      </c>
      <c r="F474" t="str">
        <f ca="1">IFERROR(__xludf.DUMMYFUNCTION("""COMPUTED_VALUE"""),"Thiruvananthapuram")</f>
        <v>Thiruvananthapuram</v>
      </c>
      <c r="G474" t="str">
        <f ca="1">IFERROR(__xludf.DUMMYFUNCTION("""COMPUTED_VALUE"""),"Wattsun Energy India Private Limited")</f>
        <v>Wattsun Energy India Private Limited</v>
      </c>
      <c r="H474">
        <f ca="1">IFERROR(__xludf.DUMMYFUNCTION("""COMPUTED_VALUE"""),54)</f>
        <v>54</v>
      </c>
      <c r="I474" s="4">
        <f ca="1">IFERROR(__xludf.DUMMYFUNCTION("""COMPUTED_VALUE"""),43216)</f>
        <v>43216</v>
      </c>
      <c r="J474">
        <f ca="1">IFERROR(__xludf.DUMMYFUNCTION("""COMPUTED_VALUE"""),3)</f>
        <v>3</v>
      </c>
      <c r="K474">
        <f ca="1">IFERROR(__xludf.DUMMYFUNCTION("""COMPUTED_VALUE"""),7273)</f>
        <v>7273</v>
      </c>
      <c r="L474" t="str">
        <f ca="1">IFERROR(__xludf.DUMMYFUNCTION("""COMPUTED_VALUE"""),"Ulloor")</f>
        <v>Ulloor</v>
      </c>
      <c r="M474" t="str">
        <f ca="1">IFERROR(__xludf.DUMMYFUNCTION("""COMPUTED_VALUE"""),"I Accept")</f>
        <v>I Accept</v>
      </c>
      <c r="N474" s="4">
        <f ca="1">IFERROR(__xludf.DUMMYFUNCTION("""COMPUTED_VALUE"""),43203)</f>
        <v>43203</v>
      </c>
      <c r="O474" s="4">
        <f ca="1">IFERROR(__xludf.DUMMYFUNCTION("""COMPUTED_VALUE"""),43203)</f>
        <v>43203</v>
      </c>
      <c r="P474">
        <f ca="1">IFERROR(__xludf.DUMMYFUNCTION("""COMPUTED_VALUE"""),3)</f>
        <v>3</v>
      </c>
      <c r="Q474" t="str">
        <f ca="1">IFERROR(__xludf.DUMMYFUNCTION("""COMPUTED_VALUE"""),"info@wattsun.in")</f>
        <v>info@wattsun.in</v>
      </c>
      <c r="R474" s="2" t="s">
        <v>2888</v>
      </c>
    </row>
    <row r="475" spans="1:18" ht="13" x14ac:dyDescent="0.15">
      <c r="A475" s="3">
        <f ca="1">IFERROR(__xludf.DUMMYFUNCTION("""COMPUTED_VALUE"""),43216.478952743)</f>
        <v>43216.478952742997</v>
      </c>
      <c r="B475" t="str">
        <f ca="1">IFERROR(__xludf.DUMMYFUNCTION("""COMPUTED_VALUE"""),"smitha.soura@gmail.com")</f>
        <v>smitha.soura@gmail.com</v>
      </c>
      <c r="C475">
        <f ca="1">IFERROR(__xludf.DUMMYFUNCTION("""COMPUTED_VALUE"""),793)</f>
        <v>793</v>
      </c>
      <c r="D475" t="str">
        <f ca="1">IFERROR(__xludf.DUMMYFUNCTION("""COMPUTED_VALUE"""),"Jolly")</f>
        <v>Jolly</v>
      </c>
      <c r="E475">
        <f ca="1">IFERROR(__xludf.DUMMYFUNCTION("""COMPUTED_VALUE"""),9072626009)</f>
        <v>9072626009</v>
      </c>
      <c r="F475" t="str">
        <f ca="1">IFERROR(__xludf.DUMMYFUNCTION("""COMPUTED_VALUE"""),"Ernakulam")</f>
        <v>Ernakulam</v>
      </c>
      <c r="G475" t="str">
        <f ca="1">IFERROR(__xludf.DUMMYFUNCTION("""COMPUTED_VALUE"""),"soura natural energy solutions India pvt ltd")</f>
        <v>soura natural energy solutions India pvt ltd</v>
      </c>
      <c r="H475">
        <f ca="1">IFERROR(__xludf.DUMMYFUNCTION("""COMPUTED_VALUE"""),11)</f>
        <v>11</v>
      </c>
      <c r="I475" s="4">
        <f ca="1">IFERROR(__xludf.DUMMYFUNCTION("""COMPUTED_VALUE"""),43216)</f>
        <v>43216</v>
      </c>
      <c r="J475">
        <f ca="1">IFERROR(__xludf.DUMMYFUNCTION("""COMPUTED_VALUE"""),5)</f>
        <v>5</v>
      </c>
      <c r="K475">
        <f ca="1">IFERROR(__xludf.DUMMYFUNCTION("""COMPUTED_VALUE"""),1155780007381)</f>
        <v>1155780007381</v>
      </c>
      <c r="L475" t="str">
        <f ca="1">IFERROR(__xludf.DUMMYFUNCTION("""COMPUTED_VALUE"""),"Manjapra")</f>
        <v>Manjapra</v>
      </c>
      <c r="M475" t="str">
        <f ca="1">IFERROR(__xludf.DUMMYFUNCTION("""COMPUTED_VALUE"""),"I Accept")</f>
        <v>I Accept</v>
      </c>
      <c r="N475" s="4">
        <f ca="1">IFERROR(__xludf.DUMMYFUNCTION("""COMPUTED_VALUE"""),43216)</f>
        <v>43216</v>
      </c>
      <c r="O475" s="4">
        <f ca="1">IFERROR(__xludf.DUMMYFUNCTION("""COMPUTED_VALUE"""),43216)</f>
        <v>43216</v>
      </c>
      <c r="P475">
        <f ca="1">IFERROR(__xludf.DUMMYFUNCTION("""COMPUTED_VALUE"""),5)</f>
        <v>5</v>
      </c>
      <c r="Q475" t="str">
        <f ca="1">IFERROR(__xludf.DUMMYFUNCTION("""COMPUTED_VALUE"""),"smitha.soura@gmail.com")</f>
        <v>smitha.soura@gmail.com</v>
      </c>
      <c r="R475" s="2" t="s">
        <v>2889</v>
      </c>
    </row>
    <row r="476" spans="1:18" ht="13" x14ac:dyDescent="0.15">
      <c r="A476" s="3">
        <f ca="1">IFERROR(__xludf.DUMMYFUNCTION("""COMPUTED_VALUE"""),43216.5406279398)</f>
        <v>43216.540627939801</v>
      </c>
      <c r="B476" t="str">
        <f ca="1">IFERROR(__xludf.DUMMYFUNCTION("""COMPUTED_VALUE"""),"info@wattsun.in")</f>
        <v>info@wattsun.in</v>
      </c>
      <c r="C476">
        <f ca="1">IFERROR(__xludf.DUMMYFUNCTION("""COMPUTED_VALUE"""),764)</f>
        <v>764</v>
      </c>
      <c r="D476" t="str">
        <f ca="1">IFERROR(__xludf.DUMMYFUNCTION("""COMPUTED_VALUE"""),"Manoj M")</f>
        <v>Manoj M</v>
      </c>
      <c r="E476">
        <f ca="1">IFERROR(__xludf.DUMMYFUNCTION("""COMPUTED_VALUE"""),9388106363)</f>
        <v>9388106363</v>
      </c>
      <c r="F476" t="str">
        <f ca="1">IFERROR(__xludf.DUMMYFUNCTION("""COMPUTED_VALUE"""),"Thiruvananthapuram")</f>
        <v>Thiruvananthapuram</v>
      </c>
      <c r="G476" t="str">
        <f ca="1">IFERROR(__xludf.DUMMYFUNCTION("""COMPUTED_VALUE"""),"Wattsun Energy India Private Limited")</f>
        <v>Wattsun Energy India Private Limited</v>
      </c>
      <c r="H476">
        <f ca="1">IFERROR(__xludf.DUMMYFUNCTION("""COMPUTED_VALUE"""),54)</f>
        <v>54</v>
      </c>
      <c r="I476" s="4">
        <f ca="1">IFERROR(__xludf.DUMMYFUNCTION("""COMPUTED_VALUE"""),43216)</f>
        <v>43216</v>
      </c>
      <c r="J476">
        <f ca="1">IFERROR(__xludf.DUMMYFUNCTION("""COMPUTED_VALUE"""),3)</f>
        <v>3</v>
      </c>
      <c r="K476">
        <f ca="1">IFERROR(__xludf.DUMMYFUNCTION("""COMPUTED_VALUE"""),1145160010144)</f>
        <v>1145160010144</v>
      </c>
      <c r="L476" t="str">
        <f ca="1">IFERROR(__xludf.DUMMYFUNCTION("""COMPUTED_VALUE"""),"Kesavadasapuram")</f>
        <v>Kesavadasapuram</v>
      </c>
      <c r="M476" t="str">
        <f ca="1">IFERROR(__xludf.DUMMYFUNCTION("""COMPUTED_VALUE"""),"I Accept")</f>
        <v>I Accept</v>
      </c>
      <c r="N476" s="4">
        <f ca="1">IFERROR(__xludf.DUMMYFUNCTION("""COMPUTED_VALUE"""),43209)</f>
        <v>43209</v>
      </c>
      <c r="O476" s="4">
        <f ca="1">IFERROR(__xludf.DUMMYFUNCTION("""COMPUTED_VALUE"""),43209)</f>
        <v>43209</v>
      </c>
      <c r="P476">
        <f ca="1">IFERROR(__xludf.DUMMYFUNCTION("""COMPUTED_VALUE"""),3)</f>
        <v>3</v>
      </c>
      <c r="Q476" t="str">
        <f ca="1">IFERROR(__xludf.DUMMYFUNCTION("""COMPUTED_VALUE"""),"info@wattsun.in")</f>
        <v>info@wattsun.in</v>
      </c>
      <c r="R476" s="2" t="s">
        <v>2890</v>
      </c>
    </row>
    <row r="477" spans="1:18" ht="13" x14ac:dyDescent="0.15">
      <c r="A477" s="3">
        <f ca="1">IFERROR(__xludf.DUMMYFUNCTION("""COMPUTED_VALUE"""),43216.5936877893)</f>
        <v>43216.593687789296</v>
      </c>
      <c r="B477" t="str">
        <f ca="1">IFERROR(__xludf.DUMMYFUNCTION("""COMPUTED_VALUE"""),"smitha.soura@gmail.com")</f>
        <v>smitha.soura@gmail.com</v>
      </c>
      <c r="C477">
        <f ca="1">IFERROR(__xludf.DUMMYFUNCTION("""COMPUTED_VALUE"""),829)</f>
        <v>829</v>
      </c>
      <c r="D477" t="str">
        <f ca="1">IFERROR(__xludf.DUMMYFUNCTION("""COMPUTED_VALUE"""),"Jayaprakash")</f>
        <v>Jayaprakash</v>
      </c>
      <c r="E477">
        <f ca="1">IFERROR(__xludf.DUMMYFUNCTION("""COMPUTED_VALUE"""),9072626009)</f>
        <v>9072626009</v>
      </c>
      <c r="F477" t="str">
        <f ca="1">IFERROR(__xludf.DUMMYFUNCTION("""COMPUTED_VALUE"""),"Kottayam")</f>
        <v>Kottayam</v>
      </c>
      <c r="G477" t="str">
        <f ca="1">IFERROR(__xludf.DUMMYFUNCTION("""COMPUTED_VALUE"""),"Soura natural energy solutions india pvt ltd")</f>
        <v>Soura natural energy solutions india pvt ltd</v>
      </c>
      <c r="H477">
        <f ca="1">IFERROR(__xludf.DUMMYFUNCTION("""COMPUTED_VALUE"""),11)</f>
        <v>11</v>
      </c>
      <c r="I477" s="4">
        <f ca="1">IFERROR(__xludf.DUMMYFUNCTION("""COMPUTED_VALUE"""),43216)</f>
        <v>43216</v>
      </c>
      <c r="J477">
        <f ca="1">IFERROR(__xludf.DUMMYFUNCTION("""COMPUTED_VALUE"""),3)</f>
        <v>3</v>
      </c>
      <c r="K477">
        <f ca="1">IFERROR(__xludf.DUMMYFUNCTION("""COMPUTED_VALUE"""),11563540181887)</f>
        <v>11563540181887</v>
      </c>
      <c r="L477" t="str">
        <f ca="1">IFERROR(__xludf.DUMMYFUNCTION("""COMPUTED_VALUE"""),"Pampady")</f>
        <v>Pampady</v>
      </c>
      <c r="M477" t="str">
        <f ca="1">IFERROR(__xludf.DUMMYFUNCTION("""COMPUTED_VALUE"""),"I Accept")</f>
        <v>I Accept</v>
      </c>
      <c r="N477" s="4">
        <f ca="1">IFERROR(__xludf.DUMMYFUNCTION("""COMPUTED_VALUE"""),43216)</f>
        <v>43216</v>
      </c>
      <c r="O477" s="4">
        <f ca="1">IFERROR(__xludf.DUMMYFUNCTION("""COMPUTED_VALUE"""),43216)</f>
        <v>43216</v>
      </c>
      <c r="P477">
        <f ca="1">IFERROR(__xludf.DUMMYFUNCTION("""COMPUTED_VALUE"""),3)</f>
        <v>3</v>
      </c>
      <c r="Q477" t="str">
        <f ca="1">IFERROR(__xludf.DUMMYFUNCTION("""COMPUTED_VALUE"""),"smitha.soura@gmail.com")</f>
        <v>smitha.soura@gmail.com</v>
      </c>
      <c r="R477" s="2" t="s">
        <v>2891</v>
      </c>
    </row>
    <row r="478" spans="1:18" ht="13" x14ac:dyDescent="0.15">
      <c r="A478" s="3">
        <f ca="1">IFERROR(__xludf.DUMMYFUNCTION("""COMPUTED_VALUE"""),43216.6595459606)</f>
        <v>43216.659545960603</v>
      </c>
      <c r="B478" t="str">
        <f ca="1">IFERROR(__xludf.DUMMYFUNCTION("""COMPUTED_VALUE"""),"girijagurudas@yahoo.com")</f>
        <v>girijagurudas@yahoo.com</v>
      </c>
      <c r="C478">
        <f ca="1">IFERROR(__xludf.DUMMYFUNCTION("""COMPUTED_VALUE"""),833)</f>
        <v>833</v>
      </c>
      <c r="D478" t="str">
        <f ca="1">IFERROR(__xludf.DUMMYFUNCTION("""COMPUTED_VALUE"""),"Gurudas N")</f>
        <v>Gurudas N</v>
      </c>
      <c r="E478">
        <f ca="1">IFERROR(__xludf.DUMMYFUNCTION("""COMPUTED_VALUE"""),8547661663)</f>
        <v>8547661663</v>
      </c>
      <c r="F478" t="str">
        <f ca="1">IFERROR(__xludf.DUMMYFUNCTION("""COMPUTED_VALUE"""),"Thiruvananthapuram")</f>
        <v>Thiruvananthapuram</v>
      </c>
      <c r="G478" t="str">
        <f ca="1">IFERROR(__xludf.DUMMYFUNCTION("""COMPUTED_VALUE"""),"Tata Power Solar Systems LTD")</f>
        <v>Tata Power Solar Systems LTD</v>
      </c>
      <c r="H478">
        <f ca="1">IFERROR(__xludf.DUMMYFUNCTION("""COMPUTED_VALUE"""),20)</f>
        <v>20</v>
      </c>
      <c r="I478" s="4">
        <f ca="1">IFERROR(__xludf.DUMMYFUNCTION("""COMPUTED_VALUE"""),43207)</f>
        <v>43207</v>
      </c>
      <c r="J478">
        <f ca="1">IFERROR(__xludf.DUMMYFUNCTION("""COMPUTED_VALUE"""),3)</f>
        <v>3</v>
      </c>
      <c r="K478">
        <f ca="1">IFERROR(__xludf.DUMMYFUNCTION("""COMPUTED_VALUE"""),1145168003501)</f>
        <v>1145168003501</v>
      </c>
      <c r="L478" t="str">
        <f ca="1">IFERROR(__xludf.DUMMYFUNCTION("""COMPUTED_VALUE"""),"Kesavadasapuram")</f>
        <v>Kesavadasapuram</v>
      </c>
      <c r="M478" t="str">
        <f ca="1">IFERROR(__xludf.DUMMYFUNCTION("""COMPUTED_VALUE"""),"I Accept")</f>
        <v>I Accept</v>
      </c>
      <c r="N478" s="4">
        <f ca="1">IFERROR(__xludf.DUMMYFUNCTION("""COMPUTED_VALUE"""),43214)</f>
        <v>43214</v>
      </c>
      <c r="O478" s="4">
        <f ca="1">IFERROR(__xludf.DUMMYFUNCTION("""COMPUTED_VALUE"""),43214)</f>
        <v>43214</v>
      </c>
      <c r="P478">
        <f ca="1">IFERROR(__xludf.DUMMYFUNCTION("""COMPUTED_VALUE"""),3)</f>
        <v>3</v>
      </c>
      <c r="Q478" t="str">
        <f ca="1">IFERROR(__xludf.DUMMYFUNCTION("""COMPUTED_VALUE"""),"girijagurudas@yahoo.com")</f>
        <v>girijagurudas@yahoo.com</v>
      </c>
      <c r="R478" s="2" t="s">
        <v>2892</v>
      </c>
    </row>
    <row r="479" spans="1:18" ht="13" x14ac:dyDescent="0.15">
      <c r="A479" s="3">
        <f ca="1">IFERROR(__xludf.DUMMYFUNCTION("""COMPUTED_VALUE"""),43216.6607502199)</f>
        <v>43216.660750219897</v>
      </c>
      <c r="B479" t="str">
        <f ca="1">IFERROR(__xludf.DUMMYFUNCTION("""COMPUTED_VALUE"""),"connectdsk@gmail.com")</f>
        <v>connectdsk@gmail.com</v>
      </c>
      <c r="C479">
        <f ca="1">IFERROR(__xludf.DUMMYFUNCTION("""COMPUTED_VALUE"""),702)</f>
        <v>702</v>
      </c>
      <c r="D479" t="str">
        <f ca="1">IFERROR(__xludf.DUMMYFUNCTION("""COMPUTED_VALUE"""),"K B JAGADEESH")</f>
        <v>K B JAGADEESH</v>
      </c>
      <c r="E479">
        <f ca="1">IFERROR(__xludf.DUMMYFUNCTION("""COMPUTED_VALUE"""),8547564126)</f>
        <v>8547564126</v>
      </c>
      <c r="F479" t="str">
        <f ca="1">IFERROR(__xludf.DUMMYFUNCTION("""COMPUTED_VALUE"""),"Pathanamthitta")</f>
        <v>Pathanamthitta</v>
      </c>
      <c r="G479" t="str">
        <f ca="1">IFERROR(__xludf.DUMMYFUNCTION("""COMPUTED_VALUE"""),"FERT")</f>
        <v>FERT</v>
      </c>
      <c r="H479">
        <f ca="1">IFERROR(__xludf.DUMMYFUNCTION("""COMPUTED_VALUE"""),27)</f>
        <v>27</v>
      </c>
      <c r="I479" s="4">
        <f ca="1">IFERROR(__xludf.DUMMYFUNCTION("""COMPUTED_VALUE"""),43214)</f>
        <v>43214</v>
      </c>
      <c r="J479">
        <f ca="1">IFERROR(__xludf.DUMMYFUNCTION("""COMPUTED_VALUE"""),3)</f>
        <v>3</v>
      </c>
      <c r="K479">
        <f ca="1">IFERROR(__xludf.DUMMYFUNCTION("""COMPUTED_VALUE"""),1146874001298)</f>
        <v>1146874001298</v>
      </c>
      <c r="L479" t="str">
        <f ca="1">IFERROR(__xludf.DUMMYFUNCTION("""COMPUTED_VALUE"""),"VAKAYAR")</f>
        <v>VAKAYAR</v>
      </c>
      <c r="M479" t="str">
        <f ca="1">IFERROR(__xludf.DUMMYFUNCTION("""COMPUTED_VALUE"""),"I Accept")</f>
        <v>I Accept</v>
      </c>
      <c r="N479" s="4">
        <f ca="1">IFERROR(__xludf.DUMMYFUNCTION("""COMPUTED_VALUE"""),43214)</f>
        <v>43214</v>
      </c>
      <c r="O479" s="4">
        <f ca="1">IFERROR(__xludf.DUMMYFUNCTION("""COMPUTED_VALUE"""),43214)</f>
        <v>43214</v>
      </c>
      <c r="P479">
        <f ca="1">IFERROR(__xludf.DUMMYFUNCTION("""COMPUTED_VALUE"""),3)</f>
        <v>3</v>
      </c>
      <c r="Q479" t="str">
        <f ca="1">IFERROR(__xludf.DUMMYFUNCTION("""COMPUTED_VALUE"""),"connectdsk@gmail.com")</f>
        <v>connectdsk@gmail.com</v>
      </c>
      <c r="R479" s="2" t="s">
        <v>2893</v>
      </c>
    </row>
    <row r="480" spans="1:18" ht="13" x14ac:dyDescent="0.15">
      <c r="A480" s="3">
        <f ca="1">IFERROR(__xludf.DUMMYFUNCTION("""COMPUTED_VALUE"""),43216.6630084259)</f>
        <v>43216.663008425901</v>
      </c>
      <c r="B480" t="str">
        <f ca="1">IFERROR(__xludf.DUMMYFUNCTION("""COMPUTED_VALUE"""),"connectdsk@gmail.com")</f>
        <v>connectdsk@gmail.com</v>
      </c>
      <c r="C480">
        <f ca="1">IFERROR(__xludf.DUMMYFUNCTION("""COMPUTED_VALUE"""),688)</f>
        <v>688</v>
      </c>
      <c r="D480" t="str">
        <f ca="1">IFERROR(__xludf.DUMMYFUNCTION("""COMPUTED_VALUE"""),"MATHAI SAMUEL")</f>
        <v>MATHAI SAMUEL</v>
      </c>
      <c r="E480">
        <f ca="1">IFERROR(__xludf.DUMMYFUNCTION("""COMPUTED_VALUE"""),8547564126)</f>
        <v>8547564126</v>
      </c>
      <c r="F480" t="str">
        <f ca="1">IFERROR(__xludf.DUMMYFUNCTION("""COMPUTED_VALUE"""),"Pathanamthitta")</f>
        <v>Pathanamthitta</v>
      </c>
      <c r="G480" t="str">
        <f ca="1">IFERROR(__xludf.DUMMYFUNCTION("""COMPUTED_VALUE"""),"FERT")</f>
        <v>FERT</v>
      </c>
      <c r="H480">
        <f ca="1">IFERROR(__xludf.DUMMYFUNCTION("""COMPUTED_VALUE"""),27)</f>
        <v>27</v>
      </c>
      <c r="I480" s="4">
        <f ca="1">IFERROR(__xludf.DUMMYFUNCTION("""COMPUTED_VALUE"""),43214)</f>
        <v>43214</v>
      </c>
      <c r="J480">
        <f ca="1">IFERROR(__xludf.DUMMYFUNCTION("""COMPUTED_VALUE"""),3)</f>
        <v>3</v>
      </c>
      <c r="K480">
        <f ca="1">IFERROR(__xludf.DUMMYFUNCTION("""COMPUTED_VALUE"""),1146875001300)</f>
        <v>1146875001300</v>
      </c>
      <c r="L480" t="str">
        <f ca="1">IFERROR(__xludf.DUMMYFUNCTION("""COMPUTED_VALUE"""),"VAKAYAR")</f>
        <v>VAKAYAR</v>
      </c>
      <c r="M480" t="str">
        <f ca="1">IFERROR(__xludf.DUMMYFUNCTION("""COMPUTED_VALUE"""),"I Accept")</f>
        <v>I Accept</v>
      </c>
      <c r="N480" s="4">
        <f ca="1">IFERROR(__xludf.DUMMYFUNCTION("""COMPUTED_VALUE"""),43214)</f>
        <v>43214</v>
      </c>
      <c r="O480" s="4">
        <f ca="1">IFERROR(__xludf.DUMMYFUNCTION("""COMPUTED_VALUE"""),43214)</f>
        <v>43214</v>
      </c>
      <c r="P480">
        <f ca="1">IFERROR(__xludf.DUMMYFUNCTION("""COMPUTED_VALUE"""),3)</f>
        <v>3</v>
      </c>
      <c r="Q480" t="str">
        <f ca="1">IFERROR(__xludf.DUMMYFUNCTION("""COMPUTED_VALUE"""),"connectdsk@gmail.com")</f>
        <v>connectdsk@gmail.com</v>
      </c>
      <c r="R480" s="2" t="s">
        <v>2894</v>
      </c>
    </row>
    <row r="481" spans="1:18" ht="13" x14ac:dyDescent="0.15">
      <c r="A481" s="3">
        <f ca="1">IFERROR(__xludf.DUMMYFUNCTION("""COMPUTED_VALUE"""),43216.6735797338)</f>
        <v>43216.673579733797</v>
      </c>
      <c r="B481" t="str">
        <f ca="1">IFERROR(__xludf.DUMMYFUNCTION("""COMPUTED_VALUE"""),"srsuku@gmail.com")</f>
        <v>srsuku@gmail.com</v>
      </c>
      <c r="C481">
        <f ca="1">IFERROR(__xludf.DUMMYFUNCTION("""COMPUTED_VALUE"""),486)</f>
        <v>486</v>
      </c>
      <c r="D481" t="str">
        <f ca="1">IFERROR(__xludf.DUMMYFUNCTION("""COMPUTED_VALUE"""),"R SUKU")</f>
        <v>R SUKU</v>
      </c>
      <c r="E481">
        <f ca="1">IFERROR(__xludf.DUMMYFUNCTION("""COMPUTED_VALUE"""),9447418166)</f>
        <v>9447418166</v>
      </c>
      <c r="F481" t="str">
        <f ca="1">IFERROR(__xludf.DUMMYFUNCTION("""COMPUTED_VALUE"""),"Thiruvananthapuram")</f>
        <v>Thiruvananthapuram</v>
      </c>
      <c r="G481" t="str">
        <f ca="1">IFERROR(__xludf.DUMMYFUNCTION("""COMPUTED_VALUE"""),"INKEL LIMITED")</f>
        <v>INKEL LIMITED</v>
      </c>
      <c r="H481">
        <f ca="1">IFERROR(__xludf.DUMMYFUNCTION("""COMPUTED_VALUE"""),58)</f>
        <v>58</v>
      </c>
      <c r="I481" s="4">
        <f ca="1">IFERROR(__xludf.DUMMYFUNCTION("""COMPUTED_VALUE"""),43209)</f>
        <v>43209</v>
      </c>
      <c r="J481">
        <f ca="1">IFERROR(__xludf.DUMMYFUNCTION("""COMPUTED_VALUE"""),3)</f>
        <v>3</v>
      </c>
      <c r="K481">
        <f ca="1">IFERROR(__xludf.DUMMYFUNCTION("""COMPUTED_VALUE"""),1145142022138)</f>
        <v>1145142022138</v>
      </c>
      <c r="L481" t="str">
        <f ca="1">IFERROR(__xludf.DUMMYFUNCTION("""COMPUTED_VALUE"""),"PETTA")</f>
        <v>PETTA</v>
      </c>
      <c r="M481" t="str">
        <f ca="1">IFERROR(__xludf.DUMMYFUNCTION("""COMPUTED_VALUE"""),"I Accept")</f>
        <v>I Accept</v>
      </c>
      <c r="N481" s="4">
        <f ca="1">IFERROR(__xludf.DUMMYFUNCTION("""COMPUTED_VALUE"""),43206)</f>
        <v>43206</v>
      </c>
      <c r="O481" s="4">
        <f ca="1">IFERROR(__xludf.DUMMYFUNCTION("""COMPUTED_VALUE"""),43206)</f>
        <v>43206</v>
      </c>
      <c r="P481">
        <f ca="1">IFERROR(__xludf.DUMMYFUNCTION("""COMPUTED_VALUE"""),3)</f>
        <v>3</v>
      </c>
      <c r="Q481" t="str">
        <f ca="1">IFERROR(__xludf.DUMMYFUNCTION("""COMPUTED_VALUE"""),"srsuku@gmail.com")</f>
        <v>srsuku@gmail.com</v>
      </c>
      <c r="R481" s="2" t="s">
        <v>2895</v>
      </c>
    </row>
    <row r="482" spans="1:18" ht="13" x14ac:dyDescent="0.15">
      <c r="A482" s="3">
        <f ca="1">IFERROR(__xludf.DUMMYFUNCTION("""COMPUTED_VALUE"""),43216.6776877893)</f>
        <v>43216.677687789299</v>
      </c>
      <c r="B482" t="str">
        <f ca="1">IFERROR(__xludf.DUMMYFUNCTION("""COMPUTED_VALUE"""),"jojijohnt@gmail.com")</f>
        <v>jojijohnt@gmail.com</v>
      </c>
      <c r="C482">
        <f ca="1">IFERROR(__xludf.DUMMYFUNCTION("""COMPUTED_VALUE"""),661)</f>
        <v>661</v>
      </c>
      <c r="D482" t="str">
        <f ca="1">IFERROR(__xludf.DUMMYFUNCTION("""COMPUTED_VALUE"""),"SHAJI MATHEW")</f>
        <v>SHAJI MATHEW</v>
      </c>
      <c r="E482">
        <f ca="1">IFERROR(__xludf.DUMMYFUNCTION("""COMPUTED_VALUE"""),8078198729)</f>
        <v>8078198729</v>
      </c>
      <c r="F482" t="str">
        <f ca="1">IFERROR(__xludf.DUMMYFUNCTION("""COMPUTED_VALUE"""),"Pathanamthitta")</f>
        <v>Pathanamthitta</v>
      </c>
      <c r="G482" t="str">
        <f ca="1">IFERROR(__xludf.DUMMYFUNCTION("""COMPUTED_VALUE"""),"SIRET SOLAR PVT LTD")</f>
        <v>SIRET SOLAR PVT LTD</v>
      </c>
      <c r="H482">
        <f ca="1">IFERROR(__xludf.DUMMYFUNCTION("""COMPUTED_VALUE"""),21)</f>
        <v>21</v>
      </c>
      <c r="I482" s="4">
        <f ca="1">IFERROR(__xludf.DUMMYFUNCTION("""COMPUTED_VALUE"""),43216)</f>
        <v>43216</v>
      </c>
      <c r="J482">
        <f ca="1">IFERROR(__xludf.DUMMYFUNCTION("""COMPUTED_VALUE"""),2)</f>
        <v>2</v>
      </c>
      <c r="K482">
        <f ca="1">IFERROR(__xludf.DUMMYFUNCTION("""COMPUTED_VALUE"""),1146056000290)</f>
        <v>1146056000290</v>
      </c>
      <c r="L482" t="str">
        <f ca="1">IFERROR(__xludf.DUMMYFUNCTION("""COMPUTED_VALUE"""),"KOZHENCHERRY")</f>
        <v>KOZHENCHERRY</v>
      </c>
      <c r="M482" t="str">
        <f ca="1">IFERROR(__xludf.DUMMYFUNCTION("""COMPUTED_VALUE"""),"I Accept")</f>
        <v>I Accept</v>
      </c>
      <c r="N482" s="4">
        <f ca="1">IFERROR(__xludf.DUMMYFUNCTION("""COMPUTED_VALUE"""),43245)</f>
        <v>43245</v>
      </c>
      <c r="O482" s="4">
        <f ca="1">IFERROR(__xludf.DUMMYFUNCTION("""COMPUTED_VALUE"""),43245)</f>
        <v>43245</v>
      </c>
      <c r="P482">
        <f ca="1">IFERROR(__xludf.DUMMYFUNCTION("""COMPUTED_VALUE"""),2)</f>
        <v>2</v>
      </c>
      <c r="Q482" t="str">
        <f ca="1">IFERROR(__xludf.DUMMYFUNCTION("""COMPUTED_VALUE"""),"jojijohnt@gmail.com")</f>
        <v>jojijohnt@gmail.com</v>
      </c>
      <c r="R482" s="2" t="s">
        <v>2896</v>
      </c>
    </row>
    <row r="483" spans="1:18" ht="13" x14ac:dyDescent="0.15">
      <c r="A483" s="3">
        <f ca="1">IFERROR(__xludf.DUMMYFUNCTION("""COMPUTED_VALUE"""),43216.6799354976)</f>
        <v>43216.679935497603</v>
      </c>
      <c r="B483" t="str">
        <f ca="1">IFERROR(__xludf.DUMMYFUNCTION("""COMPUTED_VALUE"""),"jojijohnt@gmail.com")</f>
        <v>jojijohnt@gmail.com</v>
      </c>
      <c r="C483">
        <f ca="1">IFERROR(__xludf.DUMMYFUNCTION("""COMPUTED_VALUE"""),644)</f>
        <v>644</v>
      </c>
      <c r="D483" t="str">
        <f ca="1">IFERROR(__xludf.DUMMYFUNCTION("""COMPUTED_VALUE"""),"JOHNSON MATHEW")</f>
        <v>JOHNSON MATHEW</v>
      </c>
      <c r="E483">
        <f ca="1">IFERROR(__xludf.DUMMYFUNCTION("""COMPUTED_VALUE"""),9847366683)</f>
        <v>9847366683</v>
      </c>
      <c r="F483" t="str">
        <f ca="1">IFERROR(__xludf.DUMMYFUNCTION("""COMPUTED_VALUE"""),"Pathanamthitta")</f>
        <v>Pathanamthitta</v>
      </c>
      <c r="G483" t="str">
        <f ca="1">IFERROR(__xludf.DUMMYFUNCTION("""COMPUTED_VALUE"""),"SIRET SOLAR PVT LTD")</f>
        <v>SIRET SOLAR PVT LTD</v>
      </c>
      <c r="H483">
        <f ca="1">IFERROR(__xludf.DUMMYFUNCTION("""COMPUTED_VALUE"""),21)</f>
        <v>21</v>
      </c>
      <c r="I483" s="4">
        <f ca="1">IFERROR(__xludf.DUMMYFUNCTION("""COMPUTED_VALUE"""),43216)</f>
        <v>43216</v>
      </c>
      <c r="J483">
        <f ca="1">IFERROR(__xludf.DUMMYFUNCTION("""COMPUTED_VALUE"""),2)</f>
        <v>2</v>
      </c>
      <c r="K483">
        <f ca="1">IFERROR(__xludf.DUMMYFUNCTION("""COMPUTED_VALUE"""),1146058000279)</f>
        <v>1146058000279</v>
      </c>
      <c r="L483" t="str">
        <f ca="1">IFERROR(__xludf.DUMMYFUNCTION("""COMPUTED_VALUE"""),"KOZHENCHERRY")</f>
        <v>KOZHENCHERRY</v>
      </c>
      <c r="M483" t="str">
        <f ca="1">IFERROR(__xludf.DUMMYFUNCTION("""COMPUTED_VALUE"""),"I Accept")</f>
        <v>I Accept</v>
      </c>
      <c r="N483" s="4">
        <f ca="1">IFERROR(__xludf.DUMMYFUNCTION("""COMPUTED_VALUE"""),43245)</f>
        <v>43245</v>
      </c>
      <c r="O483" s="4">
        <f ca="1">IFERROR(__xludf.DUMMYFUNCTION("""COMPUTED_VALUE"""),43245)</f>
        <v>43245</v>
      </c>
      <c r="P483">
        <f ca="1">IFERROR(__xludf.DUMMYFUNCTION("""COMPUTED_VALUE"""),2)</f>
        <v>2</v>
      </c>
      <c r="Q483" t="str">
        <f ca="1">IFERROR(__xludf.DUMMYFUNCTION("""COMPUTED_VALUE"""),"jojijohnt@gmail.com")</f>
        <v>jojijohnt@gmail.com</v>
      </c>
      <c r="R483" s="2" t="s">
        <v>2897</v>
      </c>
    </row>
    <row r="484" spans="1:18" ht="13" x14ac:dyDescent="0.15">
      <c r="A484" s="3">
        <f ca="1">IFERROR(__xludf.DUMMYFUNCTION("""COMPUTED_VALUE"""),43216.7191946759)</f>
        <v>43216.719194675898</v>
      </c>
      <c r="B484" t="str">
        <f ca="1">IFERROR(__xludf.DUMMYFUNCTION("""COMPUTED_VALUE"""),"smitha.soura@gmail.com")</f>
        <v>smitha.soura@gmail.com</v>
      </c>
      <c r="C484">
        <f ca="1">IFERROR(__xludf.DUMMYFUNCTION("""COMPUTED_VALUE"""),780)</f>
        <v>780</v>
      </c>
      <c r="D484" t="str">
        <f ca="1">IFERROR(__xludf.DUMMYFUNCTION("""COMPUTED_VALUE"""),"George Mathai")</f>
        <v>George Mathai</v>
      </c>
      <c r="E484">
        <f ca="1">IFERROR(__xludf.DUMMYFUNCTION("""COMPUTED_VALUE"""),9633966228)</f>
        <v>9633966228</v>
      </c>
      <c r="F484" t="str">
        <f ca="1">IFERROR(__xludf.DUMMYFUNCTION("""COMPUTED_VALUE"""),"Ernakulam")</f>
        <v>Ernakulam</v>
      </c>
      <c r="G484" t="str">
        <f ca="1">IFERROR(__xludf.DUMMYFUNCTION("""COMPUTED_VALUE"""),"soura natural energy solutions india pvt ltd")</f>
        <v>soura natural energy solutions india pvt ltd</v>
      </c>
      <c r="H484">
        <f ca="1">IFERROR(__xludf.DUMMYFUNCTION("""COMPUTED_VALUE"""),11)</f>
        <v>11</v>
      </c>
      <c r="I484" s="4">
        <f ca="1">IFERROR(__xludf.DUMMYFUNCTION("""COMPUTED_VALUE"""),43216)</f>
        <v>43216</v>
      </c>
      <c r="J484">
        <f ca="1">IFERROR(__xludf.DUMMYFUNCTION("""COMPUTED_VALUE"""),15)</f>
        <v>15</v>
      </c>
      <c r="K484">
        <f ca="1">IFERROR(__xludf.DUMMYFUNCTION("""COMPUTED_VALUE"""),1155694009015)</f>
        <v>1155694009015</v>
      </c>
      <c r="L484" t="str">
        <f ca="1">IFERROR(__xludf.DUMMYFUNCTION("""COMPUTED_VALUE"""),"aluva west")</f>
        <v>aluva west</v>
      </c>
      <c r="M484" t="str">
        <f ca="1">IFERROR(__xludf.DUMMYFUNCTION("""COMPUTED_VALUE"""),"I Accept")</f>
        <v>I Accept</v>
      </c>
      <c r="N484" s="4">
        <f ca="1">IFERROR(__xludf.DUMMYFUNCTION("""COMPUTED_VALUE"""),43216)</f>
        <v>43216</v>
      </c>
      <c r="O484" s="4">
        <f ca="1">IFERROR(__xludf.DUMMYFUNCTION("""COMPUTED_VALUE"""),43216)</f>
        <v>43216</v>
      </c>
      <c r="P484">
        <f ca="1">IFERROR(__xludf.DUMMYFUNCTION("""COMPUTED_VALUE"""),15)</f>
        <v>15</v>
      </c>
      <c r="Q484" t="str">
        <f ca="1">IFERROR(__xludf.DUMMYFUNCTION("""COMPUTED_VALUE"""),"smitha.soura@gmail.com")</f>
        <v>smitha.soura@gmail.com</v>
      </c>
      <c r="R484" s="2" t="s">
        <v>2898</v>
      </c>
    </row>
    <row r="485" spans="1:18" ht="13" x14ac:dyDescent="0.15">
      <c r="A485" s="3">
        <f ca="1">IFERROR(__xludf.DUMMYFUNCTION("""COMPUTED_VALUE"""),43217.5057679629)</f>
        <v>43217.505767962903</v>
      </c>
      <c r="B485" t="str">
        <f ca="1">IFERROR(__xludf.DUMMYFUNCTION("""COMPUTED_VALUE"""),"smitha.soura@gmail.com")</f>
        <v>smitha.soura@gmail.com</v>
      </c>
      <c r="C485">
        <f ca="1">IFERROR(__xludf.DUMMYFUNCTION("""COMPUTED_VALUE"""),336)</f>
        <v>336</v>
      </c>
      <c r="D485" t="str">
        <f ca="1">IFERROR(__xludf.DUMMYFUNCTION("""COMPUTED_VALUE"""),"Pieuse George")</f>
        <v>Pieuse George</v>
      </c>
      <c r="E485">
        <f ca="1">IFERROR(__xludf.DUMMYFUNCTION("""COMPUTED_VALUE"""),9633966228)</f>
        <v>9633966228</v>
      </c>
      <c r="F485" t="str">
        <f ca="1">IFERROR(__xludf.DUMMYFUNCTION("""COMPUTED_VALUE"""),"Ernakulam")</f>
        <v>Ernakulam</v>
      </c>
      <c r="G485" t="str">
        <f ca="1">IFERROR(__xludf.DUMMYFUNCTION("""COMPUTED_VALUE"""),"Soura natural energy solutions india pvt ltd")</f>
        <v>Soura natural energy solutions india pvt ltd</v>
      </c>
      <c r="H485">
        <f ca="1">IFERROR(__xludf.DUMMYFUNCTION("""COMPUTED_VALUE"""),11)</f>
        <v>11</v>
      </c>
      <c r="I485" s="4">
        <f ca="1">IFERROR(__xludf.DUMMYFUNCTION("""COMPUTED_VALUE"""),43217)</f>
        <v>43217</v>
      </c>
      <c r="J485">
        <f ca="1">IFERROR(__xludf.DUMMYFUNCTION("""COMPUTED_VALUE"""),3)</f>
        <v>3</v>
      </c>
      <c r="K485">
        <f ca="1">IFERROR(__xludf.DUMMYFUNCTION("""COMPUTED_VALUE"""),1157158010699)</f>
        <v>1157158010699</v>
      </c>
      <c r="L485" t="str">
        <f ca="1">IFERROR(__xludf.DUMMYFUNCTION("""COMPUTED_VALUE"""),"Malayattoor")</f>
        <v>Malayattoor</v>
      </c>
      <c r="M485" t="str">
        <f ca="1">IFERROR(__xludf.DUMMYFUNCTION("""COMPUTED_VALUE"""),"I Accept")</f>
        <v>I Accept</v>
      </c>
      <c r="N485" s="4">
        <f ca="1">IFERROR(__xludf.DUMMYFUNCTION("""COMPUTED_VALUE"""),43217)</f>
        <v>43217</v>
      </c>
      <c r="O485" s="4">
        <f ca="1">IFERROR(__xludf.DUMMYFUNCTION("""COMPUTED_VALUE"""),43217)</f>
        <v>43217</v>
      </c>
      <c r="P485">
        <f ca="1">IFERROR(__xludf.DUMMYFUNCTION("""COMPUTED_VALUE"""),3)</f>
        <v>3</v>
      </c>
      <c r="Q485" t="str">
        <f ca="1">IFERROR(__xludf.DUMMYFUNCTION("""COMPUTED_VALUE"""),"smitha.soura@gmail.com")</f>
        <v>smitha.soura@gmail.com</v>
      </c>
      <c r="R485" s="2" t="s">
        <v>2899</v>
      </c>
    </row>
    <row r="486" spans="1:18" ht="13" x14ac:dyDescent="0.15">
      <c r="A486" s="3">
        <f ca="1">IFERROR(__xludf.DUMMYFUNCTION("""COMPUTED_VALUE"""),43217.528190081)</f>
        <v>43217.528190081001</v>
      </c>
      <c r="B486" t="str">
        <f ca="1">IFERROR(__xludf.DUMMYFUNCTION("""COMPUTED_VALUE"""),"kukenpupe@gmail.com ")</f>
        <v xml:space="preserve">kukenpupe@gmail.com </v>
      </c>
      <c r="C486">
        <f ca="1">IFERROR(__xludf.DUMMYFUNCTION("""COMPUTED_VALUE"""),995)</f>
        <v>995</v>
      </c>
      <c r="D486" t="str">
        <f ca="1">IFERROR(__xludf.DUMMYFUNCTION("""COMPUTED_VALUE"""),"SEN K S")</f>
        <v>SEN K S</v>
      </c>
      <c r="E486">
        <f ca="1">IFERROR(__xludf.DUMMYFUNCTION("""COMPUTED_VALUE"""),9539554817)</f>
        <v>9539554817</v>
      </c>
      <c r="F486" t="str">
        <f ca="1">IFERROR(__xludf.DUMMYFUNCTION("""COMPUTED_VALUE"""),"Alappuzha")</f>
        <v>Alappuzha</v>
      </c>
      <c r="G486" t="str">
        <f ca="1">IFERROR(__xludf.DUMMYFUNCTION("""COMPUTED_VALUE"""),"MOOPENS ENERGY SOLUTIONS PVT LTD")</f>
        <v>MOOPENS ENERGY SOLUTIONS PVT LTD</v>
      </c>
      <c r="H486">
        <f ca="1">IFERROR(__xludf.DUMMYFUNCTION("""COMPUTED_VALUE"""),51)</f>
        <v>51</v>
      </c>
      <c r="I486" s="4">
        <f ca="1">IFERROR(__xludf.DUMMYFUNCTION("""COMPUTED_VALUE"""),43213)</f>
        <v>43213</v>
      </c>
      <c r="J486">
        <f ca="1">IFERROR(__xludf.DUMMYFUNCTION("""COMPUTED_VALUE"""),10)</f>
        <v>10</v>
      </c>
      <c r="K486">
        <f ca="1">IFERROR(__xludf.DUMMYFUNCTION("""COMPUTED_VALUE"""),1155047017679)</f>
        <v>1155047017679</v>
      </c>
      <c r="L486" t="str">
        <f ca="1">IFERROR(__xludf.DUMMYFUNCTION("""COMPUTED_VALUE"""),"PUNNAPRA")</f>
        <v>PUNNAPRA</v>
      </c>
      <c r="M486" t="str">
        <f ca="1">IFERROR(__xludf.DUMMYFUNCTION("""COMPUTED_VALUE"""),"I Accept")</f>
        <v>I Accept</v>
      </c>
      <c r="N486" s="4">
        <f ca="1">IFERROR(__xludf.DUMMYFUNCTION("""COMPUTED_VALUE"""),43210)</f>
        <v>43210</v>
      </c>
      <c r="O486" s="4">
        <f ca="1">IFERROR(__xludf.DUMMYFUNCTION("""COMPUTED_VALUE"""),43210)</f>
        <v>43210</v>
      </c>
      <c r="P486">
        <f ca="1">IFERROR(__xludf.DUMMYFUNCTION("""COMPUTED_VALUE"""),10)</f>
        <v>10</v>
      </c>
      <c r="Q486" t="str">
        <f ca="1">IFERROR(__xludf.DUMMYFUNCTION("""COMPUTED_VALUE"""),"senju.sunsenz@gmail.com")</f>
        <v>senju.sunsenz@gmail.com</v>
      </c>
      <c r="R486" s="2" t="s">
        <v>2900</v>
      </c>
    </row>
    <row r="487" spans="1:18" ht="13" x14ac:dyDescent="0.15">
      <c r="A487" s="3">
        <f ca="1">IFERROR(__xludf.DUMMYFUNCTION("""COMPUTED_VALUE"""),43217.537996574)</f>
        <v>43217.537996573999</v>
      </c>
      <c r="B487" t="str">
        <f ca="1">IFERROR(__xludf.DUMMYFUNCTION("""COMPUTED_VALUE"""),"sales.bbassociates@gmail.com")</f>
        <v>sales.bbassociates@gmail.com</v>
      </c>
      <c r="C487">
        <f ca="1">IFERROR(__xludf.DUMMYFUNCTION("""COMPUTED_VALUE"""),870)</f>
        <v>870</v>
      </c>
      <c r="D487" t="str">
        <f ca="1">IFERROR(__xludf.DUMMYFUNCTION("""COMPUTED_VALUE"""),"DINESH CHANDRA BABU NARAHARI")</f>
        <v>DINESH CHANDRA BABU NARAHARI</v>
      </c>
      <c r="E487">
        <f ca="1">IFERROR(__xludf.DUMMYFUNCTION("""COMPUTED_VALUE"""),7907558626)</f>
        <v>7907558626</v>
      </c>
      <c r="F487" t="str">
        <f ca="1">IFERROR(__xludf.DUMMYFUNCTION("""COMPUTED_VALUE"""),"Alappuzha")</f>
        <v>Alappuzha</v>
      </c>
      <c r="G487" t="str">
        <f ca="1">IFERROR(__xludf.DUMMYFUNCTION("""COMPUTED_VALUE"""),"Bosch Ltd")</f>
        <v>Bosch Ltd</v>
      </c>
      <c r="H487">
        <f ca="1">IFERROR(__xludf.DUMMYFUNCTION("""COMPUTED_VALUE"""),18)</f>
        <v>18</v>
      </c>
      <c r="I487" s="4">
        <f ca="1">IFERROR(__xludf.DUMMYFUNCTION("""COMPUTED_VALUE"""),43213)</f>
        <v>43213</v>
      </c>
      <c r="J487">
        <f ca="1">IFERROR(__xludf.DUMMYFUNCTION("""COMPUTED_VALUE"""),3)</f>
        <v>3</v>
      </c>
      <c r="K487">
        <f ca="1">IFERROR(__xludf.DUMMYFUNCTION("""COMPUTED_VALUE"""),1155126007115)</f>
        <v>1155126007115</v>
      </c>
      <c r="L487" t="str">
        <f ca="1">IFERROR(__xludf.DUMMYFUNCTION("""COMPUTED_VALUE"""),"cherthala")</f>
        <v>cherthala</v>
      </c>
      <c r="M487" t="str">
        <f ca="1">IFERROR(__xludf.DUMMYFUNCTION("""COMPUTED_VALUE"""),"I Accept")</f>
        <v>I Accept</v>
      </c>
      <c r="N487" s="4">
        <f ca="1">IFERROR(__xludf.DUMMYFUNCTION("""COMPUTED_VALUE"""),43210)</f>
        <v>43210</v>
      </c>
      <c r="O487" s="4">
        <f ca="1">IFERROR(__xludf.DUMMYFUNCTION("""COMPUTED_VALUE"""),43210)</f>
        <v>43210</v>
      </c>
      <c r="P487">
        <f ca="1">IFERROR(__xludf.DUMMYFUNCTION("""COMPUTED_VALUE"""),3)</f>
        <v>3</v>
      </c>
      <c r="Q487" t="str">
        <f ca="1">IFERROR(__xludf.DUMMYFUNCTION("""COMPUTED_VALUE"""),"sales.bbassociates@gmail.com")</f>
        <v>sales.bbassociates@gmail.com</v>
      </c>
      <c r="R487" s="2" t="s">
        <v>2901</v>
      </c>
    </row>
    <row r="488" spans="1:18" ht="13" x14ac:dyDescent="0.15">
      <c r="A488" s="3">
        <f ca="1">IFERROR(__xludf.DUMMYFUNCTION("""COMPUTED_VALUE"""),43217.6079674074)</f>
        <v>43217.607967407399</v>
      </c>
      <c r="B488" t="str">
        <f ca="1">IFERROR(__xludf.DUMMYFUNCTION("""COMPUTED_VALUE"""),"smktm@hykonindia.com")</f>
        <v>smktm@hykonindia.com</v>
      </c>
      <c r="C488">
        <f ca="1">IFERROR(__xludf.DUMMYFUNCTION("""COMPUTED_VALUE"""),681)</f>
        <v>681</v>
      </c>
      <c r="D488" t="str">
        <f ca="1">IFERROR(__xludf.DUMMYFUNCTION("""COMPUTED_VALUE"""),"Bursar,BCM College,Kottayam")</f>
        <v>Bursar,BCM College,Kottayam</v>
      </c>
      <c r="E488">
        <f ca="1">IFERROR(__xludf.DUMMYFUNCTION("""COMPUTED_VALUE"""),9496337236)</f>
        <v>9496337236</v>
      </c>
      <c r="F488" t="str">
        <f ca="1">IFERROR(__xludf.DUMMYFUNCTION("""COMPUTED_VALUE"""),"Kottayam")</f>
        <v>Kottayam</v>
      </c>
      <c r="G488" t="str">
        <f ca="1">IFERROR(__xludf.DUMMYFUNCTION("""COMPUTED_VALUE"""),"HYKON INDIA LTD")</f>
        <v>HYKON INDIA LTD</v>
      </c>
      <c r="H488">
        <f ca="1">IFERROR(__xludf.DUMMYFUNCTION("""COMPUTED_VALUE"""),41)</f>
        <v>41</v>
      </c>
      <c r="I488" s="4">
        <f ca="1">IFERROR(__xludf.DUMMYFUNCTION("""COMPUTED_VALUE"""),43216)</f>
        <v>43216</v>
      </c>
      <c r="J488">
        <f ca="1">IFERROR(__xludf.DUMMYFUNCTION("""COMPUTED_VALUE"""),10)</f>
        <v>10</v>
      </c>
      <c r="K488">
        <f ca="1">IFERROR(__xludf.DUMMYFUNCTION("""COMPUTED_VALUE"""),1146349002303)</f>
        <v>1146349002303</v>
      </c>
      <c r="L488" t="str">
        <f ca="1">IFERROR(__xludf.DUMMYFUNCTION("""COMPUTED_VALUE"""),"Kottayam Central Ecectrical Section")</f>
        <v>Kottayam Central Ecectrical Section</v>
      </c>
      <c r="M488" t="str">
        <f ca="1">IFERROR(__xludf.DUMMYFUNCTION("""COMPUTED_VALUE"""),"I Accept")</f>
        <v>I Accept</v>
      </c>
      <c r="N488" s="4">
        <f ca="1">IFERROR(__xludf.DUMMYFUNCTION("""COMPUTED_VALUE"""),43211)</f>
        <v>43211</v>
      </c>
      <c r="O488" s="4">
        <f ca="1">IFERROR(__xludf.DUMMYFUNCTION("""COMPUTED_VALUE"""),43211)</f>
        <v>43211</v>
      </c>
      <c r="P488">
        <f ca="1">IFERROR(__xludf.DUMMYFUNCTION("""COMPUTED_VALUE"""),20)</f>
        <v>20</v>
      </c>
      <c r="Q488" t="str">
        <f ca="1">IFERROR(__xludf.DUMMYFUNCTION("""COMPUTED_VALUE"""),"smktm@hykonindia.com")</f>
        <v>smktm@hykonindia.com</v>
      </c>
      <c r="R488" s="2" t="s">
        <v>2902</v>
      </c>
    </row>
    <row r="489" spans="1:18" ht="13" x14ac:dyDescent="0.15">
      <c r="A489" s="3">
        <f ca="1">IFERROR(__xludf.DUMMYFUNCTION("""COMPUTED_VALUE"""),43217.6372617824)</f>
        <v>43217.637261782402</v>
      </c>
      <c r="B489" t="str">
        <f ca="1">IFERROR(__xludf.DUMMYFUNCTION("""COMPUTED_VALUE"""),"elsolpowersolutions@gmail.com")</f>
        <v>elsolpowersolutions@gmail.com</v>
      </c>
      <c r="C489">
        <f ca="1">IFERROR(__xludf.DUMMYFUNCTION("""COMPUTED_VALUE"""),847)</f>
        <v>847</v>
      </c>
      <c r="D489" t="str">
        <f ca="1">IFERROR(__xludf.DUMMYFUNCTION("""COMPUTED_VALUE"""),"REJI P SAMUEL")</f>
        <v>REJI P SAMUEL</v>
      </c>
      <c r="E489">
        <f ca="1">IFERROR(__xludf.DUMMYFUNCTION("""COMPUTED_VALUE"""),8078213924)</f>
        <v>8078213924</v>
      </c>
      <c r="F489" t="str">
        <f ca="1">IFERROR(__xludf.DUMMYFUNCTION("""COMPUTED_VALUE"""),"Pathanamthitta")</f>
        <v>Pathanamthitta</v>
      </c>
      <c r="G489" t="str">
        <f ca="1">IFERROR(__xludf.DUMMYFUNCTION("""COMPUTED_VALUE"""),"RENERGY SYSTEMS INDIA PVT LTD")</f>
        <v>RENERGY SYSTEMS INDIA PVT LTD</v>
      </c>
      <c r="H489">
        <f ca="1">IFERROR(__xludf.DUMMYFUNCTION("""COMPUTED_VALUE"""),38)</f>
        <v>38</v>
      </c>
      <c r="I489" s="4">
        <f ca="1">IFERROR(__xludf.DUMMYFUNCTION("""COMPUTED_VALUE"""),43216)</f>
        <v>43216</v>
      </c>
      <c r="J489">
        <f ca="1">IFERROR(__xludf.DUMMYFUNCTION("""COMPUTED_VALUE"""),5)</f>
        <v>5</v>
      </c>
      <c r="K489">
        <f ca="1">IFERROR(__xludf.DUMMYFUNCTION("""COMPUTED_VALUE"""),1146178009753)</f>
        <v>1146178009753</v>
      </c>
      <c r="L489" t="str">
        <f ca="1">IFERROR(__xludf.DUMMYFUNCTION("""COMPUTED_VALUE"""),"THIRUVALLA")</f>
        <v>THIRUVALLA</v>
      </c>
      <c r="M489" t="str">
        <f ca="1">IFERROR(__xludf.DUMMYFUNCTION("""COMPUTED_VALUE"""),"I Accept")</f>
        <v>I Accept</v>
      </c>
      <c r="N489" s="4">
        <f ca="1">IFERROR(__xludf.DUMMYFUNCTION("""COMPUTED_VALUE"""),43210)</f>
        <v>43210</v>
      </c>
      <c r="O489" s="4">
        <f ca="1">IFERROR(__xludf.DUMMYFUNCTION("""COMPUTED_VALUE"""),43210)</f>
        <v>43210</v>
      </c>
      <c r="P489">
        <f ca="1">IFERROR(__xludf.DUMMYFUNCTION("""COMPUTED_VALUE"""),5)</f>
        <v>5</v>
      </c>
      <c r="Q489" t="str">
        <f ca="1">IFERROR(__xludf.DUMMYFUNCTION("""COMPUTED_VALUE"""),"elsolpowersolutions@gmail.com")</f>
        <v>elsolpowersolutions@gmail.com</v>
      </c>
      <c r="R489" s="2" t="s">
        <v>2903</v>
      </c>
    </row>
    <row r="490" spans="1:18" ht="13" x14ac:dyDescent="0.15">
      <c r="A490" s="3">
        <f ca="1">IFERROR(__xludf.DUMMYFUNCTION("""COMPUTED_VALUE"""),43217.6488881018)</f>
        <v>43217.648888101801</v>
      </c>
      <c r="B490" t="str">
        <f ca="1">IFERROR(__xludf.DUMMYFUNCTION("""COMPUTED_VALUE"""),"elsolpowersolutions@gmail.com")</f>
        <v>elsolpowersolutions@gmail.com</v>
      </c>
      <c r="C490">
        <f ca="1">IFERROR(__xludf.DUMMYFUNCTION("""COMPUTED_VALUE"""),310)</f>
        <v>310</v>
      </c>
      <c r="D490" t="str">
        <f ca="1">IFERROR(__xludf.DUMMYFUNCTION("""COMPUTED_VALUE"""),"FRANCY SEBASTIAN")</f>
        <v>FRANCY SEBASTIAN</v>
      </c>
      <c r="E490">
        <f ca="1">IFERROR(__xludf.DUMMYFUNCTION("""COMPUTED_VALUE"""),8078213924)</f>
        <v>8078213924</v>
      </c>
      <c r="F490" t="str">
        <f ca="1">IFERROR(__xludf.DUMMYFUNCTION("""COMPUTED_VALUE"""),"Alappuzha")</f>
        <v>Alappuzha</v>
      </c>
      <c r="G490" t="str">
        <f ca="1">IFERROR(__xludf.DUMMYFUNCTION("""COMPUTED_VALUE"""),"RENERGY SYSTEMS INDIA PVT LTD")</f>
        <v>RENERGY SYSTEMS INDIA PVT LTD</v>
      </c>
      <c r="H490">
        <f ca="1">IFERROR(__xludf.DUMMYFUNCTION("""COMPUTED_VALUE"""),38)</f>
        <v>38</v>
      </c>
      <c r="I490" s="4">
        <f ca="1">IFERROR(__xludf.DUMMYFUNCTION("""COMPUTED_VALUE"""),43208)</f>
        <v>43208</v>
      </c>
      <c r="J490">
        <f ca="1">IFERROR(__xludf.DUMMYFUNCTION("""COMPUTED_VALUE"""),5)</f>
        <v>5</v>
      </c>
      <c r="K490">
        <f ca="1">IFERROR(__xludf.DUMMYFUNCTION("""COMPUTED_VALUE"""),3134)</f>
        <v>3134</v>
      </c>
      <c r="L490" t="str">
        <f ca="1">IFERROR(__xludf.DUMMYFUNCTION("""COMPUTED_VALUE"""),"EDATHUA")</f>
        <v>EDATHUA</v>
      </c>
      <c r="M490" t="str">
        <f ca="1">IFERROR(__xludf.DUMMYFUNCTION("""COMPUTED_VALUE"""),"I Accept")</f>
        <v>I Accept</v>
      </c>
      <c r="N490" s="4">
        <f ca="1">IFERROR(__xludf.DUMMYFUNCTION("""COMPUTED_VALUE"""),43187)</f>
        <v>43187</v>
      </c>
      <c r="O490" s="4">
        <f ca="1">IFERROR(__xludf.DUMMYFUNCTION("""COMPUTED_VALUE"""),43187)</f>
        <v>43187</v>
      </c>
      <c r="P490">
        <f ca="1">IFERROR(__xludf.DUMMYFUNCTION("""COMPUTED_VALUE"""),5)</f>
        <v>5</v>
      </c>
      <c r="Q490" t="str">
        <f ca="1">IFERROR(__xludf.DUMMYFUNCTION("""COMPUTED_VALUE"""),"elsolpowersolutions@gmail.com")</f>
        <v>elsolpowersolutions@gmail.com</v>
      </c>
      <c r="R490" s="2" t="s">
        <v>2904</v>
      </c>
    </row>
    <row r="491" spans="1:18" ht="13" x14ac:dyDescent="0.15">
      <c r="A491" s="3">
        <f ca="1">IFERROR(__xludf.DUMMYFUNCTION("""COMPUTED_VALUE"""),43217.6962025115)</f>
        <v>43217.696202511499</v>
      </c>
      <c r="B491" t="str">
        <f ca="1">IFERROR(__xludf.DUMMYFUNCTION("""COMPUTED_VALUE"""),"noorakshaya@gmail.com")</f>
        <v>noorakshaya@gmail.com</v>
      </c>
      <c r="C491">
        <f ca="1">IFERROR(__xludf.DUMMYFUNCTION("""COMPUTED_VALUE"""),388)</f>
        <v>388</v>
      </c>
      <c r="D491" t="str">
        <f ca="1">IFERROR(__xludf.DUMMYFUNCTION("""COMPUTED_VALUE"""),"Fathahudeen M,Secretary")</f>
        <v>Fathahudeen M,Secretary</v>
      </c>
      <c r="E491">
        <f ca="1">IFERROR(__xludf.DUMMYFUNCTION("""COMPUTED_VALUE"""),9447047470)</f>
        <v>9447047470</v>
      </c>
      <c r="F491" t="str">
        <f ca="1">IFERROR(__xludf.DUMMYFUNCTION("""COMPUTED_VALUE"""),"Thiruvananthapuram")</f>
        <v>Thiruvananthapuram</v>
      </c>
      <c r="G491" t="str">
        <f ca="1">IFERROR(__xludf.DUMMYFUNCTION("""COMPUTED_VALUE"""),"Renergy Systems India Pvt Ltd")</f>
        <v>Renergy Systems India Pvt Ltd</v>
      </c>
      <c r="H491">
        <f ca="1">IFERROR(__xludf.DUMMYFUNCTION("""COMPUTED_VALUE"""),38)</f>
        <v>38</v>
      </c>
      <c r="I491" s="4">
        <f ca="1">IFERROR(__xludf.DUMMYFUNCTION("""COMPUTED_VALUE"""),43214)</f>
        <v>43214</v>
      </c>
      <c r="J491">
        <f ca="1">IFERROR(__xludf.DUMMYFUNCTION("""COMPUTED_VALUE"""),5)</f>
        <v>5</v>
      </c>
      <c r="K491">
        <f ca="1">IFERROR(__xludf.DUMMYFUNCTION("""COMPUTED_VALUE"""),1145148013702)</f>
        <v>1145148013702</v>
      </c>
      <c r="L491" t="str">
        <f ca="1">IFERROR(__xludf.DUMMYFUNCTION("""COMPUTED_VALUE"""),"Pettah")</f>
        <v>Pettah</v>
      </c>
      <c r="M491" t="str">
        <f ca="1">IFERROR(__xludf.DUMMYFUNCTION("""COMPUTED_VALUE"""),"I Accept")</f>
        <v>I Accept</v>
      </c>
      <c r="N491" s="4">
        <f ca="1">IFERROR(__xludf.DUMMYFUNCTION("""COMPUTED_VALUE"""),43194)</f>
        <v>43194</v>
      </c>
      <c r="O491" s="4">
        <f ca="1">IFERROR(__xludf.DUMMYFUNCTION("""COMPUTED_VALUE"""),43194)</f>
        <v>43194</v>
      </c>
      <c r="P491">
        <f ca="1">IFERROR(__xludf.DUMMYFUNCTION("""COMPUTED_VALUE"""),5)</f>
        <v>5</v>
      </c>
      <c r="Q491" t="str">
        <f ca="1">IFERROR(__xludf.DUMMYFUNCTION("""COMPUTED_VALUE"""),"noorakshaya@gmail.com")</f>
        <v>noorakshaya@gmail.com</v>
      </c>
      <c r="R491" s="2" t="s">
        <v>2905</v>
      </c>
    </row>
    <row r="492" spans="1:18" ht="13" x14ac:dyDescent="0.15">
      <c r="A492" s="3">
        <f ca="1">IFERROR(__xludf.DUMMYFUNCTION("""COMPUTED_VALUE"""),43218.4677133912)</f>
        <v>43218.467713391197</v>
      </c>
      <c r="B492" t="str">
        <f ca="1">IFERROR(__xludf.DUMMYFUNCTION("""COMPUTED_VALUE"""),"unnimann@hotmail.com")</f>
        <v>unnimann@hotmail.com</v>
      </c>
      <c r="C492">
        <f ca="1">IFERROR(__xludf.DUMMYFUNCTION("""COMPUTED_VALUE"""),23)</f>
        <v>23</v>
      </c>
      <c r="D492" t="str">
        <f ca="1">IFERROR(__xludf.DUMMYFUNCTION("""COMPUTED_VALUE"""),"k.v. unnikrishnan")</f>
        <v>k.v. unnikrishnan</v>
      </c>
      <c r="E492">
        <f ca="1">IFERROR(__xludf.DUMMYFUNCTION("""COMPUTED_VALUE"""),9496922391)</f>
        <v>9496922391</v>
      </c>
      <c r="F492" t="str">
        <f ca="1">IFERROR(__xludf.DUMMYFUNCTION("""COMPUTED_VALUE"""),"Palakkad")</f>
        <v>Palakkad</v>
      </c>
      <c r="G492" t="str">
        <f ca="1">IFERROR(__xludf.DUMMYFUNCTION("""COMPUTED_VALUE"""),"TATA POWER SOLAR SYSTEMS LTD")</f>
        <v>TATA POWER SOLAR SYSTEMS LTD</v>
      </c>
      <c r="H492">
        <f ca="1">IFERROR(__xludf.DUMMYFUNCTION("""COMPUTED_VALUE"""),20)</f>
        <v>20</v>
      </c>
      <c r="I492" s="4">
        <f ca="1">IFERROR(__xludf.DUMMYFUNCTION("""COMPUTED_VALUE"""),43187)</f>
        <v>43187</v>
      </c>
      <c r="J492">
        <f ca="1">IFERROR(__xludf.DUMMYFUNCTION("""COMPUTED_VALUE"""),3)</f>
        <v>3</v>
      </c>
      <c r="K492">
        <f ca="1">IFERROR(__xludf.DUMMYFUNCTION("""COMPUTED_VALUE"""),1165189013417)</f>
        <v>1165189013417</v>
      </c>
      <c r="L492" t="str">
        <f ca="1">IFERROR(__xludf.DUMMYFUNCTION("""COMPUTED_VALUE"""),"BIGBAZAR ELECTRICAL SECTION")</f>
        <v>BIGBAZAR ELECTRICAL SECTION</v>
      </c>
      <c r="M492" t="str">
        <f ca="1">IFERROR(__xludf.DUMMYFUNCTION("""COMPUTED_VALUE"""),"I Accept")</f>
        <v>I Accept</v>
      </c>
      <c r="N492" s="4">
        <f ca="1">IFERROR(__xludf.DUMMYFUNCTION("""COMPUTED_VALUE"""),43202)</f>
        <v>43202</v>
      </c>
      <c r="O492" s="4">
        <f ca="1">IFERROR(__xludf.DUMMYFUNCTION("""COMPUTED_VALUE"""),43202)</f>
        <v>43202</v>
      </c>
      <c r="P492">
        <f ca="1">IFERROR(__xludf.DUMMYFUNCTION("""COMPUTED_VALUE"""),3)</f>
        <v>3</v>
      </c>
      <c r="Q492" t="str">
        <f ca="1">IFERROR(__xludf.DUMMYFUNCTION("""COMPUTED_VALUE"""),"unnimann@hotmail.com")</f>
        <v>unnimann@hotmail.com</v>
      </c>
      <c r="R492" s="2" t="s">
        <v>2906</v>
      </c>
    </row>
    <row r="493" spans="1:18" ht="13" x14ac:dyDescent="0.15">
      <c r="A493" s="3">
        <f ca="1">IFERROR(__xludf.DUMMYFUNCTION("""COMPUTED_VALUE"""),43218.4780681944)</f>
        <v>43218.478068194403</v>
      </c>
      <c r="B493" t="str">
        <f ca="1">IFERROR(__xludf.DUMMYFUNCTION("""COMPUTED_VALUE"""),"sales.bbassociates@gmail.com")</f>
        <v>sales.bbassociates@gmail.com</v>
      </c>
      <c r="C493">
        <f ca="1">IFERROR(__xludf.DUMMYFUNCTION("""COMPUTED_VALUE"""),673)</f>
        <v>673</v>
      </c>
      <c r="D493" t="str">
        <f ca="1">IFERROR(__xludf.DUMMYFUNCTION("""COMPUTED_VALUE"""),"Rajan Varghese")</f>
        <v>Rajan Varghese</v>
      </c>
      <c r="E493">
        <f ca="1">IFERROR(__xludf.DUMMYFUNCTION("""COMPUTED_VALUE"""),9946044345)</f>
        <v>9946044345</v>
      </c>
      <c r="F493" t="str">
        <f ca="1">IFERROR(__xludf.DUMMYFUNCTION("""COMPUTED_VALUE"""),"Thiruvananthapuram")</f>
        <v>Thiruvananthapuram</v>
      </c>
      <c r="G493" t="str">
        <f ca="1">IFERROR(__xludf.DUMMYFUNCTION("""COMPUTED_VALUE"""),"Bosch Ltd")</f>
        <v>Bosch Ltd</v>
      </c>
      <c r="H493">
        <f ca="1">IFERROR(__xludf.DUMMYFUNCTION("""COMPUTED_VALUE"""),18)</f>
        <v>18</v>
      </c>
      <c r="I493" s="4">
        <f ca="1">IFERROR(__xludf.DUMMYFUNCTION("""COMPUTED_VALUE"""),43186)</f>
        <v>43186</v>
      </c>
      <c r="J493">
        <f ca="1">IFERROR(__xludf.DUMMYFUNCTION("""COMPUTED_VALUE"""),3)</f>
        <v>3</v>
      </c>
      <c r="K493">
        <f ca="1">IFERROR(__xludf.DUMMYFUNCTION("""COMPUTED_VALUE"""),1145166015185)</f>
        <v>1145166015185</v>
      </c>
      <c r="L493" t="str">
        <f ca="1">IFERROR(__xludf.DUMMYFUNCTION("""COMPUTED_VALUE"""),"Kesavadasapuram")</f>
        <v>Kesavadasapuram</v>
      </c>
      <c r="M493" t="str">
        <f ca="1">IFERROR(__xludf.DUMMYFUNCTION("""COMPUTED_VALUE"""),"I Accept")</f>
        <v>I Accept</v>
      </c>
      <c r="N493" s="4">
        <f ca="1">IFERROR(__xludf.DUMMYFUNCTION("""COMPUTED_VALUE"""),43186)</f>
        <v>43186</v>
      </c>
      <c r="O493" s="4">
        <f ca="1">IFERROR(__xludf.DUMMYFUNCTION("""COMPUTED_VALUE"""),43186)</f>
        <v>43186</v>
      </c>
      <c r="P493">
        <f ca="1">IFERROR(__xludf.DUMMYFUNCTION("""COMPUTED_VALUE"""),3)</f>
        <v>3</v>
      </c>
      <c r="Q493" t="str">
        <f ca="1">IFERROR(__xludf.DUMMYFUNCTION("""COMPUTED_VALUE"""),"sales.bbassociates@gmail.com")</f>
        <v>sales.bbassociates@gmail.com</v>
      </c>
      <c r="R493" s="2" t="s">
        <v>2907</v>
      </c>
    </row>
    <row r="494" spans="1:18" ht="13" x14ac:dyDescent="0.15">
      <c r="A494" s="3">
        <f ca="1">IFERROR(__xludf.DUMMYFUNCTION("""COMPUTED_VALUE"""),43218.6181768634)</f>
        <v>43218.618176863398</v>
      </c>
      <c r="B494" t="str">
        <f ca="1">IFERROR(__xludf.DUMMYFUNCTION("""COMPUTED_VALUE"""),"solarcommect2018@gmail.com")</f>
        <v>solarcommect2018@gmail.com</v>
      </c>
      <c r="C494">
        <f ca="1">IFERROR(__xludf.DUMMYFUNCTION("""COMPUTED_VALUE"""),628)</f>
        <v>628</v>
      </c>
      <c r="D494" t="str">
        <f ca="1">IFERROR(__xludf.DUMMYFUNCTION("""COMPUTED_VALUE"""),"ABDULLA KUNHI")</f>
        <v>ABDULLA KUNHI</v>
      </c>
      <c r="E494">
        <f ca="1">IFERROR(__xludf.DUMMYFUNCTION("""COMPUTED_VALUE"""),9207450144)</f>
        <v>9207450144</v>
      </c>
      <c r="F494" t="str">
        <f ca="1">IFERROR(__xludf.DUMMYFUNCTION("""COMPUTED_VALUE"""),"Kasaragod")</f>
        <v>Kasaragod</v>
      </c>
      <c r="G494" t="str">
        <f ca="1">IFERROR(__xludf.DUMMYFUNCTION("""COMPUTED_VALUE"""),"SPECTRUM TECHNO PRODUCTS")</f>
        <v>SPECTRUM TECHNO PRODUCTS</v>
      </c>
      <c r="H494">
        <f ca="1">IFERROR(__xludf.DUMMYFUNCTION("""COMPUTED_VALUE"""),66)</f>
        <v>66</v>
      </c>
      <c r="I494" s="4">
        <f ca="1">IFERROR(__xludf.DUMMYFUNCTION("""COMPUTED_VALUE"""),43217)</f>
        <v>43217</v>
      </c>
      <c r="J494">
        <f ca="1">IFERROR(__xludf.DUMMYFUNCTION("""COMPUTED_VALUE"""),5)</f>
        <v>5</v>
      </c>
      <c r="K494">
        <f ca="1">IFERROR(__xludf.DUMMYFUNCTION("""COMPUTED_VALUE"""),1166951006372)</f>
        <v>1166951006372</v>
      </c>
      <c r="L494" t="str">
        <f ca="1">IFERROR(__xludf.DUMMYFUNCTION("""COMPUTED_VALUE"""),"CHITTARI")</f>
        <v>CHITTARI</v>
      </c>
      <c r="M494" t="str">
        <f ca="1">IFERROR(__xludf.DUMMYFUNCTION("""COMPUTED_VALUE"""),"I Accept")</f>
        <v>I Accept</v>
      </c>
      <c r="N494" s="4">
        <f ca="1">IFERROR(__xludf.DUMMYFUNCTION("""COMPUTED_VALUE"""),43187)</f>
        <v>43187</v>
      </c>
      <c r="O494" s="4">
        <f ca="1">IFERROR(__xludf.DUMMYFUNCTION("""COMPUTED_VALUE"""),43187)</f>
        <v>43187</v>
      </c>
      <c r="P494">
        <f ca="1">IFERROR(__xludf.DUMMYFUNCTION("""COMPUTED_VALUE"""),5)</f>
        <v>5</v>
      </c>
      <c r="Q494" t="str">
        <f ca="1">IFERROR(__xludf.DUMMYFUNCTION("""COMPUTED_VALUE"""),"solarconnect2018@gmail.com")</f>
        <v>solarconnect2018@gmail.com</v>
      </c>
      <c r="R494" s="2" t="s">
        <v>2908</v>
      </c>
    </row>
    <row r="495" spans="1:18" ht="13" x14ac:dyDescent="0.15">
      <c r="A495" s="3">
        <f ca="1">IFERROR(__xludf.DUMMYFUNCTION("""COMPUTED_VALUE"""),43218.6214446296)</f>
        <v>43218.6214446296</v>
      </c>
      <c r="B495" t="str">
        <f ca="1">IFERROR(__xludf.DUMMYFUNCTION("""COMPUTED_VALUE"""),"solarconnect2018@gmail.com")</f>
        <v>solarconnect2018@gmail.com</v>
      </c>
      <c r="C495">
        <f ca="1">IFERROR(__xludf.DUMMYFUNCTION("""COMPUTED_VALUE"""),585)</f>
        <v>585</v>
      </c>
      <c r="D495" t="str">
        <f ca="1">IFERROR(__xludf.DUMMYFUNCTION("""COMPUTED_VALUE"""),"VIJAYAN")</f>
        <v>VIJAYAN</v>
      </c>
      <c r="E495">
        <f ca="1">IFERROR(__xludf.DUMMYFUNCTION("""COMPUTED_VALUE"""),8078552290)</f>
        <v>8078552290</v>
      </c>
      <c r="F495" t="str">
        <f ca="1">IFERROR(__xludf.DUMMYFUNCTION("""COMPUTED_VALUE"""),"Thrissur")</f>
        <v>Thrissur</v>
      </c>
      <c r="G495" t="str">
        <f ca="1">IFERROR(__xludf.DUMMYFUNCTION("""COMPUTED_VALUE"""),"SPECTRUM TECHNO PRODUCTS")</f>
        <v>SPECTRUM TECHNO PRODUCTS</v>
      </c>
      <c r="H495">
        <f ca="1">IFERROR(__xludf.DUMMYFUNCTION("""COMPUTED_VALUE"""),66)</f>
        <v>66</v>
      </c>
      <c r="I495" s="4">
        <f ca="1">IFERROR(__xludf.DUMMYFUNCTION("""COMPUTED_VALUE"""),43213)</f>
        <v>43213</v>
      </c>
      <c r="J495">
        <f ca="1">IFERROR(__xludf.DUMMYFUNCTION("""COMPUTED_VALUE"""),2)</f>
        <v>2</v>
      </c>
      <c r="K495">
        <f ca="1">IFERROR(__xludf.DUMMYFUNCTION("""COMPUTED_VALUE"""),1156906008006)</f>
        <v>1156906008006</v>
      </c>
      <c r="L495" t="str">
        <f ca="1">IFERROR(__xludf.DUMMYFUNCTION("""COMPUTED_VALUE"""),"VENGIDANGE")</f>
        <v>VENGIDANGE</v>
      </c>
      <c r="M495" t="str">
        <f ca="1">IFERROR(__xludf.DUMMYFUNCTION("""COMPUTED_VALUE"""),"I Accept")</f>
        <v>I Accept</v>
      </c>
      <c r="N495" s="4">
        <f ca="1">IFERROR(__xludf.DUMMYFUNCTION("""COMPUTED_VALUE"""),43183)</f>
        <v>43183</v>
      </c>
      <c r="O495" s="4">
        <f ca="1">IFERROR(__xludf.DUMMYFUNCTION("""COMPUTED_VALUE"""),43183)</f>
        <v>43183</v>
      </c>
      <c r="P495">
        <f ca="1">IFERROR(__xludf.DUMMYFUNCTION("""COMPUTED_VALUE"""),2)</f>
        <v>2</v>
      </c>
      <c r="Q495" t="str">
        <f ca="1">IFERROR(__xludf.DUMMYFUNCTION("""COMPUTED_VALUE"""),"solarconnect2018@gmail.com")</f>
        <v>solarconnect2018@gmail.com</v>
      </c>
      <c r="R495" s="2" t="s">
        <v>2909</v>
      </c>
    </row>
    <row r="496" spans="1:18" ht="13" x14ac:dyDescent="0.15">
      <c r="A496" s="3">
        <f ca="1">IFERROR(__xludf.DUMMYFUNCTION("""COMPUTED_VALUE"""),43218.6549210185)</f>
        <v>43218.654921018497</v>
      </c>
      <c r="B496" t="str">
        <f ca="1">IFERROR(__xludf.DUMMYFUNCTION("""COMPUTED_VALUE"""),"solarconnect2018@gmail.com")</f>
        <v>solarconnect2018@gmail.com</v>
      </c>
      <c r="C496">
        <f ca="1">IFERROR(__xludf.DUMMYFUNCTION("""COMPUTED_VALUE"""),952)</f>
        <v>952</v>
      </c>
      <c r="D496" t="str">
        <f ca="1">IFERROR(__xludf.DUMMYFUNCTION("""COMPUTED_VALUE"""),"ANTONY C C")</f>
        <v>ANTONY C C</v>
      </c>
      <c r="E496">
        <f ca="1">IFERROR(__xludf.DUMMYFUNCTION("""COMPUTED_VALUE"""),9447717626)</f>
        <v>9447717626</v>
      </c>
      <c r="F496" t="str">
        <f ca="1">IFERROR(__xludf.DUMMYFUNCTION("""COMPUTED_VALUE"""),"Ernakulam")</f>
        <v>Ernakulam</v>
      </c>
      <c r="G496" t="str">
        <f ca="1">IFERROR(__xludf.DUMMYFUNCTION("""COMPUTED_VALUE"""),"SPECTRUM TECHNO PRODUCTS")</f>
        <v>SPECTRUM TECHNO PRODUCTS</v>
      </c>
      <c r="H496">
        <f ca="1">IFERROR(__xludf.DUMMYFUNCTION("""COMPUTED_VALUE"""),66)</f>
        <v>66</v>
      </c>
      <c r="I496" s="4">
        <f ca="1">IFERROR(__xludf.DUMMYFUNCTION("""COMPUTED_VALUE"""),43217)</f>
        <v>43217</v>
      </c>
      <c r="J496">
        <f ca="1">IFERROR(__xludf.DUMMYFUNCTION("""COMPUTED_VALUE"""),5)</f>
        <v>5</v>
      </c>
      <c r="K496">
        <f ca="1">IFERROR(__xludf.DUMMYFUNCTION("""COMPUTED_VALUE"""),1155648016440)</f>
        <v>1155648016440</v>
      </c>
      <c r="L496" t="str">
        <f ca="1">IFERROR(__xludf.DUMMYFUNCTION("""COMPUTED_VALUE"""),"FORT COCHI")</f>
        <v>FORT COCHI</v>
      </c>
      <c r="M496" t="str">
        <f ca="1">IFERROR(__xludf.DUMMYFUNCTION("""COMPUTED_VALUE"""),"I Accept")</f>
        <v>I Accept</v>
      </c>
      <c r="N496" s="4">
        <f ca="1">IFERROR(__xludf.DUMMYFUNCTION("""COMPUTED_VALUE"""),43200)</f>
        <v>43200</v>
      </c>
      <c r="O496" s="4">
        <f ca="1">IFERROR(__xludf.DUMMYFUNCTION("""COMPUTED_VALUE"""),43200)</f>
        <v>43200</v>
      </c>
      <c r="P496">
        <f ca="1">IFERROR(__xludf.DUMMYFUNCTION("""COMPUTED_VALUE"""),5)</f>
        <v>5</v>
      </c>
      <c r="Q496" t="str">
        <f ca="1">IFERROR(__xludf.DUMMYFUNCTION("""COMPUTED_VALUE"""),"solarconnect2018@gmail.com")</f>
        <v>solarconnect2018@gmail.com</v>
      </c>
      <c r="R496" s="2" t="s">
        <v>2910</v>
      </c>
    </row>
    <row r="497" spans="1:18" ht="13" x14ac:dyDescent="0.15">
      <c r="A497" s="3">
        <f ca="1">IFERROR(__xludf.DUMMYFUNCTION("""COMPUTED_VALUE"""),43218.6925639236)</f>
        <v>43218.6925639236</v>
      </c>
      <c r="B497" t="str">
        <f ca="1">IFERROR(__xludf.DUMMYFUNCTION("""COMPUTED_VALUE"""),"kishore.kottiyatil@yahoo.com ")</f>
        <v xml:space="preserve">kishore.kottiyatil@yahoo.com </v>
      </c>
      <c r="C497">
        <f ca="1">IFERROR(__xludf.DUMMYFUNCTION("""COMPUTED_VALUE"""),939)</f>
        <v>939</v>
      </c>
      <c r="D497" t="str">
        <f ca="1">IFERROR(__xludf.DUMMYFUNCTION("""COMPUTED_VALUE"""),"Chandini Kishore")</f>
        <v>Chandini Kishore</v>
      </c>
      <c r="E497">
        <f ca="1">IFERROR(__xludf.DUMMYFUNCTION("""COMPUTED_VALUE"""),9895290824)</f>
        <v>9895290824</v>
      </c>
      <c r="F497" t="str">
        <f ca="1">IFERROR(__xludf.DUMMYFUNCTION("""COMPUTED_VALUE"""),"Ernakulam")</f>
        <v>Ernakulam</v>
      </c>
      <c r="G497" t="str">
        <f ca="1">IFERROR(__xludf.DUMMYFUNCTION("""COMPUTED_VALUE"""),"Kraftwork Solar Pvt Ltd")</f>
        <v>Kraftwork Solar Pvt Ltd</v>
      </c>
      <c r="H497">
        <f ca="1">IFERROR(__xludf.DUMMYFUNCTION("""COMPUTED_VALUE"""),26)</f>
        <v>26</v>
      </c>
      <c r="I497" s="4">
        <f ca="1">IFERROR(__xludf.DUMMYFUNCTION("""COMPUTED_VALUE"""),43214)</f>
        <v>43214</v>
      </c>
      <c r="J497">
        <f ca="1">IFERROR(__xludf.DUMMYFUNCTION("""COMPUTED_VALUE"""),3)</f>
        <v>3</v>
      </c>
      <c r="K497">
        <f ca="1">IFERROR(__xludf.DUMMYFUNCTION("""COMPUTED_VALUE"""),1155502027521)</f>
        <v>1155502027521</v>
      </c>
      <c r="L497" t="str">
        <f ca="1">IFERROR(__xludf.DUMMYFUNCTION("""COMPUTED_VALUE"""),"Maradu")</f>
        <v>Maradu</v>
      </c>
      <c r="M497" t="str">
        <f ca="1">IFERROR(__xludf.DUMMYFUNCTION("""COMPUTED_VALUE"""),"I Accept")</f>
        <v>I Accept</v>
      </c>
      <c r="N497" s="4">
        <f ca="1">IFERROR(__xludf.DUMMYFUNCTION("""COMPUTED_VALUE"""),43199)</f>
        <v>43199</v>
      </c>
      <c r="O497" s="4">
        <f ca="1">IFERROR(__xludf.DUMMYFUNCTION("""COMPUTED_VALUE"""),43199)</f>
        <v>43199</v>
      </c>
      <c r="P497">
        <f ca="1">IFERROR(__xludf.DUMMYFUNCTION("""COMPUTED_VALUE"""),3)</f>
        <v>3</v>
      </c>
      <c r="Q497" t="str">
        <f ca="1">IFERROR(__xludf.DUMMYFUNCTION("""COMPUTED_VALUE"""),"info@kraftworksolar.com")</f>
        <v>info@kraftworksolar.com</v>
      </c>
      <c r="R497" s="2" t="s">
        <v>2911</v>
      </c>
    </row>
    <row r="498" spans="1:18" ht="13" x14ac:dyDescent="0.15">
      <c r="A498" s="3">
        <f ca="1">IFERROR(__xludf.DUMMYFUNCTION("""COMPUTED_VALUE"""),43220.4996345023)</f>
        <v>43220.499634502303</v>
      </c>
      <c r="B498" t="str">
        <f ca="1">IFERROR(__xludf.DUMMYFUNCTION("""COMPUTED_VALUE"""),"serin.soura@gmail.com")</f>
        <v>serin.soura@gmail.com</v>
      </c>
      <c r="C498">
        <f ca="1">IFERROR(__xludf.DUMMYFUNCTION("""COMPUTED_VALUE"""),932)</f>
        <v>932</v>
      </c>
      <c r="D498" t="str">
        <f ca="1">IFERROR(__xludf.DUMMYFUNCTION("""COMPUTED_VALUE"""),"Principal,Sacred Heart College")</f>
        <v>Principal,Sacred Heart College</v>
      </c>
      <c r="E498">
        <f ca="1">IFERROR(__xludf.DUMMYFUNCTION("""COMPUTED_VALUE"""),9633966228)</f>
        <v>9633966228</v>
      </c>
      <c r="F498" t="str">
        <f ca="1">IFERROR(__xludf.DUMMYFUNCTION("""COMPUTED_VALUE"""),"Thrissur")</f>
        <v>Thrissur</v>
      </c>
      <c r="G498" t="str">
        <f ca="1">IFERROR(__xludf.DUMMYFUNCTION("""COMPUTED_VALUE"""),"Soura  Natural energy solution india (p) ltd")</f>
        <v>Soura  Natural energy solution india (p) ltd</v>
      </c>
      <c r="H498">
        <f ca="1">IFERROR(__xludf.DUMMYFUNCTION("""COMPUTED_VALUE"""),11)</f>
        <v>11</v>
      </c>
      <c r="I498" s="4">
        <f ca="1">IFERROR(__xludf.DUMMYFUNCTION("""COMPUTED_VALUE"""),43220)</f>
        <v>43220</v>
      </c>
      <c r="J498">
        <f ca="1">IFERROR(__xludf.DUMMYFUNCTION("""COMPUTED_VALUE"""),25)</f>
        <v>25</v>
      </c>
      <c r="K498">
        <f ca="1">IFERROR(__xludf.DUMMYFUNCTION("""COMPUTED_VALUE"""),1156510005283)</f>
        <v>1156510005283</v>
      </c>
      <c r="L498" t="str">
        <f ca="1">IFERROR(__xludf.DUMMYFUNCTION("""COMPUTED_VALUE"""),"chalakudy")</f>
        <v>chalakudy</v>
      </c>
      <c r="M498" t="str">
        <f ca="1">IFERROR(__xludf.DUMMYFUNCTION("""COMPUTED_VALUE"""),"I Accept")</f>
        <v>I Accept</v>
      </c>
      <c r="N498" s="4">
        <f ca="1">IFERROR(__xludf.DUMMYFUNCTION("""COMPUTED_VALUE"""),43220)</f>
        <v>43220</v>
      </c>
      <c r="O498" s="4">
        <f ca="1">IFERROR(__xludf.DUMMYFUNCTION("""COMPUTED_VALUE"""),43220)</f>
        <v>43220</v>
      </c>
      <c r="P498">
        <f ca="1">IFERROR(__xludf.DUMMYFUNCTION("""COMPUTED_VALUE"""),25)</f>
        <v>25</v>
      </c>
      <c r="Q498" t="str">
        <f ca="1">IFERROR(__xludf.DUMMYFUNCTION("""COMPUTED_VALUE"""),"serin.soura@gmail.com")</f>
        <v>serin.soura@gmail.com</v>
      </c>
      <c r="R498" s="2" t="s">
        <v>2912</v>
      </c>
    </row>
    <row r="499" spans="1:18" ht="13" x14ac:dyDescent="0.15">
      <c r="A499" s="3">
        <f ca="1">IFERROR(__xludf.DUMMYFUNCTION("""COMPUTED_VALUE"""),43220.6272650694)</f>
        <v>43220.627265069401</v>
      </c>
      <c r="B499" t="str">
        <f ca="1">IFERROR(__xludf.DUMMYFUNCTION("""COMPUTED_VALUE"""),"igridsystems@gmail.com")</f>
        <v>igridsystems@gmail.com</v>
      </c>
      <c r="C499">
        <f ca="1">IFERROR(__xludf.DUMMYFUNCTION("""COMPUTED_VALUE"""),989)</f>
        <v>989</v>
      </c>
      <c r="D499" t="str">
        <f ca="1">IFERROR(__xludf.DUMMYFUNCTION("""COMPUTED_VALUE"""),"NITHYADAS V S")</f>
        <v>NITHYADAS V S</v>
      </c>
      <c r="E499">
        <f ca="1">IFERROR(__xludf.DUMMYFUNCTION("""COMPUTED_VALUE"""),9633222494)</f>
        <v>9633222494</v>
      </c>
      <c r="F499" t="str">
        <f ca="1">IFERROR(__xludf.DUMMYFUNCTION("""COMPUTED_VALUE"""),"Thrissur")</f>
        <v>Thrissur</v>
      </c>
      <c r="G499" t="str">
        <f ca="1">IFERROR(__xludf.DUMMYFUNCTION("""COMPUTED_VALUE"""),"RENERGY SYSTEMS INDIA Pvt.Ltd ")</f>
        <v xml:space="preserve">RENERGY SYSTEMS INDIA Pvt.Ltd </v>
      </c>
      <c r="H499">
        <f ca="1">IFERROR(__xludf.DUMMYFUNCTION("""COMPUTED_VALUE"""),38)</f>
        <v>38</v>
      </c>
      <c r="I499" s="4">
        <f ca="1">IFERROR(__xludf.DUMMYFUNCTION("""COMPUTED_VALUE"""),43220)</f>
        <v>43220</v>
      </c>
      <c r="J499">
        <f ca="1">IFERROR(__xludf.DUMMYFUNCTION("""COMPUTED_VALUE"""),3)</f>
        <v>3</v>
      </c>
      <c r="K499">
        <f ca="1">IFERROR(__xludf.DUMMYFUNCTION("""COMPUTED_VALUE"""),1156519010961)</f>
        <v>1156519010961</v>
      </c>
      <c r="L499" t="str">
        <f ca="1">IFERROR(__xludf.DUMMYFUNCTION("""COMPUTED_VALUE"""),"Chalakkudy")</f>
        <v>Chalakkudy</v>
      </c>
      <c r="M499" t="str">
        <f ca="1">IFERROR(__xludf.DUMMYFUNCTION("""COMPUTED_VALUE"""),"I Accept")</f>
        <v>I Accept</v>
      </c>
      <c r="N499" s="4">
        <f ca="1">IFERROR(__xludf.DUMMYFUNCTION("""COMPUTED_VALUE"""),43196)</f>
        <v>43196</v>
      </c>
      <c r="O499" s="4">
        <f ca="1">IFERROR(__xludf.DUMMYFUNCTION("""COMPUTED_VALUE"""),43196)</f>
        <v>43196</v>
      </c>
      <c r="P499">
        <f ca="1">IFERROR(__xludf.DUMMYFUNCTION("""COMPUTED_VALUE"""),3)</f>
        <v>3</v>
      </c>
      <c r="Q499" t="str">
        <f ca="1">IFERROR(__xludf.DUMMYFUNCTION("""COMPUTED_VALUE"""),"igridsystems@gmail.com")</f>
        <v>igridsystems@gmail.com</v>
      </c>
      <c r="R499" s="2" t="s">
        <v>2913</v>
      </c>
    </row>
    <row r="500" spans="1:18" ht="13" x14ac:dyDescent="0.15">
      <c r="A500" s="3">
        <f ca="1">IFERROR(__xludf.DUMMYFUNCTION("""COMPUTED_VALUE"""),43221.6707629629)</f>
        <v>43221.670762962902</v>
      </c>
      <c r="B500" t="str">
        <f ca="1">IFERROR(__xludf.DUMMYFUNCTION("""COMPUTED_VALUE"""),"jojijohnt@gmail.com")</f>
        <v>jojijohnt@gmail.com</v>
      </c>
      <c r="C500">
        <f ca="1">IFERROR(__xludf.DUMMYFUNCTION("""COMPUTED_VALUE"""),1048)</f>
        <v>1048</v>
      </c>
      <c r="D500" t="str">
        <f ca="1">IFERROR(__xludf.DUMMYFUNCTION("""COMPUTED_VALUE"""),"priya mol sureshkumar")</f>
        <v>priya mol sureshkumar</v>
      </c>
      <c r="E500">
        <f ca="1">IFERROR(__xludf.DUMMYFUNCTION("""COMPUTED_VALUE"""),9447104241)</f>
        <v>9447104241</v>
      </c>
      <c r="F500" t="str">
        <f ca="1">IFERROR(__xludf.DUMMYFUNCTION("""COMPUTED_VALUE"""),"Pathanamthitta")</f>
        <v>Pathanamthitta</v>
      </c>
      <c r="G500" t="str">
        <f ca="1">IFERROR(__xludf.DUMMYFUNCTION("""COMPUTED_VALUE"""),"siret solar pvt ltd")</f>
        <v>siret solar pvt ltd</v>
      </c>
      <c r="H500">
        <f ca="1">IFERROR(__xludf.DUMMYFUNCTION("""COMPUTED_VALUE"""),21)</f>
        <v>21</v>
      </c>
      <c r="I500" s="4">
        <f ca="1">IFERROR(__xludf.DUMMYFUNCTION("""COMPUTED_VALUE"""),43221)</f>
        <v>43221</v>
      </c>
      <c r="J500">
        <f ca="1">IFERROR(__xludf.DUMMYFUNCTION("""COMPUTED_VALUE"""),2)</f>
        <v>2</v>
      </c>
      <c r="K500">
        <f ca="1">IFERROR(__xludf.DUMMYFUNCTION("""COMPUTED_VALUE"""),1146181012167)</f>
        <v>1146181012167</v>
      </c>
      <c r="L500" t="str">
        <f ca="1">IFERROR(__xludf.DUMMYFUNCTION("""COMPUTED_VALUE"""),"Thottabhagom")</f>
        <v>Thottabhagom</v>
      </c>
      <c r="M500" t="str">
        <f ca="1">IFERROR(__xludf.DUMMYFUNCTION("""COMPUTED_VALUE"""),"I Accept")</f>
        <v>I Accept</v>
      </c>
      <c r="N500" s="4">
        <f ca="1">IFERROR(__xludf.DUMMYFUNCTION("""COMPUTED_VALUE"""),43217)</f>
        <v>43217</v>
      </c>
      <c r="O500" s="4">
        <f ca="1">IFERROR(__xludf.DUMMYFUNCTION("""COMPUTED_VALUE"""),43217)</f>
        <v>43217</v>
      </c>
      <c r="P500">
        <f ca="1">IFERROR(__xludf.DUMMYFUNCTION("""COMPUTED_VALUE"""),2)</f>
        <v>2</v>
      </c>
      <c r="Q500" t="str">
        <f ca="1">IFERROR(__xludf.DUMMYFUNCTION("""COMPUTED_VALUE"""),"jojijohnt@gmail.com")</f>
        <v>jojijohnt@gmail.com</v>
      </c>
      <c r="R500" s="2" t="s">
        <v>2914</v>
      </c>
    </row>
    <row r="501" spans="1:18" ht="13" x14ac:dyDescent="0.15">
      <c r="A501" s="3">
        <f ca="1">IFERROR(__xludf.DUMMYFUNCTION("""COMPUTED_VALUE"""),43221.8201777199)</f>
        <v>43221.820177719899</v>
      </c>
      <c r="B501" t="str">
        <f ca="1">IFERROR(__xludf.DUMMYFUNCTION("""COMPUTED_VALUE"""),"hykonkollam@gmail.com")</f>
        <v>hykonkollam@gmail.com</v>
      </c>
      <c r="C501">
        <f ca="1">IFERROR(__xludf.DUMMYFUNCTION("""COMPUTED_VALUE"""),2018)</f>
        <v>2018</v>
      </c>
      <c r="D501" t="str">
        <f ca="1">IFERROR(__xludf.DUMMYFUNCTION("""COMPUTED_VALUE"""),"ALLY SAM S")</f>
        <v>ALLY SAM S</v>
      </c>
      <c r="E501">
        <f ca="1">IFERROR(__xludf.DUMMYFUNCTION("""COMPUTED_VALUE"""),9495336654)</f>
        <v>9495336654</v>
      </c>
      <c r="F501" t="str">
        <f ca="1">IFERROR(__xludf.DUMMYFUNCTION("""COMPUTED_VALUE"""),"Kollam")</f>
        <v>Kollam</v>
      </c>
      <c r="G501" t="str">
        <f ca="1">IFERROR(__xludf.DUMMYFUNCTION("""COMPUTED_VALUE"""),"Hykon India (P) Ltd")</f>
        <v>Hykon India (P) Ltd</v>
      </c>
      <c r="H501">
        <f ca="1">IFERROR(__xludf.DUMMYFUNCTION("""COMPUTED_VALUE"""),41)</f>
        <v>41</v>
      </c>
      <c r="I501" s="4">
        <f ca="1">IFERROR(__xludf.DUMMYFUNCTION("""COMPUTED_VALUE"""),43214)</f>
        <v>43214</v>
      </c>
      <c r="J501">
        <f ca="1">IFERROR(__xludf.DUMMYFUNCTION("""COMPUTED_VALUE"""),2)</f>
        <v>2</v>
      </c>
      <c r="K501">
        <f ca="1">IFERROR(__xludf.DUMMYFUNCTION("""COMPUTED_VALUE"""),1145807016647)</f>
        <v>1145807016647</v>
      </c>
      <c r="L501" t="str">
        <f ca="1">IFERROR(__xludf.DUMMYFUNCTION("""COMPUTED_VALUE"""),"Mayyanad")</f>
        <v>Mayyanad</v>
      </c>
      <c r="M501" t="str">
        <f ca="1">IFERROR(__xludf.DUMMYFUNCTION("""COMPUTED_VALUE"""),"I Accept")</f>
        <v>I Accept</v>
      </c>
      <c r="N501" s="4">
        <f ca="1">IFERROR(__xludf.DUMMYFUNCTION("""COMPUTED_VALUE"""),43195)</f>
        <v>43195</v>
      </c>
      <c r="O501" s="4">
        <f ca="1">IFERROR(__xludf.DUMMYFUNCTION("""COMPUTED_VALUE"""),43195)</f>
        <v>43195</v>
      </c>
      <c r="P501">
        <f ca="1">IFERROR(__xludf.DUMMYFUNCTION("""COMPUTED_VALUE"""),2)</f>
        <v>2</v>
      </c>
      <c r="Q501" t="str">
        <f ca="1">IFERROR(__xludf.DUMMYFUNCTION("""COMPUTED_VALUE"""),"hykonkollam@gmail.com")</f>
        <v>hykonkollam@gmail.com</v>
      </c>
      <c r="R501" s="2" t="s">
        <v>2915</v>
      </c>
    </row>
    <row r="502" spans="1:18" ht="13" x14ac:dyDescent="0.15">
      <c r="A502" s="3">
        <f ca="1">IFERROR(__xludf.DUMMYFUNCTION("""COMPUTED_VALUE"""),43222.3966052546)</f>
        <v>43222.396605254602</v>
      </c>
      <c r="B502" t="str">
        <f ca="1">IFERROR(__xludf.DUMMYFUNCTION("""COMPUTED_VALUE"""),"keralasolarpes@gmail.com")</f>
        <v>keralasolarpes@gmail.com</v>
      </c>
      <c r="C502">
        <f ca="1">IFERROR(__xludf.DUMMYFUNCTION("""COMPUTED_VALUE"""),1035)</f>
        <v>1035</v>
      </c>
      <c r="D502" t="str">
        <f ca="1">IFERROR(__xludf.DUMMYFUNCTION("""COMPUTED_VALUE"""),"REENAROSE")</f>
        <v>REENAROSE</v>
      </c>
      <c r="E502">
        <f ca="1">IFERROR(__xludf.DUMMYFUNCTION("""COMPUTED_VALUE"""),9994175414)</f>
        <v>9994175414</v>
      </c>
      <c r="F502" t="str">
        <f ca="1">IFERROR(__xludf.DUMMYFUNCTION("""COMPUTED_VALUE"""),"Thrissur")</f>
        <v>Thrissur</v>
      </c>
      <c r="G502" t="str">
        <f ca="1">IFERROR(__xludf.DUMMYFUNCTION("""COMPUTED_VALUE"""),"PROGEN ENERGY SOLUTIONS")</f>
        <v>PROGEN ENERGY SOLUTIONS</v>
      </c>
      <c r="H502">
        <f ca="1">IFERROR(__xludf.DUMMYFUNCTION("""COMPUTED_VALUE"""),68)</f>
        <v>68</v>
      </c>
      <c r="I502" s="4">
        <f ca="1">IFERROR(__xludf.DUMMYFUNCTION("""COMPUTED_VALUE"""),43206)</f>
        <v>43206</v>
      </c>
      <c r="J502">
        <f ca="1">IFERROR(__xludf.DUMMYFUNCTION("""COMPUTED_VALUE"""),5)</f>
        <v>5</v>
      </c>
      <c r="K502">
        <f ca="1">IFERROR(__xludf.DUMMYFUNCTION("""COMPUTED_VALUE"""),180312102303)</f>
        <v>180312102303</v>
      </c>
      <c r="L502" t="str">
        <f ca="1">IFERROR(__xludf.DUMMYFUNCTION("""COMPUTED_VALUE"""),"5655")</f>
        <v>5655</v>
      </c>
      <c r="M502" t="str">
        <f ca="1">IFERROR(__xludf.DUMMYFUNCTION("""COMPUTED_VALUE"""),"I Accept")</f>
        <v>I Accept</v>
      </c>
      <c r="N502" s="4">
        <f ca="1">IFERROR(__xludf.DUMMYFUNCTION("""COMPUTED_VALUE"""),43182)</f>
        <v>43182</v>
      </c>
      <c r="O502" s="4">
        <f ca="1">IFERROR(__xludf.DUMMYFUNCTION("""COMPUTED_VALUE"""),43182)</f>
        <v>43182</v>
      </c>
      <c r="P502">
        <f ca="1">IFERROR(__xludf.DUMMYFUNCTION("""COMPUTED_VALUE"""),5)</f>
        <v>5</v>
      </c>
      <c r="Q502" t="str">
        <f ca="1">IFERROR(__xludf.DUMMYFUNCTION("""COMPUTED_VALUE"""),"keralasolarpes@gmail.com")</f>
        <v>keralasolarpes@gmail.com</v>
      </c>
      <c r="R502" s="2" t="s">
        <v>2916</v>
      </c>
    </row>
    <row r="503" spans="1:18" ht="13" x14ac:dyDescent="0.15">
      <c r="A503" s="3">
        <f ca="1">IFERROR(__xludf.DUMMYFUNCTION("""COMPUTED_VALUE"""),43222.4278155671)</f>
        <v>43222.427815567098</v>
      </c>
      <c r="B503" t="str">
        <f ca="1">IFERROR(__xludf.DUMMYFUNCTION("""COMPUTED_VALUE"""),"stsebastianschurchtdpa@gmail.com")</f>
        <v>stsebastianschurchtdpa@gmail.com</v>
      </c>
      <c r="C503">
        <f ca="1">IFERROR(__xludf.DUMMYFUNCTION("""COMPUTED_VALUE"""),1043)</f>
        <v>1043</v>
      </c>
      <c r="D503" t="str">
        <f ca="1">IFERROR(__xludf.DUMMYFUNCTION("""COMPUTED_VALUE"""),"VICAR ST SEBASTIAN CHURCH")</f>
        <v>VICAR ST SEBASTIAN CHURCH</v>
      </c>
      <c r="E503">
        <f ca="1">IFERROR(__xludf.DUMMYFUNCTION("""COMPUTED_VALUE"""),8593995099)</f>
        <v>8593995099</v>
      </c>
      <c r="F503" t="str">
        <f ca="1">IFERROR(__xludf.DUMMYFUNCTION("""COMPUTED_VALUE"""),"Idukki")</f>
        <v>Idukki</v>
      </c>
      <c r="G503" t="str">
        <f ca="1">IFERROR(__xludf.DUMMYFUNCTION("""COMPUTED_VALUE"""),"REECCO ENERGY INDIA PVT LTD")</f>
        <v>REECCO ENERGY INDIA PVT LTD</v>
      </c>
      <c r="H503">
        <f ca="1">IFERROR(__xludf.DUMMYFUNCTION("""COMPUTED_VALUE"""),47)</f>
        <v>47</v>
      </c>
      <c r="I503" s="4">
        <f ca="1">IFERROR(__xludf.DUMMYFUNCTION("""COMPUTED_VALUE"""),43209)</f>
        <v>43209</v>
      </c>
      <c r="J503">
        <f ca="1">IFERROR(__xludf.DUMMYFUNCTION("""COMPUTED_VALUE"""),20)</f>
        <v>20</v>
      </c>
      <c r="K503">
        <f ca="1">IFERROR(__xludf.DUMMYFUNCTION("""COMPUTED_VALUE"""),1156182033122)</f>
        <v>1156182033122</v>
      </c>
      <c r="L503" t="str">
        <f ca="1">IFERROR(__xludf.DUMMYFUNCTION("""COMPUTED_VALUE"""),"Thodupuzh - 1")</f>
        <v>Thodupuzh - 1</v>
      </c>
      <c r="M503" t="str">
        <f ca="1">IFERROR(__xludf.DUMMYFUNCTION("""COMPUTED_VALUE"""),"I Accept")</f>
        <v>I Accept</v>
      </c>
      <c r="N503" s="4">
        <f ca="1">IFERROR(__xludf.DUMMYFUNCTION("""COMPUTED_VALUE"""),43203)</f>
        <v>43203</v>
      </c>
      <c r="O503" s="4">
        <f ca="1">IFERROR(__xludf.DUMMYFUNCTION("""COMPUTED_VALUE"""),43203)</f>
        <v>43203</v>
      </c>
      <c r="P503">
        <f ca="1">IFERROR(__xludf.DUMMYFUNCTION("""COMPUTED_VALUE"""),20)</f>
        <v>20</v>
      </c>
      <c r="Q503" t="str">
        <f ca="1">IFERROR(__xludf.DUMMYFUNCTION("""COMPUTED_VALUE"""),"stsebastianschurchtdpa@gmail.com")</f>
        <v>stsebastianschurchtdpa@gmail.com</v>
      </c>
      <c r="R503" s="2" t="s">
        <v>2917</v>
      </c>
    </row>
    <row r="504" spans="1:18" ht="13" x14ac:dyDescent="0.15">
      <c r="A504" s="3">
        <f ca="1">IFERROR(__xludf.DUMMYFUNCTION("""COMPUTED_VALUE"""),43222.44065728)</f>
        <v>43222.44065728</v>
      </c>
      <c r="B504" t="str">
        <f ca="1">IFERROR(__xludf.DUMMYFUNCTION("""COMPUTED_VALUE"""),"aruvithuraforanechurch@gmail.com")</f>
        <v>aruvithuraforanechurch@gmail.com</v>
      </c>
      <c r="C504">
        <f ca="1">IFERROR(__xludf.DUMMYFUNCTION("""COMPUTED_VALUE"""),1044)</f>
        <v>1044</v>
      </c>
      <c r="D504" t="str">
        <f ca="1">IFERROR(__xludf.DUMMYFUNCTION("""COMPUTED_VALUE"""),"VICAR ST GEORGE CHURCH")</f>
        <v>VICAR ST GEORGE CHURCH</v>
      </c>
      <c r="E504">
        <f ca="1">IFERROR(__xludf.DUMMYFUNCTION("""COMPUTED_VALUE"""),8593995099)</f>
        <v>8593995099</v>
      </c>
      <c r="F504" t="str">
        <f ca="1">IFERROR(__xludf.DUMMYFUNCTION("""COMPUTED_VALUE"""),"Kottayam")</f>
        <v>Kottayam</v>
      </c>
      <c r="G504" t="str">
        <f ca="1">IFERROR(__xludf.DUMMYFUNCTION("""COMPUTED_VALUE"""),"REECCO ENERGY INDIA PVT LTD")</f>
        <v>REECCO ENERGY INDIA PVT LTD</v>
      </c>
      <c r="H504">
        <f ca="1">IFERROR(__xludf.DUMMYFUNCTION("""COMPUTED_VALUE"""),47)</f>
        <v>47</v>
      </c>
      <c r="I504" s="4">
        <f ca="1">IFERROR(__xludf.DUMMYFUNCTION("""COMPUTED_VALUE"""),43209)</f>
        <v>43209</v>
      </c>
      <c r="J504">
        <f ca="1">IFERROR(__xludf.DUMMYFUNCTION("""COMPUTED_VALUE"""),30)</f>
        <v>30</v>
      </c>
      <c r="K504">
        <f ca="1">IFERROR(__xludf.DUMMYFUNCTION("""COMPUTED_VALUE"""),1156300000117)</f>
        <v>1156300000117</v>
      </c>
      <c r="L504" t="str">
        <f ca="1">IFERROR(__xludf.DUMMYFUNCTION("""COMPUTED_VALUE"""),"Erattupetta")</f>
        <v>Erattupetta</v>
      </c>
      <c r="M504" t="str">
        <f ca="1">IFERROR(__xludf.DUMMYFUNCTION("""COMPUTED_VALUE"""),"I Accept")</f>
        <v>I Accept</v>
      </c>
      <c r="N504" s="4">
        <f ca="1">IFERROR(__xludf.DUMMYFUNCTION("""COMPUTED_VALUE"""),43210)</f>
        <v>43210</v>
      </c>
      <c r="O504" s="4">
        <f ca="1">IFERROR(__xludf.DUMMYFUNCTION("""COMPUTED_VALUE"""),43210)</f>
        <v>43210</v>
      </c>
      <c r="P504">
        <f ca="1">IFERROR(__xludf.DUMMYFUNCTION("""COMPUTED_VALUE"""),30)</f>
        <v>30</v>
      </c>
      <c r="Q504" t="str">
        <f ca="1">IFERROR(__xludf.DUMMYFUNCTION("""COMPUTED_VALUE"""),"aruvithuraforanechurch@gmail.com")</f>
        <v>aruvithuraforanechurch@gmail.com</v>
      </c>
      <c r="R504" s="2" t="s">
        <v>2918</v>
      </c>
    </row>
    <row r="505" spans="1:18" ht="13" x14ac:dyDescent="0.15">
      <c r="A505" s="3">
        <f ca="1">IFERROR(__xludf.DUMMYFUNCTION("""COMPUTED_VALUE"""),43222.4907659606)</f>
        <v>43222.490765960603</v>
      </c>
      <c r="B505" t="str">
        <f ca="1">IFERROR(__xludf.DUMMYFUNCTION("""COMPUTED_VALUE"""),"keralasolarpes@gmail.com")</f>
        <v>keralasolarpes@gmail.com</v>
      </c>
      <c r="C505">
        <f ca="1">IFERROR(__xludf.DUMMYFUNCTION("""COMPUTED_VALUE"""),1030)</f>
        <v>1030</v>
      </c>
      <c r="D505" t="str">
        <f ca="1">IFERROR(__xludf.DUMMYFUNCTION("""COMPUTED_VALUE"""),"JOSE PONMANI")</f>
        <v>JOSE PONMANI</v>
      </c>
      <c r="E505">
        <f ca="1">IFERROR(__xludf.DUMMYFUNCTION("""COMPUTED_VALUE"""),9994175414)</f>
        <v>9994175414</v>
      </c>
      <c r="F505" t="str">
        <f ca="1">IFERROR(__xludf.DUMMYFUNCTION("""COMPUTED_VALUE"""),"Palakkad")</f>
        <v>Palakkad</v>
      </c>
      <c r="G505" t="str">
        <f ca="1">IFERROR(__xludf.DUMMYFUNCTION("""COMPUTED_VALUE"""),"PROGEN ENERGY SOLUTIONS")</f>
        <v>PROGEN ENERGY SOLUTIONS</v>
      </c>
      <c r="H505">
        <f ca="1">IFERROR(__xludf.DUMMYFUNCTION("""COMPUTED_VALUE"""),68)</f>
        <v>68</v>
      </c>
      <c r="I505" s="4">
        <f ca="1">IFERROR(__xludf.DUMMYFUNCTION("""COMPUTED_VALUE"""),43199)</f>
        <v>43199</v>
      </c>
      <c r="J505">
        <f ca="1">IFERROR(__xludf.DUMMYFUNCTION("""COMPUTED_VALUE"""),10)</f>
        <v>10</v>
      </c>
      <c r="K505">
        <f ca="1">IFERROR(__xludf.DUMMYFUNCTION("""COMPUTED_VALUE"""),5655180302488)</f>
        <v>5655180302488</v>
      </c>
      <c r="L505" t="str">
        <f ca="1">IFERROR(__xludf.DUMMYFUNCTION("""COMPUTED_VALUE"""),"6529")</f>
        <v>6529</v>
      </c>
      <c r="M505" t="str">
        <f ca="1">IFERROR(__xludf.DUMMYFUNCTION("""COMPUTED_VALUE"""),"I Accept")</f>
        <v>I Accept</v>
      </c>
      <c r="N505" s="4">
        <f ca="1">IFERROR(__xludf.DUMMYFUNCTION("""COMPUTED_VALUE"""),43175)</f>
        <v>43175</v>
      </c>
      <c r="O505" s="4">
        <f ca="1">IFERROR(__xludf.DUMMYFUNCTION("""COMPUTED_VALUE"""),43175)</f>
        <v>43175</v>
      </c>
      <c r="P505">
        <f ca="1">IFERROR(__xludf.DUMMYFUNCTION("""COMPUTED_VALUE"""),9.6)</f>
        <v>9.6</v>
      </c>
      <c r="Q505" t="str">
        <f ca="1">IFERROR(__xludf.DUMMYFUNCTION("""COMPUTED_VALUE"""),"keralasolarpes@gmail.com")</f>
        <v>keralasolarpes@gmail.com</v>
      </c>
      <c r="R505" s="2" t="s">
        <v>2919</v>
      </c>
    </row>
    <row r="506" spans="1:18" ht="13" x14ac:dyDescent="0.15">
      <c r="A506" s="3">
        <f ca="1">IFERROR(__xludf.DUMMYFUNCTION("""COMPUTED_VALUE"""),43222.5050089236)</f>
        <v>43222.505008923603</v>
      </c>
      <c r="B506" t="str">
        <f ca="1">IFERROR(__xludf.DUMMYFUNCTION("""COMPUTED_VALUE"""),"keralasolarpes@gmail.com")</f>
        <v>keralasolarpes@gmail.com</v>
      </c>
      <c r="C506">
        <f ca="1">IFERROR(__xludf.DUMMYFUNCTION("""COMPUTED_VALUE"""),1033)</f>
        <v>1033</v>
      </c>
      <c r="D506" t="str">
        <f ca="1">IFERROR(__xludf.DUMMYFUNCTION("""COMPUTED_VALUE"""),"THRESSIAMMA K L ALIAS SISTER SUMA CHIRAYATH")</f>
        <v>THRESSIAMMA K L ALIAS SISTER SUMA CHIRAYATH</v>
      </c>
      <c r="E506">
        <f ca="1">IFERROR(__xludf.DUMMYFUNCTION("""COMPUTED_VALUE"""),9994175414)</f>
        <v>9994175414</v>
      </c>
      <c r="F506" t="str">
        <f ca="1">IFERROR(__xludf.DUMMYFUNCTION("""COMPUTED_VALUE"""),"Thrissur")</f>
        <v>Thrissur</v>
      </c>
      <c r="G506" t="str">
        <f ca="1">IFERROR(__xludf.DUMMYFUNCTION("""COMPUTED_VALUE"""),"PROGEN ENERGY SOLUTIONS")</f>
        <v>PROGEN ENERGY SOLUTIONS</v>
      </c>
      <c r="H506">
        <f ca="1">IFERROR(__xludf.DUMMYFUNCTION("""COMPUTED_VALUE"""),68)</f>
        <v>68</v>
      </c>
      <c r="I506" s="4">
        <f ca="1">IFERROR(__xludf.DUMMYFUNCTION("""COMPUTED_VALUE"""),43208)</f>
        <v>43208</v>
      </c>
      <c r="J506">
        <f ca="1">IFERROR(__xludf.DUMMYFUNCTION("""COMPUTED_VALUE"""),5)</f>
        <v>5</v>
      </c>
      <c r="K506">
        <f ca="1">IFERROR(__xludf.DUMMYFUNCTION("""COMPUTED_VALUE"""),1156398011251)</f>
        <v>1156398011251</v>
      </c>
      <c r="L506" t="str">
        <f ca="1">IFERROR(__xludf.DUMMYFUNCTION("""COMPUTED_VALUE"""),"5639")</f>
        <v>5639</v>
      </c>
      <c r="M506" t="str">
        <f ca="1">IFERROR(__xludf.DUMMYFUNCTION("""COMPUTED_VALUE"""),"I Accept")</f>
        <v>I Accept</v>
      </c>
      <c r="N506" s="4">
        <f ca="1">IFERROR(__xludf.DUMMYFUNCTION("""COMPUTED_VALUE"""),43187)</f>
        <v>43187</v>
      </c>
      <c r="O506" s="4">
        <f ca="1">IFERROR(__xludf.DUMMYFUNCTION("""COMPUTED_VALUE"""),43218)</f>
        <v>43218</v>
      </c>
      <c r="P506">
        <f ca="1">IFERROR(__xludf.DUMMYFUNCTION("""COMPUTED_VALUE"""),5)</f>
        <v>5</v>
      </c>
      <c r="Q506" t="str">
        <f ca="1">IFERROR(__xludf.DUMMYFUNCTION("""COMPUTED_VALUE"""),"keralasolarpes@gmail.com")</f>
        <v>keralasolarpes@gmail.com</v>
      </c>
      <c r="R506" s="2" t="s">
        <v>2920</v>
      </c>
    </row>
    <row r="507" spans="1:18" ht="13" x14ac:dyDescent="0.15">
      <c r="A507" s="3">
        <f ca="1">IFERROR(__xludf.DUMMYFUNCTION("""COMPUTED_VALUE"""),43222.5093485995)</f>
        <v>43222.509348599502</v>
      </c>
      <c r="B507" t="str">
        <f ca="1">IFERROR(__xludf.DUMMYFUNCTION("""COMPUTED_VALUE"""),"keralasolarpes@gmail.com")</f>
        <v>keralasolarpes@gmail.com</v>
      </c>
      <c r="C507">
        <f ca="1">IFERROR(__xludf.DUMMYFUNCTION("""COMPUTED_VALUE"""),1031)</f>
        <v>1031</v>
      </c>
      <c r="D507" t="str">
        <f ca="1">IFERROR(__xludf.DUMMYFUNCTION("""COMPUTED_VALUE"""),"JAICY C ALIAS SISTER JAICY CLARE")</f>
        <v>JAICY C ALIAS SISTER JAICY CLARE</v>
      </c>
      <c r="E507">
        <f ca="1">IFERROR(__xludf.DUMMYFUNCTION("""COMPUTED_VALUE"""),9994175414)</f>
        <v>9994175414</v>
      </c>
      <c r="F507" t="str">
        <f ca="1">IFERROR(__xludf.DUMMYFUNCTION("""COMPUTED_VALUE"""),"Thrissur")</f>
        <v>Thrissur</v>
      </c>
      <c r="G507" t="str">
        <f ca="1">IFERROR(__xludf.DUMMYFUNCTION("""COMPUTED_VALUE"""),"PROGEN ENERGY SOLUTIONS")</f>
        <v>PROGEN ENERGY SOLUTIONS</v>
      </c>
      <c r="H507">
        <f ca="1">IFERROR(__xludf.DUMMYFUNCTION("""COMPUTED_VALUE"""),68)</f>
        <v>68</v>
      </c>
      <c r="I507" s="4">
        <f ca="1">IFERROR(__xludf.DUMMYFUNCTION("""COMPUTED_VALUE"""),43206)</f>
        <v>43206</v>
      </c>
      <c r="J507">
        <f ca="1">IFERROR(__xludf.DUMMYFUNCTION("""COMPUTED_VALUE"""),5)</f>
        <v>5</v>
      </c>
      <c r="K507">
        <f ca="1">IFERROR(__xludf.DUMMYFUNCTION("""COMPUTED_VALUE"""),1156730009224)</f>
        <v>1156730009224</v>
      </c>
      <c r="L507" t="str">
        <f ca="1">IFERROR(__xludf.DUMMYFUNCTION("""COMPUTED_VALUE"""),"5673")</f>
        <v>5673</v>
      </c>
      <c r="M507" t="str">
        <f ca="1">IFERROR(__xludf.DUMMYFUNCTION("""COMPUTED_VALUE"""),"I Accept")</f>
        <v>I Accept</v>
      </c>
      <c r="N507" s="4">
        <f ca="1">IFERROR(__xludf.DUMMYFUNCTION("""COMPUTED_VALUE"""),43216)</f>
        <v>43216</v>
      </c>
      <c r="O507" s="4">
        <f ca="1">IFERROR(__xludf.DUMMYFUNCTION("""COMPUTED_VALUE"""),43216)</f>
        <v>43216</v>
      </c>
      <c r="P507">
        <f ca="1">IFERROR(__xludf.DUMMYFUNCTION("""COMPUTED_VALUE"""),5)</f>
        <v>5</v>
      </c>
      <c r="Q507" t="str">
        <f ca="1">IFERROR(__xludf.DUMMYFUNCTION("""COMPUTED_VALUE"""),"keralasolarpes@gmail.com")</f>
        <v>keralasolarpes@gmail.com</v>
      </c>
      <c r="R507" s="2" t="s">
        <v>2921</v>
      </c>
    </row>
    <row r="508" spans="1:18" ht="13" x14ac:dyDescent="0.15">
      <c r="A508" s="3">
        <f ca="1">IFERROR(__xludf.DUMMYFUNCTION("""COMPUTED_VALUE"""),43222.5117194791)</f>
        <v>43222.511719479102</v>
      </c>
      <c r="B508" t="str">
        <f ca="1">IFERROR(__xludf.DUMMYFUNCTION("""COMPUTED_VALUE"""),"keralasolarpes@gmail.com")</f>
        <v>keralasolarpes@gmail.com</v>
      </c>
      <c r="C508">
        <f ca="1">IFERROR(__xludf.DUMMYFUNCTION("""COMPUTED_VALUE"""),1035)</f>
        <v>1035</v>
      </c>
      <c r="D508" t="str">
        <f ca="1">IFERROR(__xludf.DUMMYFUNCTION("""COMPUTED_VALUE"""),"REENAROSE")</f>
        <v>REENAROSE</v>
      </c>
      <c r="E508">
        <f ca="1">IFERROR(__xludf.DUMMYFUNCTION("""COMPUTED_VALUE"""),9994175414)</f>
        <v>9994175414</v>
      </c>
      <c r="F508" t="str">
        <f ca="1">IFERROR(__xludf.DUMMYFUNCTION("""COMPUTED_VALUE"""),"Thrissur")</f>
        <v>Thrissur</v>
      </c>
      <c r="G508" t="str">
        <f ca="1">IFERROR(__xludf.DUMMYFUNCTION("""COMPUTED_VALUE"""),"PROGEN ENERGY SOLUTIONS")</f>
        <v>PROGEN ENERGY SOLUTIONS</v>
      </c>
      <c r="H508">
        <f ca="1">IFERROR(__xludf.DUMMYFUNCTION("""COMPUTED_VALUE"""),68)</f>
        <v>68</v>
      </c>
      <c r="I508" s="4">
        <f ca="1">IFERROR(__xludf.DUMMYFUNCTION("""COMPUTED_VALUE"""),43206)</f>
        <v>43206</v>
      </c>
      <c r="J508">
        <f ca="1">IFERROR(__xludf.DUMMYFUNCTION("""COMPUTED_VALUE"""),5)</f>
        <v>5</v>
      </c>
      <c r="K508">
        <f ca="1">IFERROR(__xludf.DUMMYFUNCTION("""COMPUTED_VALUE"""),1156557000380)</f>
        <v>1156557000380</v>
      </c>
      <c r="L508" t="str">
        <f ca="1">IFERROR(__xludf.DUMMYFUNCTION("""COMPUTED_VALUE"""),"5655")</f>
        <v>5655</v>
      </c>
      <c r="M508" t="str">
        <f ca="1">IFERROR(__xludf.DUMMYFUNCTION("""COMPUTED_VALUE"""),"I Accept")</f>
        <v>I Accept</v>
      </c>
      <c r="N508" s="4">
        <f ca="1">IFERROR(__xludf.DUMMYFUNCTION("""COMPUTED_VALUE"""),43181)</f>
        <v>43181</v>
      </c>
      <c r="O508" s="4">
        <f ca="1">IFERROR(__xludf.DUMMYFUNCTION("""COMPUTED_VALUE"""),43181)</f>
        <v>43181</v>
      </c>
      <c r="P508">
        <f ca="1">IFERROR(__xludf.DUMMYFUNCTION("""COMPUTED_VALUE"""),5)</f>
        <v>5</v>
      </c>
      <c r="Q508" t="str">
        <f ca="1">IFERROR(__xludf.DUMMYFUNCTION("""COMPUTED_VALUE"""),"keralasolarpes@gmail.com")</f>
        <v>keralasolarpes@gmail.com</v>
      </c>
      <c r="R508" s="2" t="s">
        <v>2922</v>
      </c>
    </row>
    <row r="509" spans="1:18" ht="13" x14ac:dyDescent="0.15">
      <c r="A509" s="3">
        <f ca="1">IFERROR(__xludf.DUMMYFUNCTION("""COMPUTED_VALUE"""),43222.5148462963)</f>
        <v>43222.514846296297</v>
      </c>
      <c r="B509" t="str">
        <f ca="1">IFERROR(__xludf.DUMMYFUNCTION("""COMPUTED_VALUE"""),"keralasolarpes@gmail.com")</f>
        <v>keralasolarpes@gmail.com</v>
      </c>
      <c r="C509">
        <f ca="1">IFERROR(__xludf.DUMMYFUNCTION("""COMPUTED_VALUE"""),1030)</f>
        <v>1030</v>
      </c>
      <c r="D509" t="str">
        <f ca="1">IFERROR(__xludf.DUMMYFUNCTION("""COMPUTED_VALUE"""),"JOSE PONMANI")</f>
        <v>JOSE PONMANI</v>
      </c>
      <c r="E509">
        <f ca="1">IFERROR(__xludf.DUMMYFUNCTION("""COMPUTED_VALUE"""),99941745414)</f>
        <v>99941745414</v>
      </c>
      <c r="F509" t="str">
        <f ca="1">IFERROR(__xludf.DUMMYFUNCTION("""COMPUTED_VALUE"""),"Palakkad")</f>
        <v>Palakkad</v>
      </c>
      <c r="G509" t="str">
        <f ca="1">IFERROR(__xludf.DUMMYFUNCTION("""COMPUTED_VALUE"""),"PROGEN ENERGY SOLUTIONS")</f>
        <v>PROGEN ENERGY SOLUTIONS</v>
      </c>
      <c r="H509">
        <f ca="1">IFERROR(__xludf.DUMMYFUNCTION("""COMPUTED_VALUE"""),68)</f>
        <v>68</v>
      </c>
      <c r="I509" s="4">
        <f ca="1">IFERROR(__xludf.DUMMYFUNCTION("""COMPUTED_VALUE"""),43199)</f>
        <v>43199</v>
      </c>
      <c r="J509">
        <f ca="1">IFERROR(__xludf.DUMMYFUNCTION("""COMPUTED_VALUE"""),10)</f>
        <v>10</v>
      </c>
      <c r="K509">
        <f ca="1">IFERROR(__xludf.DUMMYFUNCTION("""COMPUTED_VALUE"""),1165295006412)</f>
        <v>1165295006412</v>
      </c>
      <c r="L509" t="str">
        <f ca="1">IFERROR(__xludf.DUMMYFUNCTION("""COMPUTED_VALUE"""),"6529")</f>
        <v>6529</v>
      </c>
      <c r="M509" t="str">
        <f ca="1">IFERROR(__xludf.DUMMYFUNCTION("""COMPUTED_VALUE"""),"I Accept")</f>
        <v>I Accept</v>
      </c>
      <c r="N509" s="4">
        <f ca="1">IFERROR(__xludf.DUMMYFUNCTION("""COMPUTED_VALUE"""),43175)</f>
        <v>43175</v>
      </c>
      <c r="O509" s="4">
        <f ca="1">IFERROR(__xludf.DUMMYFUNCTION("""COMPUTED_VALUE"""),43175)</f>
        <v>43175</v>
      </c>
      <c r="P509">
        <f ca="1">IFERROR(__xludf.DUMMYFUNCTION("""COMPUTED_VALUE"""),9.6)</f>
        <v>9.6</v>
      </c>
      <c r="Q509" t="str">
        <f ca="1">IFERROR(__xludf.DUMMYFUNCTION("""COMPUTED_VALUE"""),"keralasolarpes@gmail.com")</f>
        <v>keralasolarpes@gmail.com</v>
      </c>
      <c r="R509" s="2" t="s">
        <v>2923</v>
      </c>
    </row>
    <row r="510" spans="1:18" ht="13" x14ac:dyDescent="0.15">
      <c r="A510" s="3">
        <f ca="1">IFERROR(__xludf.DUMMYFUNCTION("""COMPUTED_VALUE"""),43222.5760792824)</f>
        <v>43222.5760792824</v>
      </c>
      <c r="B510" t="str">
        <f ca="1">IFERROR(__xludf.DUMMYFUNCTION("""COMPUTED_VALUE"""),"noorakshaya@gmail.com")</f>
        <v>noorakshaya@gmail.com</v>
      </c>
      <c r="C510">
        <f ca="1">IFERROR(__xludf.DUMMYFUNCTION("""COMPUTED_VALUE"""),389)</f>
        <v>389</v>
      </c>
      <c r="D510" t="str">
        <f ca="1">IFERROR(__xludf.DUMMYFUNCTION("""COMPUTED_VALUE"""),"Jayalakshmy M K")</f>
        <v>Jayalakshmy M K</v>
      </c>
      <c r="E510">
        <f ca="1">IFERROR(__xludf.DUMMYFUNCTION("""COMPUTED_VALUE"""),9645322229)</f>
        <v>9645322229</v>
      </c>
      <c r="F510" t="str">
        <f ca="1">IFERROR(__xludf.DUMMYFUNCTION("""COMPUTED_VALUE"""),"Thiruvananthapuram")</f>
        <v>Thiruvananthapuram</v>
      </c>
      <c r="G510" t="str">
        <f ca="1">IFERROR(__xludf.DUMMYFUNCTION("""COMPUTED_VALUE"""),"Renergy Systems India Pvt Ltd")</f>
        <v>Renergy Systems India Pvt Ltd</v>
      </c>
      <c r="H510">
        <f ca="1">IFERROR(__xludf.DUMMYFUNCTION("""COMPUTED_VALUE"""),38)</f>
        <v>38</v>
      </c>
      <c r="I510" s="4">
        <f ca="1">IFERROR(__xludf.DUMMYFUNCTION("""COMPUTED_VALUE"""),43159)</f>
        <v>43159</v>
      </c>
      <c r="J510">
        <f ca="1">IFERROR(__xludf.DUMMYFUNCTION("""COMPUTED_VALUE"""),2)</f>
        <v>2</v>
      </c>
      <c r="K510">
        <f ca="1">IFERROR(__xludf.DUMMYFUNCTION("""COMPUTED_VALUE"""),1145140022213)</f>
        <v>1145140022213</v>
      </c>
      <c r="L510" t="str">
        <f ca="1">IFERROR(__xludf.DUMMYFUNCTION("""COMPUTED_VALUE"""),"Pettah")</f>
        <v>Pettah</v>
      </c>
      <c r="M510" t="str">
        <f ca="1">IFERROR(__xludf.DUMMYFUNCTION("""COMPUTED_VALUE"""),"I Accept")</f>
        <v>I Accept</v>
      </c>
      <c r="N510" s="4">
        <f ca="1">IFERROR(__xludf.DUMMYFUNCTION("""COMPUTED_VALUE"""),43194)</f>
        <v>43194</v>
      </c>
      <c r="O510" s="4">
        <f ca="1">IFERROR(__xludf.DUMMYFUNCTION("""COMPUTED_VALUE"""),43194)</f>
        <v>43194</v>
      </c>
      <c r="P510">
        <f ca="1">IFERROR(__xludf.DUMMYFUNCTION("""COMPUTED_VALUE"""),2)</f>
        <v>2</v>
      </c>
      <c r="Q510" t="str">
        <f ca="1">IFERROR(__xludf.DUMMYFUNCTION("""COMPUTED_VALUE"""),"noorakshaya@gmail.com")</f>
        <v>noorakshaya@gmail.com</v>
      </c>
      <c r="R510" s="2" t="s">
        <v>2924</v>
      </c>
    </row>
    <row r="511" spans="1:18" ht="13" x14ac:dyDescent="0.15">
      <c r="A511" s="3">
        <f ca="1">IFERROR(__xludf.DUMMYFUNCTION("""COMPUTED_VALUE"""),43222.6334248263)</f>
        <v>43222.633424826301</v>
      </c>
      <c r="B511" t="str">
        <f ca="1">IFERROR(__xludf.DUMMYFUNCTION("""COMPUTED_VALUE"""),"noorakshaya@gmail.com")</f>
        <v>noorakshaya@gmail.com</v>
      </c>
      <c r="C511">
        <f ca="1">IFERROR(__xludf.DUMMYFUNCTION("""COMPUTED_VALUE"""),615)</f>
        <v>615</v>
      </c>
      <c r="D511" t="str">
        <f ca="1">IFERROR(__xludf.DUMMYFUNCTION("""COMPUTED_VALUE"""),"Puthumana Philip Joseph")</f>
        <v>Puthumana Philip Joseph</v>
      </c>
      <c r="E511">
        <f ca="1">IFERROR(__xludf.DUMMYFUNCTION("""COMPUTED_VALUE"""),9645322226)</f>
        <v>9645322226</v>
      </c>
      <c r="F511" t="str">
        <f ca="1">IFERROR(__xludf.DUMMYFUNCTION("""COMPUTED_VALUE"""),"Thiruvananthapuram")</f>
        <v>Thiruvananthapuram</v>
      </c>
      <c r="G511" t="str">
        <f ca="1">IFERROR(__xludf.DUMMYFUNCTION("""COMPUTED_VALUE"""),"Renergy Systems India Pvt Ltd")</f>
        <v>Renergy Systems India Pvt Ltd</v>
      </c>
      <c r="H511">
        <f ca="1">IFERROR(__xludf.DUMMYFUNCTION("""COMPUTED_VALUE"""),38)</f>
        <v>38</v>
      </c>
      <c r="I511" s="4">
        <f ca="1">IFERROR(__xludf.DUMMYFUNCTION("""COMPUTED_VALUE"""),43222)</f>
        <v>43222</v>
      </c>
      <c r="J511">
        <f ca="1">IFERROR(__xludf.DUMMYFUNCTION("""COMPUTED_VALUE"""),5)</f>
        <v>5</v>
      </c>
      <c r="K511">
        <f ca="1">IFERROR(__xludf.DUMMYFUNCTION("""COMPUTED_VALUE"""),1145074017381)</f>
        <v>1145074017381</v>
      </c>
      <c r="L511" t="str">
        <f ca="1">IFERROR(__xludf.DUMMYFUNCTION("""COMPUTED_VALUE"""),"Vellayambalam")</f>
        <v>Vellayambalam</v>
      </c>
      <c r="M511" t="str">
        <f ca="1">IFERROR(__xludf.DUMMYFUNCTION("""COMPUTED_VALUE"""),"I Accept")</f>
        <v>I Accept</v>
      </c>
      <c r="N511" s="4">
        <f ca="1">IFERROR(__xludf.DUMMYFUNCTION("""COMPUTED_VALUE"""),43203)</f>
        <v>43203</v>
      </c>
      <c r="O511" s="4">
        <f ca="1">IFERROR(__xludf.DUMMYFUNCTION("""COMPUTED_VALUE"""),43203)</f>
        <v>43203</v>
      </c>
      <c r="P511">
        <f ca="1">IFERROR(__xludf.DUMMYFUNCTION("""COMPUTED_VALUE"""),5)</f>
        <v>5</v>
      </c>
      <c r="Q511" t="str">
        <f ca="1">IFERROR(__xludf.DUMMYFUNCTION("""COMPUTED_VALUE"""),"noorakshaya@gmail.com")</f>
        <v>noorakshaya@gmail.com</v>
      </c>
      <c r="R511" s="2" t="s">
        <v>2925</v>
      </c>
    </row>
    <row r="512" spans="1:18" ht="13" x14ac:dyDescent="0.15">
      <c r="A512" s="3">
        <f ca="1">IFERROR(__xludf.DUMMYFUNCTION("""COMPUTED_VALUE"""),43222.6769156944)</f>
        <v>43222.676915694399</v>
      </c>
      <c r="B512" t="str">
        <f ca="1">IFERROR(__xludf.DUMMYFUNCTION("""COMPUTED_VALUE"""),"sales.bbassociates@gmail.com")</f>
        <v>sales.bbassociates@gmail.com</v>
      </c>
      <c r="C512">
        <f ca="1">IFERROR(__xludf.DUMMYFUNCTION("""COMPUTED_VALUE"""),706)</f>
        <v>706</v>
      </c>
      <c r="D512" t="str">
        <f ca="1">IFERROR(__xludf.DUMMYFUNCTION("""COMPUTED_VALUE"""),"Benny M V")</f>
        <v>Benny M V</v>
      </c>
      <c r="E512">
        <f ca="1">IFERROR(__xludf.DUMMYFUNCTION("""COMPUTED_VALUE"""),9567105245)</f>
        <v>9567105245</v>
      </c>
      <c r="F512" t="str">
        <f ca="1">IFERROR(__xludf.DUMMYFUNCTION("""COMPUTED_VALUE"""),"Ernakulam")</f>
        <v>Ernakulam</v>
      </c>
      <c r="G512" t="str">
        <f ca="1">IFERROR(__xludf.DUMMYFUNCTION("""COMPUTED_VALUE"""),"Bosch Ltd")</f>
        <v>Bosch Ltd</v>
      </c>
      <c r="H512">
        <f ca="1">IFERROR(__xludf.DUMMYFUNCTION("""COMPUTED_VALUE"""),18)</f>
        <v>18</v>
      </c>
      <c r="I512" s="4">
        <f ca="1">IFERROR(__xludf.DUMMYFUNCTION("""COMPUTED_VALUE"""),43186)</f>
        <v>43186</v>
      </c>
      <c r="J512">
        <f ca="1">IFERROR(__xludf.DUMMYFUNCTION("""COMPUTED_VALUE"""),3)</f>
        <v>3</v>
      </c>
      <c r="K512">
        <f ca="1">IFERROR(__xludf.DUMMYFUNCTION("""COMPUTED_VALUE"""),1155497016746)</f>
        <v>1155497016746</v>
      </c>
      <c r="L512" t="str">
        <f ca="1">IFERROR(__xludf.DUMMYFUNCTION("""COMPUTED_VALUE"""),"Udayamperoor")</f>
        <v>Udayamperoor</v>
      </c>
      <c r="M512" t="str">
        <f ca="1">IFERROR(__xludf.DUMMYFUNCTION("""COMPUTED_VALUE"""),"I Accept")</f>
        <v>I Accept</v>
      </c>
      <c r="N512" s="4">
        <f ca="1">IFERROR(__xludf.DUMMYFUNCTION("""COMPUTED_VALUE"""),43178)</f>
        <v>43178</v>
      </c>
      <c r="O512" s="4">
        <f ca="1">IFERROR(__xludf.DUMMYFUNCTION("""COMPUTED_VALUE"""),43178)</f>
        <v>43178</v>
      </c>
      <c r="P512">
        <f ca="1">IFERROR(__xludf.DUMMYFUNCTION("""COMPUTED_VALUE"""),3)</f>
        <v>3</v>
      </c>
      <c r="Q512" t="str">
        <f ca="1">IFERROR(__xludf.DUMMYFUNCTION("""COMPUTED_VALUE"""),"sales.bbassociates@gmail.com")</f>
        <v>sales.bbassociates@gmail.com</v>
      </c>
      <c r="R512" s="2" t="s">
        <v>2926</v>
      </c>
    </row>
    <row r="513" spans="1:18" ht="13" x14ac:dyDescent="0.15">
      <c r="A513" s="3">
        <f ca="1">IFERROR(__xludf.DUMMYFUNCTION("""COMPUTED_VALUE"""),43223.5218536111)</f>
        <v>43223.521853611099</v>
      </c>
      <c r="B513" t="str">
        <f ca="1">IFERROR(__xludf.DUMMYFUNCTION("""COMPUTED_VALUE"""),"akhilalezz@gmail.com")</f>
        <v>akhilalezz@gmail.com</v>
      </c>
      <c r="C513">
        <f ca="1">IFERROR(__xludf.DUMMYFUNCTION("""COMPUTED_VALUE"""),270)</f>
        <v>270</v>
      </c>
      <c r="D513" t="str">
        <f ca="1">IFERROR(__xludf.DUMMYFUNCTION("""COMPUTED_VALUE"""),"Shally Joseph")</f>
        <v>Shally Joseph</v>
      </c>
      <c r="E513">
        <f ca="1">IFERROR(__xludf.DUMMYFUNCTION("""COMPUTED_VALUE"""),7907009190)</f>
        <v>7907009190</v>
      </c>
      <c r="F513" t="str">
        <f ca="1">IFERROR(__xludf.DUMMYFUNCTION("""COMPUTED_VALUE"""),"Ernakulam")</f>
        <v>Ernakulam</v>
      </c>
      <c r="G513" t="str">
        <f ca="1">IFERROR(__xludf.DUMMYFUNCTION("""COMPUTED_VALUE"""),"SOLGEN ENERGY PVT LTD")</f>
        <v>SOLGEN ENERGY PVT LTD</v>
      </c>
      <c r="H513">
        <f ca="1">IFERROR(__xludf.DUMMYFUNCTION("""COMPUTED_VALUE"""),42)</f>
        <v>42</v>
      </c>
      <c r="I513" s="4">
        <f ca="1">IFERROR(__xludf.DUMMYFUNCTION("""COMPUTED_VALUE"""),43223)</f>
        <v>43223</v>
      </c>
      <c r="J513">
        <f ca="1">IFERROR(__xludf.DUMMYFUNCTION("""COMPUTED_VALUE"""),3)</f>
        <v>3</v>
      </c>
      <c r="K513">
        <f ca="1">IFERROR(__xludf.DUMMYFUNCTION("""COMPUTED_VALUE"""),1155951001862)</f>
        <v>1155951001862</v>
      </c>
      <c r="L513" t="str">
        <f ca="1">IFERROR(__xludf.DUMMYFUNCTION("""COMPUTED_VALUE"""),"VELLOORKUNNOM")</f>
        <v>VELLOORKUNNOM</v>
      </c>
      <c r="M513" t="str">
        <f ca="1">IFERROR(__xludf.DUMMYFUNCTION("""COMPUTED_VALUE"""),"I Accept")</f>
        <v>I Accept</v>
      </c>
      <c r="N513" s="4">
        <f ca="1">IFERROR(__xludf.DUMMYFUNCTION("""COMPUTED_VALUE"""),43143)</f>
        <v>43143</v>
      </c>
      <c r="O513" s="4">
        <f ca="1">IFERROR(__xludf.DUMMYFUNCTION("""COMPUTED_VALUE"""),43145)</f>
        <v>43145</v>
      </c>
      <c r="P513">
        <f ca="1">IFERROR(__xludf.DUMMYFUNCTION("""COMPUTED_VALUE"""),3)</f>
        <v>3</v>
      </c>
      <c r="Q513" t="str">
        <f ca="1">IFERROR(__xludf.DUMMYFUNCTION("""COMPUTED_VALUE"""),"akhilalezz@gmail.com")</f>
        <v>akhilalezz@gmail.com</v>
      </c>
      <c r="R513" s="2" t="s">
        <v>2927</v>
      </c>
    </row>
    <row r="514" spans="1:18" ht="13" x14ac:dyDescent="0.15">
      <c r="A514" s="3">
        <f ca="1">IFERROR(__xludf.DUMMYFUNCTION("""COMPUTED_VALUE"""),43223.5246783449)</f>
        <v>43223.524678344897</v>
      </c>
      <c r="B514" t="str">
        <f ca="1">IFERROR(__xludf.DUMMYFUNCTION("""COMPUTED_VALUE"""),"akhilalezz@gmail.com")</f>
        <v>akhilalezz@gmail.com</v>
      </c>
      <c r="C514">
        <f ca="1">IFERROR(__xludf.DUMMYFUNCTION("""COMPUTED_VALUE"""),908)</f>
        <v>908</v>
      </c>
      <c r="D514" t="str">
        <f ca="1">IFERROR(__xludf.DUMMYFUNCTION("""COMPUTED_VALUE"""),"Alikutty K T")</f>
        <v>Alikutty K T</v>
      </c>
      <c r="E514">
        <f ca="1">IFERROR(__xludf.DUMMYFUNCTION("""COMPUTED_VALUE"""),7907009190)</f>
        <v>7907009190</v>
      </c>
      <c r="F514" t="str">
        <f ca="1">IFERROR(__xludf.DUMMYFUNCTION("""COMPUTED_VALUE"""),"Ernakulam")</f>
        <v>Ernakulam</v>
      </c>
      <c r="G514" t="str">
        <f ca="1">IFERROR(__xludf.DUMMYFUNCTION("""COMPUTED_VALUE"""),"SOLGEN ENERGY PVT LTD")</f>
        <v>SOLGEN ENERGY PVT LTD</v>
      </c>
      <c r="H514">
        <f ca="1">IFERROR(__xludf.DUMMYFUNCTION("""COMPUTED_VALUE"""),42)</f>
        <v>42</v>
      </c>
      <c r="I514" s="4">
        <f ca="1">IFERROR(__xludf.DUMMYFUNCTION("""COMPUTED_VALUE"""),43223)</f>
        <v>43223</v>
      </c>
      <c r="J514">
        <f ca="1">IFERROR(__xludf.DUMMYFUNCTION("""COMPUTED_VALUE"""),5)</f>
        <v>5</v>
      </c>
      <c r="K514">
        <f ca="1">IFERROR(__xludf.DUMMYFUNCTION("""COMPUTED_VALUE"""),1155982004625)</f>
        <v>1155982004625</v>
      </c>
      <c r="L514" t="str">
        <f ca="1">IFERROR(__xludf.DUMMYFUNCTION("""COMPUTED_VALUE"""),"KOTHATTUKULAM")</f>
        <v>KOTHATTUKULAM</v>
      </c>
      <c r="M514" t="str">
        <f ca="1">IFERROR(__xludf.DUMMYFUNCTION("""COMPUTED_VALUE"""),"I Accept")</f>
        <v>I Accept</v>
      </c>
      <c r="N514" s="4">
        <f ca="1">IFERROR(__xludf.DUMMYFUNCTION("""COMPUTED_VALUE"""),43187)</f>
        <v>43187</v>
      </c>
      <c r="O514" s="4">
        <f ca="1">IFERROR(__xludf.DUMMYFUNCTION("""COMPUTED_VALUE"""),43202)</f>
        <v>43202</v>
      </c>
      <c r="P514">
        <f ca="1">IFERROR(__xludf.DUMMYFUNCTION("""COMPUTED_VALUE"""),5)</f>
        <v>5</v>
      </c>
      <c r="Q514" t="str">
        <f ca="1">IFERROR(__xludf.DUMMYFUNCTION("""COMPUTED_VALUE"""),"akhilalezz@gmail.com")</f>
        <v>akhilalezz@gmail.com</v>
      </c>
      <c r="R514" s="2" t="s">
        <v>2928</v>
      </c>
    </row>
    <row r="515" spans="1:18" ht="13" x14ac:dyDescent="0.15">
      <c r="A515" s="3">
        <f ca="1">IFERROR(__xludf.DUMMYFUNCTION("""COMPUTED_VALUE"""),43223.529351574)</f>
        <v>43223.529351573998</v>
      </c>
      <c r="B515" t="str">
        <f ca="1">IFERROR(__xludf.DUMMYFUNCTION("""COMPUTED_VALUE"""),"akhilalezz@gmail.com")</f>
        <v>akhilalezz@gmail.com</v>
      </c>
      <c r="C515">
        <f ca="1">IFERROR(__xludf.DUMMYFUNCTION("""COMPUTED_VALUE"""),864)</f>
        <v>864</v>
      </c>
      <c r="D515" t="str">
        <f ca="1">IFERROR(__xludf.DUMMYFUNCTION("""COMPUTED_VALUE"""),"Prema Sahadevan")</f>
        <v>Prema Sahadevan</v>
      </c>
      <c r="E515">
        <f ca="1">IFERROR(__xludf.DUMMYFUNCTION("""COMPUTED_VALUE"""),7907009190)</f>
        <v>7907009190</v>
      </c>
      <c r="F515" t="str">
        <f ca="1">IFERROR(__xludf.DUMMYFUNCTION("""COMPUTED_VALUE"""),"Ernakulam")</f>
        <v>Ernakulam</v>
      </c>
      <c r="G515" t="str">
        <f ca="1">IFERROR(__xludf.DUMMYFUNCTION("""COMPUTED_VALUE"""),"SOLGEN ENERY PVT LTD")</f>
        <v>SOLGEN ENERY PVT LTD</v>
      </c>
      <c r="H515">
        <f ca="1">IFERROR(__xludf.DUMMYFUNCTION("""COMPUTED_VALUE"""),42)</f>
        <v>42</v>
      </c>
      <c r="I515" s="4">
        <f ca="1">IFERROR(__xludf.DUMMYFUNCTION("""COMPUTED_VALUE"""),43223)</f>
        <v>43223</v>
      </c>
      <c r="J515">
        <f ca="1">IFERROR(__xludf.DUMMYFUNCTION("""COMPUTED_VALUE"""),15)</f>
        <v>15</v>
      </c>
      <c r="K515">
        <f ca="1">IFERROR(__xludf.DUMMYFUNCTION("""COMPUTED_VALUE"""),1155450006757)</f>
        <v>1155450006757</v>
      </c>
      <c r="L515" t="str">
        <f ca="1">IFERROR(__xludf.DUMMYFUNCTION("""COMPUTED_VALUE"""),"KALOOR")</f>
        <v>KALOOR</v>
      </c>
      <c r="M515" t="str">
        <f ca="1">IFERROR(__xludf.DUMMYFUNCTION("""COMPUTED_VALUE"""),"I Accept")</f>
        <v>I Accept</v>
      </c>
      <c r="N515" s="4">
        <f ca="1">IFERROR(__xludf.DUMMYFUNCTION("""COMPUTED_VALUE"""),43182)</f>
        <v>43182</v>
      </c>
      <c r="O515" s="4">
        <f ca="1">IFERROR(__xludf.DUMMYFUNCTION("""COMPUTED_VALUE"""),43182)</f>
        <v>43182</v>
      </c>
      <c r="P515">
        <f ca="1">IFERROR(__xludf.DUMMYFUNCTION("""COMPUTED_VALUE"""),15)</f>
        <v>15</v>
      </c>
      <c r="Q515" t="str">
        <f ca="1">IFERROR(__xludf.DUMMYFUNCTION("""COMPUTED_VALUE"""),"akhilalezz@gmail.com")</f>
        <v>akhilalezz@gmail.com</v>
      </c>
      <c r="R515" s="2" t="s">
        <v>2929</v>
      </c>
    </row>
    <row r="516" spans="1:18" ht="13" x14ac:dyDescent="0.15">
      <c r="A516" s="3">
        <f ca="1">IFERROR(__xludf.DUMMYFUNCTION("""COMPUTED_VALUE"""),43223.5316938194)</f>
        <v>43223.531693819401</v>
      </c>
      <c r="B516" t="str">
        <f ca="1">IFERROR(__xludf.DUMMYFUNCTION("""COMPUTED_VALUE"""),"akhilalezz@gmail.com")</f>
        <v>akhilalezz@gmail.com</v>
      </c>
      <c r="C516">
        <f ca="1">IFERROR(__xludf.DUMMYFUNCTION("""COMPUTED_VALUE"""),866)</f>
        <v>866</v>
      </c>
      <c r="D516" t="str">
        <f ca="1">IFERROR(__xludf.DUMMYFUNCTION("""COMPUTED_VALUE"""),"Geo K John")</f>
        <v>Geo K John</v>
      </c>
      <c r="E516">
        <f ca="1">IFERROR(__xludf.DUMMYFUNCTION("""COMPUTED_VALUE"""),7907009190)</f>
        <v>7907009190</v>
      </c>
      <c r="F516" t="str">
        <f ca="1">IFERROR(__xludf.DUMMYFUNCTION("""COMPUTED_VALUE"""),"Ernakulam")</f>
        <v>Ernakulam</v>
      </c>
      <c r="G516" t="str">
        <f ca="1">IFERROR(__xludf.DUMMYFUNCTION("""COMPUTED_VALUE"""),"SOLGEN ENERGY PVT LTD")</f>
        <v>SOLGEN ENERGY PVT LTD</v>
      </c>
      <c r="H516">
        <f ca="1">IFERROR(__xludf.DUMMYFUNCTION("""COMPUTED_VALUE"""),42)</f>
        <v>42</v>
      </c>
      <c r="I516" s="4">
        <f ca="1">IFERROR(__xludf.DUMMYFUNCTION("""COMPUTED_VALUE"""),43223)</f>
        <v>43223</v>
      </c>
      <c r="J516">
        <f ca="1">IFERROR(__xludf.DUMMYFUNCTION("""COMPUTED_VALUE"""),3)</f>
        <v>3</v>
      </c>
      <c r="K516">
        <f ca="1">IFERROR(__xludf.DUMMYFUNCTION("""COMPUTED_VALUE"""),1155413012274)</f>
        <v>1155413012274</v>
      </c>
      <c r="L516" t="str">
        <f ca="1">IFERROR(__xludf.DUMMYFUNCTION("""COMPUTED_VALUE"""),"thevara")</f>
        <v>thevara</v>
      </c>
      <c r="M516" t="str">
        <f ca="1">IFERROR(__xludf.DUMMYFUNCTION("""COMPUTED_VALUE"""),"I Accept")</f>
        <v>I Accept</v>
      </c>
      <c r="N516" s="4">
        <f ca="1">IFERROR(__xludf.DUMMYFUNCTION("""COMPUTED_VALUE"""),43179)</f>
        <v>43179</v>
      </c>
      <c r="O516" s="4">
        <f ca="1">IFERROR(__xludf.DUMMYFUNCTION("""COMPUTED_VALUE"""),43179)</f>
        <v>43179</v>
      </c>
      <c r="P516">
        <f ca="1">IFERROR(__xludf.DUMMYFUNCTION("""COMPUTED_VALUE"""),3)</f>
        <v>3</v>
      </c>
      <c r="Q516" t="str">
        <f ca="1">IFERROR(__xludf.DUMMYFUNCTION("""COMPUTED_VALUE"""),"akhilalezz@gmail.com")</f>
        <v>akhilalezz@gmail.com</v>
      </c>
      <c r="R516" s="2" t="s">
        <v>2930</v>
      </c>
    </row>
    <row r="517" spans="1:18" ht="13" x14ac:dyDescent="0.15">
      <c r="A517" s="3">
        <f ca="1">IFERROR(__xludf.DUMMYFUNCTION("""COMPUTED_VALUE"""),43223.5478956365)</f>
        <v>43223.547895636497</v>
      </c>
      <c r="B517" t="str">
        <f ca="1">IFERROR(__xludf.DUMMYFUNCTION("""COMPUTED_VALUE"""),"akhilalezz@gmail.com")</f>
        <v>akhilalezz@gmail.com</v>
      </c>
      <c r="C517">
        <f ca="1">IFERROR(__xludf.DUMMYFUNCTION("""COMPUTED_VALUE"""),867)</f>
        <v>867</v>
      </c>
      <c r="D517" t="str">
        <f ca="1">IFERROR(__xludf.DUMMYFUNCTION("""COMPUTED_VALUE"""),"Shelton")</f>
        <v>Shelton</v>
      </c>
      <c r="E517">
        <f ca="1">IFERROR(__xludf.DUMMYFUNCTION("""COMPUTED_VALUE"""),7907009190)</f>
        <v>7907009190</v>
      </c>
      <c r="F517" t="str">
        <f ca="1">IFERROR(__xludf.DUMMYFUNCTION("""COMPUTED_VALUE"""),"Ernakulam")</f>
        <v>Ernakulam</v>
      </c>
      <c r="G517" t="str">
        <f ca="1">IFERROR(__xludf.DUMMYFUNCTION("""COMPUTED_VALUE"""),"SOLGEN ENERGY PVT LTD")</f>
        <v>SOLGEN ENERGY PVT LTD</v>
      </c>
      <c r="H517">
        <f ca="1">IFERROR(__xludf.DUMMYFUNCTION("""COMPUTED_VALUE"""),42)</f>
        <v>42</v>
      </c>
      <c r="I517" s="4">
        <f ca="1">IFERROR(__xludf.DUMMYFUNCTION("""COMPUTED_VALUE"""),43214)</f>
        <v>43214</v>
      </c>
      <c r="J517">
        <f ca="1">IFERROR(__xludf.DUMMYFUNCTION("""COMPUTED_VALUE"""),5)</f>
        <v>5</v>
      </c>
      <c r="K517">
        <f ca="1">IFERROR(__xludf.DUMMYFUNCTION("""COMPUTED_VALUE"""),1155644016749)</f>
        <v>1155644016749</v>
      </c>
      <c r="L517" t="str">
        <f ca="1">IFERROR(__xludf.DUMMYFUNCTION("""COMPUTED_VALUE"""),"FORT KOCHI")</f>
        <v>FORT KOCHI</v>
      </c>
      <c r="M517" t="str">
        <f ca="1">IFERROR(__xludf.DUMMYFUNCTION("""COMPUTED_VALUE"""),"I Accept")</f>
        <v>I Accept</v>
      </c>
      <c r="N517" s="4">
        <f ca="1">IFERROR(__xludf.DUMMYFUNCTION("""COMPUTED_VALUE"""),43174)</f>
        <v>43174</v>
      </c>
      <c r="O517" s="4">
        <f ca="1">IFERROR(__xludf.DUMMYFUNCTION("""COMPUTED_VALUE"""),43214)</f>
        <v>43214</v>
      </c>
      <c r="P517">
        <f ca="1">IFERROR(__xludf.DUMMYFUNCTION("""COMPUTED_VALUE"""),5)</f>
        <v>5</v>
      </c>
      <c r="Q517" t="str">
        <f ca="1">IFERROR(__xludf.DUMMYFUNCTION("""COMPUTED_VALUE"""),"akhilalezz@gmail.com")</f>
        <v>akhilalezz@gmail.com</v>
      </c>
      <c r="R517" s="2" t="s">
        <v>2931</v>
      </c>
    </row>
    <row r="518" spans="1:18" ht="13" x14ac:dyDescent="0.15">
      <c r="A518" s="3">
        <f ca="1">IFERROR(__xludf.DUMMYFUNCTION("""COMPUTED_VALUE"""),43223.6315947106)</f>
        <v>43223.631594710598</v>
      </c>
      <c r="B518" t="str">
        <f ca="1">IFERROR(__xludf.DUMMYFUNCTION("""COMPUTED_VALUE"""),"solarconnect2018@gmail.com")</f>
        <v>solarconnect2018@gmail.com</v>
      </c>
      <c r="C518">
        <f ca="1">IFERROR(__xludf.DUMMYFUNCTION("""COMPUTED_VALUE"""),840)</f>
        <v>840</v>
      </c>
      <c r="D518" t="str">
        <f ca="1">IFERROR(__xludf.DUMMYFUNCTION("""COMPUTED_VALUE"""),"Kunhalu")</f>
        <v>Kunhalu</v>
      </c>
      <c r="E518">
        <f ca="1">IFERROR(__xludf.DUMMYFUNCTION("""COMPUTED_VALUE"""),9447290843)</f>
        <v>9447290843</v>
      </c>
      <c r="F518" t="str">
        <f ca="1">IFERROR(__xludf.DUMMYFUNCTION("""COMPUTED_VALUE"""),"Kannur")</f>
        <v>Kannur</v>
      </c>
      <c r="G518" t="str">
        <f ca="1">IFERROR(__xludf.DUMMYFUNCTION("""COMPUTED_VALUE"""),"SPECTRUM TECHNO PRODUCTS")</f>
        <v>SPECTRUM TECHNO PRODUCTS</v>
      </c>
      <c r="H518">
        <f ca="1">IFERROR(__xludf.DUMMYFUNCTION("""COMPUTED_VALUE"""),66)</f>
        <v>66</v>
      </c>
      <c r="I518" s="4">
        <f ca="1">IFERROR(__xludf.DUMMYFUNCTION("""COMPUTED_VALUE"""),43222)</f>
        <v>43222</v>
      </c>
      <c r="J518">
        <f ca="1">IFERROR(__xludf.DUMMYFUNCTION("""COMPUTED_VALUE"""),3)</f>
        <v>3</v>
      </c>
      <c r="K518">
        <f ca="1">IFERROR(__xludf.DUMMYFUNCTION("""COMPUTED_VALUE"""),1168175010142)</f>
        <v>1168175010142</v>
      </c>
      <c r="L518" t="str">
        <f ca="1">IFERROR(__xludf.DUMMYFUNCTION("""COMPUTED_VALUE"""),"peringathur")</f>
        <v>peringathur</v>
      </c>
      <c r="M518" t="str">
        <f ca="1">IFERROR(__xludf.DUMMYFUNCTION("""COMPUTED_VALUE"""),"I Accept")</f>
        <v>I Accept</v>
      </c>
      <c r="N518" s="4">
        <f ca="1">IFERROR(__xludf.DUMMYFUNCTION("""COMPUTED_VALUE"""),43203)</f>
        <v>43203</v>
      </c>
      <c r="O518" s="4">
        <f ca="1">IFERROR(__xludf.DUMMYFUNCTION("""COMPUTED_VALUE"""),43203)</f>
        <v>43203</v>
      </c>
      <c r="P518">
        <f ca="1">IFERROR(__xludf.DUMMYFUNCTION("""COMPUTED_VALUE"""),3)</f>
        <v>3</v>
      </c>
      <c r="Q518" t="str">
        <f ca="1">IFERROR(__xludf.DUMMYFUNCTION("""COMPUTED_VALUE"""),"solarconnect2018@gmail.com")</f>
        <v>solarconnect2018@gmail.com</v>
      </c>
      <c r="R518" s="2" t="s">
        <v>2932</v>
      </c>
    </row>
    <row r="519" spans="1:18" ht="13" x14ac:dyDescent="0.15">
      <c r="A519" s="3">
        <f ca="1">IFERROR(__xludf.DUMMYFUNCTION("""COMPUTED_VALUE"""),43223.6574232754)</f>
        <v>43223.657423275399</v>
      </c>
      <c r="B519" t="str">
        <f ca="1">IFERROR(__xludf.DUMMYFUNCTION("""COMPUTED_VALUE"""),"solarconnect2018@gmail.com")</f>
        <v>solarconnect2018@gmail.com</v>
      </c>
      <c r="C519">
        <f ca="1">IFERROR(__xludf.DUMMYFUNCTION("""COMPUTED_VALUE"""),724)</f>
        <v>724</v>
      </c>
      <c r="D519" t="str">
        <f ca="1">IFERROR(__xludf.DUMMYFUNCTION("""COMPUTED_VALUE"""),"SREEDHARAN AP")</f>
        <v>SREEDHARAN AP</v>
      </c>
      <c r="E519">
        <f ca="1">IFERROR(__xludf.DUMMYFUNCTION("""COMPUTED_VALUE"""),9447637712)</f>
        <v>9447637712</v>
      </c>
      <c r="F519" t="str">
        <f ca="1">IFERROR(__xludf.DUMMYFUNCTION("""COMPUTED_VALUE"""),"Kannur")</f>
        <v>Kannur</v>
      </c>
      <c r="G519" t="str">
        <f ca="1">IFERROR(__xludf.DUMMYFUNCTION("""COMPUTED_VALUE"""),"SPECTRUM TECHNO PRODUCTS")</f>
        <v>SPECTRUM TECHNO PRODUCTS</v>
      </c>
      <c r="H519">
        <f ca="1">IFERROR(__xludf.DUMMYFUNCTION("""COMPUTED_VALUE"""),66)</f>
        <v>66</v>
      </c>
      <c r="I519" s="4">
        <f ca="1">IFERROR(__xludf.DUMMYFUNCTION("""COMPUTED_VALUE"""),43222)</f>
        <v>43222</v>
      </c>
      <c r="J519">
        <f ca="1">IFERROR(__xludf.DUMMYFUNCTION("""COMPUTED_VALUE"""),5)</f>
        <v>5</v>
      </c>
      <c r="K519">
        <f ca="1">IFERROR(__xludf.DUMMYFUNCTION("""COMPUTED_VALUE"""),1166714005303)</f>
        <v>1166714005303</v>
      </c>
      <c r="L519" t="str">
        <f ca="1">IFERROR(__xludf.DUMMYFUNCTION("""COMPUTED_VALUE"""),"CHOKLI")</f>
        <v>CHOKLI</v>
      </c>
      <c r="M519" t="str">
        <f ca="1">IFERROR(__xludf.DUMMYFUNCTION("""COMPUTED_VALUE"""),"I Accept")</f>
        <v>I Accept</v>
      </c>
      <c r="N519" s="4">
        <f ca="1">IFERROR(__xludf.DUMMYFUNCTION("""COMPUTED_VALUE"""),43187)</f>
        <v>43187</v>
      </c>
      <c r="O519" s="4">
        <f ca="1">IFERROR(__xludf.DUMMYFUNCTION("""COMPUTED_VALUE"""),43187)</f>
        <v>43187</v>
      </c>
      <c r="P519">
        <f ca="1">IFERROR(__xludf.DUMMYFUNCTION("""COMPUTED_VALUE"""),5)</f>
        <v>5</v>
      </c>
      <c r="Q519" t="str">
        <f ca="1">IFERROR(__xludf.DUMMYFUNCTION("""COMPUTED_VALUE"""),"solarconnect2018@gmail.com")</f>
        <v>solarconnect2018@gmail.com</v>
      </c>
      <c r="R519" s="2" t="s">
        <v>2933</v>
      </c>
    </row>
    <row r="520" spans="1:18" ht="13" x14ac:dyDescent="0.15">
      <c r="A520" s="3">
        <f ca="1">IFERROR(__xludf.DUMMYFUNCTION("""COMPUTED_VALUE"""),43224.5051250463)</f>
        <v>43224.5051250463</v>
      </c>
      <c r="B520" t="str">
        <f ca="1">IFERROR(__xludf.DUMMYFUNCTION("""COMPUTED_VALUE"""),"arunmamachan.prime@gmail.com")</f>
        <v>arunmamachan.prime@gmail.com</v>
      </c>
      <c r="C520">
        <f ca="1">IFERROR(__xludf.DUMMYFUNCTION("""COMPUTED_VALUE"""),662)</f>
        <v>662</v>
      </c>
      <c r="D520" t="str">
        <f ca="1">IFERROR(__xludf.DUMMYFUNCTION("""COMPUTED_VALUE"""),"Alphi Joseph Cardoz")</f>
        <v>Alphi Joseph Cardoz</v>
      </c>
      <c r="E520">
        <f ca="1">IFERROR(__xludf.DUMMYFUNCTION("""COMPUTED_VALUE"""),9446393399)</f>
        <v>9446393399</v>
      </c>
      <c r="F520" t="str">
        <f ca="1">IFERROR(__xludf.DUMMYFUNCTION("""COMPUTED_VALUE"""),"Kollam")</f>
        <v>Kollam</v>
      </c>
      <c r="G520" t="str">
        <f ca="1">IFERROR(__xludf.DUMMYFUNCTION("""COMPUTED_VALUE"""),"RENERGY SYSTEMS INDIA Pvt.Ltd ")</f>
        <v xml:space="preserve">RENERGY SYSTEMS INDIA Pvt.Ltd </v>
      </c>
      <c r="H520">
        <f ca="1">IFERROR(__xludf.DUMMYFUNCTION("""COMPUTED_VALUE"""),38)</f>
        <v>38</v>
      </c>
      <c r="I520" s="4">
        <f ca="1">IFERROR(__xludf.DUMMYFUNCTION("""COMPUTED_VALUE"""),43227)</f>
        <v>43227</v>
      </c>
      <c r="J520">
        <f ca="1">IFERROR(__xludf.DUMMYFUNCTION("""COMPUTED_VALUE"""),3)</f>
        <v>3</v>
      </c>
      <c r="K520">
        <f ca="1">IFERROR(__xludf.DUMMYFUNCTION("""COMPUTED_VALUE"""),1145598000692)</f>
        <v>1145598000692</v>
      </c>
      <c r="L520" t="str">
        <f ca="1">IFERROR(__xludf.DUMMYFUNCTION("""COMPUTED_VALUE"""),"kadappakkada")</f>
        <v>kadappakkada</v>
      </c>
      <c r="M520" t="str">
        <f ca="1">IFERROR(__xludf.DUMMYFUNCTION("""COMPUTED_VALUE"""),"I Accept")</f>
        <v>I Accept</v>
      </c>
      <c r="N520" s="4">
        <f ca="1">IFERROR(__xludf.DUMMYFUNCTION("""COMPUTED_VALUE"""),43200)</f>
        <v>43200</v>
      </c>
      <c r="O520" s="4">
        <f ca="1">IFERROR(__xludf.DUMMYFUNCTION("""COMPUTED_VALUE"""),43200)</f>
        <v>43200</v>
      </c>
      <c r="P520">
        <f ca="1">IFERROR(__xludf.DUMMYFUNCTION("""COMPUTED_VALUE"""),3)</f>
        <v>3</v>
      </c>
      <c r="Q520" t="str">
        <f ca="1">IFERROR(__xludf.DUMMYFUNCTION("""COMPUTED_VALUE"""),"arunmamachan.prime@gmail.com")</f>
        <v>arunmamachan.prime@gmail.com</v>
      </c>
      <c r="R520" s="2" t="s">
        <v>2934</v>
      </c>
    </row>
    <row r="521" spans="1:18" ht="13" x14ac:dyDescent="0.15">
      <c r="A521" s="3">
        <f ca="1">IFERROR(__xludf.DUMMYFUNCTION("""COMPUTED_VALUE"""),43224.5111749189)</f>
        <v>43224.511174918902</v>
      </c>
      <c r="B521" t="str">
        <f ca="1">IFERROR(__xludf.DUMMYFUNCTION("""COMPUTED_VALUE"""),"stanleyvarghese@hotmail.com")</f>
        <v>stanleyvarghese@hotmail.com</v>
      </c>
      <c r="C521">
        <f ca="1">IFERROR(__xludf.DUMMYFUNCTION("""COMPUTED_VALUE"""),880)</f>
        <v>880</v>
      </c>
      <c r="D521" t="str">
        <f ca="1">IFERROR(__xludf.DUMMYFUNCTION("""COMPUTED_VALUE"""),"Stanely varghese")</f>
        <v>Stanely varghese</v>
      </c>
      <c r="E521">
        <f ca="1">IFERROR(__xludf.DUMMYFUNCTION("""COMPUTED_VALUE"""),8281354464)</f>
        <v>8281354464</v>
      </c>
      <c r="F521" t="str">
        <f ca="1">IFERROR(__xludf.DUMMYFUNCTION("""COMPUTED_VALUE"""),"Kollam")</f>
        <v>Kollam</v>
      </c>
      <c r="G521" t="str">
        <f ca="1">IFERROR(__xludf.DUMMYFUNCTION("""COMPUTED_VALUE"""),"Tata Power solar system")</f>
        <v>Tata Power solar system</v>
      </c>
      <c r="H521">
        <f ca="1">IFERROR(__xludf.DUMMYFUNCTION("""COMPUTED_VALUE"""),20)</f>
        <v>20</v>
      </c>
      <c r="I521" s="4">
        <f ca="1">IFERROR(__xludf.DUMMYFUNCTION("""COMPUTED_VALUE"""),43215)</f>
        <v>43215</v>
      </c>
      <c r="J521">
        <f ca="1">IFERROR(__xludf.DUMMYFUNCTION("""COMPUTED_VALUE"""),15)</f>
        <v>15</v>
      </c>
      <c r="K521">
        <f ca="1">IFERROR(__xludf.DUMMYFUNCTION("""COMPUTED_VALUE"""),33229)</f>
        <v>33229</v>
      </c>
      <c r="L521" t="str">
        <f ca="1">IFERROR(__xludf.DUMMYFUNCTION("""COMPUTED_VALUE"""),"pathanapuram")</f>
        <v>pathanapuram</v>
      </c>
      <c r="M521" t="str">
        <f ca="1">IFERROR(__xludf.DUMMYFUNCTION("""COMPUTED_VALUE"""),"I Accept")</f>
        <v>I Accept</v>
      </c>
      <c r="N521" s="4">
        <f ca="1">IFERROR(__xludf.DUMMYFUNCTION("""COMPUTED_VALUE"""),43197)</f>
        <v>43197</v>
      </c>
      <c r="O521" s="4">
        <f ca="1">IFERROR(__xludf.DUMMYFUNCTION("""COMPUTED_VALUE"""),43197)</f>
        <v>43197</v>
      </c>
      <c r="P521">
        <f ca="1">IFERROR(__xludf.DUMMYFUNCTION("""COMPUTED_VALUE"""),15)</f>
        <v>15</v>
      </c>
      <c r="Q521" t="str">
        <f ca="1">IFERROR(__xludf.DUMMYFUNCTION("""COMPUTED_VALUE"""),"stanleyvarghese@hotmail.com")</f>
        <v>stanleyvarghese@hotmail.com</v>
      </c>
      <c r="R521" s="2" t="s">
        <v>2935</v>
      </c>
    </row>
    <row r="522" spans="1:18" ht="13" x14ac:dyDescent="0.15">
      <c r="A522" s="3">
        <f ca="1">IFERROR(__xludf.DUMMYFUNCTION("""COMPUTED_VALUE"""),43224.5130110069)</f>
        <v>43224.5130110069</v>
      </c>
      <c r="B522" t="str">
        <f ca="1">IFERROR(__xludf.DUMMYFUNCTION("""COMPUTED_VALUE"""),"arunmamachan.prime@gmail.com")</f>
        <v>arunmamachan.prime@gmail.com</v>
      </c>
      <c r="C522">
        <f ca="1">IFERROR(__xludf.DUMMYFUNCTION("""COMPUTED_VALUE"""),620)</f>
        <v>620</v>
      </c>
      <c r="D522" t="str">
        <f ca="1">IFERROR(__xludf.DUMMYFUNCTION("""COMPUTED_VALUE"""),"Kotturethu George Mathew")</f>
        <v>Kotturethu George Mathew</v>
      </c>
      <c r="E522">
        <f ca="1">IFERROR(__xludf.DUMMYFUNCTION("""COMPUTED_VALUE"""),9446393399)</f>
        <v>9446393399</v>
      </c>
      <c r="F522" t="str">
        <f ca="1">IFERROR(__xludf.DUMMYFUNCTION("""COMPUTED_VALUE"""),"Thiruvananthapuram")</f>
        <v>Thiruvananthapuram</v>
      </c>
      <c r="G522" t="str">
        <f ca="1">IFERROR(__xludf.DUMMYFUNCTION("""COMPUTED_VALUE"""),"RENERGY SYSTEMS INDIA Pvt Ltd")</f>
        <v>RENERGY SYSTEMS INDIA Pvt Ltd</v>
      </c>
      <c r="H522">
        <f ca="1">IFERROR(__xludf.DUMMYFUNCTION("""COMPUTED_VALUE"""),38)</f>
        <v>38</v>
      </c>
      <c r="I522" s="4">
        <f ca="1">IFERROR(__xludf.DUMMYFUNCTION("""COMPUTED_VALUE"""),43229)</f>
        <v>43229</v>
      </c>
      <c r="J522">
        <f ca="1">IFERROR(__xludf.DUMMYFUNCTION("""COMPUTED_VALUE"""),3)</f>
        <v>3</v>
      </c>
      <c r="K522">
        <f ca="1">IFERROR(__xludf.DUMMYFUNCTION("""COMPUTED_VALUE"""),1145182011220)</f>
        <v>1145182011220</v>
      </c>
      <c r="L522" t="str">
        <f ca="1">IFERROR(__xludf.DUMMYFUNCTION("""COMPUTED_VALUE"""),"Nalanchira")</f>
        <v>Nalanchira</v>
      </c>
      <c r="M522" t="str">
        <f ca="1">IFERROR(__xludf.DUMMYFUNCTION("""COMPUTED_VALUE"""),"I Accept")</f>
        <v>I Accept</v>
      </c>
      <c r="N522" s="4">
        <f ca="1">IFERROR(__xludf.DUMMYFUNCTION("""COMPUTED_VALUE"""),43204)</f>
        <v>43204</v>
      </c>
      <c r="O522" s="4">
        <f ca="1">IFERROR(__xludf.DUMMYFUNCTION("""COMPUTED_VALUE"""),43204)</f>
        <v>43204</v>
      </c>
      <c r="P522">
        <f ca="1">IFERROR(__xludf.DUMMYFUNCTION("""COMPUTED_VALUE"""),3)</f>
        <v>3</v>
      </c>
      <c r="Q522" t="str">
        <f ca="1">IFERROR(__xludf.DUMMYFUNCTION("""COMPUTED_VALUE"""),"arunmamachan.prime@gmail.com")</f>
        <v>arunmamachan.prime@gmail.com</v>
      </c>
      <c r="R522" s="2" t="s">
        <v>2936</v>
      </c>
    </row>
    <row r="523" spans="1:18" ht="13" x14ac:dyDescent="0.15">
      <c r="A523" s="3">
        <f ca="1">IFERROR(__xludf.DUMMYFUNCTION("""COMPUTED_VALUE"""),43224.5172924537)</f>
        <v>43224.517292453696</v>
      </c>
      <c r="B523" t="str">
        <f ca="1">IFERROR(__xludf.DUMMYFUNCTION("""COMPUTED_VALUE"""),"suncitycustomercare@gmail.com")</f>
        <v>suncitycustomercare@gmail.com</v>
      </c>
      <c r="C523">
        <f ca="1">IFERROR(__xludf.DUMMYFUNCTION("""COMPUTED_VALUE"""),956)</f>
        <v>956</v>
      </c>
      <c r="D523" t="str">
        <f ca="1">IFERROR(__xludf.DUMMYFUNCTION("""COMPUTED_VALUE"""),"P. M. JAYARAJ")</f>
        <v>P. M. JAYARAJ</v>
      </c>
      <c r="E523">
        <f ca="1">IFERROR(__xludf.DUMMYFUNCTION("""COMPUTED_VALUE"""),9447000134)</f>
        <v>9447000134</v>
      </c>
      <c r="F523" t="str">
        <f ca="1">IFERROR(__xludf.DUMMYFUNCTION("""COMPUTED_VALUE"""),"Thrissur")</f>
        <v>Thrissur</v>
      </c>
      <c r="G523" t="str">
        <f ca="1">IFERROR(__xludf.DUMMYFUNCTION("""COMPUTED_VALUE"""),"TATA POWER SOLAR SYSTEMS LIMITED")</f>
        <v>TATA POWER SOLAR SYSTEMS LIMITED</v>
      </c>
      <c r="H523">
        <f ca="1">IFERROR(__xludf.DUMMYFUNCTION("""COMPUTED_VALUE"""),20)</f>
        <v>20</v>
      </c>
      <c r="I523" s="4">
        <f ca="1">IFERROR(__xludf.DUMMYFUNCTION("""COMPUTED_VALUE"""),43224)</f>
        <v>43224</v>
      </c>
      <c r="J523">
        <f ca="1">IFERROR(__xludf.DUMMYFUNCTION("""COMPUTED_VALUE"""),3)</f>
        <v>3</v>
      </c>
      <c r="K523">
        <f ca="1">IFERROR(__xludf.DUMMYFUNCTION("""COMPUTED_VALUE"""),9879)</f>
        <v>9879</v>
      </c>
      <c r="L523" t="str">
        <f ca="1">IFERROR(__xludf.DUMMYFUNCTION("""COMPUTED_VALUE"""),"THRISSUR")</f>
        <v>THRISSUR</v>
      </c>
      <c r="M523" t="str">
        <f ca="1">IFERROR(__xludf.DUMMYFUNCTION("""COMPUTED_VALUE"""),"I Accept")</f>
        <v>I Accept</v>
      </c>
      <c r="N523" s="4">
        <f ca="1">IFERROR(__xludf.DUMMYFUNCTION("""COMPUTED_VALUE"""),43221)</f>
        <v>43221</v>
      </c>
      <c r="O523" s="4">
        <f ca="1">IFERROR(__xludf.DUMMYFUNCTION("""COMPUTED_VALUE"""),43221)</f>
        <v>43221</v>
      </c>
      <c r="P523">
        <f ca="1">IFERROR(__xludf.DUMMYFUNCTION("""COMPUTED_VALUE"""),3)</f>
        <v>3</v>
      </c>
      <c r="Q523" t="str">
        <f ca="1">IFERROR(__xludf.DUMMYFUNCTION("""COMPUTED_VALUE"""),"suncitycustomercare@gmail.com")</f>
        <v>suncitycustomercare@gmail.com</v>
      </c>
      <c r="R523" s="2" t="s">
        <v>2937</v>
      </c>
    </row>
    <row r="524" spans="1:18" ht="13" x14ac:dyDescent="0.15">
      <c r="A524" s="3">
        <f ca="1">IFERROR(__xludf.DUMMYFUNCTION("""COMPUTED_VALUE"""),43224.528463287)</f>
        <v>43224.528463287003</v>
      </c>
      <c r="B524" t="str">
        <f ca="1">IFERROR(__xludf.DUMMYFUNCTION("""COMPUTED_VALUE"""),"arunmamachan.prime@gmail.com")</f>
        <v>arunmamachan.prime@gmail.com</v>
      </c>
      <c r="C524">
        <f ca="1">IFERROR(__xludf.DUMMYFUNCTION("""COMPUTED_VALUE"""),663)</f>
        <v>663</v>
      </c>
      <c r="D524" t="str">
        <f ca="1">IFERROR(__xludf.DUMMYFUNCTION("""COMPUTED_VALUE"""),"K.R.Vikraman")</f>
        <v>K.R.Vikraman</v>
      </c>
      <c r="E524">
        <f ca="1">IFERROR(__xludf.DUMMYFUNCTION("""COMPUTED_VALUE"""),9446393399)</f>
        <v>9446393399</v>
      </c>
      <c r="F524" t="str">
        <f ca="1">IFERROR(__xludf.DUMMYFUNCTION("""COMPUTED_VALUE"""),"Thiruvananthapuram")</f>
        <v>Thiruvananthapuram</v>
      </c>
      <c r="G524" t="str">
        <f ca="1">IFERROR(__xludf.DUMMYFUNCTION("""COMPUTED_VALUE"""),"RENERGY SYSTEMS INDIA Pvt Ltd")</f>
        <v>RENERGY SYSTEMS INDIA Pvt Ltd</v>
      </c>
      <c r="H524">
        <f ca="1">IFERROR(__xludf.DUMMYFUNCTION("""COMPUTED_VALUE"""),38)</f>
        <v>38</v>
      </c>
      <c r="I524" s="4">
        <f ca="1">IFERROR(__xludf.DUMMYFUNCTION("""COMPUTED_VALUE"""),43229)</f>
        <v>43229</v>
      </c>
      <c r="J524">
        <f ca="1">IFERROR(__xludf.DUMMYFUNCTION("""COMPUTED_VALUE"""),5)</f>
        <v>5</v>
      </c>
      <c r="K524">
        <f ca="1">IFERROR(__xludf.DUMMYFUNCTION("""COMPUTED_VALUE"""),1145172005571)</f>
        <v>1145172005571</v>
      </c>
      <c r="L524" t="str">
        <f ca="1">IFERROR(__xludf.DUMMYFUNCTION("""COMPUTED_VALUE"""),"Ulloor")</f>
        <v>Ulloor</v>
      </c>
      <c r="M524" t="str">
        <f ca="1">IFERROR(__xludf.DUMMYFUNCTION("""COMPUTED_VALUE"""),"I Accept")</f>
        <v>I Accept</v>
      </c>
      <c r="N524" s="4">
        <f ca="1">IFERROR(__xludf.DUMMYFUNCTION("""COMPUTED_VALUE"""),43197)</f>
        <v>43197</v>
      </c>
      <c r="O524" s="4">
        <f ca="1">IFERROR(__xludf.DUMMYFUNCTION("""COMPUTED_VALUE"""),43197)</f>
        <v>43197</v>
      </c>
      <c r="P524">
        <f ca="1">IFERROR(__xludf.DUMMYFUNCTION("""COMPUTED_VALUE"""),5)</f>
        <v>5</v>
      </c>
      <c r="Q524" t="str">
        <f ca="1">IFERROR(__xludf.DUMMYFUNCTION("""COMPUTED_VALUE"""),"arunmamachan.prime@gmail.com")</f>
        <v>arunmamachan.prime@gmail.com</v>
      </c>
      <c r="R524" s="2" t="s">
        <v>2938</v>
      </c>
    </row>
    <row r="525" spans="1:18" ht="13" x14ac:dyDescent="0.15">
      <c r="A525" s="3">
        <f ca="1">IFERROR(__xludf.DUMMYFUNCTION("""COMPUTED_VALUE"""),43224.540593449)</f>
        <v>43224.540593448997</v>
      </c>
      <c r="B525" t="str">
        <f ca="1">IFERROR(__xludf.DUMMYFUNCTION("""COMPUTED_VALUE"""),"mamathacharly11@gmail.com")</f>
        <v>mamathacharly11@gmail.com</v>
      </c>
      <c r="C525">
        <f ca="1">IFERROR(__xludf.DUMMYFUNCTION("""COMPUTED_VALUE"""),5)</f>
        <v>5</v>
      </c>
      <c r="D525" t="str">
        <f ca="1">IFERROR(__xludf.DUMMYFUNCTION("""COMPUTED_VALUE"""),"Antony charly")</f>
        <v>Antony charly</v>
      </c>
      <c r="E525">
        <f ca="1">IFERROR(__xludf.DUMMYFUNCTION("""COMPUTED_VALUE"""),9539846493)</f>
        <v>9539846493</v>
      </c>
      <c r="F525" t="str">
        <f ca="1">IFERROR(__xludf.DUMMYFUNCTION("""COMPUTED_VALUE"""),"Kollam")</f>
        <v>Kollam</v>
      </c>
      <c r="G525" t="str">
        <f ca="1">IFERROR(__xludf.DUMMYFUNCTION("""COMPUTED_VALUE"""),"Tata Power solar system LTD")</f>
        <v>Tata Power solar system LTD</v>
      </c>
      <c r="H525">
        <f ca="1">IFERROR(__xludf.DUMMYFUNCTION("""COMPUTED_VALUE"""),20)</f>
        <v>20</v>
      </c>
      <c r="I525" s="4">
        <f ca="1">IFERROR(__xludf.DUMMYFUNCTION("""COMPUTED_VALUE"""),43197)</f>
        <v>43197</v>
      </c>
      <c r="J525">
        <f ca="1">IFERROR(__xludf.DUMMYFUNCTION("""COMPUTED_VALUE"""),5)</f>
        <v>5</v>
      </c>
      <c r="K525">
        <f ca="1">IFERROR(__xludf.DUMMYFUNCTION("""COMPUTED_VALUE"""),1145812004870)</f>
        <v>1145812004870</v>
      </c>
      <c r="L525" t="str">
        <f ca="1">IFERROR(__xludf.DUMMYFUNCTION("""COMPUTED_VALUE"""),"kundara")</f>
        <v>kundara</v>
      </c>
      <c r="M525" t="str">
        <f ca="1">IFERROR(__xludf.DUMMYFUNCTION("""COMPUTED_VALUE"""),"I Accept")</f>
        <v>I Accept</v>
      </c>
      <c r="N525" s="4">
        <f ca="1">IFERROR(__xludf.DUMMYFUNCTION("""COMPUTED_VALUE"""),43207)</f>
        <v>43207</v>
      </c>
      <c r="O525" s="4">
        <f ca="1">IFERROR(__xludf.DUMMYFUNCTION("""COMPUTED_VALUE"""),43207)</f>
        <v>43207</v>
      </c>
      <c r="P525">
        <f ca="1">IFERROR(__xludf.DUMMYFUNCTION("""COMPUTED_VALUE"""),5)</f>
        <v>5</v>
      </c>
      <c r="Q525" t="str">
        <f ca="1">IFERROR(__xludf.DUMMYFUNCTION("""COMPUTED_VALUE"""),"mamathacharly11@gmail.com")</f>
        <v>mamathacharly11@gmail.com</v>
      </c>
      <c r="R525" s="2" t="s">
        <v>2939</v>
      </c>
    </row>
    <row r="526" spans="1:18" ht="13" x14ac:dyDescent="0.15">
      <c r="A526" s="3">
        <f ca="1">IFERROR(__xludf.DUMMYFUNCTION("""COMPUTED_VALUE"""),43224.5551546064)</f>
        <v>43224.555154606402</v>
      </c>
      <c r="B526" t="str">
        <f ca="1">IFERROR(__xludf.DUMMYFUNCTION("""COMPUTED_VALUE"""),"technoguardes@gmail.com")</f>
        <v>technoguardes@gmail.com</v>
      </c>
      <c r="C526">
        <f ca="1">IFERROR(__xludf.DUMMYFUNCTION("""COMPUTED_VALUE"""),1026)</f>
        <v>1026</v>
      </c>
      <c r="D526" t="str">
        <f ca="1">IFERROR(__xludf.DUMMYFUNCTION("""COMPUTED_VALUE"""),"YESUDAS AUGUSTINE")</f>
        <v>YESUDAS AUGUSTINE</v>
      </c>
      <c r="E526">
        <f ca="1">IFERROR(__xludf.DUMMYFUNCTION("""COMPUTED_VALUE"""),9400020127)</f>
        <v>9400020127</v>
      </c>
      <c r="F526" t="str">
        <f ca="1">IFERROR(__xludf.DUMMYFUNCTION("""COMPUTED_VALUE"""),"Ernakulam")</f>
        <v>Ernakulam</v>
      </c>
      <c r="G526" t="str">
        <f ca="1">IFERROR(__xludf.DUMMYFUNCTION("""COMPUTED_VALUE"""),"TECHNO GUARD INDUSTRIES")</f>
        <v>TECHNO GUARD INDUSTRIES</v>
      </c>
      <c r="H526">
        <f ca="1">IFERROR(__xludf.DUMMYFUNCTION("""COMPUTED_VALUE"""),56)</f>
        <v>56</v>
      </c>
      <c r="I526" s="4">
        <f ca="1">IFERROR(__xludf.DUMMYFUNCTION("""COMPUTED_VALUE"""),43210)</f>
        <v>43210</v>
      </c>
      <c r="J526">
        <f ca="1">IFERROR(__xludf.DUMMYFUNCTION("""COMPUTED_VALUE"""),5)</f>
        <v>5</v>
      </c>
      <c r="K526">
        <f ca="1">IFERROR(__xludf.DUMMYFUNCTION("""COMPUTED_VALUE"""),1155669020278)</f>
        <v>1155669020278</v>
      </c>
      <c r="L526" t="str">
        <f ca="1">IFERROR(__xludf.DUMMYFUNCTION("""COMPUTED_VALUE"""),"NJARAKKAL")</f>
        <v>NJARAKKAL</v>
      </c>
      <c r="M526" t="str">
        <f ca="1">IFERROR(__xludf.DUMMYFUNCTION("""COMPUTED_VALUE"""),"I Accept")</f>
        <v>I Accept</v>
      </c>
      <c r="N526" s="4">
        <f ca="1">IFERROR(__xludf.DUMMYFUNCTION("""COMPUTED_VALUE"""),43203)</f>
        <v>43203</v>
      </c>
      <c r="O526" s="4">
        <f ca="1">IFERROR(__xludf.DUMMYFUNCTION("""COMPUTED_VALUE"""),43203)</f>
        <v>43203</v>
      </c>
      <c r="P526">
        <f ca="1">IFERROR(__xludf.DUMMYFUNCTION("""COMPUTED_VALUE"""),5)</f>
        <v>5</v>
      </c>
      <c r="Q526" t="str">
        <f ca="1">IFERROR(__xludf.DUMMYFUNCTION("""COMPUTED_VALUE"""),"technoguardes@gmail.com")</f>
        <v>technoguardes@gmail.com</v>
      </c>
      <c r="R526" s="2" t="s">
        <v>2940</v>
      </c>
    </row>
    <row r="527" spans="1:18" ht="13" x14ac:dyDescent="0.15">
      <c r="A527" s="3">
        <f ca="1">IFERROR(__xludf.DUMMYFUNCTION("""COMPUTED_VALUE"""),43224.5630320833)</f>
        <v>43224.563032083301</v>
      </c>
      <c r="B527" t="str">
        <f ca="1">IFERROR(__xludf.DUMMYFUNCTION("""COMPUTED_VALUE"""),"technoguardes@gmail.com")</f>
        <v>technoguardes@gmail.com</v>
      </c>
      <c r="C527">
        <f ca="1">IFERROR(__xludf.DUMMYFUNCTION("""COMPUTED_VALUE"""),1025)</f>
        <v>1025</v>
      </c>
      <c r="D527" t="str">
        <f ca="1">IFERROR(__xludf.DUMMYFUNCTION("""COMPUTED_VALUE"""),"SAJU K V")</f>
        <v>SAJU K V</v>
      </c>
      <c r="E527">
        <f ca="1">IFERROR(__xludf.DUMMYFUNCTION("""COMPUTED_VALUE"""),9400020124)</f>
        <v>9400020124</v>
      </c>
      <c r="F527" t="str">
        <f ca="1">IFERROR(__xludf.DUMMYFUNCTION("""COMPUTED_VALUE"""),"Ernakulam")</f>
        <v>Ernakulam</v>
      </c>
      <c r="G527" t="str">
        <f ca="1">IFERROR(__xludf.DUMMYFUNCTION("""COMPUTED_VALUE"""),"TECHNO GUARD INDUSTRIES")</f>
        <v>TECHNO GUARD INDUSTRIES</v>
      </c>
      <c r="H527">
        <f ca="1">IFERROR(__xludf.DUMMYFUNCTION("""COMPUTED_VALUE"""),56)</f>
        <v>56</v>
      </c>
      <c r="I527" s="4">
        <f ca="1">IFERROR(__xludf.DUMMYFUNCTION("""COMPUTED_VALUE"""),43210)</f>
        <v>43210</v>
      </c>
      <c r="J527">
        <f ca="1">IFERROR(__xludf.DUMMYFUNCTION("""COMPUTED_VALUE"""),3)</f>
        <v>3</v>
      </c>
      <c r="K527">
        <f ca="1">IFERROR(__xludf.DUMMYFUNCTION("""COMPUTED_VALUE"""),1156057021837)</f>
        <v>1156057021837</v>
      </c>
      <c r="L527" t="str">
        <f ca="1">IFERROR(__xludf.DUMMYFUNCTION("""COMPUTED_VALUE"""),"CHERAI")</f>
        <v>CHERAI</v>
      </c>
      <c r="M527" t="str">
        <f ca="1">IFERROR(__xludf.DUMMYFUNCTION("""COMPUTED_VALUE"""),"I Accept")</f>
        <v>I Accept</v>
      </c>
      <c r="N527" s="4">
        <f ca="1">IFERROR(__xludf.DUMMYFUNCTION("""COMPUTED_VALUE"""),43193)</f>
        <v>43193</v>
      </c>
      <c r="O527" s="4">
        <f ca="1">IFERROR(__xludf.DUMMYFUNCTION("""COMPUTED_VALUE"""),43193)</f>
        <v>43193</v>
      </c>
      <c r="P527">
        <f ca="1">IFERROR(__xludf.DUMMYFUNCTION("""COMPUTED_VALUE"""),3)</f>
        <v>3</v>
      </c>
      <c r="Q527" t="str">
        <f ca="1">IFERROR(__xludf.DUMMYFUNCTION("""COMPUTED_VALUE"""),"technoguardes@gmail.com")</f>
        <v>technoguardes@gmail.com</v>
      </c>
      <c r="R527" s="2" t="s">
        <v>2941</v>
      </c>
    </row>
    <row r="528" spans="1:18" ht="13" x14ac:dyDescent="0.15">
      <c r="A528" s="3">
        <f ca="1">IFERROR(__xludf.DUMMYFUNCTION("""COMPUTED_VALUE"""),43224.5659914814)</f>
        <v>43224.565991481402</v>
      </c>
      <c r="B528" t="str">
        <f ca="1">IFERROR(__xludf.DUMMYFUNCTION("""COMPUTED_VALUE"""),"technoguardes@gmail.com")</f>
        <v>technoguardes@gmail.com</v>
      </c>
      <c r="C528">
        <f ca="1">IFERROR(__xludf.DUMMYFUNCTION("""COMPUTED_VALUE"""),895)</f>
        <v>895</v>
      </c>
      <c r="D528" t="str">
        <f ca="1">IFERROR(__xludf.DUMMYFUNCTION("""COMPUTED_VALUE"""),"A K JOSHY")</f>
        <v>A K JOSHY</v>
      </c>
      <c r="E528">
        <f ca="1">IFERROR(__xludf.DUMMYFUNCTION("""COMPUTED_VALUE"""),9400020127)</f>
        <v>9400020127</v>
      </c>
      <c r="F528" t="str">
        <f ca="1">IFERROR(__xludf.DUMMYFUNCTION("""COMPUTED_VALUE"""),"Ernakulam")</f>
        <v>Ernakulam</v>
      </c>
      <c r="G528" t="str">
        <f ca="1">IFERROR(__xludf.DUMMYFUNCTION("""COMPUTED_VALUE"""),"TECHNO GUARD INDUSTRIES")</f>
        <v>TECHNO GUARD INDUSTRIES</v>
      </c>
      <c r="H528">
        <f ca="1">IFERROR(__xludf.DUMMYFUNCTION("""COMPUTED_VALUE"""),56)</f>
        <v>56</v>
      </c>
      <c r="I528" s="4">
        <f ca="1">IFERROR(__xludf.DUMMYFUNCTION("""COMPUTED_VALUE"""),43210)</f>
        <v>43210</v>
      </c>
      <c r="J528">
        <f ca="1">IFERROR(__xludf.DUMMYFUNCTION("""COMPUTED_VALUE"""),2)</f>
        <v>2</v>
      </c>
      <c r="K528">
        <f ca="1">IFERROR(__xludf.DUMMYFUNCTION("""COMPUTED_VALUE"""),1155668000166)</f>
        <v>1155668000166</v>
      </c>
      <c r="L528" t="str">
        <f ca="1">IFERROR(__xludf.DUMMYFUNCTION("""COMPUTED_VALUE"""),"NJARAKKAL")</f>
        <v>NJARAKKAL</v>
      </c>
      <c r="M528" t="str">
        <f ca="1">IFERROR(__xludf.DUMMYFUNCTION("""COMPUTED_VALUE"""),"I Accept")</f>
        <v>I Accept</v>
      </c>
      <c r="N528" s="4">
        <f ca="1">IFERROR(__xludf.DUMMYFUNCTION("""COMPUTED_VALUE"""),43220)</f>
        <v>43220</v>
      </c>
      <c r="O528" s="4">
        <f ca="1">IFERROR(__xludf.DUMMYFUNCTION("""COMPUTED_VALUE"""),43220)</f>
        <v>43220</v>
      </c>
      <c r="P528">
        <f ca="1">IFERROR(__xludf.DUMMYFUNCTION("""COMPUTED_VALUE"""),2)</f>
        <v>2</v>
      </c>
      <c r="Q528" t="str">
        <f ca="1">IFERROR(__xludf.DUMMYFUNCTION("""COMPUTED_VALUE"""),"technoguardes@gmail.com")</f>
        <v>technoguardes@gmail.com</v>
      </c>
      <c r="R528" s="2" t="s">
        <v>2942</v>
      </c>
    </row>
    <row r="529" spans="1:18" ht="13" x14ac:dyDescent="0.15">
      <c r="A529" s="3">
        <f ca="1">IFERROR(__xludf.DUMMYFUNCTION("""COMPUTED_VALUE"""),43224.570028449)</f>
        <v>43224.570028449001</v>
      </c>
      <c r="B529" t="str">
        <f ca="1">IFERROR(__xludf.DUMMYFUNCTION("""COMPUTED_VALUE"""),"technoguardes@gmail.com")</f>
        <v>technoguardes@gmail.com</v>
      </c>
      <c r="C529">
        <f ca="1">IFERROR(__xludf.DUMMYFUNCTION("""COMPUTED_VALUE"""),708)</f>
        <v>708</v>
      </c>
      <c r="D529" t="str">
        <f ca="1">IFERROR(__xludf.DUMMYFUNCTION("""COMPUTED_VALUE"""),"K H SIDDIK")</f>
        <v>K H SIDDIK</v>
      </c>
      <c r="E529">
        <f ca="1">IFERROR(__xludf.DUMMYFUNCTION("""COMPUTED_VALUE"""),9400020127)</f>
        <v>9400020127</v>
      </c>
      <c r="F529" t="str">
        <f ca="1">IFERROR(__xludf.DUMMYFUNCTION("""COMPUTED_VALUE"""),"Ernakulam")</f>
        <v>Ernakulam</v>
      </c>
      <c r="G529" t="str">
        <f ca="1">IFERROR(__xludf.DUMMYFUNCTION("""COMPUTED_VALUE"""),"TECHNO GUARD INDUSTRIES")</f>
        <v>TECHNO GUARD INDUSTRIES</v>
      </c>
      <c r="H529">
        <f ca="1">IFERROR(__xludf.DUMMYFUNCTION("""COMPUTED_VALUE"""),56)</f>
        <v>56</v>
      </c>
      <c r="I529" s="4">
        <f ca="1">IFERROR(__xludf.DUMMYFUNCTION("""COMPUTED_VALUE"""),43190)</f>
        <v>43190</v>
      </c>
      <c r="J529">
        <f ca="1">IFERROR(__xludf.DUMMYFUNCTION("""COMPUTED_VALUE"""),5)</f>
        <v>5</v>
      </c>
      <c r="K529">
        <f ca="1">IFERROR(__xludf.DUMMYFUNCTION("""COMPUTED_VALUE"""),1155685007337)</f>
        <v>1155685007337</v>
      </c>
      <c r="L529" t="str">
        <f ca="1">IFERROR(__xludf.DUMMYFUNCTION("""COMPUTED_VALUE"""),"ALUVA NORTH")</f>
        <v>ALUVA NORTH</v>
      </c>
      <c r="M529" t="str">
        <f ca="1">IFERROR(__xludf.DUMMYFUNCTION("""COMPUTED_VALUE"""),"I Accept")</f>
        <v>I Accept</v>
      </c>
      <c r="N529" s="4">
        <f ca="1">IFERROR(__xludf.DUMMYFUNCTION("""COMPUTED_VALUE"""),43173)</f>
        <v>43173</v>
      </c>
      <c r="O529" s="4">
        <f ca="1">IFERROR(__xludf.DUMMYFUNCTION("""COMPUTED_VALUE"""),43173)</f>
        <v>43173</v>
      </c>
      <c r="P529">
        <f ca="1">IFERROR(__xludf.DUMMYFUNCTION("""COMPUTED_VALUE"""),10)</f>
        <v>10</v>
      </c>
      <c r="Q529" t="str">
        <f ca="1">IFERROR(__xludf.DUMMYFUNCTION("""COMPUTED_VALUE"""),"technoguardes@gmail.com")</f>
        <v>technoguardes@gmail.com</v>
      </c>
      <c r="R529" s="2" t="s">
        <v>2943</v>
      </c>
    </row>
    <row r="530" spans="1:18" ht="13" x14ac:dyDescent="0.15">
      <c r="A530" s="3">
        <f ca="1">IFERROR(__xludf.DUMMYFUNCTION("""COMPUTED_VALUE"""),43224.5819296296)</f>
        <v>43224.581929629603</v>
      </c>
      <c r="B530" t="str">
        <f ca="1">IFERROR(__xludf.DUMMYFUNCTION("""COMPUTED_VALUE"""),"asakhil615@gmail.com")</f>
        <v>asakhil615@gmail.com</v>
      </c>
      <c r="C530">
        <f ca="1">IFERROR(__xludf.DUMMYFUNCTION("""COMPUTED_VALUE"""),543)</f>
        <v>543</v>
      </c>
      <c r="D530" t="str">
        <f ca="1">IFERROR(__xludf.DUMMYFUNCTION("""COMPUTED_VALUE"""),"Sindhu kumari")</f>
        <v>Sindhu kumari</v>
      </c>
      <c r="E530">
        <f ca="1">IFERROR(__xludf.DUMMYFUNCTION("""COMPUTED_VALUE"""),8075537220)</f>
        <v>8075537220</v>
      </c>
      <c r="F530" t="str">
        <f ca="1">IFERROR(__xludf.DUMMYFUNCTION("""COMPUTED_VALUE"""),"Kollam")</f>
        <v>Kollam</v>
      </c>
      <c r="G530" t="str">
        <f ca="1">IFERROR(__xludf.DUMMYFUNCTION("""COMPUTED_VALUE"""),"Tata power solar system LTD")</f>
        <v>Tata power solar system LTD</v>
      </c>
      <c r="H530">
        <f ca="1">IFERROR(__xludf.DUMMYFUNCTION("""COMPUTED_VALUE"""),20)</f>
        <v>20</v>
      </c>
      <c r="I530" s="4">
        <f ca="1">IFERROR(__xludf.DUMMYFUNCTION("""COMPUTED_VALUE"""),43179)</f>
        <v>43179</v>
      </c>
      <c r="J530">
        <f ca="1">IFERROR(__xludf.DUMMYFUNCTION("""COMPUTED_VALUE"""),5)</f>
        <v>5</v>
      </c>
      <c r="K530">
        <f ca="1">IFERROR(__xludf.DUMMYFUNCTION("""COMPUTED_VALUE"""),25263)</f>
        <v>25263</v>
      </c>
      <c r="L530" t="str">
        <f ca="1">IFERROR(__xludf.DUMMYFUNCTION("""COMPUTED_VALUE"""),"kundara")</f>
        <v>kundara</v>
      </c>
      <c r="M530" t="str">
        <f ca="1">IFERROR(__xludf.DUMMYFUNCTION("""COMPUTED_VALUE"""),"I Accept")</f>
        <v>I Accept</v>
      </c>
      <c r="N530" s="4">
        <f ca="1">IFERROR(__xludf.DUMMYFUNCTION("""COMPUTED_VALUE"""),43182)</f>
        <v>43182</v>
      </c>
      <c r="O530" s="4">
        <f ca="1">IFERROR(__xludf.DUMMYFUNCTION("""COMPUTED_VALUE"""),43182)</f>
        <v>43182</v>
      </c>
      <c r="P530">
        <f ca="1">IFERROR(__xludf.DUMMYFUNCTION("""COMPUTED_VALUE"""),5)</f>
        <v>5</v>
      </c>
      <c r="Q530" t="str">
        <f ca="1">IFERROR(__xludf.DUMMYFUNCTION("""COMPUTED_VALUE"""),"asakhil615@gmail.com")</f>
        <v>asakhil615@gmail.com</v>
      </c>
      <c r="R530" s="2" t="s">
        <v>2944</v>
      </c>
    </row>
    <row r="531" spans="1:18" ht="13" x14ac:dyDescent="0.15">
      <c r="A531" s="3">
        <f ca="1">IFERROR(__xludf.DUMMYFUNCTION("""COMPUTED_VALUE"""),43224.6502508217)</f>
        <v>43224.650250821702</v>
      </c>
      <c r="B531" t="str">
        <f ca="1">IFERROR(__xludf.DUMMYFUNCTION("""COMPUTED_VALUE"""),"asishthampi1971@gmail.com")</f>
        <v>asishthampi1971@gmail.com</v>
      </c>
      <c r="C531">
        <f ca="1">IFERROR(__xludf.DUMMYFUNCTION("""COMPUTED_VALUE"""),689)</f>
        <v>689</v>
      </c>
      <c r="D531" t="str">
        <f ca="1">IFERROR(__xludf.DUMMYFUNCTION("""COMPUTED_VALUE"""),"ASISH THAMPI")</f>
        <v>ASISH THAMPI</v>
      </c>
      <c r="E531">
        <f ca="1">IFERROR(__xludf.DUMMYFUNCTION("""COMPUTED_VALUE"""),9562233099)</f>
        <v>9562233099</v>
      </c>
      <c r="F531" t="str">
        <f ca="1">IFERROR(__xludf.DUMMYFUNCTION("""COMPUTED_VALUE"""),"Ernakulam")</f>
        <v>Ernakulam</v>
      </c>
      <c r="G531" t="str">
        <f ca="1">IFERROR(__xludf.DUMMYFUNCTION("""COMPUTED_VALUE"""),"Reecco Energy India Pvt Ltd")</f>
        <v>Reecco Energy India Pvt Ltd</v>
      </c>
      <c r="H531">
        <f ca="1">IFERROR(__xludf.DUMMYFUNCTION("""COMPUTED_VALUE"""),47)</f>
        <v>47</v>
      </c>
      <c r="I531" s="4">
        <f ca="1">IFERROR(__xludf.DUMMYFUNCTION("""COMPUTED_VALUE"""),43208)</f>
        <v>43208</v>
      </c>
      <c r="J531">
        <f ca="1">IFERROR(__xludf.DUMMYFUNCTION("""COMPUTED_VALUE"""),5)</f>
        <v>5</v>
      </c>
      <c r="K531">
        <f ca="1">IFERROR(__xludf.DUMMYFUNCTION("""COMPUTED_VALUE"""),1155957006561)</f>
        <v>1155957006561</v>
      </c>
      <c r="L531" t="str">
        <f ca="1">IFERROR(__xludf.DUMMYFUNCTION("""COMPUTED_VALUE"""),"Velloorkunnam")</f>
        <v>Velloorkunnam</v>
      </c>
      <c r="M531" t="str">
        <f ca="1">IFERROR(__xludf.DUMMYFUNCTION("""COMPUTED_VALUE"""),"I Accept")</f>
        <v>I Accept</v>
      </c>
      <c r="N531" s="4">
        <f ca="1">IFERROR(__xludf.DUMMYFUNCTION("""COMPUTED_VALUE"""),43223)</f>
        <v>43223</v>
      </c>
      <c r="O531" s="4">
        <f ca="1">IFERROR(__xludf.DUMMYFUNCTION("""COMPUTED_VALUE"""),43223)</f>
        <v>43223</v>
      </c>
      <c r="P531">
        <f ca="1">IFERROR(__xludf.DUMMYFUNCTION("""COMPUTED_VALUE"""),5)</f>
        <v>5</v>
      </c>
      <c r="Q531" t="str">
        <f ca="1">IFERROR(__xludf.DUMMYFUNCTION("""COMPUTED_VALUE"""),"asishthampi1971@gmail.com")</f>
        <v>asishthampi1971@gmail.com</v>
      </c>
      <c r="R531" s="2" t="s">
        <v>2945</v>
      </c>
    </row>
    <row r="532" spans="1:18" ht="13" x14ac:dyDescent="0.15">
      <c r="A532" s="3">
        <f ca="1">IFERROR(__xludf.DUMMYFUNCTION("""COMPUTED_VALUE"""),43225.648463206)</f>
        <v>43225.648463206002</v>
      </c>
      <c r="B532" t="str">
        <f ca="1">IFERROR(__xludf.DUMMYFUNCTION("""COMPUTED_VALUE"""),"nestrokochi@gmail.com")</f>
        <v>nestrokochi@gmail.com</v>
      </c>
      <c r="C532">
        <f ca="1">IFERROR(__xludf.DUMMYFUNCTION("""COMPUTED_VALUE"""),1013)</f>
        <v>1013</v>
      </c>
      <c r="D532" t="str">
        <f ca="1">IFERROR(__xludf.DUMMYFUNCTION("""COMPUTED_VALUE"""),"PUSHPALATHA S. PAI")</f>
        <v>PUSHPALATHA S. PAI</v>
      </c>
      <c r="E532">
        <f ca="1">IFERROR(__xludf.DUMMYFUNCTION("""COMPUTED_VALUE"""),7909236666)</f>
        <v>7909236666</v>
      </c>
      <c r="F532" t="str">
        <f ca="1">IFERROR(__xludf.DUMMYFUNCTION("""COMPUTED_VALUE"""),"Ernakulam")</f>
        <v>Ernakulam</v>
      </c>
      <c r="G532" t="str">
        <f ca="1">IFERROR(__xludf.DUMMYFUNCTION("""COMPUTED_VALUE"""),"NESTRO MARKETING LLP")</f>
        <v>NESTRO MARKETING LLP</v>
      </c>
      <c r="H532">
        <f ca="1">IFERROR(__xludf.DUMMYFUNCTION("""COMPUTED_VALUE"""),14)</f>
        <v>14</v>
      </c>
      <c r="I532" s="4">
        <f ca="1">IFERROR(__xludf.DUMMYFUNCTION("""COMPUTED_VALUE"""),43255)</f>
        <v>43255</v>
      </c>
      <c r="J532">
        <f ca="1">IFERROR(__xludf.DUMMYFUNCTION("""COMPUTED_VALUE"""),2)</f>
        <v>2</v>
      </c>
      <c r="K532">
        <f ca="1">IFERROR(__xludf.DUMMYFUNCTION("""COMPUTED_VALUE"""),1155463006946)</f>
        <v>1155463006946</v>
      </c>
      <c r="L532" t="str">
        <f ca="1">IFERROR(__xludf.DUMMYFUNCTION("""COMPUTED_VALUE"""),"Ernakulam Central (5546)")</f>
        <v>Ernakulam Central (5546)</v>
      </c>
      <c r="M532" t="str">
        <f ca="1">IFERROR(__xludf.DUMMYFUNCTION("""COMPUTED_VALUE"""),"I Accept")</f>
        <v>I Accept</v>
      </c>
      <c r="N532" s="4">
        <f ca="1">IFERROR(__xludf.DUMMYFUNCTION("""COMPUTED_VALUE"""),43225)</f>
        <v>43225</v>
      </c>
      <c r="O532" s="4">
        <f ca="1">IFERROR(__xludf.DUMMYFUNCTION("""COMPUTED_VALUE"""),43225)</f>
        <v>43225</v>
      </c>
      <c r="P532">
        <f ca="1">IFERROR(__xludf.DUMMYFUNCTION("""COMPUTED_VALUE"""),2)</f>
        <v>2</v>
      </c>
      <c r="Q532" t="str">
        <f ca="1">IFERROR(__xludf.DUMMYFUNCTION("""COMPUTED_VALUE"""),"nestromarketing@gmail.com")</f>
        <v>nestromarketing@gmail.com</v>
      </c>
      <c r="R532" s="2" t="s">
        <v>2946</v>
      </c>
    </row>
    <row r="533" spans="1:18" ht="13" x14ac:dyDescent="0.15">
      <c r="A533" s="3">
        <f ca="1">IFERROR(__xludf.DUMMYFUNCTION("""COMPUTED_VALUE"""),43227.3874855671)</f>
        <v>43227.387485567102</v>
      </c>
      <c r="B533" t="str">
        <f ca="1">IFERROR(__xludf.DUMMYFUNCTION("""COMPUTED_VALUE"""),"koshy153@hotmail.com")</f>
        <v>koshy153@hotmail.com</v>
      </c>
      <c r="C533">
        <f ca="1">IFERROR(__xludf.DUMMYFUNCTION("""COMPUTED_VALUE"""),984)</f>
        <v>984</v>
      </c>
      <c r="D533" t="str">
        <f ca="1">IFERROR(__xludf.DUMMYFUNCTION("""COMPUTED_VALUE"""),"Oommen Koshy")</f>
        <v>Oommen Koshy</v>
      </c>
      <c r="E533">
        <f ca="1">IFERROR(__xludf.DUMMYFUNCTION("""COMPUTED_VALUE"""),9656721404)</f>
        <v>9656721404</v>
      </c>
      <c r="F533" t="str">
        <f ca="1">IFERROR(__xludf.DUMMYFUNCTION("""COMPUTED_VALUE"""),"Pathanamthitta")</f>
        <v>Pathanamthitta</v>
      </c>
      <c r="G533" t="str">
        <f ca="1">IFERROR(__xludf.DUMMYFUNCTION("""COMPUTED_VALUE"""),"IGA-TECH INDUSTRIAL ELECTRONICS PVT LTD")</f>
        <v>IGA-TECH INDUSTRIAL ELECTRONICS PVT LTD</v>
      </c>
      <c r="H533">
        <f ca="1">IFERROR(__xludf.DUMMYFUNCTION("""COMPUTED_VALUE"""),53)</f>
        <v>53</v>
      </c>
      <c r="I533" s="4">
        <f ca="1">IFERROR(__xludf.DUMMYFUNCTION("""COMPUTED_VALUE"""),43227)</f>
        <v>43227</v>
      </c>
      <c r="J533">
        <f ca="1">IFERROR(__xludf.DUMMYFUNCTION("""COMPUTED_VALUE"""),5)</f>
        <v>5</v>
      </c>
      <c r="K533">
        <f ca="1">IFERROR(__xludf.DUMMYFUNCTION("""COMPUTED_VALUE"""),1146192012709)</f>
        <v>1146192012709</v>
      </c>
      <c r="L533" t="str">
        <f ca="1">IFERROR(__xludf.DUMMYFUNCTION("""COMPUTED_VALUE"""),"4619")</f>
        <v>4619</v>
      </c>
      <c r="M533" t="str">
        <f ca="1">IFERROR(__xludf.DUMMYFUNCTION("""COMPUTED_VALUE"""),"I Accept")</f>
        <v>I Accept</v>
      </c>
      <c r="N533" s="4">
        <f ca="1">IFERROR(__xludf.DUMMYFUNCTION("""COMPUTED_VALUE"""),43224)</f>
        <v>43224</v>
      </c>
      <c r="O533" s="4">
        <f ca="1">IFERROR(__xludf.DUMMYFUNCTION("""COMPUTED_VALUE"""),43224)</f>
        <v>43224</v>
      </c>
      <c r="P533">
        <f ca="1">IFERROR(__xludf.DUMMYFUNCTION("""COMPUTED_VALUE"""),5)</f>
        <v>5</v>
      </c>
      <c r="Q533" t="str">
        <f ca="1">IFERROR(__xludf.DUMMYFUNCTION("""COMPUTED_VALUE"""),"abyrel@gmail.com")</f>
        <v>abyrel@gmail.com</v>
      </c>
      <c r="R533" s="2" t="s">
        <v>2947</v>
      </c>
    </row>
    <row r="534" spans="1:18" ht="13" x14ac:dyDescent="0.15">
      <c r="A534" s="3">
        <f ca="1">IFERROR(__xludf.DUMMYFUNCTION("""COMPUTED_VALUE"""),43227.9106661921)</f>
        <v>43227.910666192103</v>
      </c>
      <c r="B534" t="str">
        <f ca="1">IFERROR(__xludf.DUMMYFUNCTION("""COMPUTED_VALUE"""),"technoguardes@gmail.com")</f>
        <v>technoguardes@gmail.com</v>
      </c>
      <c r="C534">
        <f ca="1">IFERROR(__xludf.DUMMYFUNCTION("""COMPUTED_VALUE"""),1024)</f>
        <v>1024</v>
      </c>
      <c r="D534" t="str">
        <f ca="1">IFERROR(__xludf.DUMMYFUNCTION("""COMPUTED_VALUE"""),"WILSON K B")</f>
        <v>WILSON K B</v>
      </c>
      <c r="E534">
        <f ca="1">IFERROR(__xludf.DUMMYFUNCTION("""COMPUTED_VALUE"""),9400020127)</f>
        <v>9400020127</v>
      </c>
      <c r="F534" t="str">
        <f ca="1">IFERROR(__xludf.DUMMYFUNCTION("""COMPUTED_VALUE"""),"Ernakulam")</f>
        <v>Ernakulam</v>
      </c>
      <c r="G534" t="str">
        <f ca="1">IFERROR(__xludf.DUMMYFUNCTION("""COMPUTED_VALUE"""),"TECHNOGUARD INDUSTRIES")</f>
        <v>TECHNOGUARD INDUSTRIES</v>
      </c>
      <c r="H534">
        <f ca="1">IFERROR(__xludf.DUMMYFUNCTION("""COMPUTED_VALUE"""),56)</f>
        <v>56</v>
      </c>
      <c r="I534" s="4">
        <f ca="1">IFERROR(__xludf.DUMMYFUNCTION("""COMPUTED_VALUE"""),43210)</f>
        <v>43210</v>
      </c>
      <c r="J534">
        <f ca="1">IFERROR(__xludf.DUMMYFUNCTION("""COMPUTED_VALUE"""),3)</f>
        <v>3</v>
      </c>
      <c r="K534">
        <f ca="1">IFERROR(__xludf.DUMMYFUNCTION("""COMPUTED_VALUE"""),1155667016381)</f>
        <v>1155667016381</v>
      </c>
      <c r="L534" t="str">
        <f ca="1">IFERROR(__xludf.DUMMYFUNCTION("""COMPUTED_VALUE"""),"5566")</f>
        <v>5566</v>
      </c>
      <c r="M534" t="str">
        <f ca="1">IFERROR(__xludf.DUMMYFUNCTION("""COMPUTED_VALUE"""),"I Accept")</f>
        <v>I Accept</v>
      </c>
      <c r="N534" s="4">
        <f ca="1">IFERROR(__xludf.DUMMYFUNCTION("""COMPUTED_VALUE"""),43200)</f>
        <v>43200</v>
      </c>
      <c r="O534" s="4">
        <f ca="1">IFERROR(__xludf.DUMMYFUNCTION("""COMPUTED_VALUE"""),43200)</f>
        <v>43200</v>
      </c>
      <c r="P534">
        <f ca="1">IFERROR(__xludf.DUMMYFUNCTION("""COMPUTED_VALUE"""),3)</f>
        <v>3</v>
      </c>
      <c r="Q534" t="str">
        <f ca="1">IFERROR(__xludf.DUMMYFUNCTION("""COMPUTED_VALUE"""),"technoguardes@gmail.com")</f>
        <v>technoguardes@gmail.com</v>
      </c>
      <c r="R534" s="2" t="s">
        <v>2948</v>
      </c>
    </row>
    <row r="535" spans="1:18" ht="13" x14ac:dyDescent="0.15">
      <c r="A535" s="3">
        <f ca="1">IFERROR(__xludf.DUMMYFUNCTION("""COMPUTED_VALUE"""),43228.4623348148)</f>
        <v>43228.462334814802</v>
      </c>
      <c r="B535" t="str">
        <f ca="1">IFERROR(__xludf.DUMMYFUNCTION("""COMPUTED_VALUE"""),"jojijohnt@gmail.com")</f>
        <v>jojijohnt@gmail.com</v>
      </c>
      <c r="C535">
        <f ca="1">IFERROR(__xludf.DUMMYFUNCTION("""COMPUTED_VALUE"""),854)</f>
        <v>854</v>
      </c>
      <c r="D535" t="str">
        <f ca="1">IFERROR(__xludf.DUMMYFUNCTION("""COMPUTED_VALUE"""),"SARAMMA VARGHESE")</f>
        <v>SARAMMA VARGHESE</v>
      </c>
      <c r="E535">
        <f ca="1">IFERROR(__xludf.DUMMYFUNCTION("""COMPUTED_VALUE"""),9447734344)</f>
        <v>9447734344</v>
      </c>
      <c r="F535" t="str">
        <f ca="1">IFERROR(__xludf.DUMMYFUNCTION("""COMPUTED_VALUE"""),"Pathanamthitta")</f>
        <v>Pathanamthitta</v>
      </c>
      <c r="G535" t="str">
        <f ca="1">IFERROR(__xludf.DUMMYFUNCTION("""COMPUTED_VALUE"""),"SIRET SOLAR PVT LTD")</f>
        <v>SIRET SOLAR PVT LTD</v>
      </c>
      <c r="H535">
        <f ca="1">IFERROR(__xludf.DUMMYFUNCTION("""COMPUTED_VALUE"""),21)</f>
        <v>21</v>
      </c>
      <c r="I535" s="4">
        <f ca="1">IFERROR(__xludf.DUMMYFUNCTION("""COMPUTED_VALUE"""),43227)</f>
        <v>43227</v>
      </c>
      <c r="J535">
        <f ca="1">IFERROR(__xludf.DUMMYFUNCTION("""COMPUTED_VALUE"""),3)</f>
        <v>3</v>
      </c>
      <c r="K535">
        <f ca="1">IFERROR(__xludf.DUMMYFUNCTION("""COMPUTED_VALUE"""),1146199008616)</f>
        <v>1146199008616</v>
      </c>
      <c r="L535" t="str">
        <f ca="1">IFERROR(__xludf.DUMMYFUNCTION("""COMPUTED_VALUE"""),"KUMBANAD")</f>
        <v>KUMBANAD</v>
      </c>
      <c r="M535" t="str">
        <f ca="1">IFERROR(__xludf.DUMMYFUNCTION("""COMPUTED_VALUE"""),"I Accept")</f>
        <v>I Accept</v>
      </c>
      <c r="N535" s="4">
        <f ca="1">IFERROR(__xludf.DUMMYFUNCTION("""COMPUTED_VALUE"""),43227)</f>
        <v>43227</v>
      </c>
      <c r="O535" s="4">
        <f ca="1">IFERROR(__xludf.DUMMYFUNCTION("""COMPUTED_VALUE"""),43227)</f>
        <v>43227</v>
      </c>
      <c r="P535">
        <f ca="1">IFERROR(__xludf.DUMMYFUNCTION("""COMPUTED_VALUE"""),3)</f>
        <v>3</v>
      </c>
      <c r="Q535" t="str">
        <f ca="1">IFERROR(__xludf.DUMMYFUNCTION("""COMPUTED_VALUE"""),"jojijohnt@gmail.com")</f>
        <v>jojijohnt@gmail.com</v>
      </c>
      <c r="R535" s="2" t="s">
        <v>2949</v>
      </c>
    </row>
    <row r="536" spans="1:18" ht="13" x14ac:dyDescent="0.15">
      <c r="A536" s="3">
        <f ca="1">IFERROR(__xludf.DUMMYFUNCTION("""COMPUTED_VALUE"""),43228.4650341666)</f>
        <v>43228.465034166598</v>
      </c>
      <c r="B536" t="str">
        <f ca="1">IFERROR(__xludf.DUMMYFUNCTION("""COMPUTED_VALUE"""),"ejosephjohn@gmail.com")</f>
        <v>ejosephjohn@gmail.com</v>
      </c>
      <c r="C536">
        <f ca="1">IFERROR(__xludf.DUMMYFUNCTION("""COMPUTED_VALUE"""),470)</f>
        <v>470</v>
      </c>
      <c r="D536" t="str">
        <f ca="1">IFERROR(__xludf.DUMMYFUNCTION("""COMPUTED_VALUE"""),"SARAMMA JOSEPH")</f>
        <v>SARAMMA JOSEPH</v>
      </c>
      <c r="E536">
        <f ca="1">IFERROR(__xludf.DUMMYFUNCTION("""COMPUTED_VALUE"""),9633249729)</f>
        <v>9633249729</v>
      </c>
      <c r="F536" t="str">
        <f ca="1">IFERROR(__xludf.DUMMYFUNCTION("""COMPUTED_VALUE"""),"Pathanamthitta")</f>
        <v>Pathanamthitta</v>
      </c>
      <c r="G536" t="str">
        <f ca="1">IFERROR(__xludf.DUMMYFUNCTION("""COMPUTED_VALUE"""),"SIRET SOLAR PVT LTD")</f>
        <v>SIRET SOLAR PVT LTD</v>
      </c>
      <c r="H536">
        <f ca="1">IFERROR(__xludf.DUMMYFUNCTION("""COMPUTED_VALUE"""),21)</f>
        <v>21</v>
      </c>
      <c r="I536" s="4">
        <f ca="1">IFERROR(__xludf.DUMMYFUNCTION("""COMPUTED_VALUE"""),43228)</f>
        <v>43228</v>
      </c>
      <c r="J536">
        <f ca="1">IFERROR(__xludf.DUMMYFUNCTION("""COMPUTED_VALUE"""),2)</f>
        <v>2</v>
      </c>
      <c r="K536">
        <f ca="1">IFERROR(__xludf.DUMMYFUNCTION("""COMPUTED_VALUE"""),1146220008281)</f>
        <v>1146220008281</v>
      </c>
      <c r="L536" t="str">
        <f ca="1">IFERROR(__xludf.DUMMYFUNCTION("""COMPUTED_VALUE"""),"VENNIKULAM")</f>
        <v>VENNIKULAM</v>
      </c>
      <c r="M536" t="str">
        <f ca="1">IFERROR(__xludf.DUMMYFUNCTION("""COMPUTED_VALUE"""),"I Accept")</f>
        <v>I Accept</v>
      </c>
      <c r="N536" s="4">
        <f ca="1">IFERROR(__xludf.DUMMYFUNCTION("""COMPUTED_VALUE"""),43189)</f>
        <v>43189</v>
      </c>
      <c r="O536" s="4">
        <f ca="1">IFERROR(__xludf.DUMMYFUNCTION("""COMPUTED_VALUE"""),43189)</f>
        <v>43189</v>
      </c>
      <c r="P536">
        <f ca="1">IFERROR(__xludf.DUMMYFUNCTION("""COMPUTED_VALUE"""),2)</f>
        <v>2</v>
      </c>
      <c r="Q536" t="str">
        <f ca="1">IFERROR(__xludf.DUMMYFUNCTION("""COMPUTED_VALUE"""),"ejosephjohn@gmail.com")</f>
        <v>ejosephjohn@gmail.com</v>
      </c>
      <c r="R536" s="2" t="s">
        <v>2950</v>
      </c>
    </row>
    <row r="537" spans="1:18" ht="13" x14ac:dyDescent="0.15">
      <c r="A537" s="3">
        <f ca="1">IFERROR(__xludf.DUMMYFUNCTION("""COMPUTED_VALUE"""),43228.4722661805)</f>
        <v>43228.472266180499</v>
      </c>
      <c r="B537" t="str">
        <f ca="1">IFERROR(__xludf.DUMMYFUNCTION("""COMPUTED_VALUE"""),"jojijohnt@gmail.com")</f>
        <v>jojijohnt@gmail.com</v>
      </c>
      <c r="C537">
        <f ca="1">IFERROR(__xludf.DUMMYFUNCTION("""COMPUTED_VALUE"""),1093)</f>
        <v>1093</v>
      </c>
      <c r="D537" t="str">
        <f ca="1">IFERROR(__xludf.DUMMYFUNCTION("""COMPUTED_VALUE"""),"THOMAS GEORGE")</f>
        <v>THOMAS GEORGE</v>
      </c>
      <c r="E537">
        <f ca="1">IFERROR(__xludf.DUMMYFUNCTION("""COMPUTED_VALUE"""),8281233117)</f>
        <v>8281233117</v>
      </c>
      <c r="F537" t="str">
        <f ca="1">IFERROR(__xludf.DUMMYFUNCTION("""COMPUTED_VALUE"""),"Pathanamthitta")</f>
        <v>Pathanamthitta</v>
      </c>
      <c r="G537" t="str">
        <f ca="1">IFERROR(__xludf.DUMMYFUNCTION("""COMPUTED_VALUE"""),"SIRET SOLAR PVT LTD")</f>
        <v>SIRET SOLAR PVT LTD</v>
      </c>
      <c r="H537">
        <f ca="1">IFERROR(__xludf.DUMMYFUNCTION("""COMPUTED_VALUE"""),21)</f>
        <v>21</v>
      </c>
      <c r="I537" s="4">
        <f ca="1">IFERROR(__xludf.DUMMYFUNCTION("""COMPUTED_VALUE"""),43227)</f>
        <v>43227</v>
      </c>
      <c r="J537">
        <f ca="1">IFERROR(__xludf.DUMMYFUNCTION("""COMPUTED_VALUE"""),2)</f>
        <v>2</v>
      </c>
      <c r="K537">
        <f ca="1">IFERROR(__xludf.DUMMYFUNCTION("""COMPUTED_VALUE"""),1146195005294)</f>
        <v>1146195005294</v>
      </c>
      <c r="L537" t="str">
        <f ca="1">IFERROR(__xludf.DUMMYFUNCTION("""COMPUTED_VALUE"""),"KUMBANAD")</f>
        <v>KUMBANAD</v>
      </c>
      <c r="M537" t="str">
        <f ca="1">IFERROR(__xludf.DUMMYFUNCTION("""COMPUTED_VALUE"""),"I Accept")</f>
        <v>I Accept</v>
      </c>
      <c r="N537" s="4">
        <f ca="1">IFERROR(__xludf.DUMMYFUNCTION("""COMPUTED_VALUE"""),43227)</f>
        <v>43227</v>
      </c>
      <c r="O537" s="4">
        <f ca="1">IFERROR(__xludf.DUMMYFUNCTION("""COMPUTED_VALUE"""),43227)</f>
        <v>43227</v>
      </c>
      <c r="P537">
        <f ca="1">IFERROR(__xludf.DUMMYFUNCTION("""COMPUTED_VALUE"""),2)</f>
        <v>2</v>
      </c>
      <c r="Q537" t="str">
        <f ca="1">IFERROR(__xludf.DUMMYFUNCTION("""COMPUTED_VALUE"""),"jojijohnt@gmail.com")</f>
        <v>jojijohnt@gmail.com</v>
      </c>
      <c r="R537" s="2" t="s">
        <v>2951</v>
      </c>
    </row>
    <row r="538" spans="1:18" ht="13" x14ac:dyDescent="0.15">
      <c r="A538" s="3">
        <f ca="1">IFERROR(__xludf.DUMMYFUNCTION("""COMPUTED_VALUE"""),43228.5034637962)</f>
        <v>43228.503463796202</v>
      </c>
      <c r="B538" t="str">
        <f ca="1">IFERROR(__xludf.DUMMYFUNCTION("""COMPUTED_VALUE"""),"technoguardes@gmail.com")</f>
        <v>technoguardes@gmail.com</v>
      </c>
      <c r="C538">
        <f ca="1">IFERROR(__xludf.DUMMYFUNCTION("""COMPUTED_VALUE"""),1053)</f>
        <v>1053</v>
      </c>
      <c r="D538" t="str">
        <f ca="1">IFERROR(__xludf.DUMMYFUNCTION("""COMPUTED_VALUE"""),"SUMATHY KUTTY AMMA")</f>
        <v>SUMATHY KUTTY AMMA</v>
      </c>
      <c r="E538">
        <f ca="1">IFERROR(__xludf.DUMMYFUNCTION("""COMPUTED_VALUE"""),9400020127)</f>
        <v>9400020127</v>
      </c>
      <c r="F538" t="str">
        <f ca="1">IFERROR(__xludf.DUMMYFUNCTION("""COMPUTED_VALUE"""),"Ernakulam")</f>
        <v>Ernakulam</v>
      </c>
      <c r="G538" t="str">
        <f ca="1">IFERROR(__xludf.DUMMYFUNCTION("""COMPUTED_VALUE"""),"TECHNO GUARD INDUSTRIES")</f>
        <v>TECHNO GUARD INDUSTRIES</v>
      </c>
      <c r="H538">
        <f ca="1">IFERROR(__xludf.DUMMYFUNCTION("""COMPUTED_VALUE"""),56)</f>
        <v>56</v>
      </c>
      <c r="I538" s="4">
        <f ca="1">IFERROR(__xludf.DUMMYFUNCTION("""COMPUTED_VALUE"""),43224)</f>
        <v>43224</v>
      </c>
      <c r="J538">
        <f ca="1">IFERROR(__xludf.DUMMYFUNCTION("""COMPUTED_VALUE"""),3)</f>
        <v>3</v>
      </c>
      <c r="K538">
        <f ca="1">IFERROR(__xludf.DUMMYFUNCTION("""COMPUTED_VALUE"""),1156046023667)</f>
        <v>1156046023667</v>
      </c>
      <c r="L538" t="str">
        <f ca="1">IFERROR(__xludf.DUMMYFUNCTION("""COMPUTED_VALUE"""),"NORTH PARUR")</f>
        <v>NORTH PARUR</v>
      </c>
      <c r="M538" t="str">
        <f ca="1">IFERROR(__xludf.DUMMYFUNCTION("""COMPUTED_VALUE"""),"I Accept")</f>
        <v>I Accept</v>
      </c>
      <c r="N538" s="4">
        <f ca="1">IFERROR(__xludf.DUMMYFUNCTION("""COMPUTED_VALUE"""),43214)</f>
        <v>43214</v>
      </c>
      <c r="O538" s="4">
        <f ca="1">IFERROR(__xludf.DUMMYFUNCTION("""COMPUTED_VALUE"""),43214)</f>
        <v>43214</v>
      </c>
      <c r="P538">
        <f ca="1">IFERROR(__xludf.DUMMYFUNCTION("""COMPUTED_VALUE"""),3)</f>
        <v>3</v>
      </c>
      <c r="Q538" t="str">
        <f ca="1">IFERROR(__xludf.DUMMYFUNCTION("""COMPUTED_VALUE"""),"technoguardes@gmail.com")</f>
        <v>technoguardes@gmail.com</v>
      </c>
      <c r="R538" s="2" t="s">
        <v>2952</v>
      </c>
    </row>
    <row r="539" spans="1:18" ht="13" x14ac:dyDescent="0.15">
      <c r="A539" s="3">
        <f ca="1">IFERROR(__xludf.DUMMYFUNCTION("""COMPUTED_VALUE"""),43228.5067109953)</f>
        <v>43228.506710995302</v>
      </c>
      <c r="B539" t="str">
        <f ca="1">IFERROR(__xludf.DUMMYFUNCTION("""COMPUTED_VALUE"""),"technoguardes@gmail.com")</f>
        <v>technoguardes@gmail.com</v>
      </c>
      <c r="C539">
        <f ca="1">IFERROR(__xludf.DUMMYFUNCTION("""COMPUTED_VALUE"""),1054)</f>
        <v>1054</v>
      </c>
      <c r="D539" t="str">
        <f ca="1">IFERROR(__xludf.DUMMYFUNCTION("""COMPUTED_VALUE"""),"VINCENT VARGHESE")</f>
        <v>VINCENT VARGHESE</v>
      </c>
      <c r="E539">
        <f ca="1">IFERROR(__xludf.DUMMYFUNCTION("""COMPUTED_VALUE"""),9400020127)</f>
        <v>9400020127</v>
      </c>
      <c r="F539" t="str">
        <f ca="1">IFERROR(__xludf.DUMMYFUNCTION("""COMPUTED_VALUE"""),"Ernakulam")</f>
        <v>Ernakulam</v>
      </c>
      <c r="G539" t="str">
        <f ca="1">IFERROR(__xludf.DUMMYFUNCTION("""COMPUTED_VALUE"""),"TECHNO GUARD INDUSTRIES")</f>
        <v>TECHNO GUARD INDUSTRIES</v>
      </c>
      <c r="H539">
        <f ca="1">IFERROR(__xludf.DUMMYFUNCTION("""COMPUTED_VALUE"""),56)</f>
        <v>56</v>
      </c>
      <c r="I539" s="4">
        <f ca="1">IFERROR(__xludf.DUMMYFUNCTION("""COMPUTED_VALUE"""),43224)</f>
        <v>43224</v>
      </c>
      <c r="J539">
        <f ca="1">IFERROR(__xludf.DUMMYFUNCTION("""COMPUTED_VALUE"""),5)</f>
        <v>5</v>
      </c>
      <c r="K539">
        <f ca="1">IFERROR(__xludf.DUMMYFUNCTION("""COMPUTED_VALUE"""),1155662021918)</f>
        <v>1155662021918</v>
      </c>
      <c r="L539" t="str">
        <f ca="1">IFERROR(__xludf.DUMMYFUNCTION("""COMPUTED_VALUE"""),"NJARAKKAL")</f>
        <v>NJARAKKAL</v>
      </c>
      <c r="M539" t="str">
        <f ca="1">IFERROR(__xludf.DUMMYFUNCTION("""COMPUTED_VALUE"""),"I Accept")</f>
        <v>I Accept</v>
      </c>
      <c r="N539" s="4">
        <f ca="1">IFERROR(__xludf.DUMMYFUNCTION("""COMPUTED_VALUE"""),43208)</f>
        <v>43208</v>
      </c>
      <c r="O539" s="4">
        <f ca="1">IFERROR(__xludf.DUMMYFUNCTION("""COMPUTED_VALUE"""),43208)</f>
        <v>43208</v>
      </c>
      <c r="P539">
        <f ca="1">IFERROR(__xludf.DUMMYFUNCTION("""COMPUTED_VALUE"""),5)</f>
        <v>5</v>
      </c>
      <c r="Q539" t="str">
        <f ca="1">IFERROR(__xludf.DUMMYFUNCTION("""COMPUTED_VALUE"""),"technoguardes@gmail.com")</f>
        <v>technoguardes@gmail.com</v>
      </c>
      <c r="R539" s="2" t="s">
        <v>2953</v>
      </c>
    </row>
    <row r="540" spans="1:18" ht="13" x14ac:dyDescent="0.15">
      <c r="A540" s="3">
        <f ca="1">IFERROR(__xludf.DUMMYFUNCTION("""COMPUTED_VALUE"""),43228.5092014583)</f>
        <v>43228.509201458299</v>
      </c>
      <c r="B540" t="str">
        <f ca="1">IFERROR(__xludf.DUMMYFUNCTION("""COMPUTED_VALUE"""),"technoguardes@gmail.com")</f>
        <v>technoguardes@gmail.com</v>
      </c>
      <c r="C540">
        <f ca="1">IFERROR(__xludf.DUMMYFUNCTION("""COMPUTED_VALUE"""),1052)</f>
        <v>1052</v>
      </c>
      <c r="D540" t="str">
        <f ca="1">IFERROR(__xludf.DUMMYFUNCTION("""COMPUTED_VALUE"""),"AJITH C B")</f>
        <v>AJITH C B</v>
      </c>
      <c r="E540">
        <f ca="1">IFERROR(__xludf.DUMMYFUNCTION("""COMPUTED_VALUE"""),9400020127)</f>
        <v>9400020127</v>
      </c>
      <c r="F540" t="str">
        <f ca="1">IFERROR(__xludf.DUMMYFUNCTION("""COMPUTED_VALUE"""),"Ernakulam")</f>
        <v>Ernakulam</v>
      </c>
      <c r="G540" t="str">
        <f ca="1">IFERROR(__xludf.DUMMYFUNCTION("""COMPUTED_VALUE"""),"TECHNO GUARD INDUSTRIES")</f>
        <v>TECHNO GUARD INDUSTRIES</v>
      </c>
      <c r="H540">
        <f ca="1">IFERROR(__xludf.DUMMYFUNCTION("""COMPUTED_VALUE"""),56)</f>
        <v>56</v>
      </c>
      <c r="I540" s="4">
        <f ca="1">IFERROR(__xludf.DUMMYFUNCTION("""COMPUTED_VALUE"""),43224)</f>
        <v>43224</v>
      </c>
      <c r="J540">
        <f ca="1">IFERROR(__xludf.DUMMYFUNCTION("""COMPUTED_VALUE"""),3)</f>
        <v>3</v>
      </c>
      <c r="K540">
        <f ca="1">IFERROR(__xludf.DUMMYFUNCTION("""COMPUTED_VALUE"""),1155665017499)</f>
        <v>1155665017499</v>
      </c>
      <c r="L540" t="str">
        <f ca="1">IFERROR(__xludf.DUMMYFUNCTION("""COMPUTED_VALUE"""),"NJARAKKAL")</f>
        <v>NJARAKKAL</v>
      </c>
      <c r="M540" t="str">
        <f ca="1">IFERROR(__xludf.DUMMYFUNCTION("""COMPUTED_VALUE"""),"I Accept")</f>
        <v>I Accept</v>
      </c>
      <c r="N540" s="4">
        <f ca="1">IFERROR(__xludf.DUMMYFUNCTION("""COMPUTED_VALUE"""),43208)</f>
        <v>43208</v>
      </c>
      <c r="O540" s="4">
        <f ca="1">IFERROR(__xludf.DUMMYFUNCTION("""COMPUTED_VALUE"""),43208)</f>
        <v>43208</v>
      </c>
      <c r="P540">
        <f ca="1">IFERROR(__xludf.DUMMYFUNCTION("""COMPUTED_VALUE"""),5)</f>
        <v>5</v>
      </c>
      <c r="Q540" t="str">
        <f ca="1">IFERROR(__xludf.DUMMYFUNCTION("""COMPUTED_VALUE"""),"technoguardes@gmail.com")</f>
        <v>technoguardes@gmail.com</v>
      </c>
      <c r="R540" s="2" t="s">
        <v>2954</v>
      </c>
    </row>
    <row r="541" spans="1:18" ht="13" x14ac:dyDescent="0.15">
      <c r="A541" s="3">
        <f ca="1">IFERROR(__xludf.DUMMYFUNCTION("""COMPUTED_VALUE"""),43228.5107708564)</f>
        <v>43228.510770856403</v>
      </c>
      <c r="B541" t="str">
        <f ca="1">IFERROR(__xludf.DUMMYFUNCTION("""COMPUTED_VALUE"""),"technoguardes@gmail.com")</f>
        <v>technoguardes@gmail.com</v>
      </c>
      <c r="C541">
        <f ca="1">IFERROR(__xludf.DUMMYFUNCTION("""COMPUTED_VALUE"""),1051)</f>
        <v>1051</v>
      </c>
      <c r="D541" t="str">
        <f ca="1">IFERROR(__xludf.DUMMYFUNCTION("""COMPUTED_VALUE"""),"GHOSH M G")</f>
        <v>GHOSH M G</v>
      </c>
      <c r="E541">
        <f ca="1">IFERROR(__xludf.DUMMYFUNCTION("""COMPUTED_VALUE"""),9400020127)</f>
        <v>9400020127</v>
      </c>
      <c r="F541" t="str">
        <f ca="1">IFERROR(__xludf.DUMMYFUNCTION("""COMPUTED_VALUE"""),"Ernakulam")</f>
        <v>Ernakulam</v>
      </c>
      <c r="G541" t="str">
        <f ca="1">IFERROR(__xludf.DUMMYFUNCTION("""COMPUTED_VALUE"""),"TECHNO GUARD INDUSTRIES")</f>
        <v>TECHNO GUARD INDUSTRIES</v>
      </c>
      <c r="H541">
        <f ca="1">IFERROR(__xludf.DUMMYFUNCTION("""COMPUTED_VALUE"""),56)</f>
        <v>56</v>
      </c>
      <c r="I541" s="4">
        <f ca="1">IFERROR(__xludf.DUMMYFUNCTION("""COMPUTED_VALUE"""),43224)</f>
        <v>43224</v>
      </c>
      <c r="J541">
        <f ca="1">IFERROR(__xludf.DUMMYFUNCTION("""COMPUTED_VALUE"""),3)</f>
        <v>3</v>
      </c>
      <c r="K541">
        <f ca="1">IFERROR(__xludf.DUMMYFUNCTION("""COMPUTED_VALUE"""),1155662023498)</f>
        <v>1155662023498</v>
      </c>
      <c r="L541" t="str">
        <f ca="1">IFERROR(__xludf.DUMMYFUNCTION("""COMPUTED_VALUE"""),"NJARAKKAL")</f>
        <v>NJARAKKAL</v>
      </c>
      <c r="M541" t="str">
        <f ca="1">IFERROR(__xludf.DUMMYFUNCTION("""COMPUTED_VALUE"""),"I Accept")</f>
        <v>I Accept</v>
      </c>
      <c r="N541" s="4">
        <f ca="1">IFERROR(__xludf.DUMMYFUNCTION("""COMPUTED_VALUE"""),43208)</f>
        <v>43208</v>
      </c>
      <c r="O541" s="4">
        <f ca="1">IFERROR(__xludf.DUMMYFUNCTION("""COMPUTED_VALUE"""),43208)</f>
        <v>43208</v>
      </c>
      <c r="P541">
        <f ca="1">IFERROR(__xludf.DUMMYFUNCTION("""COMPUTED_VALUE"""),3)</f>
        <v>3</v>
      </c>
      <c r="Q541" t="str">
        <f ca="1">IFERROR(__xludf.DUMMYFUNCTION("""COMPUTED_VALUE"""),"technoguardes@gmail.com")</f>
        <v>technoguardes@gmail.com</v>
      </c>
      <c r="R541" s="2" t="s">
        <v>2955</v>
      </c>
    </row>
    <row r="542" spans="1:18" ht="13" x14ac:dyDescent="0.15">
      <c r="A542" s="3">
        <f ca="1">IFERROR(__xludf.DUMMYFUNCTION("""COMPUTED_VALUE"""),43228.6442384953)</f>
        <v>43228.644238495297</v>
      </c>
      <c r="B542" t="str">
        <f ca="1">IFERROR(__xludf.DUMMYFUNCTION("""COMPUTED_VALUE"""),"jojijohnt@gmail.com")</f>
        <v>jojijohnt@gmail.com</v>
      </c>
      <c r="C542">
        <f ca="1">IFERROR(__xludf.DUMMYFUNCTION("""COMPUTED_VALUE"""),747)</f>
        <v>747</v>
      </c>
      <c r="D542" t="str">
        <f ca="1">IFERROR(__xludf.DUMMYFUNCTION("""COMPUTED_VALUE"""),"Santhakumariyamma")</f>
        <v>Santhakumariyamma</v>
      </c>
      <c r="E542">
        <f ca="1">IFERROR(__xludf.DUMMYFUNCTION("""COMPUTED_VALUE"""),9847192975)</f>
        <v>9847192975</v>
      </c>
      <c r="F542" t="str">
        <f ca="1">IFERROR(__xludf.DUMMYFUNCTION("""COMPUTED_VALUE"""),"Pathanamthitta")</f>
        <v>Pathanamthitta</v>
      </c>
      <c r="G542" t="str">
        <f ca="1">IFERROR(__xludf.DUMMYFUNCTION("""COMPUTED_VALUE"""),"siret solar pvt ltd")</f>
        <v>siret solar pvt ltd</v>
      </c>
      <c r="H542">
        <f ca="1">IFERROR(__xludf.DUMMYFUNCTION("""COMPUTED_VALUE"""),21)</f>
        <v>21</v>
      </c>
      <c r="I542" s="4">
        <f ca="1">IFERROR(__xludf.DUMMYFUNCTION("""COMPUTED_VALUE"""),43200)</f>
        <v>43200</v>
      </c>
      <c r="J542">
        <f ca="1">IFERROR(__xludf.DUMMYFUNCTION("""COMPUTED_VALUE"""),5)</f>
        <v>5</v>
      </c>
      <c r="K542">
        <f ca="1">IFERROR(__xludf.DUMMYFUNCTION("""COMPUTED_VALUE"""),1146089000233)</f>
        <v>1146089000233</v>
      </c>
      <c r="L542" t="str">
        <f ca="1">IFERROR(__xludf.DUMMYFUNCTION("""COMPUTED_VALUE"""),"ayiroor")</f>
        <v>ayiroor</v>
      </c>
      <c r="M542" t="str">
        <f ca="1">IFERROR(__xludf.DUMMYFUNCTION("""COMPUTED_VALUE"""),"I Accept")</f>
        <v>I Accept</v>
      </c>
      <c r="N542" s="4">
        <f ca="1">IFERROR(__xludf.DUMMYFUNCTION("""COMPUTED_VALUE"""),42119)</f>
        <v>42119</v>
      </c>
      <c r="O542" s="4">
        <f ca="1">IFERROR(__xludf.DUMMYFUNCTION("""COMPUTED_VALUE"""),43215)</f>
        <v>43215</v>
      </c>
      <c r="P542">
        <f ca="1">IFERROR(__xludf.DUMMYFUNCTION("""COMPUTED_VALUE"""),5)</f>
        <v>5</v>
      </c>
      <c r="Q542" t="str">
        <f ca="1">IFERROR(__xludf.DUMMYFUNCTION("""COMPUTED_VALUE"""),"jojijohnt@gmail.com")</f>
        <v>jojijohnt@gmail.com</v>
      </c>
      <c r="R542" s="2" t="s">
        <v>2956</v>
      </c>
    </row>
    <row r="543" spans="1:18" ht="13" x14ac:dyDescent="0.15">
      <c r="A543" s="3">
        <f ca="1">IFERROR(__xludf.DUMMYFUNCTION("""COMPUTED_VALUE"""),43228.6497602546)</f>
        <v>43228.649760254601</v>
      </c>
      <c r="B543" t="str">
        <f ca="1">IFERROR(__xludf.DUMMYFUNCTION("""COMPUTED_VALUE"""),"technoguardes@gmail.com")</f>
        <v>technoguardes@gmail.com</v>
      </c>
      <c r="C543">
        <f ca="1">IFERROR(__xludf.DUMMYFUNCTION("""COMPUTED_VALUE"""),855)</f>
        <v>855</v>
      </c>
      <c r="D543" t="str">
        <f ca="1">IFERROR(__xludf.DUMMYFUNCTION("""COMPUTED_VALUE"""),"MUHAMMED IQBAL")</f>
        <v>MUHAMMED IQBAL</v>
      </c>
      <c r="E543">
        <f ca="1">IFERROR(__xludf.DUMMYFUNCTION("""COMPUTED_VALUE"""),9400020127)</f>
        <v>9400020127</v>
      </c>
      <c r="F543" t="str">
        <f ca="1">IFERROR(__xludf.DUMMYFUNCTION("""COMPUTED_VALUE"""),"Ernakulam")</f>
        <v>Ernakulam</v>
      </c>
      <c r="G543" t="str">
        <f ca="1">IFERROR(__xludf.DUMMYFUNCTION("""COMPUTED_VALUE"""),"TECHNO GUARD INDUSTRIES")</f>
        <v>TECHNO GUARD INDUSTRIES</v>
      </c>
      <c r="H543">
        <f ca="1">IFERROR(__xludf.DUMMYFUNCTION("""COMPUTED_VALUE"""),56)</f>
        <v>56</v>
      </c>
      <c r="I543" s="4">
        <f ca="1">IFERROR(__xludf.DUMMYFUNCTION("""COMPUTED_VALUE"""),43228)</f>
        <v>43228</v>
      </c>
      <c r="J543">
        <f ca="1">IFERROR(__xludf.DUMMYFUNCTION("""COMPUTED_VALUE"""),5)</f>
        <v>5</v>
      </c>
      <c r="K543">
        <f ca="1">IFERROR(__xludf.DUMMYFUNCTION("""COMPUTED_VALUE"""),1155669018418)</f>
        <v>1155669018418</v>
      </c>
      <c r="L543" t="str">
        <f ca="1">IFERROR(__xludf.DUMMYFUNCTION("""COMPUTED_VALUE"""),"NJARAKKAL")</f>
        <v>NJARAKKAL</v>
      </c>
      <c r="M543" t="str">
        <f ca="1">IFERROR(__xludf.DUMMYFUNCTION("""COMPUTED_VALUE"""),"I Accept")</f>
        <v>I Accept</v>
      </c>
      <c r="N543" s="4">
        <f ca="1">IFERROR(__xludf.DUMMYFUNCTION("""COMPUTED_VALUE"""),43220)</f>
        <v>43220</v>
      </c>
      <c r="O543" s="4">
        <f ca="1">IFERROR(__xludf.DUMMYFUNCTION("""COMPUTED_VALUE"""),43220)</f>
        <v>43220</v>
      </c>
      <c r="P543">
        <f ca="1">IFERROR(__xludf.DUMMYFUNCTION("""COMPUTED_VALUE"""),5)</f>
        <v>5</v>
      </c>
      <c r="Q543" t="str">
        <f ca="1">IFERROR(__xludf.DUMMYFUNCTION("""COMPUTED_VALUE"""),"technoguardes@gmail.com")</f>
        <v>technoguardes@gmail.com</v>
      </c>
      <c r="R543" s="2" t="s">
        <v>2957</v>
      </c>
    </row>
    <row r="544" spans="1:18" ht="13" x14ac:dyDescent="0.15">
      <c r="A544" s="3">
        <f ca="1">IFERROR(__xludf.DUMMYFUNCTION("""COMPUTED_VALUE"""),43228.6515327199)</f>
        <v>43228.651532719901</v>
      </c>
      <c r="B544" t="str">
        <f ca="1">IFERROR(__xludf.DUMMYFUNCTION("""COMPUTED_VALUE"""),"technoguardes@gmail.com")</f>
        <v>technoguardes@gmail.com</v>
      </c>
      <c r="C544">
        <f ca="1">IFERROR(__xludf.DUMMYFUNCTION("""COMPUTED_VALUE"""),857)</f>
        <v>857</v>
      </c>
      <c r="D544" t="str">
        <f ca="1">IFERROR(__xludf.DUMMYFUNCTION("""COMPUTED_VALUE"""),"SANTHOSH P R")</f>
        <v>SANTHOSH P R</v>
      </c>
      <c r="E544">
        <f ca="1">IFERROR(__xludf.DUMMYFUNCTION("""COMPUTED_VALUE"""),9400020127)</f>
        <v>9400020127</v>
      </c>
      <c r="F544" t="str">
        <f ca="1">IFERROR(__xludf.DUMMYFUNCTION("""COMPUTED_VALUE"""),"Ernakulam")</f>
        <v>Ernakulam</v>
      </c>
      <c r="G544" t="str">
        <f ca="1">IFERROR(__xludf.DUMMYFUNCTION("""COMPUTED_VALUE"""),"TECHNO GUARD INDUSTRIES")</f>
        <v>TECHNO GUARD INDUSTRIES</v>
      </c>
      <c r="H544">
        <f ca="1">IFERROR(__xludf.DUMMYFUNCTION("""COMPUTED_VALUE"""),56)</f>
        <v>56</v>
      </c>
      <c r="I544" s="4">
        <f ca="1">IFERROR(__xludf.DUMMYFUNCTION("""COMPUTED_VALUE"""),43228)</f>
        <v>43228</v>
      </c>
      <c r="J544">
        <f ca="1">IFERROR(__xludf.DUMMYFUNCTION("""COMPUTED_VALUE"""),2)</f>
        <v>2</v>
      </c>
      <c r="K544">
        <f ca="1">IFERROR(__xludf.DUMMYFUNCTION("""COMPUTED_VALUE"""),1155669022623)</f>
        <v>1155669022623</v>
      </c>
      <c r="L544" t="str">
        <f ca="1">IFERROR(__xludf.DUMMYFUNCTION("""COMPUTED_VALUE"""),"NJARAKKAL")</f>
        <v>NJARAKKAL</v>
      </c>
      <c r="M544" t="str">
        <f ca="1">IFERROR(__xludf.DUMMYFUNCTION("""COMPUTED_VALUE"""),"I Accept")</f>
        <v>I Accept</v>
      </c>
      <c r="N544" s="4">
        <f ca="1">IFERROR(__xludf.DUMMYFUNCTION("""COMPUTED_VALUE"""),43220)</f>
        <v>43220</v>
      </c>
      <c r="O544" s="4">
        <f ca="1">IFERROR(__xludf.DUMMYFUNCTION("""COMPUTED_VALUE"""),43220)</f>
        <v>43220</v>
      </c>
      <c r="P544">
        <f ca="1">IFERROR(__xludf.DUMMYFUNCTION("""COMPUTED_VALUE"""),2)</f>
        <v>2</v>
      </c>
      <c r="Q544" t="str">
        <f ca="1">IFERROR(__xludf.DUMMYFUNCTION("""COMPUTED_VALUE"""),"technoguardes@gmail.com")</f>
        <v>technoguardes@gmail.com</v>
      </c>
      <c r="R544" s="2" t="s">
        <v>2958</v>
      </c>
    </row>
    <row r="545" spans="1:18" ht="13" x14ac:dyDescent="0.15">
      <c r="A545" s="3">
        <f ca="1">IFERROR(__xludf.DUMMYFUNCTION("""COMPUTED_VALUE"""),43228.6566286805)</f>
        <v>43228.656628680503</v>
      </c>
      <c r="B545" t="str">
        <f ca="1">IFERROR(__xludf.DUMMYFUNCTION("""COMPUTED_VALUE"""),"connectdsk@gmail.com")</f>
        <v>connectdsk@gmail.com</v>
      </c>
      <c r="C545">
        <f ca="1">IFERROR(__xludf.DUMMYFUNCTION("""COMPUTED_VALUE"""),668)</f>
        <v>668</v>
      </c>
      <c r="D545" t="str">
        <f ca="1">IFERROR(__xludf.DUMMYFUNCTION("""COMPUTED_VALUE"""),"N RAMAKRISHNAN NAIR")</f>
        <v>N RAMAKRISHNAN NAIR</v>
      </c>
      <c r="E545">
        <f ca="1">IFERROR(__xludf.DUMMYFUNCTION("""COMPUTED_VALUE"""),8547564126)</f>
        <v>8547564126</v>
      </c>
      <c r="F545" t="str">
        <f ca="1">IFERROR(__xludf.DUMMYFUNCTION("""COMPUTED_VALUE"""),"Alappuzha")</f>
        <v>Alappuzha</v>
      </c>
      <c r="G545" t="str">
        <f ca="1">IFERROR(__xludf.DUMMYFUNCTION("""COMPUTED_VALUE"""),"FERT")</f>
        <v>FERT</v>
      </c>
      <c r="H545">
        <f ca="1">IFERROR(__xludf.DUMMYFUNCTION("""COMPUTED_VALUE"""),27)</f>
        <v>27</v>
      </c>
      <c r="I545" s="4">
        <f ca="1">IFERROR(__xludf.DUMMYFUNCTION("""COMPUTED_VALUE"""),43225)</f>
        <v>43225</v>
      </c>
      <c r="J545">
        <f ca="1">IFERROR(__xludf.DUMMYFUNCTION("""COMPUTED_VALUE"""),3)</f>
        <v>3</v>
      </c>
      <c r="K545">
        <f ca="1">IFERROR(__xludf.DUMMYFUNCTION("""COMPUTED_VALUE"""),1155030021271)</f>
        <v>1155030021271</v>
      </c>
      <c r="L545" t="str">
        <f ca="1">IFERROR(__xludf.DUMMYFUNCTION("""COMPUTED_VALUE"""),"ALAPPUZHA SOUTH")</f>
        <v>ALAPPUZHA SOUTH</v>
      </c>
      <c r="M545" t="str">
        <f ca="1">IFERROR(__xludf.DUMMYFUNCTION("""COMPUTED_VALUE"""),"I Accept")</f>
        <v>I Accept</v>
      </c>
      <c r="N545" s="4">
        <f ca="1">IFERROR(__xludf.DUMMYFUNCTION("""COMPUTED_VALUE"""),43225)</f>
        <v>43225</v>
      </c>
      <c r="O545" s="4">
        <f ca="1">IFERROR(__xludf.DUMMYFUNCTION("""COMPUTED_VALUE"""),43225)</f>
        <v>43225</v>
      </c>
      <c r="P545">
        <f ca="1">IFERROR(__xludf.DUMMYFUNCTION("""COMPUTED_VALUE"""),3)</f>
        <v>3</v>
      </c>
      <c r="Q545" t="str">
        <f ca="1">IFERROR(__xludf.DUMMYFUNCTION("""COMPUTED_VALUE"""),"connectdsk@gmail.com")</f>
        <v>connectdsk@gmail.com</v>
      </c>
      <c r="R545" s="2" t="s">
        <v>2959</v>
      </c>
    </row>
    <row r="546" spans="1:18" ht="13" x14ac:dyDescent="0.15">
      <c r="A546" s="3">
        <f ca="1">IFERROR(__xludf.DUMMYFUNCTION("""COMPUTED_VALUE"""),43228.7179324189)</f>
        <v>43228.717932418898</v>
      </c>
      <c r="B546" t="str">
        <f ca="1">IFERROR(__xludf.DUMMYFUNCTION("""COMPUTED_VALUE"""),"elsolpowersolutions@gmail.com")</f>
        <v>elsolpowersolutions@gmail.com</v>
      </c>
      <c r="C546">
        <f ca="1">IFERROR(__xludf.DUMMYFUNCTION("""COMPUTED_VALUE"""),890)</f>
        <v>890</v>
      </c>
      <c r="D546" t="str">
        <f ca="1">IFERROR(__xludf.DUMMYFUNCTION("""COMPUTED_VALUE"""),"MATHEW P A")</f>
        <v>MATHEW P A</v>
      </c>
      <c r="E546">
        <f ca="1">IFERROR(__xludf.DUMMYFUNCTION("""COMPUTED_VALUE"""),8078213924)</f>
        <v>8078213924</v>
      </c>
      <c r="F546" t="str">
        <f ca="1">IFERROR(__xludf.DUMMYFUNCTION("""COMPUTED_VALUE"""),"Kottayam")</f>
        <v>Kottayam</v>
      </c>
      <c r="G546" t="str">
        <f ca="1">IFERROR(__xludf.DUMMYFUNCTION("""COMPUTED_VALUE"""),"RENERGY SYSTEMS INDIA PVT LTD")</f>
        <v>RENERGY SYSTEMS INDIA PVT LTD</v>
      </c>
      <c r="H546">
        <f ca="1">IFERROR(__xludf.DUMMYFUNCTION("""COMPUTED_VALUE"""),38)</f>
        <v>38</v>
      </c>
      <c r="I546" s="4">
        <f ca="1">IFERROR(__xludf.DUMMYFUNCTION("""COMPUTED_VALUE"""),43200)</f>
        <v>43200</v>
      </c>
      <c r="J546">
        <f ca="1">IFERROR(__xludf.DUMMYFUNCTION("""COMPUTED_VALUE"""),3)</f>
        <v>3</v>
      </c>
      <c r="K546">
        <f ca="1">IFERROR(__xludf.DUMMYFUNCTION("""COMPUTED_VALUE"""),1146894003513)</f>
        <v>1146894003513</v>
      </c>
      <c r="L546" t="str">
        <f ca="1">IFERROR(__xludf.DUMMYFUNCTION("""COMPUTED_VALUE"""),"MEENADOM")</f>
        <v>MEENADOM</v>
      </c>
      <c r="M546" t="str">
        <f ca="1">IFERROR(__xludf.DUMMYFUNCTION("""COMPUTED_VALUE"""),"I Accept")</f>
        <v>I Accept</v>
      </c>
      <c r="N546" s="4">
        <f ca="1">IFERROR(__xludf.DUMMYFUNCTION("""COMPUTED_VALUE"""),43201)</f>
        <v>43201</v>
      </c>
      <c r="O546" s="4">
        <f ca="1">IFERROR(__xludf.DUMMYFUNCTION("""COMPUTED_VALUE"""),43201)</f>
        <v>43201</v>
      </c>
      <c r="P546">
        <f ca="1">IFERROR(__xludf.DUMMYFUNCTION("""COMPUTED_VALUE"""),3)</f>
        <v>3</v>
      </c>
      <c r="Q546" t="str">
        <f ca="1">IFERROR(__xludf.DUMMYFUNCTION("""COMPUTED_VALUE"""),"elsolpowersolutions@gmail.com")</f>
        <v>elsolpowersolutions@gmail.com</v>
      </c>
      <c r="R546" s="2" t="s">
        <v>2960</v>
      </c>
    </row>
    <row r="547" spans="1:18" ht="13" x14ac:dyDescent="0.15">
      <c r="A547" s="3">
        <f ca="1">IFERROR(__xludf.DUMMYFUNCTION("""COMPUTED_VALUE"""),43228.7217905671)</f>
        <v>43228.721790567099</v>
      </c>
      <c r="B547" t="str">
        <f ca="1">IFERROR(__xludf.DUMMYFUNCTION("""COMPUTED_VALUE"""),"elsolpowersolutions@gmail.com")</f>
        <v>elsolpowersolutions@gmail.com</v>
      </c>
      <c r="C547">
        <f ca="1">IFERROR(__xludf.DUMMYFUNCTION("""COMPUTED_VALUE"""),891)</f>
        <v>891</v>
      </c>
      <c r="D547" t="str">
        <f ca="1">IFERROR(__xludf.DUMMYFUNCTION("""COMPUTED_VALUE"""),"VARGHESE ASSARIPARAMPIL VARGHESE")</f>
        <v>VARGHESE ASSARIPARAMPIL VARGHESE</v>
      </c>
      <c r="E547">
        <f ca="1">IFERROR(__xludf.DUMMYFUNCTION("""COMPUTED_VALUE"""),8078213924)</f>
        <v>8078213924</v>
      </c>
      <c r="F547" t="str">
        <f ca="1">IFERROR(__xludf.DUMMYFUNCTION("""COMPUTED_VALUE"""),"Kottayam")</f>
        <v>Kottayam</v>
      </c>
      <c r="G547" t="str">
        <f ca="1">IFERROR(__xludf.DUMMYFUNCTION("""COMPUTED_VALUE"""),"RENERGY SYSTEMS INDIA PVT LTD")</f>
        <v>RENERGY SYSTEMS INDIA PVT LTD</v>
      </c>
      <c r="H547">
        <f ca="1">IFERROR(__xludf.DUMMYFUNCTION("""COMPUTED_VALUE"""),38)</f>
        <v>38</v>
      </c>
      <c r="I547" s="4">
        <f ca="1">IFERROR(__xludf.DUMMYFUNCTION("""COMPUTED_VALUE"""),43199)</f>
        <v>43199</v>
      </c>
      <c r="J547">
        <f ca="1">IFERROR(__xludf.DUMMYFUNCTION("""COMPUTED_VALUE"""),3)</f>
        <v>3</v>
      </c>
      <c r="K547">
        <f ca="1">IFERROR(__xludf.DUMMYFUNCTION("""COMPUTED_VALUE"""),1146892003870)</f>
        <v>1146892003870</v>
      </c>
      <c r="L547" t="str">
        <f ca="1">IFERROR(__xludf.DUMMYFUNCTION("""COMPUTED_VALUE"""),"MEENADOM")</f>
        <v>MEENADOM</v>
      </c>
      <c r="M547" t="str">
        <f ca="1">IFERROR(__xludf.DUMMYFUNCTION("""COMPUTED_VALUE"""),"I Accept")</f>
        <v>I Accept</v>
      </c>
      <c r="N547" s="4">
        <f ca="1">IFERROR(__xludf.DUMMYFUNCTION("""COMPUTED_VALUE"""),43201)</f>
        <v>43201</v>
      </c>
      <c r="O547" s="4">
        <f ca="1">IFERROR(__xludf.DUMMYFUNCTION("""COMPUTED_VALUE"""),43201)</f>
        <v>43201</v>
      </c>
      <c r="P547">
        <f ca="1">IFERROR(__xludf.DUMMYFUNCTION("""COMPUTED_VALUE"""),3)</f>
        <v>3</v>
      </c>
      <c r="Q547" t="str">
        <f ca="1">IFERROR(__xludf.DUMMYFUNCTION("""COMPUTED_VALUE"""),"elsolpowersolutions@gmail.com")</f>
        <v>elsolpowersolutions@gmail.com</v>
      </c>
      <c r="R547" s="2" t="s">
        <v>2961</v>
      </c>
    </row>
    <row r="548" spans="1:18" ht="13" x14ac:dyDescent="0.15">
      <c r="A548" s="3">
        <f ca="1">IFERROR(__xludf.DUMMYFUNCTION("""COMPUTED_VALUE"""),43228.7290937268)</f>
        <v>43228.729093726797</v>
      </c>
      <c r="B548" t="str">
        <f ca="1">IFERROR(__xludf.DUMMYFUNCTION("""COMPUTED_VALUE"""),"connectdsk@gmail.com")</f>
        <v>connectdsk@gmail.com</v>
      </c>
      <c r="C548">
        <f ca="1">IFERROR(__xludf.DUMMYFUNCTION("""COMPUTED_VALUE"""),781)</f>
        <v>781</v>
      </c>
      <c r="D548" t="str">
        <f ca="1">IFERROR(__xludf.DUMMYFUNCTION("""COMPUTED_VALUE"""),"RAJENESH CLEMENT")</f>
        <v>RAJENESH CLEMENT</v>
      </c>
      <c r="E548">
        <f ca="1">IFERROR(__xludf.DUMMYFUNCTION("""COMPUTED_VALUE"""),8547564126)</f>
        <v>8547564126</v>
      </c>
      <c r="F548" t="str">
        <f ca="1">IFERROR(__xludf.DUMMYFUNCTION("""COMPUTED_VALUE"""),"Thiruvananthapuram")</f>
        <v>Thiruvananthapuram</v>
      </c>
      <c r="G548" t="str">
        <f ca="1">IFERROR(__xludf.DUMMYFUNCTION("""COMPUTED_VALUE"""),"FERT")</f>
        <v>FERT</v>
      </c>
      <c r="H548">
        <f ca="1">IFERROR(__xludf.DUMMYFUNCTION("""COMPUTED_VALUE"""),27)</f>
        <v>27</v>
      </c>
      <c r="I548" s="4">
        <f ca="1">IFERROR(__xludf.DUMMYFUNCTION("""COMPUTED_VALUE"""),43196)</f>
        <v>43196</v>
      </c>
      <c r="J548">
        <f ca="1">IFERROR(__xludf.DUMMYFUNCTION("""COMPUTED_VALUE"""),3)</f>
        <v>3</v>
      </c>
      <c r="K548">
        <f ca="1">IFERROR(__xludf.DUMMYFUNCTION("""COMPUTED_VALUE"""),1145060011523)</f>
        <v>1145060011523</v>
      </c>
      <c r="L548" t="str">
        <f ca="1">IFERROR(__xludf.DUMMYFUNCTION("""COMPUTED_VALUE"""),"CATONMENT")</f>
        <v>CATONMENT</v>
      </c>
      <c r="M548" t="str">
        <f ca="1">IFERROR(__xludf.DUMMYFUNCTION("""COMPUTED_VALUE"""),"I Accept")</f>
        <v>I Accept</v>
      </c>
      <c r="N548" s="4">
        <f ca="1">IFERROR(__xludf.DUMMYFUNCTION("""COMPUTED_VALUE"""),43196)</f>
        <v>43196</v>
      </c>
      <c r="O548" s="4">
        <f ca="1">IFERROR(__xludf.DUMMYFUNCTION("""COMPUTED_VALUE"""),43196)</f>
        <v>43196</v>
      </c>
      <c r="P548">
        <f ca="1">IFERROR(__xludf.DUMMYFUNCTION("""COMPUTED_VALUE"""),3)</f>
        <v>3</v>
      </c>
      <c r="Q548" t="str">
        <f ca="1">IFERROR(__xludf.DUMMYFUNCTION("""COMPUTED_VALUE"""),"connectdsk@gmail.com")</f>
        <v>connectdsk@gmail.com</v>
      </c>
      <c r="R548" s="2" t="s">
        <v>2962</v>
      </c>
    </row>
    <row r="549" spans="1:18" ht="13" x14ac:dyDescent="0.15">
      <c r="A549" s="3">
        <f ca="1">IFERROR(__xludf.DUMMYFUNCTION("""COMPUTED_VALUE"""),43229.6054265856)</f>
        <v>43229.6054265856</v>
      </c>
      <c r="B549" t="str">
        <f ca="1">IFERROR(__xludf.DUMMYFUNCTION("""COMPUTED_VALUE"""),"noorakshaya@gmail.com")</f>
        <v>noorakshaya@gmail.com</v>
      </c>
      <c r="C549">
        <f ca="1">IFERROR(__xludf.DUMMYFUNCTION("""COMPUTED_VALUE"""),856)</f>
        <v>856</v>
      </c>
      <c r="D549" t="str">
        <f ca="1">IFERROR(__xludf.DUMMYFUNCTION("""COMPUTED_VALUE"""),"Rama Brahspathy")</f>
        <v>Rama Brahspathy</v>
      </c>
      <c r="E549">
        <f ca="1">IFERROR(__xludf.DUMMYFUNCTION("""COMPUTED_VALUE"""),7034322221)</f>
        <v>7034322221</v>
      </c>
      <c r="F549" t="str">
        <f ca="1">IFERROR(__xludf.DUMMYFUNCTION("""COMPUTED_VALUE"""),"Thiruvananthapuram")</f>
        <v>Thiruvananthapuram</v>
      </c>
      <c r="G549" t="str">
        <f ca="1">IFERROR(__xludf.DUMMYFUNCTION("""COMPUTED_VALUE"""),"Renergy Systems India Pvt Ltd")</f>
        <v>Renergy Systems India Pvt Ltd</v>
      </c>
      <c r="H549">
        <f ca="1">IFERROR(__xludf.DUMMYFUNCTION("""COMPUTED_VALUE"""),38)</f>
        <v>38</v>
      </c>
      <c r="I549" s="4">
        <f ca="1">IFERROR(__xludf.DUMMYFUNCTION("""COMPUTED_VALUE"""),43215)</f>
        <v>43215</v>
      </c>
      <c r="J549">
        <f ca="1">IFERROR(__xludf.DUMMYFUNCTION("""COMPUTED_VALUE"""),15)</f>
        <v>15</v>
      </c>
      <c r="K549">
        <f ca="1">IFERROR(__xludf.DUMMYFUNCTION("""COMPUTED_VALUE"""),1145129001286)</f>
        <v>1145129001286</v>
      </c>
      <c r="L549" t="str">
        <f ca="1">IFERROR(__xludf.DUMMYFUNCTION("""COMPUTED_VALUE"""),"Poojappura")</f>
        <v>Poojappura</v>
      </c>
      <c r="M549" t="str">
        <f ca="1">IFERROR(__xludf.DUMMYFUNCTION("""COMPUTED_VALUE"""),"I Accept")</f>
        <v>I Accept</v>
      </c>
      <c r="N549" s="4">
        <f ca="1">IFERROR(__xludf.DUMMYFUNCTION("""COMPUTED_VALUE"""),43228)</f>
        <v>43228</v>
      </c>
      <c r="O549" s="4">
        <f ca="1">IFERROR(__xludf.DUMMYFUNCTION("""COMPUTED_VALUE"""),43228)</f>
        <v>43228</v>
      </c>
      <c r="P549">
        <f ca="1">IFERROR(__xludf.DUMMYFUNCTION("""COMPUTED_VALUE"""),15)</f>
        <v>15</v>
      </c>
      <c r="Q549" t="str">
        <f ca="1">IFERROR(__xludf.DUMMYFUNCTION("""COMPUTED_VALUE"""),"noorakshaya@gmail.com")</f>
        <v>noorakshaya@gmail.com</v>
      </c>
      <c r="R549" s="2" t="s">
        <v>2963</v>
      </c>
    </row>
    <row r="550" spans="1:18" ht="13" x14ac:dyDescent="0.15">
      <c r="A550" s="3">
        <f ca="1">IFERROR(__xludf.DUMMYFUNCTION("""COMPUTED_VALUE"""),43229.7409888657)</f>
        <v>43229.740988865698</v>
      </c>
      <c r="B550" t="str">
        <f ca="1">IFERROR(__xludf.DUMMYFUNCTION("""COMPUTED_VALUE"""),"shibinva@gmail.com")</f>
        <v>shibinva@gmail.com</v>
      </c>
      <c r="C550">
        <f ca="1">IFERROR(__xludf.DUMMYFUNCTION("""COMPUTED_VALUE"""),773)</f>
        <v>773</v>
      </c>
      <c r="D550" t="str">
        <f ca="1">IFERROR(__xludf.DUMMYFUNCTION("""COMPUTED_VALUE"""),"Shibin V A")</f>
        <v>Shibin V A</v>
      </c>
      <c r="E550">
        <f ca="1">IFERROR(__xludf.DUMMYFUNCTION("""COMPUTED_VALUE"""),9847915540)</f>
        <v>9847915540</v>
      </c>
      <c r="F550" t="str">
        <f ca="1">IFERROR(__xludf.DUMMYFUNCTION("""COMPUTED_VALUE"""),"Ernakulam")</f>
        <v>Ernakulam</v>
      </c>
      <c r="G550" t="str">
        <f ca="1">IFERROR(__xludf.DUMMYFUNCTION("""COMPUTED_VALUE"""),"Renewable Energy Solutions P Ltd")</f>
        <v>Renewable Energy Solutions P Ltd</v>
      </c>
      <c r="H550">
        <f ca="1">IFERROR(__xludf.DUMMYFUNCTION("""COMPUTED_VALUE"""),64)</f>
        <v>64</v>
      </c>
      <c r="I550" s="4">
        <f ca="1">IFERROR(__xludf.DUMMYFUNCTION("""COMPUTED_VALUE"""),43203)</f>
        <v>43203</v>
      </c>
      <c r="J550">
        <f ca="1">IFERROR(__xludf.DUMMYFUNCTION("""COMPUTED_VALUE"""),5)</f>
        <v>5</v>
      </c>
      <c r="K550">
        <f ca="1">IFERROR(__xludf.DUMMYFUNCTION("""COMPUTED_VALUE"""),1155497019089)</f>
        <v>1155497019089</v>
      </c>
      <c r="L550" t="str">
        <f ca="1">IFERROR(__xludf.DUMMYFUNCTION("""COMPUTED_VALUE"""),"5549")</f>
        <v>5549</v>
      </c>
      <c r="M550" t="str">
        <f ca="1">IFERROR(__xludf.DUMMYFUNCTION("""COMPUTED_VALUE"""),"I Accept")</f>
        <v>I Accept</v>
      </c>
      <c r="N550" s="4">
        <f ca="1">IFERROR(__xludf.DUMMYFUNCTION("""COMPUTED_VALUE"""),43200)</f>
        <v>43200</v>
      </c>
      <c r="O550" s="4">
        <f ca="1">IFERROR(__xludf.DUMMYFUNCTION("""COMPUTED_VALUE"""),43200)</f>
        <v>43200</v>
      </c>
      <c r="P550">
        <f ca="1">IFERROR(__xludf.DUMMYFUNCTION("""COMPUTED_VALUE"""),5)</f>
        <v>5</v>
      </c>
      <c r="Q550" t="str">
        <f ca="1">IFERROR(__xludf.DUMMYFUNCTION("""COMPUTED_VALUE"""),"shibinva@gmail.com")</f>
        <v>shibinva@gmail.com</v>
      </c>
      <c r="R550" s="2" t="s">
        <v>2964</v>
      </c>
    </row>
    <row r="551" spans="1:18" ht="13" x14ac:dyDescent="0.15">
      <c r="A551" s="3">
        <f ca="1">IFERROR(__xludf.DUMMYFUNCTION("""COMPUTED_VALUE"""),43229.7498567013)</f>
        <v>43229.749856701303</v>
      </c>
      <c r="B551" t="str">
        <f ca="1">IFERROR(__xludf.DUMMYFUNCTION("""COMPUTED_VALUE"""),"muralidharan_1952@yahoo.com")</f>
        <v>muralidharan_1952@yahoo.com</v>
      </c>
      <c r="C551">
        <f ca="1">IFERROR(__xludf.DUMMYFUNCTION("""COMPUTED_VALUE"""),874)</f>
        <v>874</v>
      </c>
      <c r="D551" t="str">
        <f ca="1">IFERROR(__xludf.DUMMYFUNCTION("""COMPUTED_VALUE"""),"rema .v")</f>
        <v>rema .v</v>
      </c>
      <c r="E551">
        <f ca="1">IFERROR(__xludf.DUMMYFUNCTION("""COMPUTED_VALUE"""),8547374709)</f>
        <v>8547374709</v>
      </c>
      <c r="F551" t="str">
        <f ca="1">IFERROR(__xludf.DUMMYFUNCTION("""COMPUTED_VALUE"""),"Palakkad")</f>
        <v>Palakkad</v>
      </c>
      <c r="G551" t="str">
        <f ca="1">IFERROR(__xludf.DUMMYFUNCTION("""COMPUTED_VALUE"""),"TATA POWER NSOLAR SYSTEMS LTD")</f>
        <v>TATA POWER NSOLAR SYSTEMS LTD</v>
      </c>
      <c r="H551">
        <f ca="1">IFERROR(__xludf.DUMMYFUNCTION("""COMPUTED_VALUE"""),20)</f>
        <v>20</v>
      </c>
      <c r="I551" s="4">
        <f ca="1">IFERROR(__xludf.DUMMYFUNCTION("""COMPUTED_VALUE"""),43228)</f>
        <v>43228</v>
      </c>
      <c r="J551">
        <f ca="1">IFERROR(__xludf.DUMMYFUNCTION("""COMPUTED_VALUE"""),5)</f>
        <v>5</v>
      </c>
      <c r="K551">
        <f ca="1">IFERROR(__xludf.DUMMYFUNCTION("""COMPUTED_VALUE"""),1165178017030)</f>
        <v>1165178017030</v>
      </c>
      <c r="L551" t="str">
        <f ca="1">IFERROR(__xludf.DUMMYFUNCTION("""COMPUTED_VALUE"""),"SULTHANPET ELECTRICAL SECTION")</f>
        <v>SULTHANPET ELECTRICAL SECTION</v>
      </c>
      <c r="M551" t="str">
        <f ca="1">IFERROR(__xludf.DUMMYFUNCTION("""COMPUTED_VALUE"""),"I Accept")</f>
        <v>I Accept</v>
      </c>
      <c r="N551" s="4">
        <f ca="1">IFERROR(__xludf.DUMMYFUNCTION("""COMPUTED_VALUE"""),43217)</f>
        <v>43217</v>
      </c>
      <c r="O551" s="4">
        <f ca="1">IFERROR(__xludf.DUMMYFUNCTION("""COMPUTED_VALUE"""),43217)</f>
        <v>43217</v>
      </c>
      <c r="P551">
        <f ca="1">IFERROR(__xludf.DUMMYFUNCTION("""COMPUTED_VALUE"""),5)</f>
        <v>5</v>
      </c>
      <c r="Q551" t="str">
        <f ca="1">IFERROR(__xludf.DUMMYFUNCTION("""COMPUTED_VALUE"""),"muralidharan_1952@yahoo.com")</f>
        <v>muralidharan_1952@yahoo.com</v>
      </c>
      <c r="R551" s="2" t="s">
        <v>2965</v>
      </c>
    </row>
    <row r="552" spans="1:18" ht="13" x14ac:dyDescent="0.15">
      <c r="A552" s="3">
        <f ca="1">IFERROR(__xludf.DUMMYFUNCTION("""COMPUTED_VALUE"""),43229.8970562152)</f>
        <v>43229.897056215203</v>
      </c>
      <c r="B552" t="str">
        <f ca="1">IFERROR(__xludf.DUMMYFUNCTION("""COMPUTED_VALUE"""),"binoy222c@gmail.com")</f>
        <v>binoy222c@gmail.com</v>
      </c>
      <c r="C552">
        <f ca="1">IFERROR(__xludf.DUMMYFUNCTION("""COMPUTED_VALUE"""),246)</f>
        <v>246</v>
      </c>
      <c r="D552" t="str">
        <f ca="1">IFERROR(__xludf.DUMMYFUNCTION("""COMPUTED_VALUE"""),"MUHAMMED SHAFEEK")</f>
        <v>MUHAMMED SHAFEEK</v>
      </c>
      <c r="E552">
        <f ca="1">IFERROR(__xludf.DUMMYFUNCTION("""COMPUTED_VALUE"""),9846542746)</f>
        <v>9846542746</v>
      </c>
      <c r="F552" t="str">
        <f ca="1">IFERROR(__xludf.DUMMYFUNCTION("""COMPUTED_VALUE"""),"Kannur")</f>
        <v>Kannur</v>
      </c>
      <c r="G552" t="str">
        <f ca="1">IFERROR(__xludf.DUMMYFUNCTION("""COMPUTED_VALUE"""),"SOLGEN ENERGY PVT LTD")</f>
        <v>SOLGEN ENERGY PVT LTD</v>
      </c>
      <c r="H552">
        <f ca="1">IFERROR(__xludf.DUMMYFUNCTION("""COMPUTED_VALUE"""),42)</f>
        <v>42</v>
      </c>
      <c r="I552" s="4">
        <f ca="1">IFERROR(__xludf.DUMMYFUNCTION("""COMPUTED_VALUE"""),43220)</f>
        <v>43220</v>
      </c>
      <c r="J552">
        <f ca="1">IFERROR(__xludf.DUMMYFUNCTION("""COMPUTED_VALUE"""),5)</f>
        <v>5</v>
      </c>
      <c r="K552">
        <f ca="1">IFERROR(__xludf.DUMMYFUNCTION("""COMPUTED_VALUE"""),1166668023809)</f>
        <v>1166668023809</v>
      </c>
      <c r="L552" t="str">
        <f ca="1">IFERROR(__xludf.DUMMYFUNCTION("""COMPUTED_VALUE"""),"KOLACHERY")</f>
        <v>KOLACHERY</v>
      </c>
      <c r="M552" t="str">
        <f ca="1">IFERROR(__xludf.DUMMYFUNCTION("""COMPUTED_VALUE"""),"I Accept")</f>
        <v>I Accept</v>
      </c>
      <c r="N552" s="4">
        <f ca="1">IFERROR(__xludf.DUMMYFUNCTION("""COMPUTED_VALUE"""),43220)</f>
        <v>43220</v>
      </c>
      <c r="O552" s="4">
        <f ca="1">IFERROR(__xludf.DUMMYFUNCTION("""COMPUTED_VALUE"""),43220)</f>
        <v>43220</v>
      </c>
      <c r="P552">
        <f ca="1">IFERROR(__xludf.DUMMYFUNCTION("""COMPUTED_VALUE"""),5)</f>
        <v>5</v>
      </c>
      <c r="Q552" t="str">
        <f ca="1">IFERROR(__xludf.DUMMYFUNCTION("""COMPUTED_VALUE"""),"binoy222c@gmail.com")</f>
        <v>binoy222c@gmail.com</v>
      </c>
      <c r="R552" s="2" t="s">
        <v>2966</v>
      </c>
    </row>
    <row r="553" spans="1:18" ht="13" x14ac:dyDescent="0.15">
      <c r="A553" s="3">
        <f ca="1">IFERROR(__xludf.DUMMYFUNCTION("""COMPUTED_VALUE"""),43230.433986875)</f>
        <v>43230.433986875003</v>
      </c>
      <c r="B553" t="str">
        <f ca="1">IFERROR(__xludf.DUMMYFUNCTION("""COMPUTED_VALUE"""),"solarconnect2018@gmail.com")</f>
        <v>solarconnect2018@gmail.com</v>
      </c>
      <c r="C553">
        <f ca="1">IFERROR(__xludf.DUMMYFUNCTION("""COMPUTED_VALUE"""),945)</f>
        <v>945</v>
      </c>
      <c r="D553" t="str">
        <f ca="1">IFERROR(__xludf.DUMMYFUNCTION("""COMPUTED_VALUE"""),"SUMITH N A")</f>
        <v>SUMITH N A</v>
      </c>
      <c r="E553">
        <f ca="1">IFERROR(__xludf.DUMMYFUNCTION("""COMPUTED_VALUE"""),7012330133)</f>
        <v>7012330133</v>
      </c>
      <c r="F553" t="str">
        <f ca="1">IFERROR(__xludf.DUMMYFUNCTION("""COMPUTED_VALUE"""),"Ernakulam")</f>
        <v>Ernakulam</v>
      </c>
      <c r="G553" t="str">
        <f ca="1">IFERROR(__xludf.DUMMYFUNCTION("""COMPUTED_VALUE"""),"SPECTRUM TECHNO PRODUCTS")</f>
        <v>SPECTRUM TECHNO PRODUCTS</v>
      </c>
      <c r="H553">
        <f ca="1">IFERROR(__xludf.DUMMYFUNCTION("""COMPUTED_VALUE"""),66)</f>
        <v>66</v>
      </c>
      <c r="I553" s="4">
        <f ca="1">IFERROR(__xludf.DUMMYFUNCTION("""COMPUTED_VALUE"""),43225)</f>
        <v>43225</v>
      </c>
      <c r="J553">
        <f ca="1">IFERROR(__xludf.DUMMYFUNCTION("""COMPUTED_VALUE"""),3)</f>
        <v>3</v>
      </c>
      <c r="K553">
        <f ca="1">IFERROR(__xludf.DUMMYFUNCTION("""COMPUTED_VALUE"""),1155423017503)</f>
        <v>1155423017503</v>
      </c>
      <c r="L553" t="str">
        <f ca="1">IFERROR(__xludf.DUMMYFUNCTION("""COMPUTED_VALUE"""),"GIRINAGAR")</f>
        <v>GIRINAGAR</v>
      </c>
      <c r="M553" t="str">
        <f ca="1">IFERROR(__xludf.DUMMYFUNCTION("""COMPUTED_VALUE"""),"I Accept")</f>
        <v>I Accept</v>
      </c>
      <c r="N553" s="4">
        <f ca="1">IFERROR(__xludf.DUMMYFUNCTION("""COMPUTED_VALUE"""),43202)</f>
        <v>43202</v>
      </c>
      <c r="O553" s="4">
        <f ca="1">IFERROR(__xludf.DUMMYFUNCTION("""COMPUTED_VALUE"""),43202)</f>
        <v>43202</v>
      </c>
      <c r="P553">
        <f ca="1">IFERROR(__xludf.DUMMYFUNCTION("""COMPUTED_VALUE"""),3)</f>
        <v>3</v>
      </c>
      <c r="Q553" t="str">
        <f ca="1">IFERROR(__xludf.DUMMYFUNCTION("""COMPUTED_VALUE"""),"solarconnect2018@gmail.com")</f>
        <v>solarconnect2018@gmail.com</v>
      </c>
      <c r="R553" s="2" t="s">
        <v>2967</v>
      </c>
    </row>
    <row r="554" spans="1:18" ht="13" x14ac:dyDescent="0.15">
      <c r="A554" s="3">
        <f ca="1">IFERROR(__xludf.DUMMYFUNCTION("""COMPUTED_VALUE"""),43230.4378929166)</f>
        <v>43230.437892916598</v>
      </c>
      <c r="B554" t="str">
        <f ca="1">IFERROR(__xludf.DUMMYFUNCTION("""COMPUTED_VALUE"""),"solarconnect2018@gmail.com")</f>
        <v>solarconnect2018@gmail.com</v>
      </c>
      <c r="C554">
        <f ca="1">IFERROR(__xludf.DUMMYFUNCTION("""COMPUTED_VALUE"""),576)</f>
        <v>576</v>
      </c>
      <c r="D554" t="str">
        <f ca="1">IFERROR(__xludf.DUMMYFUNCTION("""COMPUTED_VALUE"""),"ANISH GEORGE")</f>
        <v>ANISH GEORGE</v>
      </c>
      <c r="E554">
        <f ca="1">IFERROR(__xludf.DUMMYFUNCTION("""COMPUTED_VALUE"""),9995671297)</f>
        <v>9995671297</v>
      </c>
      <c r="F554" t="str">
        <f ca="1">IFERROR(__xludf.DUMMYFUNCTION("""COMPUTED_VALUE"""),"Ernakulam")</f>
        <v>Ernakulam</v>
      </c>
      <c r="G554" t="str">
        <f ca="1">IFERROR(__xludf.DUMMYFUNCTION("""COMPUTED_VALUE"""),"SPECTRUM TECHNO PRODUCTS")</f>
        <v>SPECTRUM TECHNO PRODUCTS</v>
      </c>
      <c r="H554">
        <f ca="1">IFERROR(__xludf.DUMMYFUNCTION("""COMPUTED_VALUE"""),66)</f>
        <v>66</v>
      </c>
      <c r="I554" s="4">
        <f ca="1">IFERROR(__xludf.DUMMYFUNCTION("""COMPUTED_VALUE"""),43225)</f>
        <v>43225</v>
      </c>
      <c r="J554">
        <f ca="1">IFERROR(__xludf.DUMMYFUNCTION("""COMPUTED_VALUE"""),3)</f>
        <v>3</v>
      </c>
      <c r="K554">
        <f ca="1">IFERROR(__xludf.DUMMYFUNCTION("""COMPUTED_VALUE"""),1157346003208)</f>
        <v>1157346003208</v>
      </c>
      <c r="L554" t="str">
        <f ca="1">IFERROR(__xludf.DUMMYFUNCTION("""COMPUTED_VALUE"""),"THIRUVANIYOOR")</f>
        <v>THIRUVANIYOOR</v>
      </c>
      <c r="M554" t="str">
        <f ca="1">IFERROR(__xludf.DUMMYFUNCTION("""COMPUTED_VALUE"""),"I Accept")</f>
        <v>I Accept</v>
      </c>
      <c r="N554" s="4">
        <f ca="1">IFERROR(__xludf.DUMMYFUNCTION("""COMPUTED_VALUE"""),43179)</f>
        <v>43179</v>
      </c>
      <c r="O554" s="4">
        <f ca="1">IFERROR(__xludf.DUMMYFUNCTION("""COMPUTED_VALUE"""),43179)</f>
        <v>43179</v>
      </c>
      <c r="P554">
        <f ca="1">IFERROR(__xludf.DUMMYFUNCTION("""COMPUTED_VALUE"""),3)</f>
        <v>3</v>
      </c>
      <c r="Q554" t="str">
        <f ca="1">IFERROR(__xludf.DUMMYFUNCTION("""COMPUTED_VALUE"""),"solarconnect2018@gmail.com")</f>
        <v>solarconnect2018@gmail.com</v>
      </c>
      <c r="R554" s="2" t="s">
        <v>2968</v>
      </c>
    </row>
    <row r="555" spans="1:18" ht="13" x14ac:dyDescent="0.15">
      <c r="A555" s="3">
        <f ca="1">IFERROR(__xludf.DUMMYFUNCTION("""COMPUTED_VALUE"""),43230.4620332523)</f>
        <v>43230.462033252297</v>
      </c>
      <c r="B555" t="str">
        <f ca="1">IFERROR(__xludf.DUMMYFUNCTION("""COMPUTED_VALUE"""),"noorakshaya@gmail.com")</f>
        <v>noorakshaya@gmail.com</v>
      </c>
      <c r="C555">
        <f ca="1">IFERROR(__xludf.DUMMYFUNCTION("""COMPUTED_VALUE"""),962)</f>
        <v>962</v>
      </c>
      <c r="D555" t="str">
        <f ca="1">IFERROR(__xludf.DUMMYFUNCTION("""COMPUTED_VALUE"""),"Anvardeen I C")</f>
        <v>Anvardeen I C</v>
      </c>
      <c r="E555">
        <f ca="1">IFERROR(__xludf.DUMMYFUNCTION("""COMPUTED_VALUE"""),9645322229)</f>
        <v>9645322229</v>
      </c>
      <c r="F555" t="str">
        <f ca="1">IFERROR(__xludf.DUMMYFUNCTION("""COMPUTED_VALUE"""),"Kollam")</f>
        <v>Kollam</v>
      </c>
      <c r="G555" t="str">
        <f ca="1">IFERROR(__xludf.DUMMYFUNCTION("""COMPUTED_VALUE"""),"Renergy Systems India Pvt Ltd")</f>
        <v>Renergy Systems India Pvt Ltd</v>
      </c>
      <c r="H555">
        <f ca="1">IFERROR(__xludf.DUMMYFUNCTION("""COMPUTED_VALUE"""),38)</f>
        <v>38</v>
      </c>
      <c r="I555" s="4">
        <f ca="1">IFERROR(__xludf.DUMMYFUNCTION("""COMPUTED_VALUE"""),43229)</f>
        <v>43229</v>
      </c>
      <c r="J555">
        <f ca="1">IFERROR(__xludf.DUMMYFUNCTION("""COMPUTED_VALUE"""),5)</f>
        <v>5</v>
      </c>
      <c r="K555">
        <f ca="1">IFERROR(__xludf.DUMMYFUNCTION("""COMPUTED_VALUE"""),1145588000295)</f>
        <v>1145588000295</v>
      </c>
      <c r="L555" t="str">
        <f ca="1">IFERROR(__xludf.DUMMYFUNCTION("""COMPUTED_VALUE"""),"Cantonment,Kollam")</f>
        <v>Cantonment,Kollam</v>
      </c>
      <c r="M555" t="str">
        <f ca="1">IFERROR(__xludf.DUMMYFUNCTION("""COMPUTED_VALUE"""),"I Accept")</f>
        <v>I Accept</v>
      </c>
      <c r="N555" s="4">
        <f ca="1">IFERROR(__xludf.DUMMYFUNCTION("""COMPUTED_VALUE"""),43217)</f>
        <v>43217</v>
      </c>
      <c r="O555" s="4">
        <f ca="1">IFERROR(__xludf.DUMMYFUNCTION("""COMPUTED_VALUE"""),43217)</f>
        <v>43217</v>
      </c>
      <c r="P555">
        <f ca="1">IFERROR(__xludf.DUMMYFUNCTION("""COMPUTED_VALUE"""),5)</f>
        <v>5</v>
      </c>
      <c r="Q555" t="str">
        <f ca="1">IFERROR(__xludf.DUMMYFUNCTION("""COMPUTED_VALUE"""),"noorakshaya@gmail.com")</f>
        <v>noorakshaya@gmail.com</v>
      </c>
      <c r="R555" s="2" t="s">
        <v>2969</v>
      </c>
    </row>
    <row r="556" spans="1:18" ht="13" x14ac:dyDescent="0.15">
      <c r="A556" s="3">
        <f ca="1">IFERROR(__xludf.DUMMYFUNCTION("""COMPUTED_VALUE"""),43230.5420606944)</f>
        <v>43230.542060694403</v>
      </c>
      <c r="B556" t="str">
        <f ca="1">IFERROR(__xludf.DUMMYFUNCTION("""COMPUTED_VALUE"""),"vijayvalsan7@gmail.com")</f>
        <v>vijayvalsan7@gmail.com</v>
      </c>
      <c r="C556">
        <f ca="1">IFERROR(__xludf.DUMMYFUNCTION("""COMPUTED_VALUE"""),698)</f>
        <v>698</v>
      </c>
      <c r="D556" t="str">
        <f ca="1">IFERROR(__xludf.DUMMYFUNCTION("""COMPUTED_VALUE"""),"VIJAYSHANKAR N V")</f>
        <v>VIJAYSHANKAR N V</v>
      </c>
      <c r="E556">
        <f ca="1">IFERROR(__xludf.DUMMYFUNCTION("""COMPUTED_VALUE"""),9847220402)</f>
        <v>9847220402</v>
      </c>
      <c r="F556" t="str">
        <f ca="1">IFERROR(__xludf.DUMMYFUNCTION("""COMPUTED_VALUE"""),"Ernakulam")</f>
        <v>Ernakulam</v>
      </c>
      <c r="G556" t="str">
        <f ca="1">IFERROR(__xludf.DUMMYFUNCTION("""COMPUTED_VALUE"""),"SPECTRUM TECHNO PRODUCTS")</f>
        <v>SPECTRUM TECHNO PRODUCTS</v>
      </c>
      <c r="H556">
        <f ca="1">IFERROR(__xludf.DUMMYFUNCTION("""COMPUTED_VALUE"""),66)</f>
        <v>66</v>
      </c>
      <c r="I556" s="4">
        <f ca="1">IFERROR(__xludf.DUMMYFUNCTION("""COMPUTED_VALUE"""),43230)</f>
        <v>43230</v>
      </c>
      <c r="J556">
        <f ca="1">IFERROR(__xludf.DUMMYFUNCTION("""COMPUTED_VALUE"""),5)</f>
        <v>5</v>
      </c>
      <c r="K556">
        <f ca="1">IFERROR(__xludf.DUMMYFUNCTION("""COMPUTED_VALUE"""),1155452006262)</f>
        <v>1155452006262</v>
      </c>
      <c r="L556" t="str">
        <f ca="1">IFERROR(__xludf.DUMMYFUNCTION("""COMPUTED_VALUE"""),"KALOOR")</f>
        <v>KALOOR</v>
      </c>
      <c r="M556" t="str">
        <f ca="1">IFERROR(__xludf.DUMMYFUNCTION("""COMPUTED_VALUE"""),"I Accept")</f>
        <v>I Accept</v>
      </c>
      <c r="N556" s="4">
        <f ca="1">IFERROR(__xludf.DUMMYFUNCTION("""COMPUTED_VALUE"""),43222)</f>
        <v>43222</v>
      </c>
      <c r="O556" s="4">
        <f ca="1">IFERROR(__xludf.DUMMYFUNCTION("""COMPUTED_VALUE"""),43222)</f>
        <v>43222</v>
      </c>
      <c r="P556">
        <f ca="1">IFERROR(__xludf.DUMMYFUNCTION("""COMPUTED_VALUE"""),5)</f>
        <v>5</v>
      </c>
      <c r="Q556" t="str">
        <f ca="1">IFERROR(__xludf.DUMMYFUNCTION("""COMPUTED_VALUE"""),"vijayvalsan7@gmail.com")</f>
        <v>vijayvalsan7@gmail.com</v>
      </c>
      <c r="R556" s="2" t="s">
        <v>2970</v>
      </c>
    </row>
    <row r="557" spans="1:18" ht="13" x14ac:dyDescent="0.15">
      <c r="A557" s="3">
        <f ca="1">IFERROR(__xludf.DUMMYFUNCTION("""COMPUTED_VALUE"""),43230.5467772685)</f>
        <v>43230.546777268501</v>
      </c>
      <c r="B557" t="str">
        <f ca="1">IFERROR(__xludf.DUMMYFUNCTION("""COMPUTED_VALUE"""),"a.mendez28@yahoo.com")</f>
        <v>a.mendez28@yahoo.com</v>
      </c>
      <c r="C557">
        <f ca="1">IFERROR(__xludf.DUMMYFUNCTION("""COMPUTED_VALUE"""),811)</f>
        <v>811</v>
      </c>
      <c r="D557" t="str">
        <f ca="1">IFERROR(__xludf.DUMMYFUNCTION("""COMPUTED_VALUE"""),"VICTORIA AGNES CYNTHIA MENDEZ")</f>
        <v>VICTORIA AGNES CYNTHIA MENDEZ</v>
      </c>
      <c r="E557">
        <f ca="1">IFERROR(__xludf.DUMMYFUNCTION("""COMPUTED_VALUE"""),9633144104)</f>
        <v>9633144104</v>
      </c>
      <c r="F557" t="str">
        <f ca="1">IFERROR(__xludf.DUMMYFUNCTION("""COMPUTED_VALUE"""),"Ernakulam")</f>
        <v>Ernakulam</v>
      </c>
      <c r="G557" t="str">
        <f ca="1">IFERROR(__xludf.DUMMYFUNCTION("""COMPUTED_VALUE"""),"SPECTRUM TECHNO PRODUCTS")</f>
        <v>SPECTRUM TECHNO PRODUCTS</v>
      </c>
      <c r="H557">
        <f ca="1">IFERROR(__xludf.DUMMYFUNCTION("""COMPUTED_VALUE"""),66)</f>
        <v>66</v>
      </c>
      <c r="I557" s="4">
        <f ca="1">IFERROR(__xludf.DUMMYFUNCTION("""COMPUTED_VALUE"""),43230)</f>
        <v>43230</v>
      </c>
      <c r="J557">
        <f ca="1">IFERROR(__xludf.DUMMYFUNCTION("""COMPUTED_VALUE"""),3)</f>
        <v>3</v>
      </c>
      <c r="K557">
        <f ca="1">IFERROR(__xludf.DUMMYFUNCTION("""COMPUTED_VALUE"""),1155473017862)</f>
        <v>1155473017862</v>
      </c>
      <c r="L557" t="str">
        <f ca="1">IFERROR(__xludf.DUMMYFUNCTION("""COMPUTED_VALUE"""),"VADUTHALA")</f>
        <v>VADUTHALA</v>
      </c>
      <c r="M557" t="str">
        <f ca="1">IFERROR(__xludf.DUMMYFUNCTION("""COMPUTED_VALUE"""),"I Accept")</f>
        <v>I Accept</v>
      </c>
      <c r="N557" s="4">
        <f ca="1">IFERROR(__xludf.DUMMYFUNCTION("""COMPUTED_VALUE"""),43207)</f>
        <v>43207</v>
      </c>
      <c r="O557" s="4">
        <f ca="1">IFERROR(__xludf.DUMMYFUNCTION("""COMPUTED_VALUE"""),43207)</f>
        <v>43207</v>
      </c>
      <c r="P557">
        <f ca="1">IFERROR(__xludf.DUMMYFUNCTION("""COMPUTED_VALUE"""),3)</f>
        <v>3</v>
      </c>
      <c r="Q557" t="str">
        <f ca="1">IFERROR(__xludf.DUMMYFUNCTION("""COMPUTED_VALUE"""),"a.mendez28@yahoo.com")</f>
        <v>a.mendez28@yahoo.com</v>
      </c>
      <c r="R557" s="2" t="s">
        <v>2971</v>
      </c>
    </row>
    <row r="558" spans="1:18" ht="13" x14ac:dyDescent="0.15">
      <c r="A558" s="3">
        <f ca="1">IFERROR(__xludf.DUMMYFUNCTION("""COMPUTED_VALUE"""),43230.5488236921)</f>
        <v>43230.548823692101</v>
      </c>
      <c r="B558" t="str">
        <f ca="1">IFERROR(__xludf.DUMMYFUNCTION("""COMPUTED_VALUE"""),"sniyer.math@gmail.com")</f>
        <v>sniyer.math@gmail.com</v>
      </c>
      <c r="C558">
        <f ca="1">IFERROR(__xludf.DUMMYFUNCTION("""COMPUTED_VALUE"""),882)</f>
        <v>882</v>
      </c>
      <c r="D558" t="str">
        <f ca="1">IFERROR(__xludf.DUMMYFUNCTION("""COMPUTED_VALUE"""),"S NARAYANA IYER")</f>
        <v>S NARAYANA IYER</v>
      </c>
      <c r="E558">
        <f ca="1">IFERROR(__xludf.DUMMYFUNCTION("""COMPUTED_VALUE"""),9061751541)</f>
        <v>9061751541</v>
      </c>
      <c r="F558" t="str">
        <f ca="1">IFERROR(__xludf.DUMMYFUNCTION("""COMPUTED_VALUE"""),"Ernakulam")</f>
        <v>Ernakulam</v>
      </c>
      <c r="G558" t="str">
        <f ca="1">IFERROR(__xludf.DUMMYFUNCTION("""COMPUTED_VALUE"""),"SPECTRUM TECHNO PRODUCTS")</f>
        <v>SPECTRUM TECHNO PRODUCTS</v>
      </c>
      <c r="H558">
        <f ca="1">IFERROR(__xludf.DUMMYFUNCTION("""COMPUTED_VALUE"""),66)</f>
        <v>66</v>
      </c>
      <c r="I558" s="4">
        <f ca="1">IFERROR(__xludf.DUMMYFUNCTION("""COMPUTED_VALUE"""),43230)</f>
        <v>43230</v>
      </c>
      <c r="J558">
        <f ca="1">IFERROR(__xludf.DUMMYFUNCTION("""COMPUTED_VALUE"""),10)</f>
        <v>10</v>
      </c>
      <c r="K558">
        <f ca="1">IFERROR(__xludf.DUMMYFUNCTION("""COMPUTED_VALUE"""),1155464001141)</f>
        <v>1155464001141</v>
      </c>
      <c r="L558" t="str">
        <f ca="1">IFERROR(__xludf.DUMMYFUNCTION("""COMPUTED_VALUE"""),"ERNAKULAM CENTRAL")</f>
        <v>ERNAKULAM CENTRAL</v>
      </c>
      <c r="M558" t="str">
        <f ca="1">IFERROR(__xludf.DUMMYFUNCTION("""COMPUTED_VALUE"""),"I Accept")</f>
        <v>I Accept</v>
      </c>
      <c r="N558" s="4">
        <f ca="1">IFERROR(__xludf.DUMMYFUNCTION("""COMPUTED_VALUE"""),43206)</f>
        <v>43206</v>
      </c>
      <c r="O558" s="4">
        <f ca="1">IFERROR(__xludf.DUMMYFUNCTION("""COMPUTED_VALUE"""),43206)</f>
        <v>43206</v>
      </c>
      <c r="P558">
        <f ca="1">IFERROR(__xludf.DUMMYFUNCTION("""COMPUTED_VALUE"""),10)</f>
        <v>10</v>
      </c>
      <c r="Q558" t="str">
        <f ca="1">IFERROR(__xludf.DUMMYFUNCTION("""COMPUTED_VALUE"""),"sniyer.math@gmail.com")</f>
        <v>sniyer.math@gmail.com</v>
      </c>
      <c r="R558" s="2" t="s">
        <v>2972</v>
      </c>
    </row>
    <row r="559" spans="1:18" ht="13" x14ac:dyDescent="0.15">
      <c r="A559" s="3">
        <f ca="1">IFERROR(__xludf.DUMMYFUNCTION("""COMPUTED_VALUE"""),43230.5508846759)</f>
        <v>43230.550884675897</v>
      </c>
      <c r="B559" t="str">
        <f ca="1">IFERROR(__xludf.DUMMYFUNCTION("""COMPUTED_VALUE"""),"madhuchandran@yahoo.com")</f>
        <v>madhuchandran@yahoo.com</v>
      </c>
      <c r="C559">
        <f ca="1">IFERROR(__xludf.DUMMYFUNCTION("""COMPUTED_VALUE"""),784)</f>
        <v>784</v>
      </c>
      <c r="D559" t="str">
        <f ca="1">IFERROR(__xludf.DUMMYFUNCTION("""COMPUTED_VALUE"""),"B RAMACHANDRAN")</f>
        <v>B RAMACHANDRAN</v>
      </c>
      <c r="E559">
        <f ca="1">IFERROR(__xludf.DUMMYFUNCTION("""COMPUTED_VALUE"""),9847446556)</f>
        <v>9847446556</v>
      </c>
      <c r="F559" t="str">
        <f ca="1">IFERROR(__xludf.DUMMYFUNCTION("""COMPUTED_VALUE"""),"Ernakulam")</f>
        <v>Ernakulam</v>
      </c>
      <c r="G559" t="str">
        <f ca="1">IFERROR(__xludf.DUMMYFUNCTION("""COMPUTED_VALUE"""),"SPECTRUM TECHNO PRODUCTS")</f>
        <v>SPECTRUM TECHNO PRODUCTS</v>
      </c>
      <c r="H559">
        <f ca="1">IFERROR(__xludf.DUMMYFUNCTION("""COMPUTED_VALUE"""),66)</f>
        <v>66</v>
      </c>
      <c r="I559" s="4">
        <f ca="1">IFERROR(__xludf.DUMMYFUNCTION("""COMPUTED_VALUE"""),43230)</f>
        <v>43230</v>
      </c>
      <c r="J559">
        <f ca="1">IFERROR(__xludf.DUMMYFUNCTION("""COMPUTED_VALUE"""),5)</f>
        <v>5</v>
      </c>
      <c r="K559">
        <f ca="1">IFERROR(__xludf.DUMMYFUNCTION("""COMPUTED_VALUE"""),1155445012520)</f>
        <v>1155445012520</v>
      </c>
      <c r="L559" t="str">
        <f ca="1">IFERROR(__xludf.DUMMYFUNCTION("""COMPUTED_VALUE"""),"EDAPALLY")</f>
        <v>EDAPALLY</v>
      </c>
      <c r="M559" t="str">
        <f ca="1">IFERROR(__xludf.DUMMYFUNCTION("""COMPUTED_VALUE"""),"I Accept")</f>
        <v>I Accept</v>
      </c>
      <c r="N559" s="4">
        <f ca="1">IFERROR(__xludf.DUMMYFUNCTION("""COMPUTED_VALUE"""),43224)</f>
        <v>43224</v>
      </c>
      <c r="O559" s="4">
        <f ca="1">IFERROR(__xludf.DUMMYFUNCTION("""COMPUTED_VALUE"""),43224)</f>
        <v>43224</v>
      </c>
      <c r="P559">
        <f ca="1">IFERROR(__xludf.DUMMYFUNCTION("""COMPUTED_VALUE"""),5)</f>
        <v>5</v>
      </c>
      <c r="Q559" t="str">
        <f ca="1">IFERROR(__xludf.DUMMYFUNCTION("""COMPUTED_VALUE"""),"madhuchandran@yahoo.com")</f>
        <v>madhuchandran@yahoo.com</v>
      </c>
      <c r="R559" s="2" t="s">
        <v>2973</v>
      </c>
    </row>
    <row r="560" spans="1:18" ht="13" x14ac:dyDescent="0.15">
      <c r="A560" s="3">
        <f ca="1">IFERROR(__xludf.DUMMYFUNCTION("""COMPUTED_VALUE"""),43230.5543213657)</f>
        <v>43230.5543213657</v>
      </c>
      <c r="B560" t="str">
        <f ca="1">IFERROR(__xludf.DUMMYFUNCTION("""COMPUTED_VALUE"""),"manisusan@yahoo.com")</f>
        <v>manisusan@yahoo.com</v>
      </c>
      <c r="C560">
        <f ca="1">IFERROR(__xludf.DUMMYFUNCTION("""COMPUTED_VALUE"""),1005)</f>
        <v>1005</v>
      </c>
      <c r="D560" t="str">
        <f ca="1">IFERROR(__xludf.DUMMYFUNCTION("""COMPUTED_VALUE"""),"MATHEW K MANI")</f>
        <v>MATHEW K MANI</v>
      </c>
      <c r="E560">
        <f ca="1">IFERROR(__xludf.DUMMYFUNCTION("""COMPUTED_VALUE"""),8547373907)</f>
        <v>8547373907</v>
      </c>
      <c r="F560" t="str">
        <f ca="1">IFERROR(__xludf.DUMMYFUNCTION("""COMPUTED_VALUE"""),"Kottayam")</f>
        <v>Kottayam</v>
      </c>
      <c r="G560" t="str">
        <f ca="1">IFERROR(__xludf.DUMMYFUNCTION("""COMPUTED_VALUE"""),"RENERGY SYSTEMS INDIA PVT LTD")</f>
        <v>RENERGY SYSTEMS INDIA PVT LTD</v>
      </c>
      <c r="H560">
        <f ca="1">IFERROR(__xludf.DUMMYFUNCTION("""COMPUTED_VALUE"""),38)</f>
        <v>38</v>
      </c>
      <c r="I560" s="4">
        <f ca="1">IFERROR(__xludf.DUMMYFUNCTION("""COMPUTED_VALUE"""),43217)</f>
        <v>43217</v>
      </c>
      <c r="J560">
        <f ca="1">IFERROR(__xludf.DUMMYFUNCTION("""COMPUTED_VALUE"""),5)</f>
        <v>5</v>
      </c>
      <c r="K560">
        <f ca="1">IFERROR(__xludf.DUMMYFUNCTION("""COMPUTED_VALUE"""),1146310006942)</f>
        <v>1146310006942</v>
      </c>
      <c r="L560" t="str">
        <f ca="1">IFERROR(__xludf.DUMMYFUNCTION("""COMPUTED_VALUE"""),"MANARKADU")</f>
        <v>MANARKADU</v>
      </c>
      <c r="M560" t="str">
        <f ca="1">IFERROR(__xludf.DUMMYFUNCTION("""COMPUTED_VALUE"""),"I Accept")</f>
        <v>I Accept</v>
      </c>
      <c r="N560" s="4">
        <f ca="1">IFERROR(__xludf.DUMMYFUNCTION("""COMPUTED_VALUE"""),43216)</f>
        <v>43216</v>
      </c>
      <c r="O560" s="4">
        <f ca="1">IFERROR(__xludf.DUMMYFUNCTION("""COMPUTED_VALUE"""),43215)</f>
        <v>43215</v>
      </c>
      <c r="P560">
        <f ca="1">IFERROR(__xludf.DUMMYFUNCTION("""COMPUTED_VALUE"""),5)</f>
        <v>5</v>
      </c>
      <c r="Q560" t="str">
        <f ca="1">IFERROR(__xludf.DUMMYFUNCTION("""COMPUTED_VALUE"""),"manisusan@yahoo.com")</f>
        <v>manisusan@yahoo.com</v>
      </c>
      <c r="R560" s="2" t="s">
        <v>2974</v>
      </c>
    </row>
    <row r="561" spans="1:18" ht="13" x14ac:dyDescent="0.15">
      <c r="A561" s="3">
        <f ca="1">IFERROR(__xludf.DUMMYFUNCTION("""COMPUTED_VALUE"""),43230.572982824)</f>
        <v>43230.572982824</v>
      </c>
      <c r="B561" t="str">
        <f ca="1">IFERROR(__xludf.DUMMYFUNCTION("""COMPUTED_VALUE"""),"sbthara@gmail.com")</f>
        <v>sbthara@gmail.com</v>
      </c>
      <c r="C561">
        <f ca="1">IFERROR(__xludf.DUMMYFUNCTION("""COMPUTED_VALUE"""),530)</f>
        <v>530</v>
      </c>
      <c r="D561" t="str">
        <f ca="1">IFERROR(__xludf.DUMMYFUNCTION("""COMPUTED_VALUE"""),"D B KISHORE KUMAR")</f>
        <v>D B KISHORE KUMAR</v>
      </c>
      <c r="E561">
        <f ca="1">IFERROR(__xludf.DUMMYFUNCTION("""COMPUTED_VALUE"""),9447060062)</f>
        <v>9447060062</v>
      </c>
      <c r="F561" t="str">
        <f ca="1">IFERROR(__xludf.DUMMYFUNCTION("""COMPUTED_VALUE"""),"Ernakulam")</f>
        <v>Ernakulam</v>
      </c>
      <c r="G561" t="str">
        <f ca="1">IFERROR(__xludf.DUMMYFUNCTION("""COMPUTED_VALUE"""),"SPECTRUM TECHNO PRODUCTS")</f>
        <v>SPECTRUM TECHNO PRODUCTS</v>
      </c>
      <c r="H561">
        <f ca="1">IFERROR(__xludf.DUMMYFUNCTION("""COMPUTED_VALUE"""),66)</f>
        <v>66</v>
      </c>
      <c r="I561" s="4">
        <f ca="1">IFERROR(__xludf.DUMMYFUNCTION("""COMPUTED_VALUE"""),43230)</f>
        <v>43230</v>
      </c>
      <c r="J561">
        <f ca="1">IFERROR(__xludf.DUMMYFUNCTION("""COMPUTED_VALUE"""),3)</f>
        <v>3</v>
      </c>
      <c r="K561">
        <f ca="1">IFERROR(__xludf.DUMMYFUNCTION("""COMPUTED_VALUE"""),1157315013246)</f>
        <v>1157315013246</v>
      </c>
      <c r="L561" t="str">
        <f ca="1">IFERROR(__xludf.DUMMYFUNCTION("""COMPUTED_VALUE"""),"THRIKAKKARA WEST")</f>
        <v>THRIKAKKARA WEST</v>
      </c>
      <c r="M561" t="str">
        <f ca="1">IFERROR(__xludf.DUMMYFUNCTION("""COMPUTED_VALUE"""),"I Accept")</f>
        <v>I Accept</v>
      </c>
      <c r="N561" s="4">
        <f ca="1">IFERROR(__xludf.DUMMYFUNCTION("""COMPUTED_VALUE"""),43181)</f>
        <v>43181</v>
      </c>
      <c r="O561" s="4">
        <f ca="1">IFERROR(__xludf.DUMMYFUNCTION("""COMPUTED_VALUE"""),43242)</f>
        <v>43242</v>
      </c>
      <c r="P561">
        <f ca="1">IFERROR(__xludf.DUMMYFUNCTION("""COMPUTED_VALUE"""),3)</f>
        <v>3</v>
      </c>
      <c r="Q561" t="str">
        <f ca="1">IFERROR(__xludf.DUMMYFUNCTION("""COMPUTED_VALUE"""),"sbthara@gmail.com")</f>
        <v>sbthara@gmail.com</v>
      </c>
      <c r="R561" s="2" t="s">
        <v>2975</v>
      </c>
    </row>
    <row r="562" spans="1:18" ht="13" x14ac:dyDescent="0.15">
      <c r="A562" s="3">
        <f ca="1">IFERROR(__xludf.DUMMYFUNCTION("""COMPUTED_VALUE"""),43230.6111643287)</f>
        <v>43230.6111643287</v>
      </c>
      <c r="B562" t="str">
        <f ca="1">IFERROR(__xludf.DUMMYFUNCTION("""COMPUTED_VALUE"""),"solarconnect2018@gmail.com")</f>
        <v>solarconnect2018@gmail.com</v>
      </c>
      <c r="C562">
        <f ca="1">IFERROR(__xludf.DUMMYFUNCTION("""COMPUTED_VALUE"""),771)</f>
        <v>771</v>
      </c>
      <c r="D562" t="str">
        <f ca="1">IFERROR(__xludf.DUMMYFUNCTION("""COMPUTED_VALUE"""),"DR VINAYAN M K")</f>
        <v>DR VINAYAN M K</v>
      </c>
      <c r="E562">
        <f ca="1">IFERROR(__xludf.DUMMYFUNCTION("""COMPUTED_VALUE"""),9847344473)</f>
        <v>9847344473</v>
      </c>
      <c r="F562" t="str">
        <f ca="1">IFERROR(__xludf.DUMMYFUNCTION("""COMPUTED_VALUE"""),"Thrissur")</f>
        <v>Thrissur</v>
      </c>
      <c r="G562" t="str">
        <f ca="1">IFERROR(__xludf.DUMMYFUNCTION("""COMPUTED_VALUE"""),"SPECTRUM TECHNO PRODUCTS")</f>
        <v>SPECTRUM TECHNO PRODUCTS</v>
      </c>
      <c r="H562">
        <f ca="1">IFERROR(__xludf.DUMMYFUNCTION("""COMPUTED_VALUE"""),66)</f>
        <v>66</v>
      </c>
      <c r="I562" s="4">
        <f ca="1">IFERROR(__xludf.DUMMYFUNCTION("""COMPUTED_VALUE"""),43202)</f>
        <v>43202</v>
      </c>
      <c r="J562">
        <f ca="1">IFERROR(__xludf.DUMMYFUNCTION("""COMPUTED_VALUE"""),3)</f>
        <v>3</v>
      </c>
      <c r="K562">
        <f ca="1">IFERROR(__xludf.DUMMYFUNCTION("""COMPUTED_VALUE"""),1156695002947)</f>
        <v>1156695002947</v>
      </c>
      <c r="L562" t="str">
        <f ca="1">IFERROR(__xludf.DUMMYFUNCTION("""COMPUTED_VALUE"""),"KOORKANCHERRY")</f>
        <v>KOORKANCHERRY</v>
      </c>
      <c r="M562" t="str">
        <f ca="1">IFERROR(__xludf.DUMMYFUNCTION("""COMPUTED_VALUE"""),"I Accept")</f>
        <v>I Accept</v>
      </c>
      <c r="N562" s="4">
        <f ca="1">IFERROR(__xludf.DUMMYFUNCTION("""COMPUTED_VALUE"""),43208)</f>
        <v>43208</v>
      </c>
      <c r="O562" s="4">
        <f ca="1">IFERROR(__xludf.DUMMYFUNCTION("""COMPUTED_VALUE"""),43208)</f>
        <v>43208</v>
      </c>
      <c r="P562">
        <f ca="1">IFERROR(__xludf.DUMMYFUNCTION("""COMPUTED_VALUE"""),3)</f>
        <v>3</v>
      </c>
      <c r="Q562" t="str">
        <f ca="1">IFERROR(__xludf.DUMMYFUNCTION("""COMPUTED_VALUE"""),"solarconnect2018@gmail.com")</f>
        <v>solarconnect2018@gmail.com</v>
      </c>
      <c r="R562" s="2" t="s">
        <v>2976</v>
      </c>
    </row>
    <row r="563" spans="1:18" ht="13" x14ac:dyDescent="0.15">
      <c r="A563" s="3">
        <f ca="1">IFERROR(__xludf.DUMMYFUNCTION("""COMPUTED_VALUE"""),43230.6182780671)</f>
        <v>43230.618278067101</v>
      </c>
      <c r="B563" t="str">
        <f ca="1">IFERROR(__xludf.DUMMYFUNCTION("""COMPUTED_VALUE"""),"elsolpowersolutions@gmail.com")</f>
        <v>elsolpowersolutions@gmail.com</v>
      </c>
      <c r="C563">
        <f ca="1">IFERROR(__xludf.DUMMYFUNCTION("""COMPUTED_VALUE"""),999)</f>
        <v>999</v>
      </c>
      <c r="D563" t="str">
        <f ca="1">IFERROR(__xludf.DUMMYFUNCTION("""COMPUTED_VALUE"""),"JOY JACOB")</f>
        <v>JOY JACOB</v>
      </c>
      <c r="E563">
        <f ca="1">IFERROR(__xludf.DUMMYFUNCTION("""COMPUTED_VALUE"""),8078213924)</f>
        <v>8078213924</v>
      </c>
      <c r="F563" t="str">
        <f ca="1">IFERROR(__xludf.DUMMYFUNCTION("""COMPUTED_VALUE"""),"Pathanamthitta")</f>
        <v>Pathanamthitta</v>
      </c>
      <c r="G563" t="str">
        <f ca="1">IFERROR(__xludf.DUMMYFUNCTION("""COMPUTED_VALUE"""),"RENERGY SYSTEMS INDIA PVT LTD")</f>
        <v>RENERGY SYSTEMS INDIA PVT LTD</v>
      </c>
      <c r="H563">
        <f ca="1">IFERROR(__xludf.DUMMYFUNCTION("""COMPUTED_VALUE"""),38)</f>
        <v>38</v>
      </c>
      <c r="I563" s="4">
        <f ca="1">IFERROR(__xludf.DUMMYFUNCTION("""COMPUTED_VALUE"""),43223)</f>
        <v>43223</v>
      </c>
      <c r="J563">
        <f ca="1">IFERROR(__xludf.DUMMYFUNCTION("""COMPUTED_VALUE"""),5)</f>
        <v>5</v>
      </c>
      <c r="K563">
        <f ca="1">IFERROR(__xludf.DUMMYFUNCTION("""COMPUTED_VALUE"""),1146172001128)</f>
        <v>1146172001128</v>
      </c>
      <c r="L563" t="str">
        <f ca="1">IFERROR(__xludf.DUMMYFUNCTION("""COMPUTED_VALUE"""),"THIRUVALLA")</f>
        <v>THIRUVALLA</v>
      </c>
      <c r="M563" t="str">
        <f ca="1">IFERROR(__xludf.DUMMYFUNCTION("""COMPUTED_VALUE"""),"I Accept")</f>
        <v>I Accept</v>
      </c>
      <c r="N563" s="4">
        <f ca="1">IFERROR(__xludf.DUMMYFUNCTION("""COMPUTED_VALUE"""),43227)</f>
        <v>43227</v>
      </c>
      <c r="O563" s="4">
        <f ca="1">IFERROR(__xludf.DUMMYFUNCTION("""COMPUTED_VALUE"""),43227)</f>
        <v>43227</v>
      </c>
      <c r="P563">
        <f ca="1">IFERROR(__xludf.DUMMYFUNCTION("""COMPUTED_VALUE"""),5)</f>
        <v>5</v>
      </c>
      <c r="Q563" t="str">
        <f ca="1">IFERROR(__xludf.DUMMYFUNCTION("""COMPUTED_VALUE"""),"elsolpowersolutions@gmail.com")</f>
        <v>elsolpowersolutions@gmail.com</v>
      </c>
      <c r="R563" s="2" t="s">
        <v>2977</v>
      </c>
    </row>
    <row r="564" spans="1:18" ht="13" x14ac:dyDescent="0.15">
      <c r="A564" s="3">
        <f ca="1">IFERROR(__xludf.DUMMYFUNCTION("""COMPUTED_VALUE"""),43230.620000405)</f>
        <v>43230.620000404997</v>
      </c>
      <c r="B564" t="str">
        <f ca="1">IFERROR(__xludf.DUMMYFUNCTION("""COMPUTED_VALUE"""),"projects.basta@gmail.com")</f>
        <v>projects.basta@gmail.com</v>
      </c>
      <c r="C564">
        <f ca="1">IFERROR(__xludf.DUMMYFUNCTION("""COMPUTED_VALUE"""),912)</f>
        <v>912</v>
      </c>
      <c r="D564" t="str">
        <f ca="1">IFERROR(__xludf.DUMMYFUNCTION("""COMPUTED_VALUE"""),"Muhammed Shareef")</f>
        <v>Muhammed Shareef</v>
      </c>
      <c r="E564">
        <f ca="1">IFERROR(__xludf.DUMMYFUNCTION("""COMPUTED_VALUE"""),9061327111)</f>
        <v>9061327111</v>
      </c>
      <c r="F564" t="str">
        <f ca="1">IFERROR(__xludf.DUMMYFUNCTION("""COMPUTED_VALUE"""),"Kannur")</f>
        <v>Kannur</v>
      </c>
      <c r="G564" t="str">
        <f ca="1">IFERROR(__xludf.DUMMYFUNCTION("""COMPUTED_VALUE"""),"Bosch Ltd")</f>
        <v>Bosch Ltd</v>
      </c>
      <c r="H564">
        <f ca="1">IFERROR(__xludf.DUMMYFUNCTION("""COMPUTED_VALUE"""),18)</f>
        <v>18</v>
      </c>
      <c r="I564" s="4">
        <f ca="1">IFERROR(__xludf.DUMMYFUNCTION("""COMPUTED_VALUE"""),43230)</f>
        <v>43230</v>
      </c>
      <c r="J564">
        <f ca="1">IFERROR(__xludf.DUMMYFUNCTION("""COMPUTED_VALUE"""),3)</f>
        <v>3</v>
      </c>
      <c r="K564">
        <f ca="1">IFERROR(__xludf.DUMMYFUNCTION("""COMPUTED_VALUE"""),1166437015529)</f>
        <v>1166437015529</v>
      </c>
      <c r="L564" t="str">
        <f ca="1">IFERROR(__xludf.DUMMYFUNCTION("""COMPUTED_VALUE"""),"6643")</f>
        <v>6643</v>
      </c>
      <c r="M564" t="str">
        <f ca="1">IFERROR(__xludf.DUMMYFUNCTION("""COMPUTED_VALUE"""),"I Accept")</f>
        <v>I Accept</v>
      </c>
      <c r="N564" s="4">
        <f ca="1">IFERROR(__xludf.DUMMYFUNCTION("""COMPUTED_VALUE"""),43196)</f>
        <v>43196</v>
      </c>
      <c r="O564" s="4">
        <f ca="1">IFERROR(__xludf.DUMMYFUNCTION("""COMPUTED_VALUE"""),43196)</f>
        <v>43196</v>
      </c>
      <c r="P564">
        <f ca="1">IFERROR(__xludf.DUMMYFUNCTION("""COMPUTED_VALUE"""),3)</f>
        <v>3</v>
      </c>
      <c r="Q564" t="str">
        <f ca="1">IFERROR(__xludf.DUMMYFUNCTION("""COMPUTED_VALUE"""),"projects.basta@gmail.com")</f>
        <v>projects.basta@gmail.com</v>
      </c>
      <c r="R564" s="2" t="s">
        <v>2978</v>
      </c>
    </row>
    <row r="565" spans="1:18" ht="13" x14ac:dyDescent="0.15">
      <c r="A565" s="3">
        <f ca="1">IFERROR(__xludf.DUMMYFUNCTION("""COMPUTED_VALUE"""),43230.6232073611)</f>
        <v>43230.623207361103</v>
      </c>
      <c r="B565" t="str">
        <f ca="1">IFERROR(__xludf.DUMMYFUNCTION("""COMPUTED_VALUE"""),"muralimaya@yahoo.com")</f>
        <v>muralimaya@yahoo.com</v>
      </c>
      <c r="C565">
        <f ca="1">IFERROR(__xludf.DUMMYFUNCTION("""COMPUTED_VALUE"""),916)</f>
        <v>916</v>
      </c>
      <c r="D565" t="str">
        <f ca="1">IFERROR(__xludf.DUMMYFUNCTION("""COMPUTED_VALUE"""),"MURALIDHIRAN NAIR C N")</f>
        <v>MURALIDHIRAN NAIR C N</v>
      </c>
      <c r="E565">
        <f ca="1">IFERROR(__xludf.DUMMYFUNCTION("""COMPUTED_VALUE"""),9946049455)</f>
        <v>9946049455</v>
      </c>
      <c r="F565" t="str">
        <f ca="1">IFERROR(__xludf.DUMMYFUNCTION("""COMPUTED_VALUE"""),"Ernakulam")</f>
        <v>Ernakulam</v>
      </c>
      <c r="G565" t="str">
        <f ca="1">IFERROR(__xludf.DUMMYFUNCTION("""COMPUTED_VALUE"""),"Renewable Energy Solutions")</f>
        <v>Renewable Energy Solutions</v>
      </c>
      <c r="H565">
        <f ca="1">IFERROR(__xludf.DUMMYFUNCTION("""COMPUTED_VALUE"""),64)</f>
        <v>64</v>
      </c>
      <c r="I565" s="4">
        <f ca="1">IFERROR(__xludf.DUMMYFUNCTION("""COMPUTED_VALUE"""),43209)</f>
        <v>43209</v>
      </c>
      <c r="J565">
        <f ca="1">IFERROR(__xludf.DUMMYFUNCTION("""COMPUTED_VALUE"""),5)</f>
        <v>5</v>
      </c>
      <c r="K565">
        <f ca="1">IFERROR(__xludf.DUMMYFUNCTION("""COMPUTED_VALUE"""),1155421001762)</f>
        <v>1155421001762</v>
      </c>
      <c r="L565" t="str">
        <f ca="1">IFERROR(__xludf.DUMMYFUNCTION("""COMPUTED_VALUE"""),"5542")</f>
        <v>5542</v>
      </c>
      <c r="M565" t="str">
        <f ca="1">IFERROR(__xludf.DUMMYFUNCTION("""COMPUTED_VALUE"""),"I Accept")</f>
        <v>I Accept</v>
      </c>
      <c r="N565" s="4">
        <f ca="1">IFERROR(__xludf.DUMMYFUNCTION("""COMPUTED_VALUE"""),43202)</f>
        <v>43202</v>
      </c>
      <c r="O565" s="4">
        <f ca="1">IFERROR(__xludf.DUMMYFUNCTION("""COMPUTED_VALUE"""),43202)</f>
        <v>43202</v>
      </c>
      <c r="P565">
        <f ca="1">IFERROR(__xludf.DUMMYFUNCTION("""COMPUTED_VALUE"""),5)</f>
        <v>5</v>
      </c>
      <c r="Q565" t="str">
        <f ca="1">IFERROR(__xludf.DUMMYFUNCTION("""COMPUTED_VALUE"""),"muralimaya@yahoo.com")</f>
        <v>muralimaya@yahoo.com</v>
      </c>
      <c r="R565" s="2" t="s">
        <v>2979</v>
      </c>
    </row>
    <row r="566" spans="1:18" ht="13" x14ac:dyDescent="0.15">
      <c r="A566" s="3">
        <f ca="1">IFERROR(__xludf.DUMMYFUNCTION("""COMPUTED_VALUE"""),43230.7260484838)</f>
        <v>43230.726048483797</v>
      </c>
      <c r="B566" t="str">
        <f ca="1">IFERROR(__xludf.DUMMYFUNCTION("""COMPUTED_VALUE"""),"info@solartechind.com")</f>
        <v>info@solartechind.com</v>
      </c>
      <c r="C566">
        <f ca="1">IFERROR(__xludf.DUMMYFUNCTION("""COMPUTED_VALUE"""),271)</f>
        <v>271</v>
      </c>
      <c r="D566" t="str">
        <f ca="1">IFERROR(__xludf.DUMMYFUNCTION("""COMPUTED_VALUE"""),"Ajaygosh")</f>
        <v>Ajaygosh</v>
      </c>
      <c r="E566">
        <f ca="1">IFERROR(__xludf.DUMMYFUNCTION("""COMPUTED_VALUE"""),9387707733)</f>
        <v>9387707733</v>
      </c>
      <c r="F566" t="str">
        <f ca="1">IFERROR(__xludf.DUMMYFUNCTION("""COMPUTED_VALUE"""),"Thrissur")</f>
        <v>Thrissur</v>
      </c>
      <c r="G566" t="str">
        <f ca="1">IFERROR(__xludf.DUMMYFUNCTION("""COMPUTED_VALUE"""),"SOLARTECH")</f>
        <v>SOLARTECH</v>
      </c>
      <c r="H566">
        <f ca="1">IFERROR(__xludf.DUMMYFUNCTION("""COMPUTED_VALUE"""),4)</f>
        <v>4</v>
      </c>
      <c r="I566" s="4">
        <f ca="1">IFERROR(__xludf.DUMMYFUNCTION("""COMPUTED_VALUE"""),43211)</f>
        <v>43211</v>
      </c>
      <c r="J566">
        <f ca="1">IFERROR(__xludf.DUMMYFUNCTION("""COMPUTED_VALUE"""),3)</f>
        <v>3</v>
      </c>
      <c r="K566">
        <f ca="1">IFERROR(__xludf.DUMMYFUNCTION("""COMPUTED_VALUE"""),1156638012022)</f>
        <v>1156638012022</v>
      </c>
      <c r="L566" t="str">
        <f ca="1">IFERROR(__xludf.DUMMYFUNCTION("""COMPUTED_VALUE"""),"Kodungallor I")</f>
        <v>Kodungallor I</v>
      </c>
      <c r="M566" t="str">
        <f ca="1">IFERROR(__xludf.DUMMYFUNCTION("""COMPUTED_VALUE"""),"I Accept")</f>
        <v>I Accept</v>
      </c>
      <c r="N566" s="4">
        <f ca="1">IFERROR(__xludf.DUMMYFUNCTION("""COMPUTED_VALUE"""),43166)</f>
        <v>43166</v>
      </c>
      <c r="O566" s="4">
        <f ca="1">IFERROR(__xludf.DUMMYFUNCTION("""COMPUTED_VALUE"""),43166)</f>
        <v>43166</v>
      </c>
      <c r="P566">
        <f ca="1">IFERROR(__xludf.DUMMYFUNCTION("""COMPUTED_VALUE"""),3)</f>
        <v>3</v>
      </c>
      <c r="Q566" t="str">
        <f ca="1">IFERROR(__xludf.DUMMYFUNCTION("""COMPUTED_VALUE"""),"info@solartechind.comd")</f>
        <v>info@solartechind.comd</v>
      </c>
      <c r="R566" s="2" t="s">
        <v>2980</v>
      </c>
    </row>
    <row r="567" spans="1:18" ht="13" x14ac:dyDescent="0.15">
      <c r="A567" s="3">
        <f ca="1">IFERROR(__xludf.DUMMYFUNCTION("""COMPUTED_VALUE"""),43231.3839713888)</f>
        <v>43231.383971388801</v>
      </c>
      <c r="B567" t="str">
        <f ca="1">IFERROR(__xludf.DUMMYFUNCTION("""COMPUTED_VALUE"""),"solarconnect2018@gmail.com")</f>
        <v>solarconnect2018@gmail.com</v>
      </c>
      <c r="C567">
        <f ca="1">IFERROR(__xludf.DUMMYFUNCTION("""COMPUTED_VALUE"""),851)</f>
        <v>851</v>
      </c>
      <c r="D567" t="str">
        <f ca="1">IFERROR(__xludf.DUMMYFUNCTION("""COMPUTED_VALUE"""),"SARITHA SAHADEVAN")</f>
        <v>SARITHA SAHADEVAN</v>
      </c>
      <c r="E567">
        <f ca="1">IFERROR(__xludf.DUMMYFUNCTION("""COMPUTED_VALUE"""),8075487765)</f>
        <v>8075487765</v>
      </c>
      <c r="F567" t="str">
        <f ca="1">IFERROR(__xludf.DUMMYFUNCTION("""COMPUTED_VALUE"""),"Kannur")</f>
        <v>Kannur</v>
      </c>
      <c r="G567" t="str">
        <f ca="1">IFERROR(__xludf.DUMMYFUNCTION("""COMPUTED_VALUE"""),"SPECTRUM TECHNO PRODUCTS")</f>
        <v>SPECTRUM TECHNO PRODUCTS</v>
      </c>
      <c r="H567">
        <f ca="1">IFERROR(__xludf.DUMMYFUNCTION("""COMPUTED_VALUE"""),66)</f>
        <v>66</v>
      </c>
      <c r="I567" s="4">
        <f ca="1">IFERROR(__xludf.DUMMYFUNCTION("""COMPUTED_VALUE"""),43230)</f>
        <v>43230</v>
      </c>
      <c r="J567">
        <f ca="1">IFERROR(__xludf.DUMMYFUNCTION("""COMPUTED_VALUE"""),2)</f>
        <v>2</v>
      </c>
      <c r="K567">
        <f ca="1">IFERROR(__xludf.DUMMYFUNCTION("""COMPUTED_VALUE"""),1166705011516)</f>
        <v>1166705011516</v>
      </c>
      <c r="L567" t="str">
        <f ca="1">IFERROR(__xludf.DUMMYFUNCTION("""COMPUTED_VALUE"""),"KODIYERI")</f>
        <v>KODIYERI</v>
      </c>
      <c r="M567" t="str">
        <f ca="1">IFERROR(__xludf.DUMMYFUNCTION("""COMPUTED_VALUE"""),"I Accept")</f>
        <v>I Accept</v>
      </c>
      <c r="N567" s="4">
        <f ca="1">IFERROR(__xludf.DUMMYFUNCTION("""COMPUTED_VALUE"""),43202)</f>
        <v>43202</v>
      </c>
      <c r="O567" s="4">
        <f ca="1">IFERROR(__xludf.DUMMYFUNCTION("""COMPUTED_VALUE"""),43202)</f>
        <v>43202</v>
      </c>
      <c r="P567">
        <f ca="1">IFERROR(__xludf.DUMMYFUNCTION("""COMPUTED_VALUE"""),2)</f>
        <v>2</v>
      </c>
      <c r="Q567" t="str">
        <f ca="1">IFERROR(__xludf.DUMMYFUNCTION("""COMPUTED_VALUE"""),"solarconnect2018@gmail.com")</f>
        <v>solarconnect2018@gmail.com</v>
      </c>
      <c r="R567" s="2" t="s">
        <v>2981</v>
      </c>
    </row>
    <row r="568" spans="1:18" ht="13" x14ac:dyDescent="0.15">
      <c r="A568" s="3">
        <f ca="1">IFERROR(__xludf.DUMMYFUNCTION("""COMPUTED_VALUE"""),43231.3869474305)</f>
        <v>43231.386947430503</v>
      </c>
      <c r="B568" t="str">
        <f ca="1">IFERROR(__xludf.DUMMYFUNCTION("""COMPUTED_VALUE"""),"solarconnect2018@gmail.com")</f>
        <v>solarconnect2018@gmail.com</v>
      </c>
      <c r="C568">
        <f ca="1">IFERROR(__xludf.DUMMYFUNCTION("""COMPUTED_VALUE"""),844)</f>
        <v>844</v>
      </c>
      <c r="D568" t="str">
        <f ca="1">IFERROR(__xludf.DUMMYFUNCTION("""COMPUTED_VALUE"""),"PRADEEPAN K M")</f>
        <v>PRADEEPAN K M</v>
      </c>
      <c r="E568">
        <f ca="1">IFERROR(__xludf.DUMMYFUNCTION("""COMPUTED_VALUE"""),9048013907)</f>
        <v>9048013907</v>
      </c>
      <c r="F568" t="str">
        <f ca="1">IFERROR(__xludf.DUMMYFUNCTION("""COMPUTED_VALUE"""),"Kannur")</f>
        <v>Kannur</v>
      </c>
      <c r="G568" t="str">
        <f ca="1">IFERROR(__xludf.DUMMYFUNCTION("""COMPUTED_VALUE"""),"SPECTRUM TECHNO PRODUCTS")</f>
        <v>SPECTRUM TECHNO PRODUCTS</v>
      </c>
      <c r="H568">
        <f ca="1">IFERROR(__xludf.DUMMYFUNCTION("""COMPUTED_VALUE"""),66)</f>
        <v>66</v>
      </c>
      <c r="I568" s="4">
        <f ca="1">IFERROR(__xludf.DUMMYFUNCTION("""COMPUTED_VALUE"""),43230)</f>
        <v>43230</v>
      </c>
      <c r="J568">
        <f ca="1">IFERROR(__xludf.DUMMYFUNCTION("""COMPUTED_VALUE"""),5)</f>
        <v>5</v>
      </c>
      <c r="K568">
        <f ca="1">IFERROR(__xludf.DUMMYFUNCTION("""COMPUTED_VALUE"""),1166716033053)</f>
        <v>1166716033053</v>
      </c>
      <c r="L568" t="str">
        <f ca="1">IFERROR(__xludf.DUMMYFUNCTION("""COMPUTED_VALUE"""),"CHOKLI")</f>
        <v>CHOKLI</v>
      </c>
      <c r="M568" t="str">
        <f ca="1">IFERROR(__xludf.DUMMYFUNCTION("""COMPUTED_VALUE"""),"I Accept")</f>
        <v>I Accept</v>
      </c>
      <c r="N568" s="4">
        <f ca="1">IFERROR(__xludf.DUMMYFUNCTION("""COMPUTED_VALUE"""),43201)</f>
        <v>43201</v>
      </c>
      <c r="O568" s="4">
        <f ca="1">IFERROR(__xludf.DUMMYFUNCTION("""COMPUTED_VALUE"""),43201)</f>
        <v>43201</v>
      </c>
      <c r="P568">
        <f ca="1">IFERROR(__xludf.DUMMYFUNCTION("""COMPUTED_VALUE"""),5)</f>
        <v>5</v>
      </c>
      <c r="Q568" t="str">
        <f ca="1">IFERROR(__xludf.DUMMYFUNCTION("""COMPUTED_VALUE"""),"solarconnect2018@gmail.com")</f>
        <v>solarconnect2018@gmail.com</v>
      </c>
      <c r="R568" s="2" t="s">
        <v>2982</v>
      </c>
    </row>
    <row r="569" spans="1:18" ht="13" x14ac:dyDescent="0.15">
      <c r="A569" s="3">
        <f ca="1">IFERROR(__xludf.DUMMYFUNCTION("""COMPUTED_VALUE"""),43231.3915187152)</f>
        <v>43231.391518715202</v>
      </c>
      <c r="B569" t="str">
        <f ca="1">IFERROR(__xludf.DUMMYFUNCTION("""COMPUTED_VALUE"""),"solarconnect2018@gmail.com")</f>
        <v>solarconnect2018@gmail.com</v>
      </c>
      <c r="C569">
        <f ca="1">IFERROR(__xludf.DUMMYFUNCTION("""COMPUTED_VALUE"""),846)</f>
        <v>846</v>
      </c>
      <c r="D569" t="str">
        <f ca="1">IFERROR(__xludf.DUMMYFUNCTION("""COMPUTED_VALUE"""),"BHASKARAN M")</f>
        <v>BHASKARAN M</v>
      </c>
      <c r="E569">
        <f ca="1">IFERROR(__xludf.DUMMYFUNCTION("""COMPUTED_VALUE"""),9846388510)</f>
        <v>9846388510</v>
      </c>
      <c r="F569" t="str">
        <f ca="1">IFERROR(__xludf.DUMMYFUNCTION("""COMPUTED_VALUE"""),"Kannur")</f>
        <v>Kannur</v>
      </c>
      <c r="G569" t="str">
        <f ca="1">IFERROR(__xludf.DUMMYFUNCTION("""COMPUTED_VALUE"""),"SPECTRUM TECHNO PRODUCTS")</f>
        <v>SPECTRUM TECHNO PRODUCTS</v>
      </c>
      <c r="H569">
        <f ca="1">IFERROR(__xludf.DUMMYFUNCTION("""COMPUTED_VALUE"""),66)</f>
        <v>66</v>
      </c>
      <c r="I569" s="4">
        <f ca="1">IFERROR(__xludf.DUMMYFUNCTION("""COMPUTED_VALUE"""),43230)</f>
        <v>43230</v>
      </c>
      <c r="J569">
        <f ca="1">IFERROR(__xludf.DUMMYFUNCTION("""COMPUTED_VALUE"""),3)</f>
        <v>3</v>
      </c>
      <c r="K569">
        <f ca="1">IFERROR(__xludf.DUMMYFUNCTION("""COMPUTED_VALUE"""),1166702009297)</f>
        <v>1166702009297</v>
      </c>
      <c r="L569" t="str">
        <f ca="1">IFERROR(__xludf.DUMMYFUNCTION("""COMPUTED_VALUE"""),"KODIYERI")</f>
        <v>KODIYERI</v>
      </c>
      <c r="M569" t="str">
        <f ca="1">IFERROR(__xludf.DUMMYFUNCTION("""COMPUTED_VALUE"""),"I Accept")</f>
        <v>I Accept</v>
      </c>
      <c r="N569" s="4">
        <f ca="1">IFERROR(__xludf.DUMMYFUNCTION("""COMPUTED_VALUE"""),43202)</f>
        <v>43202</v>
      </c>
      <c r="O569" s="4">
        <f ca="1">IFERROR(__xludf.DUMMYFUNCTION("""COMPUTED_VALUE"""),43202)</f>
        <v>43202</v>
      </c>
      <c r="P569">
        <f ca="1">IFERROR(__xludf.DUMMYFUNCTION("""COMPUTED_VALUE"""),3)</f>
        <v>3</v>
      </c>
      <c r="Q569" t="str">
        <f ca="1">IFERROR(__xludf.DUMMYFUNCTION("""COMPUTED_VALUE"""),"solarconnect2018@gmail.com")</f>
        <v>solarconnect2018@gmail.com</v>
      </c>
      <c r="R569" s="2" t="s">
        <v>2983</v>
      </c>
    </row>
    <row r="570" spans="1:18" ht="13" x14ac:dyDescent="0.15">
      <c r="A570" s="3">
        <f ca="1">IFERROR(__xludf.DUMMYFUNCTION("""COMPUTED_VALUE"""),43231.440773368)</f>
        <v>43231.440773367998</v>
      </c>
      <c r="B570" t="str">
        <f ca="1">IFERROR(__xludf.DUMMYFUNCTION("""COMPUTED_VALUE"""),"smitha.soura@gmail.com")</f>
        <v>smitha.soura@gmail.com</v>
      </c>
      <c r="C570">
        <f ca="1">IFERROR(__xludf.DUMMYFUNCTION("""COMPUTED_VALUE"""),1111)</f>
        <v>1111</v>
      </c>
      <c r="D570" t="str">
        <f ca="1">IFERROR(__xludf.DUMMYFUNCTION("""COMPUTED_VALUE"""),"Habeeb Thangal")</f>
        <v>Habeeb Thangal</v>
      </c>
      <c r="E570">
        <f ca="1">IFERROR(__xludf.DUMMYFUNCTION("""COMPUTED_VALUE"""),9847427427)</f>
        <v>9847427427</v>
      </c>
      <c r="F570" t="str">
        <f ca="1">IFERROR(__xludf.DUMMYFUNCTION("""COMPUTED_VALUE"""),"Thrissur")</f>
        <v>Thrissur</v>
      </c>
      <c r="G570" t="str">
        <f ca="1">IFERROR(__xludf.DUMMYFUNCTION("""COMPUTED_VALUE"""),"soura natural energy solutions india pvt ltd")</f>
        <v>soura natural energy solutions india pvt ltd</v>
      </c>
      <c r="H570">
        <f ca="1">IFERROR(__xludf.DUMMYFUNCTION("""COMPUTED_VALUE"""),11)</f>
        <v>11</v>
      </c>
      <c r="I570" s="4">
        <f ca="1">IFERROR(__xludf.DUMMYFUNCTION("""COMPUTED_VALUE"""),43231)</f>
        <v>43231</v>
      </c>
      <c r="J570">
        <f ca="1">IFERROR(__xludf.DUMMYFUNCTION("""COMPUTED_VALUE"""),5)</f>
        <v>5</v>
      </c>
      <c r="K570">
        <f ca="1">IFERROR(__xludf.DUMMYFUNCTION("""COMPUTED_VALUE"""),1156643024755)</f>
        <v>1156643024755</v>
      </c>
      <c r="L570" t="str">
        <f ca="1">IFERROR(__xludf.DUMMYFUNCTION("""COMPUTED_VALUE"""),"kodungallur")</f>
        <v>kodungallur</v>
      </c>
      <c r="M570" t="str">
        <f ca="1">IFERROR(__xludf.DUMMYFUNCTION("""COMPUTED_VALUE"""),"I Accept")</f>
        <v>I Accept</v>
      </c>
      <c r="N570" s="4">
        <f ca="1">IFERROR(__xludf.DUMMYFUNCTION("""COMPUTED_VALUE"""),43231)</f>
        <v>43231</v>
      </c>
      <c r="O570" s="4">
        <f ca="1">IFERROR(__xludf.DUMMYFUNCTION("""COMPUTED_VALUE"""),43231)</f>
        <v>43231</v>
      </c>
      <c r="P570">
        <f ca="1">IFERROR(__xludf.DUMMYFUNCTION("""COMPUTED_VALUE"""),5)</f>
        <v>5</v>
      </c>
      <c r="Q570" t="str">
        <f ca="1">IFERROR(__xludf.DUMMYFUNCTION("""COMPUTED_VALUE"""),"smitha.soura@gmail.com")</f>
        <v>smitha.soura@gmail.com</v>
      </c>
      <c r="R570" s="2" t="s">
        <v>2984</v>
      </c>
    </row>
    <row r="571" spans="1:18" ht="13" x14ac:dyDescent="0.15">
      <c r="A571" s="3">
        <f ca="1">IFERROR(__xludf.DUMMYFUNCTION("""COMPUTED_VALUE"""),43231.4811322222)</f>
        <v>43231.481132222201</v>
      </c>
      <c r="B571" t="str">
        <f ca="1">IFERROR(__xludf.DUMMYFUNCTION("""COMPUTED_VALUE"""),"smitha.soura@gmail.com")</f>
        <v>smitha.soura@gmail.com</v>
      </c>
      <c r="C571">
        <f ca="1">IFERROR(__xludf.DUMMYFUNCTION("""COMPUTED_VALUE"""),1003)</f>
        <v>1003</v>
      </c>
      <c r="D571" t="str">
        <f ca="1">IFERROR(__xludf.DUMMYFUNCTION("""COMPUTED_VALUE"""),"Betson baby")</f>
        <v>Betson baby</v>
      </c>
      <c r="E571">
        <f ca="1">IFERROR(__xludf.DUMMYFUNCTION("""COMPUTED_VALUE"""),9072626009)</f>
        <v>9072626009</v>
      </c>
      <c r="F571" t="str">
        <f ca="1">IFERROR(__xludf.DUMMYFUNCTION("""COMPUTED_VALUE"""),"Thrissur")</f>
        <v>Thrissur</v>
      </c>
      <c r="G571" t="str">
        <f ca="1">IFERROR(__xludf.DUMMYFUNCTION("""COMPUTED_VALUE"""),"Soura Natural Energy solutions India pvt ltd")</f>
        <v>Soura Natural Energy solutions India pvt ltd</v>
      </c>
      <c r="H571">
        <f ca="1">IFERROR(__xludf.DUMMYFUNCTION("""COMPUTED_VALUE"""),11)</f>
        <v>11</v>
      </c>
      <c r="I571" s="4">
        <f ca="1">IFERROR(__xludf.DUMMYFUNCTION("""COMPUTED_VALUE"""),43231)</f>
        <v>43231</v>
      </c>
      <c r="J571">
        <f ca="1">IFERROR(__xludf.DUMMYFUNCTION("""COMPUTED_VALUE"""),5)</f>
        <v>5</v>
      </c>
      <c r="K571">
        <f ca="1">IFERROR(__xludf.DUMMYFUNCTION("""COMPUTED_VALUE"""),1156495025327)</f>
        <v>1156495025327</v>
      </c>
      <c r="L571" t="str">
        <f ca="1">IFERROR(__xludf.DUMMYFUNCTION("""COMPUTED_VALUE"""),"koratty")</f>
        <v>koratty</v>
      </c>
      <c r="M571" t="str">
        <f ca="1">IFERROR(__xludf.DUMMYFUNCTION("""COMPUTED_VALUE"""),"I Accept")</f>
        <v>I Accept</v>
      </c>
      <c r="N571" s="4">
        <f ca="1">IFERROR(__xludf.DUMMYFUNCTION("""COMPUTED_VALUE"""),43231)</f>
        <v>43231</v>
      </c>
      <c r="O571" s="4">
        <f ca="1">IFERROR(__xludf.DUMMYFUNCTION("""COMPUTED_VALUE"""),43231)</f>
        <v>43231</v>
      </c>
      <c r="P571">
        <f ca="1">IFERROR(__xludf.DUMMYFUNCTION("""COMPUTED_VALUE"""),5)</f>
        <v>5</v>
      </c>
      <c r="Q571" t="str">
        <f ca="1">IFERROR(__xludf.DUMMYFUNCTION("""COMPUTED_VALUE"""),"smitha.soura@gmail.com")</f>
        <v>smitha.soura@gmail.com</v>
      </c>
      <c r="R571" s="2" t="s">
        <v>2985</v>
      </c>
    </row>
    <row r="572" spans="1:18" ht="13" x14ac:dyDescent="0.15">
      <c r="A572" s="3">
        <f ca="1">IFERROR(__xludf.DUMMYFUNCTION("""COMPUTED_VALUE"""),43231.6300774537)</f>
        <v>43231.630077453701</v>
      </c>
      <c r="B572" t="str">
        <f ca="1">IFERROR(__xludf.DUMMYFUNCTION("""COMPUTED_VALUE"""),"jose.dilip@gmail.com")</f>
        <v>jose.dilip@gmail.com</v>
      </c>
      <c r="C572">
        <f ca="1">IFERROR(__xludf.DUMMYFUNCTION("""COMPUTED_VALUE"""),868)</f>
        <v>868</v>
      </c>
      <c r="D572" t="str">
        <f ca="1">IFERROR(__xludf.DUMMYFUNCTION("""COMPUTED_VALUE"""),"Dr.C.Ramakrishnan Nair")</f>
        <v>Dr.C.Ramakrishnan Nair</v>
      </c>
      <c r="E572">
        <f ca="1">IFERROR(__xludf.DUMMYFUNCTION("""COMPUTED_VALUE"""),8137874406)</f>
        <v>8137874406</v>
      </c>
      <c r="F572" t="str">
        <f ca="1">IFERROR(__xludf.DUMMYFUNCTION("""COMPUTED_VALUE"""),"Thiruvananthapuram")</f>
        <v>Thiruvananthapuram</v>
      </c>
      <c r="G572" t="str">
        <f ca="1">IFERROR(__xludf.DUMMYFUNCTION("""COMPUTED_VALUE"""),"SOLGE ENERGY PVT LTD")</f>
        <v>SOLGE ENERGY PVT LTD</v>
      </c>
      <c r="H572">
        <f ca="1">IFERROR(__xludf.DUMMYFUNCTION("""COMPUTED_VALUE"""),42)</f>
        <v>42</v>
      </c>
      <c r="I572" s="4">
        <f ca="1">IFERROR(__xludf.DUMMYFUNCTION("""COMPUTED_VALUE"""),43189)</f>
        <v>43189</v>
      </c>
      <c r="J572">
        <f ca="1">IFERROR(__xludf.DUMMYFUNCTION("""COMPUTED_VALUE"""),3)</f>
        <v>3</v>
      </c>
      <c r="K572">
        <f ca="1">IFERROR(__xludf.DUMMYFUNCTION("""COMPUTED_VALUE"""),1145092002145)</f>
        <v>1145092002145</v>
      </c>
      <c r="L572" t="str">
        <f ca="1">IFERROR(__xludf.DUMMYFUNCTION("""COMPUTED_VALUE"""),"VATTIYOORKAVU")</f>
        <v>VATTIYOORKAVU</v>
      </c>
      <c r="M572" t="str">
        <f ca="1">IFERROR(__xludf.DUMMYFUNCTION("""COMPUTED_VALUE"""),"I Accept")</f>
        <v>I Accept</v>
      </c>
      <c r="N572" s="4">
        <f ca="1">IFERROR(__xludf.DUMMYFUNCTION("""COMPUTED_VALUE"""),43196)</f>
        <v>43196</v>
      </c>
      <c r="O572" s="4">
        <f ca="1">IFERROR(__xludf.DUMMYFUNCTION("""COMPUTED_VALUE"""),43196)</f>
        <v>43196</v>
      </c>
      <c r="P572">
        <f ca="1">IFERROR(__xludf.DUMMYFUNCTION("""COMPUTED_VALUE"""),3)</f>
        <v>3</v>
      </c>
      <c r="Q572" t="str">
        <f ca="1">IFERROR(__xludf.DUMMYFUNCTION("""COMPUTED_VALUE"""),"jose.dilip@gmail.com")</f>
        <v>jose.dilip@gmail.com</v>
      </c>
      <c r="R572" s="2" t="s">
        <v>2986</v>
      </c>
    </row>
    <row r="573" spans="1:18" ht="13" x14ac:dyDescent="0.15">
      <c r="A573" s="3">
        <f ca="1">IFERROR(__xludf.DUMMYFUNCTION("""COMPUTED_VALUE"""),43231.6559496875)</f>
        <v>43231.655949687498</v>
      </c>
      <c r="B573" t="str">
        <f ca="1">IFERROR(__xludf.DUMMYFUNCTION("""COMPUTED_VALUE"""),"jose.dilip@gmail.com")</f>
        <v>jose.dilip@gmail.com</v>
      </c>
      <c r="C573">
        <f ca="1">IFERROR(__xludf.DUMMYFUNCTION("""COMPUTED_VALUE"""),1100)</f>
        <v>1100</v>
      </c>
      <c r="D573" t="str">
        <f ca="1">IFERROR(__xludf.DUMMYFUNCTION("""COMPUTED_VALUE"""),"GRAICY JOSE")</f>
        <v>GRAICY JOSE</v>
      </c>
      <c r="E573">
        <f ca="1">IFERROR(__xludf.DUMMYFUNCTION("""COMPUTED_VALUE"""),8137874406)</f>
        <v>8137874406</v>
      </c>
      <c r="F573" t="str">
        <f ca="1">IFERROR(__xludf.DUMMYFUNCTION("""COMPUTED_VALUE"""),"Thrissur")</f>
        <v>Thrissur</v>
      </c>
      <c r="G573" t="str">
        <f ca="1">IFERROR(__xludf.DUMMYFUNCTION("""COMPUTED_VALUE"""),"SOLGEN ENERGY PVT LTD")</f>
        <v>SOLGEN ENERGY PVT LTD</v>
      </c>
      <c r="H573">
        <f ca="1">IFERROR(__xludf.DUMMYFUNCTION("""COMPUTED_VALUE"""),42)</f>
        <v>42</v>
      </c>
      <c r="I573" s="4">
        <f ca="1">IFERROR(__xludf.DUMMYFUNCTION("""COMPUTED_VALUE"""),43221)</f>
        <v>43221</v>
      </c>
      <c r="J573">
        <f ca="1">IFERROR(__xludf.DUMMYFUNCTION("""COMPUTED_VALUE"""),3)</f>
        <v>3</v>
      </c>
      <c r="K573">
        <f ca="1">IFERROR(__xludf.DUMMYFUNCTION("""COMPUTED_VALUE"""),1156793015658)</f>
        <v>1156793015658</v>
      </c>
      <c r="L573" t="str">
        <f ca="1">IFERROR(__xludf.DUMMYFUNCTION("""COMPUTED_VALUE"""),"ARIMBOOR")</f>
        <v>ARIMBOOR</v>
      </c>
      <c r="M573" t="str">
        <f ca="1">IFERROR(__xludf.DUMMYFUNCTION("""COMPUTED_VALUE"""),"I Accept")</f>
        <v>I Accept</v>
      </c>
      <c r="N573" s="4">
        <f ca="1">IFERROR(__xludf.DUMMYFUNCTION("""COMPUTED_VALUE"""),43220)</f>
        <v>43220</v>
      </c>
      <c r="O573" s="4">
        <f ca="1">IFERROR(__xludf.DUMMYFUNCTION("""COMPUTED_VALUE"""),43220)</f>
        <v>43220</v>
      </c>
      <c r="P573">
        <f ca="1">IFERROR(__xludf.DUMMYFUNCTION("""COMPUTED_VALUE"""),3)</f>
        <v>3</v>
      </c>
      <c r="Q573" t="str">
        <f ca="1">IFERROR(__xludf.DUMMYFUNCTION("""COMPUTED_VALUE"""),"jose.dilip@gmail.com")</f>
        <v>jose.dilip@gmail.com</v>
      </c>
      <c r="R573" s="2" t="s">
        <v>2987</v>
      </c>
    </row>
    <row r="574" spans="1:18" ht="13" x14ac:dyDescent="0.15">
      <c r="A574" s="3">
        <f ca="1">IFERROR(__xludf.DUMMYFUNCTION("""COMPUTED_VALUE"""),43231.6721322685)</f>
        <v>43231.672132268497</v>
      </c>
      <c r="B574" t="str">
        <f ca="1">IFERROR(__xludf.DUMMYFUNCTION("""COMPUTED_VALUE"""),"info@solartechind.com")</f>
        <v>info@solartechind.com</v>
      </c>
      <c r="C574">
        <f ca="1">IFERROR(__xludf.DUMMYFUNCTION("""COMPUTED_VALUE"""),107)</f>
        <v>107</v>
      </c>
      <c r="D574" t="str">
        <f ca="1">IFERROR(__xludf.DUMMYFUNCTION("""COMPUTED_VALUE"""),"Jerry Thomas")</f>
        <v>Jerry Thomas</v>
      </c>
      <c r="E574">
        <f ca="1">IFERROR(__xludf.DUMMYFUNCTION("""COMPUTED_VALUE"""),9387707733)</f>
        <v>9387707733</v>
      </c>
      <c r="F574" t="str">
        <f ca="1">IFERROR(__xludf.DUMMYFUNCTION("""COMPUTED_VALUE"""),"Thrissur")</f>
        <v>Thrissur</v>
      </c>
      <c r="G574" t="str">
        <f ca="1">IFERROR(__xludf.DUMMYFUNCTION("""COMPUTED_VALUE"""),"SOLARTECH")</f>
        <v>SOLARTECH</v>
      </c>
      <c r="H574">
        <f ca="1">IFERROR(__xludf.DUMMYFUNCTION("""COMPUTED_VALUE"""),4)</f>
        <v>4</v>
      </c>
      <c r="I574" s="4">
        <f ca="1">IFERROR(__xludf.DUMMYFUNCTION("""COMPUTED_VALUE"""),43139)</f>
        <v>43139</v>
      </c>
      <c r="J574">
        <f ca="1">IFERROR(__xludf.DUMMYFUNCTION("""COMPUTED_VALUE"""),3)</f>
        <v>3</v>
      </c>
      <c r="K574">
        <f ca="1">IFERROR(__xludf.DUMMYFUNCTION("""COMPUTED_VALUE"""),3140)</f>
        <v>3140</v>
      </c>
      <c r="L574" t="str">
        <f ca="1">IFERROR(__xludf.DUMMYFUNCTION("""COMPUTED_VALUE"""),"Thrissur Corporation")</f>
        <v>Thrissur Corporation</v>
      </c>
      <c r="M574" t="str">
        <f ca="1">IFERROR(__xludf.DUMMYFUNCTION("""COMPUTED_VALUE"""),"I Accept")</f>
        <v>I Accept</v>
      </c>
      <c r="N574" s="4">
        <f ca="1">IFERROR(__xludf.DUMMYFUNCTION("""COMPUTED_VALUE"""),43143)</f>
        <v>43143</v>
      </c>
      <c r="O574" s="4">
        <f ca="1">IFERROR(__xludf.DUMMYFUNCTION("""COMPUTED_VALUE"""),43143)</f>
        <v>43143</v>
      </c>
      <c r="P574">
        <f ca="1">IFERROR(__xludf.DUMMYFUNCTION("""COMPUTED_VALUE"""),3)</f>
        <v>3</v>
      </c>
      <c r="Q574" t="str">
        <f ca="1">IFERROR(__xludf.DUMMYFUNCTION("""COMPUTED_VALUE"""),"info@solartechind.com")</f>
        <v>info@solartechind.com</v>
      </c>
      <c r="R574" s="2" t="s">
        <v>2988</v>
      </c>
    </row>
    <row r="575" spans="1:18" ht="13" x14ac:dyDescent="0.15">
      <c r="A575" s="3">
        <f ca="1">IFERROR(__xludf.DUMMYFUNCTION("""COMPUTED_VALUE"""),43231.6721328703)</f>
        <v>43231.672132870299</v>
      </c>
      <c r="B575" t="str">
        <f ca="1">IFERROR(__xludf.DUMMYFUNCTION("""COMPUTED_VALUE"""),"nandana2000r@gmail.com")</f>
        <v>nandana2000r@gmail.com</v>
      </c>
      <c r="C575">
        <f ca="1">IFERROR(__xludf.DUMMYFUNCTION("""COMPUTED_VALUE"""),127)</f>
        <v>127</v>
      </c>
      <c r="D575" t="str">
        <f ca="1">IFERROR(__xludf.DUMMYFUNCTION("""COMPUTED_VALUE"""),"JAYAKRISHNAN KR")</f>
        <v>JAYAKRISHNAN KR</v>
      </c>
      <c r="E575">
        <f ca="1">IFERROR(__xludf.DUMMYFUNCTION("""COMPUTED_VALUE"""),9447565969)</f>
        <v>9447565969</v>
      </c>
      <c r="F575" t="str">
        <f ca="1">IFERROR(__xludf.DUMMYFUNCTION("""COMPUTED_VALUE"""),"Kottayam")</f>
        <v>Kottayam</v>
      </c>
      <c r="G575" t="str">
        <f ca="1">IFERROR(__xludf.DUMMYFUNCTION("""COMPUTED_VALUE"""),"TATA POWER SOLAR SYSTEMS LTD")</f>
        <v>TATA POWER SOLAR SYSTEMS LTD</v>
      </c>
      <c r="H575">
        <f ca="1">IFERROR(__xludf.DUMMYFUNCTION("""COMPUTED_VALUE"""),20)</f>
        <v>20</v>
      </c>
      <c r="I575" s="4">
        <f ca="1">IFERROR(__xludf.DUMMYFUNCTION("""COMPUTED_VALUE"""),43146)</f>
        <v>43146</v>
      </c>
      <c r="J575">
        <f ca="1">IFERROR(__xludf.DUMMYFUNCTION("""COMPUTED_VALUE"""),3)</f>
        <v>3</v>
      </c>
      <c r="K575">
        <f ca="1">IFERROR(__xludf.DUMMYFUNCTION("""COMPUTED_VALUE"""),1146453015484)</f>
        <v>1146453015484</v>
      </c>
      <c r="L575" t="str">
        <f ca="1">IFERROR(__xludf.DUMMYFUNCTION("""COMPUTED_VALUE"""),"THALAYAZHAM")</f>
        <v>THALAYAZHAM</v>
      </c>
      <c r="M575" t="str">
        <f ca="1">IFERROR(__xludf.DUMMYFUNCTION("""COMPUTED_VALUE"""),"I Accept")</f>
        <v>I Accept</v>
      </c>
      <c r="N575" s="4">
        <f ca="1">IFERROR(__xludf.DUMMYFUNCTION("""COMPUTED_VALUE"""),43231)</f>
        <v>43231</v>
      </c>
      <c r="O575" s="4">
        <f ca="1">IFERROR(__xludf.DUMMYFUNCTION("""COMPUTED_VALUE"""),43231)</f>
        <v>43231</v>
      </c>
      <c r="P575">
        <f ca="1">IFERROR(__xludf.DUMMYFUNCTION("""COMPUTED_VALUE"""),3)</f>
        <v>3</v>
      </c>
      <c r="Q575" t="str">
        <f ca="1">IFERROR(__xludf.DUMMYFUNCTION("""COMPUTED_VALUE"""),"nandana2000r@gmail.com")</f>
        <v>nandana2000r@gmail.com</v>
      </c>
      <c r="R575" s="2" t="s">
        <v>2989</v>
      </c>
    </row>
    <row r="576" spans="1:18" ht="13" x14ac:dyDescent="0.15">
      <c r="A576" s="3">
        <f ca="1">IFERROR(__xludf.DUMMYFUNCTION("""COMPUTED_VALUE"""),43231.6920404398)</f>
        <v>43231.692040439797</v>
      </c>
      <c r="B576" t="str">
        <f ca="1">IFERROR(__xludf.DUMMYFUNCTION("""COMPUTED_VALUE"""),"elsolpowersolutions@gmail.com")</f>
        <v>elsolpowersolutions@gmail.com</v>
      </c>
      <c r="C576">
        <f ca="1">IFERROR(__xludf.DUMMYFUNCTION("""COMPUTED_VALUE"""),147)</f>
        <v>147</v>
      </c>
      <c r="D576" t="str">
        <f ca="1">IFERROR(__xludf.DUMMYFUNCTION("""COMPUTED_VALUE"""),"RAJIT VARGHESE")</f>
        <v>RAJIT VARGHESE</v>
      </c>
      <c r="E576">
        <f ca="1">IFERROR(__xludf.DUMMYFUNCTION("""COMPUTED_VALUE"""),8078213924)</f>
        <v>8078213924</v>
      </c>
      <c r="F576" t="str">
        <f ca="1">IFERROR(__xludf.DUMMYFUNCTION("""COMPUTED_VALUE"""),"Pathanamthitta")</f>
        <v>Pathanamthitta</v>
      </c>
      <c r="G576" t="str">
        <f ca="1">IFERROR(__xludf.DUMMYFUNCTION("""COMPUTED_VALUE"""),"RENERGY SYSTEMS INDIA PVT LTD")</f>
        <v>RENERGY SYSTEMS INDIA PVT LTD</v>
      </c>
      <c r="H576">
        <f ca="1">IFERROR(__xludf.DUMMYFUNCTION("""COMPUTED_VALUE"""),38)</f>
        <v>38</v>
      </c>
      <c r="I576" s="4">
        <f ca="1">IFERROR(__xludf.DUMMYFUNCTION("""COMPUTED_VALUE"""),43222)</f>
        <v>43222</v>
      </c>
      <c r="J576">
        <f ca="1">IFERROR(__xludf.DUMMYFUNCTION("""COMPUTED_VALUE"""),5)</f>
        <v>5</v>
      </c>
      <c r="K576">
        <f ca="1">IFERROR(__xludf.DUMMYFUNCTION("""COMPUTED_VALUE"""),1155342018036)</f>
        <v>1155342018036</v>
      </c>
      <c r="L576" t="str">
        <f ca="1">IFERROR(__xludf.DUMMYFUNCTION("""COMPUTED_VALUE"""),"KALLISSERY")</f>
        <v>KALLISSERY</v>
      </c>
      <c r="M576" t="str">
        <f ca="1">IFERROR(__xludf.DUMMYFUNCTION("""COMPUTED_VALUE"""),"I Accept")</f>
        <v>I Accept</v>
      </c>
      <c r="N576" s="4">
        <f ca="1">IFERROR(__xludf.DUMMYFUNCTION("""COMPUTED_VALUE"""),43111)</f>
        <v>43111</v>
      </c>
      <c r="O576" s="4">
        <f ca="1">IFERROR(__xludf.DUMMYFUNCTION("""COMPUTED_VALUE"""),43111)</f>
        <v>43111</v>
      </c>
      <c r="P576">
        <f ca="1">IFERROR(__xludf.DUMMYFUNCTION("""COMPUTED_VALUE"""),5)</f>
        <v>5</v>
      </c>
      <c r="Q576" t="str">
        <f ca="1">IFERROR(__xludf.DUMMYFUNCTION("""COMPUTED_VALUE"""),"elsolpowersolutions@gmail.com")</f>
        <v>elsolpowersolutions@gmail.com</v>
      </c>
      <c r="R576" s="2" t="s">
        <v>2990</v>
      </c>
    </row>
    <row r="577" spans="1:18" ht="13" x14ac:dyDescent="0.15">
      <c r="A577" s="3">
        <f ca="1">IFERROR(__xludf.DUMMYFUNCTION("""COMPUTED_VALUE"""),43231.7356096296)</f>
        <v>43231.735609629599</v>
      </c>
      <c r="B577" t="str">
        <f ca="1">IFERROR(__xludf.DUMMYFUNCTION("""COMPUTED_VALUE"""),"connectdsk@gmail.com")</f>
        <v>connectdsk@gmail.com</v>
      </c>
      <c r="C577">
        <f ca="1">IFERROR(__xludf.DUMMYFUNCTION("""COMPUTED_VALUE"""),887)</f>
        <v>887</v>
      </c>
      <c r="D577" t="str">
        <f ca="1">IFERROR(__xludf.DUMMYFUNCTION("""COMPUTED_VALUE"""),"K P BHASI ")</f>
        <v xml:space="preserve">K P BHASI </v>
      </c>
      <c r="E577">
        <f ca="1">IFERROR(__xludf.DUMMYFUNCTION("""COMPUTED_VALUE"""),8547564126)</f>
        <v>8547564126</v>
      </c>
      <c r="F577" t="str">
        <f ca="1">IFERROR(__xludf.DUMMYFUNCTION("""COMPUTED_VALUE"""),"Kollam")</f>
        <v>Kollam</v>
      </c>
      <c r="G577" t="str">
        <f ca="1">IFERROR(__xludf.DUMMYFUNCTION("""COMPUTED_VALUE"""),"FERT")</f>
        <v>FERT</v>
      </c>
      <c r="H577">
        <f ca="1">IFERROR(__xludf.DUMMYFUNCTION("""COMPUTED_VALUE"""),27)</f>
        <v>27</v>
      </c>
      <c r="I577" s="4">
        <f ca="1">IFERROR(__xludf.DUMMYFUNCTION("""COMPUTED_VALUE"""),43228)</f>
        <v>43228</v>
      </c>
      <c r="J577">
        <f ca="1">IFERROR(__xludf.DUMMYFUNCTION("""COMPUTED_VALUE"""),5)</f>
        <v>5</v>
      </c>
      <c r="K577">
        <f ca="1">IFERROR(__xludf.DUMMYFUNCTION("""COMPUTED_VALUE"""),1145621002163)</f>
        <v>1145621002163</v>
      </c>
      <c r="L577" t="str">
        <f ca="1">IFERROR(__xludf.DUMMYFUNCTION("""COMPUTED_VALUE"""),"THANKASSERY")</f>
        <v>THANKASSERY</v>
      </c>
      <c r="M577" t="str">
        <f ca="1">IFERROR(__xludf.DUMMYFUNCTION("""COMPUTED_VALUE"""),"I Accept")</f>
        <v>I Accept</v>
      </c>
      <c r="N577" s="4">
        <f ca="1">IFERROR(__xludf.DUMMYFUNCTION("""COMPUTED_VALUE"""),43212)</f>
        <v>43212</v>
      </c>
      <c r="O577" s="4">
        <f ca="1">IFERROR(__xludf.DUMMYFUNCTION("""COMPUTED_VALUE"""),43212)</f>
        <v>43212</v>
      </c>
      <c r="P577">
        <f ca="1">IFERROR(__xludf.DUMMYFUNCTION("""COMPUTED_VALUE"""),5)</f>
        <v>5</v>
      </c>
      <c r="Q577" t="str">
        <f ca="1">IFERROR(__xludf.DUMMYFUNCTION("""COMPUTED_VALUE"""),"connectdsk@gmail.com")</f>
        <v>connectdsk@gmail.com</v>
      </c>
      <c r="R577" s="2" t="s">
        <v>2991</v>
      </c>
    </row>
    <row r="578" spans="1:18" ht="13" x14ac:dyDescent="0.15">
      <c r="A578" s="3">
        <f ca="1">IFERROR(__xludf.DUMMYFUNCTION("""COMPUTED_VALUE"""),43231.7392563425)</f>
        <v>43231.739256342502</v>
      </c>
      <c r="B578" t="str">
        <f ca="1">IFERROR(__xludf.DUMMYFUNCTION("""COMPUTED_VALUE"""),"connectdsk@gmail.com")</f>
        <v>connectdsk@gmail.com</v>
      </c>
      <c r="C578">
        <f ca="1">IFERROR(__xludf.DUMMYFUNCTION("""COMPUTED_VALUE"""),1071)</f>
        <v>1071</v>
      </c>
      <c r="D578" t="str">
        <f ca="1">IFERROR(__xludf.DUMMYFUNCTION("""COMPUTED_VALUE"""),"ABDURAHIMAN T M")</f>
        <v>ABDURAHIMAN T M</v>
      </c>
      <c r="E578">
        <f ca="1">IFERROR(__xludf.DUMMYFUNCTION("""COMPUTED_VALUE"""),8547564126)</f>
        <v>8547564126</v>
      </c>
      <c r="F578" t="str">
        <f ca="1">IFERROR(__xludf.DUMMYFUNCTION("""COMPUTED_VALUE"""),"Kozhikode")</f>
        <v>Kozhikode</v>
      </c>
      <c r="G578" t="str">
        <f ca="1">IFERROR(__xludf.DUMMYFUNCTION("""COMPUTED_VALUE"""),"FERT")</f>
        <v>FERT</v>
      </c>
      <c r="H578">
        <f ca="1">IFERROR(__xludf.DUMMYFUNCTION("""COMPUTED_VALUE"""),27)</f>
        <v>27</v>
      </c>
      <c r="I578" s="4">
        <f ca="1">IFERROR(__xludf.DUMMYFUNCTION("""COMPUTED_VALUE"""),43217)</f>
        <v>43217</v>
      </c>
      <c r="J578">
        <f ca="1">IFERROR(__xludf.DUMMYFUNCTION("""COMPUTED_VALUE"""),3)</f>
        <v>3</v>
      </c>
      <c r="K578">
        <f ca="1">IFERROR(__xludf.DUMMYFUNCTION("""COMPUTED_VALUE"""),1165988017794)</f>
        <v>1165988017794</v>
      </c>
      <c r="L578" t="str">
        <f ca="1">IFERROR(__xludf.DUMMYFUNCTION("""COMPUTED_VALUE"""),"KARAPARAMBA")</f>
        <v>KARAPARAMBA</v>
      </c>
      <c r="M578" t="str">
        <f ca="1">IFERROR(__xludf.DUMMYFUNCTION("""COMPUTED_VALUE"""),"I Accept")</f>
        <v>I Accept</v>
      </c>
      <c r="N578" s="4">
        <f ca="1">IFERROR(__xludf.DUMMYFUNCTION("""COMPUTED_VALUE"""),43217)</f>
        <v>43217</v>
      </c>
      <c r="O578" s="4">
        <f ca="1">IFERROR(__xludf.DUMMYFUNCTION("""COMPUTED_VALUE"""),43217)</f>
        <v>43217</v>
      </c>
      <c r="P578">
        <f ca="1">IFERROR(__xludf.DUMMYFUNCTION("""COMPUTED_VALUE"""),3)</f>
        <v>3</v>
      </c>
      <c r="Q578" t="str">
        <f ca="1">IFERROR(__xludf.DUMMYFUNCTION("""COMPUTED_VALUE"""),"connectdsk@gmail.com")</f>
        <v>connectdsk@gmail.com</v>
      </c>
      <c r="R578" s="2" t="s">
        <v>2992</v>
      </c>
    </row>
    <row r="579" spans="1:18" ht="13" x14ac:dyDescent="0.15">
      <c r="A579" s="3">
        <f ca="1">IFERROR(__xludf.DUMMYFUNCTION("""COMPUTED_VALUE"""),43232.4765980092)</f>
        <v>43232.476598009198</v>
      </c>
      <c r="B579" t="str">
        <f ca="1">IFERROR(__xludf.DUMMYFUNCTION("""COMPUTED_VALUE"""),"solarconnect2018@gmail.com")</f>
        <v>solarconnect2018@gmail.com</v>
      </c>
      <c r="C579">
        <f ca="1">IFERROR(__xludf.DUMMYFUNCTION("""COMPUTED_VALUE"""),888)</f>
        <v>888</v>
      </c>
      <c r="D579" t="str">
        <f ca="1">IFERROR(__xludf.DUMMYFUNCTION("""COMPUTED_VALUE"""),"RAFEEK PARAMBATH")</f>
        <v>RAFEEK PARAMBATH</v>
      </c>
      <c r="E579">
        <f ca="1">IFERROR(__xludf.DUMMYFUNCTION("""COMPUTED_VALUE"""),8943969696)</f>
        <v>8943969696</v>
      </c>
      <c r="F579" t="str">
        <f ca="1">IFERROR(__xludf.DUMMYFUNCTION("""COMPUTED_VALUE"""),"Kozhikode")</f>
        <v>Kozhikode</v>
      </c>
      <c r="G579" t="str">
        <f ca="1">IFERROR(__xludf.DUMMYFUNCTION("""COMPUTED_VALUE"""),"SPECTRUM TECHNO PRODUCTS")</f>
        <v>SPECTRUM TECHNO PRODUCTS</v>
      </c>
      <c r="H579">
        <f ca="1">IFERROR(__xludf.DUMMYFUNCTION("""COMPUTED_VALUE"""),66)</f>
        <v>66</v>
      </c>
      <c r="I579" s="4">
        <f ca="1">IFERROR(__xludf.DUMMYFUNCTION("""COMPUTED_VALUE"""),43229)</f>
        <v>43229</v>
      </c>
      <c r="J579">
        <f ca="1">IFERROR(__xludf.DUMMYFUNCTION("""COMPUTED_VALUE"""),10)</f>
        <v>10</v>
      </c>
      <c r="K579">
        <f ca="1">IFERROR(__xludf.DUMMYFUNCTION("""COMPUTED_VALUE"""),1166205034368)</f>
        <v>1166205034368</v>
      </c>
      <c r="L579" t="str">
        <f ca="1">IFERROR(__xludf.DUMMYFUNCTION("""COMPUTED_VALUE"""),"MELADY")</f>
        <v>MELADY</v>
      </c>
      <c r="M579" t="str">
        <f ca="1">IFERROR(__xludf.DUMMYFUNCTION("""COMPUTED_VALUE"""),"I Accept")</f>
        <v>I Accept</v>
      </c>
      <c r="N579" s="4">
        <f ca="1">IFERROR(__xludf.DUMMYFUNCTION("""COMPUTED_VALUE"""),43209)</f>
        <v>43209</v>
      </c>
      <c r="O579" s="4">
        <f ca="1">IFERROR(__xludf.DUMMYFUNCTION("""COMPUTED_VALUE"""),43209)</f>
        <v>43209</v>
      </c>
      <c r="P579">
        <f ca="1">IFERROR(__xludf.DUMMYFUNCTION("""COMPUTED_VALUE"""),10)</f>
        <v>10</v>
      </c>
      <c r="Q579" t="str">
        <f ca="1">IFERROR(__xludf.DUMMYFUNCTION("""COMPUTED_VALUE"""),"solarconnect2018@gmail.com")</f>
        <v>solarconnect2018@gmail.com</v>
      </c>
      <c r="R579" s="2" t="s">
        <v>2993</v>
      </c>
    </row>
    <row r="580" spans="1:18" ht="13" x14ac:dyDescent="0.15">
      <c r="A580" s="3">
        <f ca="1">IFERROR(__xludf.DUMMYFUNCTION("""COMPUTED_VALUE"""),43232.5189815972)</f>
        <v>43232.518981597197</v>
      </c>
      <c r="B580" t="str">
        <f ca="1">IFERROR(__xludf.DUMMYFUNCTION("""COMPUTED_VALUE"""),"info.indexinformatics@gmail.com")</f>
        <v>info.indexinformatics@gmail.com</v>
      </c>
      <c r="C580">
        <f ca="1">IFERROR(__xludf.DUMMYFUNCTION("""COMPUTED_VALUE"""),382)</f>
        <v>382</v>
      </c>
      <c r="D580" t="str">
        <f ca="1">IFERROR(__xludf.DUMMYFUNCTION("""COMPUTED_VALUE"""),"BIJU JOSEPH")</f>
        <v>BIJU JOSEPH</v>
      </c>
      <c r="E580">
        <f ca="1">IFERROR(__xludf.DUMMYFUNCTION("""COMPUTED_VALUE"""),9349299199)</f>
        <v>9349299199</v>
      </c>
      <c r="F580" t="str">
        <f ca="1">IFERROR(__xludf.DUMMYFUNCTION("""COMPUTED_VALUE"""),"Ernakulam")</f>
        <v>Ernakulam</v>
      </c>
      <c r="G580" t="str">
        <f ca="1">IFERROR(__xludf.DUMMYFUNCTION("""COMPUTED_VALUE"""),"INDEX INFORMATICS SYSTEMS PVT LTD")</f>
        <v>INDEX INFORMATICS SYSTEMS PVT LTD</v>
      </c>
      <c r="H580">
        <f ca="1">IFERROR(__xludf.DUMMYFUNCTION("""COMPUTED_VALUE"""),12)</f>
        <v>12</v>
      </c>
      <c r="I580" s="4">
        <f ca="1">IFERROR(__xludf.DUMMYFUNCTION("""COMPUTED_VALUE"""),43225)</f>
        <v>43225</v>
      </c>
      <c r="J580">
        <f ca="1">IFERROR(__xludf.DUMMYFUNCTION("""COMPUTED_VALUE"""),5)</f>
        <v>5</v>
      </c>
      <c r="K580">
        <f ca="1">IFERROR(__xludf.DUMMYFUNCTION("""COMPUTED_VALUE"""),1155864019852)</f>
        <v>1155864019852</v>
      </c>
      <c r="L580" t="str">
        <f ca="1">IFERROR(__xludf.DUMMYFUNCTION("""COMPUTED_VALUE"""),"KIZHAKKAMBALAM")</f>
        <v>KIZHAKKAMBALAM</v>
      </c>
      <c r="M580" t="str">
        <f ca="1">IFERROR(__xludf.DUMMYFUNCTION("""COMPUTED_VALUE"""),"I Accept")</f>
        <v>I Accept</v>
      </c>
      <c r="N580" s="4">
        <f ca="1">IFERROR(__xludf.DUMMYFUNCTION("""COMPUTED_VALUE"""),43232)</f>
        <v>43232</v>
      </c>
      <c r="O580" s="4">
        <f ca="1">IFERROR(__xludf.DUMMYFUNCTION("""COMPUTED_VALUE"""),43232)</f>
        <v>43232</v>
      </c>
      <c r="P580">
        <f ca="1">IFERROR(__xludf.DUMMYFUNCTION("""COMPUTED_VALUE"""),5)</f>
        <v>5</v>
      </c>
      <c r="Q580" t="str">
        <f ca="1">IFERROR(__xludf.DUMMYFUNCTION("""COMPUTED_VALUE"""),"info.mariaelectronics@gmail.com")</f>
        <v>info.mariaelectronics@gmail.com</v>
      </c>
      <c r="R580" s="2" t="s">
        <v>2994</v>
      </c>
    </row>
    <row r="581" spans="1:18" ht="13" x14ac:dyDescent="0.15">
      <c r="A581" s="3">
        <f ca="1">IFERROR(__xludf.DUMMYFUNCTION("""COMPUTED_VALUE"""),43232.523530162)</f>
        <v>43232.523530161998</v>
      </c>
      <c r="B581" t="str">
        <f ca="1">IFERROR(__xludf.DUMMYFUNCTION("""COMPUTED_VALUE"""),"solarconnect2018@gmail.com")</f>
        <v>solarconnect2018@gmail.com</v>
      </c>
      <c r="C581">
        <f ca="1">IFERROR(__xludf.DUMMYFUNCTION("""COMPUTED_VALUE"""),808)</f>
        <v>808</v>
      </c>
      <c r="D581" t="str">
        <f ca="1">IFERROR(__xludf.DUMMYFUNCTION("""COMPUTED_VALUE"""),"MUHAMMED  YASSIN")</f>
        <v>MUHAMMED  YASSIN</v>
      </c>
      <c r="E581">
        <f ca="1">IFERROR(__xludf.DUMMYFUNCTION("""COMPUTED_VALUE"""),9847184847)</f>
        <v>9847184847</v>
      </c>
      <c r="F581" t="str">
        <f ca="1">IFERROR(__xludf.DUMMYFUNCTION("""COMPUTED_VALUE"""),"Kannur")</f>
        <v>Kannur</v>
      </c>
      <c r="G581" t="str">
        <f ca="1">IFERROR(__xludf.DUMMYFUNCTION("""COMPUTED_VALUE"""),"SPECTRUM TECHNO PRODUCTS")</f>
        <v>SPECTRUM TECHNO PRODUCTS</v>
      </c>
      <c r="H581">
        <f ca="1">IFERROR(__xludf.DUMMYFUNCTION("""COMPUTED_VALUE"""),66)</f>
        <v>66</v>
      </c>
      <c r="I581" s="4">
        <f ca="1">IFERROR(__xludf.DUMMYFUNCTION("""COMPUTED_VALUE"""),43201)</f>
        <v>43201</v>
      </c>
      <c r="J581">
        <f ca="1">IFERROR(__xludf.DUMMYFUNCTION("""COMPUTED_VALUE"""),2)</f>
        <v>2</v>
      </c>
      <c r="K581">
        <f ca="1">IFERROR(__xludf.DUMMYFUNCTION("""COMPUTED_VALUE"""),1166695009753)</f>
        <v>1166695009753</v>
      </c>
      <c r="L581" t="str">
        <f ca="1">IFERROR(__xludf.DUMMYFUNCTION("""COMPUTED_VALUE"""),"THALASSERY NORTH")</f>
        <v>THALASSERY NORTH</v>
      </c>
      <c r="M581" t="str">
        <f ca="1">IFERROR(__xludf.DUMMYFUNCTION("""COMPUTED_VALUE"""),"I Accept")</f>
        <v>I Accept</v>
      </c>
      <c r="N581" s="4">
        <f ca="1">IFERROR(__xludf.DUMMYFUNCTION("""COMPUTED_VALUE"""),43201)</f>
        <v>43201</v>
      </c>
      <c r="O581" s="4">
        <f ca="1">IFERROR(__xludf.DUMMYFUNCTION("""COMPUTED_VALUE"""),43201)</f>
        <v>43201</v>
      </c>
      <c r="P581">
        <f ca="1">IFERROR(__xludf.DUMMYFUNCTION("""COMPUTED_VALUE"""),2)</f>
        <v>2</v>
      </c>
      <c r="Q581" t="str">
        <f ca="1">IFERROR(__xludf.DUMMYFUNCTION("""COMPUTED_VALUE"""),"solarconnect2018@gmail.com")</f>
        <v>solarconnect2018@gmail.com</v>
      </c>
      <c r="R581" s="2" t="s">
        <v>2995</v>
      </c>
    </row>
    <row r="582" spans="1:18" ht="13" x14ac:dyDescent="0.15">
      <c r="A582" s="3">
        <f ca="1">IFERROR(__xludf.DUMMYFUNCTION("""COMPUTED_VALUE"""),43232.5256609837)</f>
        <v>43232.525660983702</v>
      </c>
      <c r="B582" t="str">
        <f ca="1">IFERROR(__xludf.DUMMYFUNCTION("""COMPUTED_VALUE"""),"frthomasmpaul@yahoo.co.in")</f>
        <v>frthomasmpaul@yahoo.co.in</v>
      </c>
      <c r="C582">
        <f ca="1">IFERROR(__xludf.DUMMYFUNCTION("""COMPUTED_VALUE"""),938)</f>
        <v>938</v>
      </c>
      <c r="D582" t="str">
        <f ca="1">IFERROR(__xludf.DUMMYFUNCTION("""COMPUTED_VALUE"""),"THOMAS M PAUL")</f>
        <v>THOMAS M PAUL</v>
      </c>
      <c r="E582">
        <f ca="1">IFERROR(__xludf.DUMMYFUNCTION("""COMPUTED_VALUE"""),9446445493)</f>
        <v>9446445493</v>
      </c>
      <c r="F582" t="str">
        <f ca="1">IFERROR(__xludf.DUMMYFUNCTION("""COMPUTED_VALUE"""),"Ernakulam")</f>
        <v>Ernakulam</v>
      </c>
      <c r="G582" t="str">
        <f ca="1">IFERROR(__xludf.DUMMYFUNCTION("""COMPUTED_VALUE"""),"INDEX INFORMATICS SYSTEMS PVT LTD")</f>
        <v>INDEX INFORMATICS SYSTEMS PVT LTD</v>
      </c>
      <c r="H582">
        <f ca="1">IFERROR(__xludf.DUMMYFUNCTION("""COMPUTED_VALUE"""),12)</f>
        <v>12</v>
      </c>
      <c r="I582" s="4">
        <f ca="1">IFERROR(__xludf.DUMMYFUNCTION("""COMPUTED_VALUE"""),43225)</f>
        <v>43225</v>
      </c>
      <c r="J582">
        <f ca="1">IFERROR(__xludf.DUMMYFUNCTION("""COMPUTED_VALUE"""),2)</f>
        <v>2</v>
      </c>
      <c r="K582">
        <f ca="1">IFERROR(__xludf.DUMMYFUNCTION("""COMPUTED_VALUE"""),1155866005912)</f>
        <v>1155866005912</v>
      </c>
      <c r="L582" t="str">
        <f ca="1">IFERROR(__xludf.DUMMYFUNCTION("""COMPUTED_VALUE"""),"KIZHAKKAMBALAM")</f>
        <v>KIZHAKKAMBALAM</v>
      </c>
      <c r="M582" t="str">
        <f ca="1">IFERROR(__xludf.DUMMYFUNCTION("""COMPUTED_VALUE"""),"I Accept")</f>
        <v>I Accept</v>
      </c>
      <c r="N582" s="4">
        <f ca="1">IFERROR(__xludf.DUMMYFUNCTION("""COMPUTED_VALUE"""),43231)</f>
        <v>43231</v>
      </c>
      <c r="O582" s="4">
        <f ca="1">IFERROR(__xludf.DUMMYFUNCTION("""COMPUTED_VALUE"""),43231)</f>
        <v>43231</v>
      </c>
      <c r="P582">
        <f ca="1">IFERROR(__xludf.DUMMYFUNCTION("""COMPUTED_VALUE"""),2)</f>
        <v>2</v>
      </c>
      <c r="Q582" t="str">
        <f ca="1">IFERROR(__xludf.DUMMYFUNCTION("""COMPUTED_VALUE"""),"info.indexinformatics@gmail.com")</f>
        <v>info.indexinformatics@gmail.com</v>
      </c>
      <c r="R582" s="2" t="s">
        <v>2996</v>
      </c>
    </row>
    <row r="583" spans="1:18" ht="13" x14ac:dyDescent="0.15">
      <c r="A583" s="3">
        <f ca="1">IFERROR(__xludf.DUMMYFUNCTION("""COMPUTED_VALUE"""),43232.5340899652)</f>
        <v>43232.5340899652</v>
      </c>
      <c r="B583" t="str">
        <f ca="1">IFERROR(__xludf.DUMMYFUNCTION("""COMPUTED_VALUE"""),"laiju3475@gmail.com")</f>
        <v>laiju3475@gmail.com</v>
      </c>
      <c r="C583">
        <f ca="1">IFERROR(__xludf.DUMMYFUNCTION("""COMPUTED_VALUE"""),618)</f>
        <v>618</v>
      </c>
      <c r="D583" t="str">
        <f ca="1">IFERROR(__xludf.DUMMYFUNCTION("""COMPUTED_VALUE"""),"LAIJU K R")</f>
        <v>LAIJU K R</v>
      </c>
      <c r="E583">
        <f ca="1">IFERROR(__xludf.DUMMYFUNCTION("""COMPUTED_VALUE"""),9447290465)</f>
        <v>9447290465</v>
      </c>
      <c r="F583" t="str">
        <f ca="1">IFERROR(__xludf.DUMMYFUNCTION("""COMPUTED_VALUE"""),"Ernakulam")</f>
        <v>Ernakulam</v>
      </c>
      <c r="G583" t="str">
        <f ca="1">IFERROR(__xludf.DUMMYFUNCTION("""COMPUTED_VALUE"""),"INDEX INFORMATICS SYSTEMS PVT LTD")</f>
        <v>INDEX INFORMATICS SYSTEMS PVT LTD</v>
      </c>
      <c r="H583">
        <f ca="1">IFERROR(__xludf.DUMMYFUNCTION("""COMPUTED_VALUE"""),12)</f>
        <v>12</v>
      </c>
      <c r="I583" s="4">
        <f ca="1">IFERROR(__xludf.DUMMYFUNCTION("""COMPUTED_VALUE"""),43184)</f>
        <v>43184</v>
      </c>
      <c r="J583">
        <f ca="1">IFERROR(__xludf.DUMMYFUNCTION("""COMPUTED_VALUE"""),2)</f>
        <v>2</v>
      </c>
      <c r="K583">
        <f ca="1">IFERROR(__xludf.DUMMYFUNCTION("""COMPUTED_VALUE"""),1155514018741)</f>
        <v>1155514018741</v>
      </c>
      <c r="L583" t="str">
        <f ca="1">IFERROR(__xludf.DUMMYFUNCTION("""COMPUTED_VALUE"""),"CHOTTANIKKARA")</f>
        <v>CHOTTANIKKARA</v>
      </c>
      <c r="M583" t="str">
        <f ca="1">IFERROR(__xludf.DUMMYFUNCTION("""COMPUTED_VALUE"""),"I Accept")</f>
        <v>I Accept</v>
      </c>
      <c r="N583" s="4">
        <f ca="1">IFERROR(__xludf.DUMMYFUNCTION("""COMPUTED_VALUE"""),43201)</f>
        <v>43201</v>
      </c>
      <c r="O583" s="4">
        <f ca="1">IFERROR(__xludf.DUMMYFUNCTION("""COMPUTED_VALUE"""),43201)</f>
        <v>43201</v>
      </c>
      <c r="P583">
        <f ca="1">IFERROR(__xludf.DUMMYFUNCTION("""COMPUTED_VALUE"""),2)</f>
        <v>2</v>
      </c>
      <c r="Q583" t="str">
        <f ca="1">IFERROR(__xludf.DUMMYFUNCTION("""COMPUTED_VALUE"""),"info.indexinformatics@gmail.com")</f>
        <v>info.indexinformatics@gmail.com</v>
      </c>
      <c r="R583" s="2" t="s">
        <v>2997</v>
      </c>
    </row>
    <row r="584" spans="1:18" ht="13" x14ac:dyDescent="0.15">
      <c r="A584" s="3">
        <f ca="1">IFERROR(__xludf.DUMMYFUNCTION("""COMPUTED_VALUE"""),43232.5433466782)</f>
        <v>43232.543346678198</v>
      </c>
      <c r="B584" t="str">
        <f ca="1">IFERROR(__xludf.DUMMYFUNCTION("""COMPUTED_VALUE"""),"sikhamoni@hotmail.com")</f>
        <v>sikhamoni@hotmail.com</v>
      </c>
      <c r="C584">
        <f ca="1">IFERROR(__xludf.DUMMYFUNCTION("""COMPUTED_VALUE"""),1040)</f>
        <v>1040</v>
      </c>
      <c r="D584" t="str">
        <f ca="1">IFERROR(__xludf.DUMMYFUNCTION("""COMPUTED_VALUE"""),"SIKHAMONI GOPALAN")</f>
        <v>SIKHAMONI GOPALAN</v>
      </c>
      <c r="E584">
        <f ca="1">IFERROR(__xludf.DUMMYFUNCTION("""COMPUTED_VALUE"""),9895722216)</f>
        <v>9895722216</v>
      </c>
      <c r="F584" t="str">
        <f ca="1">IFERROR(__xludf.DUMMYFUNCTION("""COMPUTED_VALUE"""),"Ernakulam")</f>
        <v>Ernakulam</v>
      </c>
      <c r="G584" t="str">
        <f ca="1">IFERROR(__xludf.DUMMYFUNCTION("""COMPUTED_VALUE"""),"INDEX INFORMATICS SYSTEMS PVT LTD")</f>
        <v>INDEX INFORMATICS SYSTEMS PVT LTD</v>
      </c>
      <c r="H584">
        <f ca="1">IFERROR(__xludf.DUMMYFUNCTION("""COMPUTED_VALUE"""),12)</f>
        <v>12</v>
      </c>
      <c r="I584" s="4">
        <f ca="1">IFERROR(__xludf.DUMMYFUNCTION("""COMPUTED_VALUE"""),43225)</f>
        <v>43225</v>
      </c>
      <c r="J584">
        <f ca="1">IFERROR(__xludf.DUMMYFUNCTION("""COMPUTED_VALUE"""),3)</f>
        <v>3</v>
      </c>
      <c r="K584">
        <f ca="1">IFERROR(__xludf.DUMMYFUNCTION("""COMPUTED_VALUE"""),1157326008279)</f>
        <v>1157326008279</v>
      </c>
      <c r="L584" t="str">
        <f ca="1">IFERROR(__xludf.DUMMYFUNCTION("""COMPUTED_VALUE"""),"VENNALA")</f>
        <v>VENNALA</v>
      </c>
      <c r="M584" t="str">
        <f ca="1">IFERROR(__xludf.DUMMYFUNCTION("""COMPUTED_VALUE"""),"I Accept")</f>
        <v>I Accept</v>
      </c>
      <c r="N584" s="4">
        <f ca="1">IFERROR(__xludf.DUMMYFUNCTION("""COMPUTED_VALUE"""),43217)</f>
        <v>43217</v>
      </c>
      <c r="O584" s="4">
        <f ca="1">IFERROR(__xludf.DUMMYFUNCTION("""COMPUTED_VALUE"""),43217)</f>
        <v>43217</v>
      </c>
      <c r="P584">
        <f ca="1">IFERROR(__xludf.DUMMYFUNCTION("""COMPUTED_VALUE"""),3)</f>
        <v>3</v>
      </c>
      <c r="Q584" t="str">
        <f ca="1">IFERROR(__xludf.DUMMYFUNCTION("""COMPUTED_VALUE"""),"info.indexinformatics@gmail.com")</f>
        <v>info.indexinformatics@gmail.com</v>
      </c>
      <c r="R584" s="2" t="s">
        <v>2998</v>
      </c>
    </row>
    <row r="585" spans="1:18" ht="13" x14ac:dyDescent="0.15">
      <c r="A585" s="3">
        <f ca="1">IFERROR(__xludf.DUMMYFUNCTION("""COMPUTED_VALUE"""),43232.5456803472)</f>
        <v>43232.545680347197</v>
      </c>
      <c r="B585" t="str">
        <f ca="1">IFERROR(__xludf.DUMMYFUNCTION("""COMPUTED_VALUE"""),"solarconnect2018@gmail.com")</f>
        <v>solarconnect2018@gmail.com</v>
      </c>
      <c r="C585">
        <f ca="1">IFERROR(__xludf.DUMMYFUNCTION("""COMPUTED_VALUE"""),898)</f>
        <v>898</v>
      </c>
      <c r="D585" t="str">
        <f ca="1">IFERROR(__xludf.DUMMYFUNCTION("""COMPUTED_VALUE"""),"AMEENA MOHAMED ASHRAF")</f>
        <v>AMEENA MOHAMED ASHRAF</v>
      </c>
      <c r="E585">
        <f ca="1">IFERROR(__xludf.DUMMYFUNCTION("""COMPUTED_VALUE"""),971506716716869)</f>
        <v>971506716716869</v>
      </c>
      <c r="F585" t="str">
        <f ca="1">IFERROR(__xludf.DUMMYFUNCTION("""COMPUTED_VALUE"""),"Kannur")</f>
        <v>Kannur</v>
      </c>
      <c r="G585" t="str">
        <f ca="1">IFERROR(__xludf.DUMMYFUNCTION("""COMPUTED_VALUE"""),"SPECTRUM TECHNO PRODUCTS")</f>
        <v>SPECTRUM TECHNO PRODUCTS</v>
      </c>
      <c r="H585">
        <f ca="1">IFERROR(__xludf.DUMMYFUNCTION("""COMPUTED_VALUE"""),66)</f>
        <v>66</v>
      </c>
      <c r="I585" s="4">
        <f ca="1">IFERROR(__xludf.DUMMYFUNCTION("""COMPUTED_VALUE"""),43230)</f>
        <v>43230</v>
      </c>
      <c r="J585">
        <f ca="1">IFERROR(__xludf.DUMMYFUNCTION("""COMPUTED_VALUE"""),15)</f>
        <v>15</v>
      </c>
      <c r="K585">
        <f ca="1">IFERROR(__xludf.DUMMYFUNCTION("""COMPUTED_VALUE"""),1166437014728)</f>
        <v>1166437014728</v>
      </c>
      <c r="L585" t="str">
        <f ca="1">IFERROR(__xludf.DUMMYFUNCTION("""COMPUTED_VALUE"""),"MADAYI")</f>
        <v>MADAYI</v>
      </c>
      <c r="M585" t="str">
        <f ca="1">IFERROR(__xludf.DUMMYFUNCTION("""COMPUTED_VALUE"""),"I Accept")</f>
        <v>I Accept</v>
      </c>
      <c r="N585" s="4">
        <f ca="1">IFERROR(__xludf.DUMMYFUNCTION("""COMPUTED_VALUE"""),43214)</f>
        <v>43214</v>
      </c>
      <c r="O585" s="4">
        <f ca="1">IFERROR(__xludf.DUMMYFUNCTION("""COMPUTED_VALUE"""),43214)</f>
        <v>43214</v>
      </c>
      <c r="P585">
        <f ca="1">IFERROR(__xludf.DUMMYFUNCTION("""COMPUTED_VALUE"""),15)</f>
        <v>15</v>
      </c>
      <c r="Q585" t="str">
        <f ca="1">IFERROR(__xludf.DUMMYFUNCTION("""COMPUTED_VALUE"""),"solarconnect2018@gmail.com")</f>
        <v>solarconnect2018@gmail.com</v>
      </c>
      <c r="R585" s="2" t="s">
        <v>2999</v>
      </c>
    </row>
    <row r="586" spans="1:18" ht="13" x14ac:dyDescent="0.15">
      <c r="A586" s="3">
        <f ca="1">IFERROR(__xludf.DUMMYFUNCTION("""COMPUTED_VALUE"""),43232.5462524189)</f>
        <v>43232.546252418899</v>
      </c>
      <c r="B586" t="str">
        <f ca="1">IFERROR(__xludf.DUMMYFUNCTION("""COMPUTED_VALUE"""),"sikhamoni@hotmail.com")</f>
        <v>sikhamoni@hotmail.com</v>
      </c>
      <c r="C586">
        <f ca="1">IFERROR(__xludf.DUMMYFUNCTION("""COMPUTED_VALUE"""),1041)</f>
        <v>1041</v>
      </c>
      <c r="D586" t="str">
        <f ca="1">IFERROR(__xludf.DUMMYFUNCTION("""COMPUTED_VALUE"""),"SIKHAMONI GOPALAN")</f>
        <v>SIKHAMONI GOPALAN</v>
      </c>
      <c r="E586">
        <f ca="1">IFERROR(__xludf.DUMMYFUNCTION("""COMPUTED_VALUE"""),9895722216)</f>
        <v>9895722216</v>
      </c>
      <c r="F586" t="str">
        <f ca="1">IFERROR(__xludf.DUMMYFUNCTION("""COMPUTED_VALUE"""),"Ernakulam")</f>
        <v>Ernakulam</v>
      </c>
      <c r="G586" t="str">
        <f ca="1">IFERROR(__xludf.DUMMYFUNCTION("""COMPUTED_VALUE"""),"INDEX INFORMATICS SYSTEMS PVT LTD")</f>
        <v>INDEX INFORMATICS SYSTEMS PVT LTD</v>
      </c>
      <c r="H586">
        <f ca="1">IFERROR(__xludf.DUMMYFUNCTION("""COMPUTED_VALUE"""),12)</f>
        <v>12</v>
      </c>
      <c r="I586" s="4">
        <f ca="1">IFERROR(__xludf.DUMMYFUNCTION("""COMPUTED_VALUE"""),43225)</f>
        <v>43225</v>
      </c>
      <c r="J586">
        <f ca="1">IFERROR(__xludf.DUMMYFUNCTION("""COMPUTED_VALUE"""),3)</f>
        <v>3</v>
      </c>
      <c r="K586">
        <f ca="1">IFERROR(__xludf.DUMMYFUNCTION("""COMPUTED_VALUE"""),1157326008280)</f>
        <v>1157326008280</v>
      </c>
      <c r="L586" t="str">
        <f ca="1">IFERROR(__xludf.DUMMYFUNCTION("""COMPUTED_VALUE"""),"VENNALA")</f>
        <v>VENNALA</v>
      </c>
      <c r="M586" t="str">
        <f ca="1">IFERROR(__xludf.DUMMYFUNCTION("""COMPUTED_VALUE"""),"I Accept")</f>
        <v>I Accept</v>
      </c>
      <c r="N586" s="4">
        <f ca="1">IFERROR(__xludf.DUMMYFUNCTION("""COMPUTED_VALUE"""),43215)</f>
        <v>43215</v>
      </c>
      <c r="O586" s="4">
        <f ca="1">IFERROR(__xludf.DUMMYFUNCTION("""COMPUTED_VALUE"""),43215)</f>
        <v>43215</v>
      </c>
      <c r="P586">
        <f ca="1">IFERROR(__xludf.DUMMYFUNCTION("""COMPUTED_VALUE"""),3)</f>
        <v>3</v>
      </c>
      <c r="Q586" t="str">
        <f ca="1">IFERROR(__xludf.DUMMYFUNCTION("""COMPUTED_VALUE"""),"info.indexinformatics@gmail.com")</f>
        <v>info.indexinformatics@gmail.com</v>
      </c>
      <c r="R586" s="2" t="s">
        <v>3000</v>
      </c>
    </row>
    <row r="587" spans="1:18" ht="13" x14ac:dyDescent="0.15">
      <c r="A587" s="3">
        <f ca="1">IFERROR(__xludf.DUMMYFUNCTION("""COMPUTED_VALUE"""),43232.5522146296)</f>
        <v>43232.552214629599</v>
      </c>
      <c r="B587" s="22" t="str">
        <f ca="1">IFERROR(__xludf.DUMMYFUNCTION("""COMPUTED_VALUE"""),"solarconnect20182gmail.com")</f>
        <v>solarconnect20182gmail.com</v>
      </c>
      <c r="C587">
        <f ca="1">IFERROR(__xludf.DUMMYFUNCTION("""COMPUTED_VALUE"""),992)</f>
        <v>992</v>
      </c>
      <c r="D587" t="str">
        <f ca="1">IFERROR(__xludf.DUMMYFUNCTION("""COMPUTED_VALUE"""),"K K MUNEER")</f>
        <v>K K MUNEER</v>
      </c>
      <c r="E587">
        <f ca="1">IFERROR(__xludf.DUMMYFUNCTION("""COMPUTED_VALUE"""),9895906096)</f>
        <v>9895906096</v>
      </c>
      <c r="F587" t="str">
        <f ca="1">IFERROR(__xludf.DUMMYFUNCTION("""COMPUTED_VALUE"""),"Kannur")</f>
        <v>Kannur</v>
      </c>
      <c r="G587" t="str">
        <f ca="1">IFERROR(__xludf.DUMMYFUNCTION("""COMPUTED_VALUE"""),"SPECTRUM TECHNO PRODUCTS")</f>
        <v>SPECTRUM TECHNO PRODUCTS</v>
      </c>
      <c r="H587">
        <f ca="1">IFERROR(__xludf.DUMMYFUNCTION("""COMPUTED_VALUE"""),66)</f>
        <v>66</v>
      </c>
      <c r="I587" s="4">
        <f ca="1">IFERROR(__xludf.DUMMYFUNCTION("""COMPUTED_VALUE"""),43230)</f>
        <v>43230</v>
      </c>
      <c r="J587">
        <f ca="1">IFERROR(__xludf.DUMMYFUNCTION("""COMPUTED_VALUE"""),2)</f>
        <v>2</v>
      </c>
      <c r="K587">
        <f ca="1">IFERROR(__xludf.DUMMYFUNCTION("""COMPUTED_VALUE"""),1166543019602)</f>
        <v>1166543019602</v>
      </c>
      <c r="L587" t="str">
        <f ca="1">IFERROR(__xludf.DUMMYFUNCTION("""COMPUTED_VALUE"""),"KANNUR")</f>
        <v>KANNUR</v>
      </c>
      <c r="M587" t="str">
        <f ca="1">IFERROR(__xludf.DUMMYFUNCTION("""COMPUTED_VALUE"""),"I Accept")</f>
        <v>I Accept</v>
      </c>
      <c r="N587" s="4">
        <f ca="1">IFERROR(__xludf.DUMMYFUNCTION("""COMPUTED_VALUE"""),43214)</f>
        <v>43214</v>
      </c>
      <c r="O587" s="4">
        <f ca="1">IFERROR(__xludf.DUMMYFUNCTION("""COMPUTED_VALUE"""),43214)</f>
        <v>43214</v>
      </c>
      <c r="P587">
        <f ca="1">IFERROR(__xludf.DUMMYFUNCTION("""COMPUTED_VALUE"""),2)</f>
        <v>2</v>
      </c>
      <c r="Q587" t="str">
        <f ca="1">IFERROR(__xludf.DUMMYFUNCTION("""COMPUTED_VALUE"""),"solarconnect2018@gmail.com")</f>
        <v>solarconnect2018@gmail.com</v>
      </c>
      <c r="R587" s="2" t="s">
        <v>3001</v>
      </c>
    </row>
    <row r="588" spans="1:18" ht="13" x14ac:dyDescent="0.15">
      <c r="A588" s="3">
        <f ca="1">IFERROR(__xludf.DUMMYFUNCTION("""COMPUTED_VALUE"""),43232.6117434722)</f>
        <v>43232.611743472196</v>
      </c>
      <c r="B588" t="str">
        <f ca="1">IFERROR(__xludf.DUMMYFUNCTION("""COMPUTED_VALUE"""),"solarconnect2018@gmail.com")</f>
        <v>solarconnect2018@gmail.com</v>
      </c>
      <c r="C588">
        <f ca="1">IFERROR(__xludf.DUMMYFUNCTION("""COMPUTED_VALUE"""),951)</f>
        <v>951</v>
      </c>
      <c r="D588" t="str">
        <f ca="1">IFERROR(__xludf.DUMMYFUNCTION("""COMPUTED_VALUE"""),"LAKSHMI T P")</f>
        <v>LAKSHMI T P</v>
      </c>
      <c r="E588">
        <f ca="1">IFERROR(__xludf.DUMMYFUNCTION("""COMPUTED_VALUE"""),9562765822)</f>
        <v>9562765822</v>
      </c>
      <c r="F588" t="str">
        <f ca="1">IFERROR(__xludf.DUMMYFUNCTION("""COMPUTED_VALUE"""),"Kannur")</f>
        <v>Kannur</v>
      </c>
      <c r="G588" t="str">
        <f ca="1">IFERROR(__xludf.DUMMYFUNCTION("""COMPUTED_VALUE"""),"SPECTRUM TECHNO PRODUCTS")</f>
        <v>SPECTRUM TECHNO PRODUCTS</v>
      </c>
      <c r="H588">
        <f ca="1">IFERROR(__xludf.DUMMYFUNCTION("""COMPUTED_VALUE"""),66)</f>
        <v>66</v>
      </c>
      <c r="I588" s="4">
        <f ca="1">IFERROR(__xludf.DUMMYFUNCTION("""COMPUTED_VALUE"""),43232)</f>
        <v>43232</v>
      </c>
      <c r="J588">
        <f ca="1">IFERROR(__xludf.DUMMYFUNCTION("""COMPUTED_VALUE"""),3)</f>
        <v>3</v>
      </c>
      <c r="K588">
        <f ca="1">IFERROR(__xludf.DUMMYFUNCTION("""COMPUTED_VALUE"""),1166771002998)</f>
        <v>1166771002998</v>
      </c>
      <c r="L588" t="str">
        <f ca="1">IFERROR(__xludf.DUMMYFUNCTION("""COMPUTED_VALUE"""),"DHARMADOM")</f>
        <v>DHARMADOM</v>
      </c>
      <c r="M588" t="str">
        <f ca="1">IFERROR(__xludf.DUMMYFUNCTION("""COMPUTED_VALUE"""),"I Accept")</f>
        <v>I Accept</v>
      </c>
      <c r="N588" s="4">
        <f ca="1">IFERROR(__xludf.DUMMYFUNCTION("""COMPUTED_VALUE"""),43213)</f>
        <v>43213</v>
      </c>
      <c r="O588" s="4">
        <f ca="1">IFERROR(__xludf.DUMMYFUNCTION("""COMPUTED_VALUE"""),43213)</f>
        <v>43213</v>
      </c>
      <c r="P588">
        <f ca="1">IFERROR(__xludf.DUMMYFUNCTION("""COMPUTED_VALUE"""),3)</f>
        <v>3</v>
      </c>
      <c r="Q588" t="str">
        <f ca="1">IFERROR(__xludf.DUMMYFUNCTION("""COMPUTED_VALUE"""),"solarconnect2018@gmail.com")</f>
        <v>solarconnect2018@gmail.com</v>
      </c>
      <c r="R588" s="2" t="s">
        <v>3002</v>
      </c>
    </row>
    <row r="589" spans="1:18" ht="13" x14ac:dyDescent="0.15">
      <c r="A589" s="3">
        <f ca="1">IFERROR(__xludf.DUMMYFUNCTION("""COMPUTED_VALUE"""),43234.5237449305)</f>
        <v>43234.523744930499</v>
      </c>
      <c r="B589" t="str">
        <f ca="1">IFERROR(__xludf.DUMMYFUNCTION("""COMPUTED_VALUE"""),"cpsulaiman2018@gmail.com")</f>
        <v>cpsulaiman2018@gmail.com</v>
      </c>
      <c r="C589">
        <f ca="1">IFERROR(__xludf.DUMMYFUNCTION("""COMPUTED_VALUE"""),971)</f>
        <v>971</v>
      </c>
      <c r="D589" t="str">
        <f ca="1">IFERROR(__xludf.DUMMYFUNCTION("""COMPUTED_VALUE"""),"C P Sulaiman")</f>
        <v>C P Sulaiman</v>
      </c>
      <c r="E589">
        <f ca="1">IFERROR(__xludf.DUMMYFUNCTION("""COMPUTED_VALUE"""),9562233099)</f>
        <v>9562233099</v>
      </c>
      <c r="F589" t="str">
        <f ca="1">IFERROR(__xludf.DUMMYFUNCTION("""COMPUTED_VALUE"""),"Kozhikode")</f>
        <v>Kozhikode</v>
      </c>
      <c r="G589" t="str">
        <f ca="1">IFERROR(__xludf.DUMMYFUNCTION("""COMPUTED_VALUE"""),"Reecco Energy India Pvt Ltd.")</f>
        <v>Reecco Energy India Pvt Ltd.</v>
      </c>
      <c r="H589">
        <f ca="1">IFERROR(__xludf.DUMMYFUNCTION("""COMPUTED_VALUE"""),47)</f>
        <v>47</v>
      </c>
      <c r="I589" s="4">
        <f ca="1">IFERROR(__xludf.DUMMYFUNCTION("""COMPUTED_VALUE"""),43234)</f>
        <v>43234</v>
      </c>
      <c r="J589">
        <f ca="1">IFERROR(__xludf.DUMMYFUNCTION("""COMPUTED_VALUE"""),3)</f>
        <v>3</v>
      </c>
      <c r="K589">
        <f ca="1">IFERROR(__xludf.DUMMYFUNCTION("""COMPUTED_VALUE"""),1166049019496)</f>
        <v>1166049019496</v>
      </c>
      <c r="L589" t="str">
        <f ca="1">IFERROR(__xludf.DUMMYFUNCTION("""COMPUTED_VALUE"""),"WESTHILL")</f>
        <v>WESTHILL</v>
      </c>
      <c r="M589" t="str">
        <f ca="1">IFERROR(__xludf.DUMMYFUNCTION("""COMPUTED_VALUE"""),"I Accept")</f>
        <v>I Accept</v>
      </c>
      <c r="N589" s="4">
        <f ca="1">IFERROR(__xludf.DUMMYFUNCTION("""COMPUTED_VALUE"""),43229)</f>
        <v>43229</v>
      </c>
      <c r="O589" s="4">
        <f ca="1">IFERROR(__xludf.DUMMYFUNCTION("""COMPUTED_VALUE"""),43229)</f>
        <v>43229</v>
      </c>
      <c r="P589">
        <f ca="1">IFERROR(__xludf.DUMMYFUNCTION("""COMPUTED_VALUE"""),3)</f>
        <v>3</v>
      </c>
      <c r="Q589" t="str">
        <f ca="1">IFERROR(__xludf.DUMMYFUNCTION("""COMPUTED_VALUE"""),"cpsulaiman2018@gmail.com")</f>
        <v>cpsulaiman2018@gmail.com</v>
      </c>
      <c r="R589" s="2" t="s">
        <v>3003</v>
      </c>
    </row>
    <row r="590" spans="1:18" ht="13" x14ac:dyDescent="0.15">
      <c r="A590" s="3">
        <f ca="1">IFERROR(__xludf.DUMMYFUNCTION("""COMPUTED_VALUE"""),43234.5330321296)</f>
        <v>43234.533032129599</v>
      </c>
      <c r="B590" t="str">
        <f ca="1">IFERROR(__xludf.DUMMYFUNCTION("""COMPUTED_VALUE"""),"solarconnect@gmail.com")</f>
        <v>solarconnect@gmail.com</v>
      </c>
      <c r="C590">
        <f ca="1">IFERROR(__xludf.DUMMYFUNCTION("""COMPUTED_VALUE"""),716)</f>
        <v>716</v>
      </c>
      <c r="D590" t="str">
        <f ca="1">IFERROR(__xludf.DUMMYFUNCTION("""COMPUTED_VALUE"""),"Padinhattayil bhaskaran")</f>
        <v>Padinhattayil bhaskaran</v>
      </c>
      <c r="E590">
        <f ca="1">IFERROR(__xludf.DUMMYFUNCTION("""COMPUTED_VALUE"""),7012610990)</f>
        <v>7012610990</v>
      </c>
      <c r="F590" t="str">
        <f ca="1">IFERROR(__xludf.DUMMYFUNCTION("""COMPUTED_VALUE"""),"Kasaragod")</f>
        <v>Kasaragod</v>
      </c>
      <c r="G590" t="str">
        <f ca="1">IFERROR(__xludf.DUMMYFUNCTION("""COMPUTED_VALUE"""),"Spectrum Techno Products")</f>
        <v>Spectrum Techno Products</v>
      </c>
      <c r="H590">
        <f ca="1">IFERROR(__xludf.DUMMYFUNCTION("""COMPUTED_VALUE"""),66)</f>
        <v>66</v>
      </c>
      <c r="I590" s="4">
        <f ca="1">IFERROR(__xludf.DUMMYFUNCTION("""COMPUTED_VALUE"""),43234)</f>
        <v>43234</v>
      </c>
      <c r="J590">
        <f ca="1">IFERROR(__xludf.DUMMYFUNCTION("""COMPUTED_VALUE"""),3)</f>
        <v>3</v>
      </c>
      <c r="K590">
        <f ca="1">IFERROR(__xludf.DUMMYFUNCTION("""COMPUTED_VALUE"""),1167004019089)</f>
        <v>1167004019089</v>
      </c>
      <c r="L590" t="str">
        <f ca="1">IFERROR(__xludf.DUMMYFUNCTION("""COMPUTED_VALUE"""),"Thrikaripur")</f>
        <v>Thrikaripur</v>
      </c>
      <c r="M590" t="str">
        <f ca="1">IFERROR(__xludf.DUMMYFUNCTION("""COMPUTED_VALUE"""),"I Accept")</f>
        <v>I Accept</v>
      </c>
      <c r="N590" s="4">
        <f ca="1">IFERROR(__xludf.DUMMYFUNCTION("""COMPUTED_VALUE"""),43220)</f>
        <v>43220</v>
      </c>
      <c r="O590" s="4">
        <f ca="1">IFERROR(__xludf.DUMMYFUNCTION("""COMPUTED_VALUE"""),43220)</f>
        <v>43220</v>
      </c>
      <c r="P590">
        <f ca="1">IFERROR(__xludf.DUMMYFUNCTION("""COMPUTED_VALUE"""),3)</f>
        <v>3</v>
      </c>
      <c r="Q590" t="str">
        <f ca="1">IFERROR(__xludf.DUMMYFUNCTION("""COMPUTED_VALUE"""),"solarconnect2018@gmail.com")</f>
        <v>solarconnect2018@gmail.com</v>
      </c>
      <c r="R590" s="2" t="s">
        <v>3004</v>
      </c>
    </row>
    <row r="591" spans="1:18" ht="13" x14ac:dyDescent="0.15">
      <c r="A591" s="3">
        <f ca="1">IFERROR(__xludf.DUMMYFUNCTION("""COMPUTED_VALUE"""),43234.611153125)</f>
        <v>43234.611153124999</v>
      </c>
      <c r="B591" t="str">
        <f ca="1">IFERROR(__xludf.DUMMYFUNCTION("""COMPUTED_VALUE"""),"technoguardes@gmail.com")</f>
        <v>technoguardes@gmail.com</v>
      </c>
      <c r="C591">
        <f ca="1">IFERROR(__xludf.DUMMYFUNCTION("""COMPUTED_VALUE"""),1107)</f>
        <v>1107</v>
      </c>
      <c r="D591" t="str">
        <f ca="1">IFERROR(__xludf.DUMMYFUNCTION("""COMPUTED_VALUE"""),"JESSO ANNIE MATHEWS")</f>
        <v>JESSO ANNIE MATHEWS</v>
      </c>
      <c r="E591">
        <f ca="1">IFERROR(__xludf.DUMMYFUNCTION("""COMPUTED_VALUE"""),8547818161)</f>
        <v>8547818161</v>
      </c>
      <c r="F591" t="str">
        <f ca="1">IFERROR(__xludf.DUMMYFUNCTION("""COMPUTED_VALUE"""),"Pathanamthitta")</f>
        <v>Pathanamthitta</v>
      </c>
      <c r="G591" t="str">
        <f ca="1">IFERROR(__xludf.DUMMYFUNCTION("""COMPUTED_VALUE"""),"TECHNO GUARD INDUSTRIES")</f>
        <v>TECHNO GUARD INDUSTRIES</v>
      </c>
      <c r="H591">
        <f ca="1">IFERROR(__xludf.DUMMYFUNCTION("""COMPUTED_VALUE"""),56)</f>
        <v>56</v>
      </c>
      <c r="I591" s="4">
        <f ca="1">IFERROR(__xludf.DUMMYFUNCTION("""COMPUTED_VALUE"""),43230)</f>
        <v>43230</v>
      </c>
      <c r="J591">
        <f ca="1">IFERROR(__xludf.DUMMYFUNCTION("""COMPUTED_VALUE"""),5)</f>
        <v>5</v>
      </c>
      <c r="K591">
        <f ca="1">IFERROR(__xludf.DUMMYFUNCTION("""COMPUTED_VALUE"""),1146064014156)</f>
        <v>1146064014156</v>
      </c>
      <c r="L591" t="str">
        <f ca="1">IFERROR(__xludf.DUMMYFUNCTION("""COMPUTED_VALUE"""),"RANNY SOUTH")</f>
        <v>RANNY SOUTH</v>
      </c>
      <c r="M591" t="str">
        <f ca="1">IFERROR(__xludf.DUMMYFUNCTION("""COMPUTED_VALUE"""),"I Accept")</f>
        <v>I Accept</v>
      </c>
      <c r="N591" s="4">
        <f ca="1">IFERROR(__xludf.DUMMYFUNCTION("""COMPUTED_VALUE"""),43210)</f>
        <v>43210</v>
      </c>
      <c r="O591" s="4">
        <f ca="1">IFERROR(__xludf.DUMMYFUNCTION("""COMPUTED_VALUE"""),43210)</f>
        <v>43210</v>
      </c>
      <c r="P591">
        <f ca="1">IFERROR(__xludf.DUMMYFUNCTION("""COMPUTED_VALUE"""),5)</f>
        <v>5</v>
      </c>
      <c r="Q591" t="str">
        <f ca="1">IFERROR(__xludf.DUMMYFUNCTION("""COMPUTED_VALUE"""),"technoguardes@gmail.com")</f>
        <v>technoguardes@gmail.com</v>
      </c>
      <c r="R591" s="2" t="s">
        <v>3005</v>
      </c>
    </row>
    <row r="592" spans="1:18" ht="13" x14ac:dyDescent="0.15">
      <c r="A592" s="3">
        <f ca="1">IFERROR(__xludf.DUMMYFUNCTION("""COMPUTED_VALUE"""),43234.6466130671)</f>
        <v>43234.646613067103</v>
      </c>
      <c r="B592" t="str">
        <f ca="1">IFERROR(__xludf.DUMMYFUNCTION("""COMPUTED_VALUE"""),"nestromarketing@gmail.com")</f>
        <v>nestromarketing@gmail.com</v>
      </c>
      <c r="C592">
        <f ca="1">IFERROR(__xludf.DUMMYFUNCTION("""COMPUTED_VALUE"""),273)</f>
        <v>273</v>
      </c>
      <c r="D592" t="str">
        <f ca="1">IFERROR(__xludf.DUMMYFUNCTION("""COMPUTED_VALUE"""),"BASHEER V")</f>
        <v>BASHEER V</v>
      </c>
      <c r="E592">
        <f ca="1">IFERROR(__xludf.DUMMYFUNCTION("""COMPUTED_VALUE"""),9142099977)</f>
        <v>9142099977</v>
      </c>
      <c r="F592" t="str">
        <f ca="1">IFERROR(__xludf.DUMMYFUNCTION("""COMPUTED_VALUE"""),"Thrissur")</f>
        <v>Thrissur</v>
      </c>
      <c r="G592" t="str">
        <f ca="1">IFERROR(__xludf.DUMMYFUNCTION("""COMPUTED_VALUE"""),"NESTRO MARKETING LLP")</f>
        <v>NESTRO MARKETING LLP</v>
      </c>
      <c r="H592">
        <f ca="1">IFERROR(__xludf.DUMMYFUNCTION("""COMPUTED_VALUE"""),14)</f>
        <v>14</v>
      </c>
      <c r="I592" s="4">
        <f ca="1">IFERROR(__xludf.DUMMYFUNCTION("""COMPUTED_VALUE"""),43234)</f>
        <v>43234</v>
      </c>
      <c r="J592">
        <f ca="1">IFERROR(__xludf.DUMMYFUNCTION("""COMPUTED_VALUE"""),10)</f>
        <v>10</v>
      </c>
      <c r="K592">
        <f ca="1">IFERROR(__xludf.DUMMYFUNCTION("""COMPUTED_VALUE"""),1156988013790)</f>
        <v>1156988013790</v>
      </c>
      <c r="L592" t="str">
        <f ca="1">IFERROR(__xludf.DUMMYFUNCTION("""COMPUTED_VALUE"""),"CHAVAKKAD(5698)")</f>
        <v>CHAVAKKAD(5698)</v>
      </c>
      <c r="M592" t="str">
        <f ca="1">IFERROR(__xludf.DUMMYFUNCTION("""COMPUTED_VALUE"""),"I Accept")</f>
        <v>I Accept</v>
      </c>
      <c r="N592" s="4">
        <f ca="1">IFERROR(__xludf.DUMMYFUNCTION("""COMPUTED_VALUE"""),43231)</f>
        <v>43231</v>
      </c>
      <c r="O592" s="4">
        <f ca="1">IFERROR(__xludf.DUMMYFUNCTION("""COMPUTED_VALUE"""),43231)</f>
        <v>43231</v>
      </c>
      <c r="P592">
        <f ca="1">IFERROR(__xludf.DUMMYFUNCTION("""COMPUTED_VALUE"""),10)</f>
        <v>10</v>
      </c>
      <c r="Q592" t="str">
        <f ca="1">IFERROR(__xludf.DUMMYFUNCTION("""COMPUTED_VALUE"""),"nestromarketing@gmail.com")</f>
        <v>nestromarketing@gmail.com</v>
      </c>
      <c r="R592" s="2" t="s">
        <v>3006</v>
      </c>
    </row>
    <row r="593" spans="1:18" ht="13" x14ac:dyDescent="0.15">
      <c r="A593" s="3">
        <f ca="1">IFERROR(__xludf.DUMMYFUNCTION("""COMPUTED_VALUE"""),43234.6565774189)</f>
        <v>43234.6565774189</v>
      </c>
      <c r="B593" t="str">
        <f ca="1">IFERROR(__xludf.DUMMYFUNCTION("""COMPUTED_VALUE"""),"projects.basta@gmail.com")</f>
        <v>projects.basta@gmail.com</v>
      </c>
      <c r="C593">
        <f ca="1">IFERROR(__xludf.DUMMYFUNCTION("""COMPUTED_VALUE"""),869)</f>
        <v>869</v>
      </c>
      <c r="D593" t="str">
        <f ca="1">IFERROR(__xludf.DUMMYFUNCTION("""COMPUTED_VALUE"""),"Shakeela PC")</f>
        <v>Shakeela PC</v>
      </c>
      <c r="E593">
        <f ca="1">IFERROR(__xludf.DUMMYFUNCTION("""COMPUTED_VALUE"""),9061327111)</f>
        <v>9061327111</v>
      </c>
      <c r="F593" t="str">
        <f ca="1">IFERROR(__xludf.DUMMYFUNCTION("""COMPUTED_VALUE"""),"Kannur")</f>
        <v>Kannur</v>
      </c>
      <c r="G593" t="str">
        <f ca="1">IFERROR(__xludf.DUMMYFUNCTION("""COMPUTED_VALUE"""),"Bosch Ltd")</f>
        <v>Bosch Ltd</v>
      </c>
      <c r="H593">
        <f ca="1">IFERROR(__xludf.DUMMYFUNCTION("""COMPUTED_VALUE"""),18)</f>
        <v>18</v>
      </c>
      <c r="I593" s="4">
        <f ca="1">IFERROR(__xludf.DUMMYFUNCTION("""COMPUTED_VALUE"""),43234)</f>
        <v>43234</v>
      </c>
      <c r="J593">
        <f ca="1">IFERROR(__xludf.DUMMYFUNCTION("""COMPUTED_VALUE"""),3)</f>
        <v>3</v>
      </c>
      <c r="K593">
        <f ca="1">IFERROR(__xludf.DUMMYFUNCTION("""COMPUTED_VALUE"""),1166808035287)</f>
        <v>1166808035287</v>
      </c>
      <c r="L593" t="str">
        <f ca="1">IFERROR(__xludf.DUMMYFUNCTION("""COMPUTED_VALUE"""),"6680")</f>
        <v>6680</v>
      </c>
      <c r="M593" t="str">
        <f ca="1">IFERROR(__xludf.DUMMYFUNCTION("""COMPUTED_VALUE"""),"I Accept")</f>
        <v>I Accept</v>
      </c>
      <c r="N593" s="4">
        <f ca="1">IFERROR(__xludf.DUMMYFUNCTION("""COMPUTED_VALUE"""),43192)</f>
        <v>43192</v>
      </c>
      <c r="O593" s="4">
        <f ca="1">IFERROR(__xludf.DUMMYFUNCTION("""COMPUTED_VALUE"""),43192)</f>
        <v>43192</v>
      </c>
      <c r="P593">
        <f ca="1">IFERROR(__xludf.DUMMYFUNCTION("""COMPUTED_VALUE"""),3)</f>
        <v>3</v>
      </c>
      <c r="Q593" t="str">
        <f ca="1">IFERROR(__xludf.DUMMYFUNCTION("""COMPUTED_VALUE"""),"projects.basta@gmail.com")</f>
        <v>projects.basta@gmail.com</v>
      </c>
      <c r="R593" s="2" t="s">
        <v>3007</v>
      </c>
    </row>
    <row r="594" spans="1:18" ht="13" x14ac:dyDescent="0.15">
      <c r="A594" s="3">
        <f ca="1">IFERROR(__xludf.DUMMYFUNCTION("""COMPUTED_VALUE"""),43234.690394155)</f>
        <v>43234.690394154997</v>
      </c>
      <c r="B594" t="str">
        <f ca="1">IFERROR(__xludf.DUMMYFUNCTION("""COMPUTED_VALUE"""),"connectdsk@gmail.com")</f>
        <v>connectdsk@gmail.com</v>
      </c>
      <c r="C594">
        <f ca="1">IFERROR(__xludf.DUMMYFUNCTION("""COMPUTED_VALUE"""),1136)</f>
        <v>1136</v>
      </c>
      <c r="D594" t="str">
        <f ca="1">IFERROR(__xludf.DUMMYFUNCTION("""COMPUTED_VALUE"""),"MUHAMMED KAMMILI")</f>
        <v>MUHAMMED KAMMILI</v>
      </c>
      <c r="E594">
        <f ca="1">IFERROR(__xludf.DUMMYFUNCTION("""COMPUTED_VALUE"""),8547564126)</f>
        <v>8547564126</v>
      </c>
      <c r="F594" t="str">
        <f ca="1">IFERROR(__xludf.DUMMYFUNCTION("""COMPUTED_VALUE"""),"Malappuram")</f>
        <v>Malappuram</v>
      </c>
      <c r="G594" t="str">
        <f ca="1">IFERROR(__xludf.DUMMYFUNCTION("""COMPUTED_VALUE"""),"FERT")</f>
        <v>FERT</v>
      </c>
      <c r="H594">
        <f ca="1">IFERROR(__xludf.DUMMYFUNCTION("""COMPUTED_VALUE"""),27)</f>
        <v>27</v>
      </c>
      <c r="I594" s="4">
        <f ca="1">IFERROR(__xludf.DUMMYFUNCTION("""COMPUTED_VALUE"""),43234)</f>
        <v>43234</v>
      </c>
      <c r="J594">
        <f ca="1">IFERROR(__xludf.DUMMYFUNCTION("""COMPUTED_VALUE"""),3)</f>
        <v>3</v>
      </c>
      <c r="K594">
        <f ca="1">IFERROR(__xludf.DUMMYFUNCTION("""COMPUTED_VALUE"""),1165777008791)</f>
        <v>1165777008791</v>
      </c>
      <c r="L594" t="str">
        <f ca="1">IFERROR(__xludf.DUMMYFUNCTION("""COMPUTED_VALUE"""),"CHELARI")</f>
        <v>CHELARI</v>
      </c>
      <c r="M594" t="str">
        <f ca="1">IFERROR(__xludf.DUMMYFUNCTION("""COMPUTED_VALUE"""),"I Accept")</f>
        <v>I Accept</v>
      </c>
      <c r="N594" s="4">
        <f ca="1">IFERROR(__xludf.DUMMYFUNCTION("""COMPUTED_VALUE"""),43234)</f>
        <v>43234</v>
      </c>
      <c r="O594" s="4">
        <f ca="1">IFERROR(__xludf.DUMMYFUNCTION("""COMPUTED_VALUE"""),43234)</f>
        <v>43234</v>
      </c>
      <c r="P594">
        <f ca="1">IFERROR(__xludf.DUMMYFUNCTION("""COMPUTED_VALUE"""),3)</f>
        <v>3</v>
      </c>
      <c r="Q594" t="str">
        <f ca="1">IFERROR(__xludf.DUMMYFUNCTION("""COMPUTED_VALUE"""),"connectdsk@gmail.com")</f>
        <v>connectdsk@gmail.com</v>
      </c>
      <c r="R594" s="2" t="s">
        <v>3008</v>
      </c>
    </row>
    <row r="595" spans="1:18" ht="13" x14ac:dyDescent="0.15">
      <c r="A595" s="3">
        <f ca="1">IFERROR(__xludf.DUMMYFUNCTION("""COMPUTED_VALUE"""),43235.6068244907)</f>
        <v>43235.6068244907</v>
      </c>
      <c r="B595" t="str">
        <f ca="1">IFERROR(__xludf.DUMMYFUNCTION("""COMPUTED_VALUE"""),"solarconnect2018@gmail.com")</f>
        <v>solarconnect2018@gmail.com</v>
      </c>
      <c r="C595">
        <f ca="1">IFERROR(__xludf.DUMMYFUNCTION("""COMPUTED_VALUE"""),893)</f>
        <v>893</v>
      </c>
      <c r="D595" t="str">
        <f ca="1">IFERROR(__xludf.DUMMYFUNCTION("""COMPUTED_VALUE"""),"ARAVINDAN")</f>
        <v>ARAVINDAN</v>
      </c>
      <c r="E595">
        <f ca="1">IFERROR(__xludf.DUMMYFUNCTION("""COMPUTED_VALUE"""),9446646769)</f>
        <v>9446646769</v>
      </c>
      <c r="F595" t="str">
        <f ca="1">IFERROR(__xludf.DUMMYFUNCTION("""COMPUTED_VALUE"""),"Kozhikode")</f>
        <v>Kozhikode</v>
      </c>
      <c r="G595" t="str">
        <f ca="1">IFERROR(__xludf.DUMMYFUNCTION("""COMPUTED_VALUE"""),"SPECTRUM TECHNO PRODUCTS")</f>
        <v>SPECTRUM TECHNO PRODUCTS</v>
      </c>
      <c r="H595">
        <f ca="1">IFERROR(__xludf.DUMMYFUNCTION("""COMPUTED_VALUE"""),66)</f>
        <v>66</v>
      </c>
      <c r="I595" s="4">
        <f ca="1">IFERROR(__xludf.DUMMYFUNCTION("""COMPUTED_VALUE"""),43231)</f>
        <v>43231</v>
      </c>
      <c r="J595">
        <f ca="1">IFERROR(__xludf.DUMMYFUNCTION("""COMPUTED_VALUE"""),2)</f>
        <v>2</v>
      </c>
      <c r="K595">
        <f ca="1">IFERROR(__xludf.DUMMYFUNCTION("""COMPUTED_VALUE"""),1167460008232)</f>
        <v>1167460008232</v>
      </c>
      <c r="L595" t="str">
        <f ca="1">IFERROR(__xludf.DUMMYFUNCTION("""COMPUTED_VALUE"""),"THIKKODY")</f>
        <v>THIKKODY</v>
      </c>
      <c r="M595" t="str">
        <f ca="1">IFERROR(__xludf.DUMMYFUNCTION("""COMPUTED_VALUE"""),"I Accept")</f>
        <v>I Accept</v>
      </c>
      <c r="N595" s="4">
        <f ca="1">IFERROR(__xludf.DUMMYFUNCTION("""COMPUTED_VALUE"""),43215)</f>
        <v>43215</v>
      </c>
      <c r="O595" s="4">
        <f ca="1">IFERROR(__xludf.DUMMYFUNCTION("""COMPUTED_VALUE"""),43215)</f>
        <v>43215</v>
      </c>
      <c r="P595">
        <f ca="1">IFERROR(__xludf.DUMMYFUNCTION("""COMPUTED_VALUE"""),2)</f>
        <v>2</v>
      </c>
      <c r="Q595" t="str">
        <f ca="1">IFERROR(__xludf.DUMMYFUNCTION("""COMPUTED_VALUE"""),"solarconnect2018@gmail.com")</f>
        <v>solarconnect2018@gmail.com</v>
      </c>
      <c r="R595" s="2" t="s">
        <v>3009</v>
      </c>
    </row>
    <row r="596" spans="1:18" ht="13" x14ac:dyDescent="0.15">
      <c r="A596" s="3">
        <f ca="1">IFERROR(__xludf.DUMMYFUNCTION("""COMPUTED_VALUE"""),43235.6456158333)</f>
        <v>43235.645615833302</v>
      </c>
      <c r="B596" t="str">
        <f ca="1">IFERROR(__xludf.DUMMYFUNCTION("""COMPUTED_VALUE"""),"solarconnect2018@gmail.com")</f>
        <v>solarconnect2018@gmail.com</v>
      </c>
      <c r="C596">
        <f ca="1">IFERROR(__xludf.DUMMYFUNCTION("""COMPUTED_VALUE"""),247)</f>
        <v>247</v>
      </c>
      <c r="D596" t="str">
        <f ca="1">IFERROR(__xludf.DUMMYFUNCTION("""COMPUTED_VALUE"""),"MUHAMMED B K")</f>
        <v>MUHAMMED B K</v>
      </c>
      <c r="E596">
        <f ca="1">IFERROR(__xludf.DUMMYFUNCTION("""COMPUTED_VALUE"""),9745500145)</f>
        <v>9745500145</v>
      </c>
      <c r="F596" t="str">
        <f ca="1">IFERROR(__xludf.DUMMYFUNCTION("""COMPUTED_VALUE"""),"Kasaragod")</f>
        <v>Kasaragod</v>
      </c>
      <c r="G596" t="str">
        <f ca="1">IFERROR(__xludf.DUMMYFUNCTION("""COMPUTED_VALUE"""),"SPECTRUM TECHNO PRODUCTS")</f>
        <v>SPECTRUM TECHNO PRODUCTS</v>
      </c>
      <c r="H596">
        <f ca="1">IFERROR(__xludf.DUMMYFUNCTION("""COMPUTED_VALUE"""),66)</f>
        <v>66</v>
      </c>
      <c r="I596" s="4">
        <f ca="1">IFERROR(__xludf.DUMMYFUNCTION("""COMPUTED_VALUE"""),43235)</f>
        <v>43235</v>
      </c>
      <c r="J596">
        <f ca="1">IFERROR(__xludf.DUMMYFUNCTION("""COMPUTED_VALUE"""),3)</f>
        <v>3</v>
      </c>
      <c r="K596">
        <f ca="1">IFERROR(__xludf.DUMMYFUNCTION("""COMPUTED_VALUE"""),116695007544)</f>
        <v>116695007544</v>
      </c>
      <c r="L596" t="str">
        <f ca="1">IFERROR(__xludf.DUMMYFUNCTION("""COMPUTED_VALUE"""),"CHITTARI")</f>
        <v>CHITTARI</v>
      </c>
      <c r="M596" t="str">
        <f ca="1">IFERROR(__xludf.DUMMYFUNCTION("""COMPUTED_VALUE"""),"I Accept")</f>
        <v>I Accept</v>
      </c>
      <c r="N596" s="4">
        <f ca="1">IFERROR(__xludf.DUMMYFUNCTION("""COMPUTED_VALUE"""),43167)</f>
        <v>43167</v>
      </c>
      <c r="O596" s="4">
        <f ca="1">IFERROR(__xludf.DUMMYFUNCTION("""COMPUTED_VALUE"""),43167)</f>
        <v>43167</v>
      </c>
      <c r="P596">
        <f ca="1">IFERROR(__xludf.DUMMYFUNCTION("""COMPUTED_VALUE"""),3)</f>
        <v>3</v>
      </c>
      <c r="Q596" t="str">
        <f ca="1">IFERROR(__xludf.DUMMYFUNCTION("""COMPUTED_VALUE"""),"solarconnect2018@gmail.com")</f>
        <v>solarconnect2018@gmail.com</v>
      </c>
      <c r="R596" s="2" t="s">
        <v>3010</v>
      </c>
    </row>
    <row r="597" spans="1:18" ht="13" x14ac:dyDescent="0.15">
      <c r="A597" s="3">
        <f ca="1">IFERROR(__xludf.DUMMYFUNCTION("""COMPUTED_VALUE"""),43235.6864799537)</f>
        <v>43235.6864799537</v>
      </c>
      <c r="B597" t="str">
        <f ca="1">IFERROR(__xludf.DUMMYFUNCTION("""COMPUTED_VALUE"""),"smeesan@gmail.com")</f>
        <v>smeesan@gmail.com</v>
      </c>
      <c r="C597">
        <f ca="1">IFERROR(__xludf.DUMMYFUNCTION("""COMPUTED_VALUE"""),1042)</f>
        <v>1042</v>
      </c>
      <c r="D597" t="str">
        <f ca="1">IFERROR(__xludf.DUMMYFUNCTION("""COMPUTED_VALUE"""),"Antony A.J.")</f>
        <v>Antony A.J.</v>
      </c>
      <c r="E597">
        <f ca="1">IFERROR(__xludf.DUMMYFUNCTION("""COMPUTED_VALUE"""),9447896007)</f>
        <v>9447896007</v>
      </c>
      <c r="F597" t="str">
        <f ca="1">IFERROR(__xludf.DUMMYFUNCTION("""COMPUTED_VALUE"""),"Kottayam")</f>
        <v>Kottayam</v>
      </c>
      <c r="G597" t="str">
        <f ca="1">IFERROR(__xludf.DUMMYFUNCTION("""COMPUTED_VALUE"""),"Temco Renewable Energy solutions pvt.Ltd")</f>
        <v>Temco Renewable Energy solutions pvt.Ltd</v>
      </c>
      <c r="H597">
        <f ca="1">IFERROR(__xludf.DUMMYFUNCTION("""COMPUTED_VALUE"""),30)</f>
        <v>30</v>
      </c>
      <c r="I597" s="4">
        <f ca="1">IFERROR(__xludf.DUMMYFUNCTION("""COMPUTED_VALUE"""),43229)</f>
        <v>43229</v>
      </c>
      <c r="J597">
        <f ca="1">IFERROR(__xludf.DUMMYFUNCTION("""COMPUTED_VALUE"""),2)</f>
        <v>2</v>
      </c>
      <c r="K597">
        <f ca="1">IFERROR(__xludf.DUMMYFUNCTION("""COMPUTED_VALUE"""),1146463001458)</f>
        <v>1146463001458</v>
      </c>
      <c r="L597" t="str">
        <f ca="1">IFERROR(__xludf.DUMMYFUNCTION("""COMPUTED_VALUE"""),"4646")</f>
        <v>4646</v>
      </c>
      <c r="M597" t="str">
        <f ca="1">IFERROR(__xludf.DUMMYFUNCTION("""COMPUTED_VALUE"""),"I Accept")</f>
        <v>I Accept</v>
      </c>
      <c r="N597" s="4">
        <f ca="1">IFERROR(__xludf.DUMMYFUNCTION("""COMPUTED_VALUE"""),43195)</f>
        <v>43195</v>
      </c>
      <c r="O597" s="4">
        <f ca="1">IFERROR(__xludf.DUMMYFUNCTION("""COMPUTED_VALUE"""),43195)</f>
        <v>43195</v>
      </c>
      <c r="P597">
        <f ca="1">IFERROR(__xludf.DUMMYFUNCTION("""COMPUTED_VALUE"""),2)</f>
        <v>2</v>
      </c>
      <c r="Q597" t="str">
        <f ca="1">IFERROR(__xludf.DUMMYFUNCTION("""COMPUTED_VALUE"""),"smeesan@gmail.com")</f>
        <v>smeesan@gmail.com</v>
      </c>
      <c r="R597" s="2" t="s">
        <v>3011</v>
      </c>
    </row>
    <row r="598" spans="1:18" ht="13" x14ac:dyDescent="0.15">
      <c r="A598" s="3">
        <f ca="1">IFERROR(__xludf.DUMMYFUNCTION("""COMPUTED_VALUE"""),43235.7084177893)</f>
        <v>43235.708417789298</v>
      </c>
      <c r="B598" t="str">
        <f ca="1">IFERROR(__xludf.DUMMYFUNCTION("""COMPUTED_VALUE"""),"jose.dilip@gmail.com")</f>
        <v>jose.dilip@gmail.com</v>
      </c>
      <c r="C598">
        <f ca="1">IFERROR(__xludf.DUMMYFUNCTION("""COMPUTED_VALUE"""),368)</f>
        <v>368</v>
      </c>
      <c r="D598" t="str">
        <f ca="1">IFERROR(__xludf.DUMMYFUNCTION("""COMPUTED_VALUE"""),"HARIKUMAR R S")</f>
        <v>HARIKUMAR R S</v>
      </c>
      <c r="E598">
        <f ca="1">IFERROR(__xludf.DUMMYFUNCTION("""COMPUTED_VALUE"""),8137874406)</f>
        <v>8137874406</v>
      </c>
      <c r="F598" t="str">
        <f ca="1">IFERROR(__xludf.DUMMYFUNCTION("""COMPUTED_VALUE"""),"Thiruvananthapuram")</f>
        <v>Thiruvananthapuram</v>
      </c>
      <c r="G598" t="str">
        <f ca="1">IFERROR(__xludf.DUMMYFUNCTION("""COMPUTED_VALUE"""),"SOLGEN ENERGY PVT LTD")</f>
        <v>SOLGEN ENERGY PVT LTD</v>
      </c>
      <c r="H598">
        <f ca="1">IFERROR(__xludf.DUMMYFUNCTION("""COMPUTED_VALUE"""),42)</f>
        <v>42</v>
      </c>
      <c r="I598" s="4">
        <f ca="1">IFERROR(__xludf.DUMMYFUNCTION("""COMPUTED_VALUE"""),43189)</f>
        <v>43189</v>
      </c>
      <c r="J598">
        <f ca="1">IFERROR(__xludf.DUMMYFUNCTION("""COMPUTED_VALUE"""),2)</f>
        <v>2</v>
      </c>
      <c r="K598">
        <f ca="1">IFERROR(__xludf.DUMMYFUNCTION("""COMPUTED_VALUE"""),1145500005380)</f>
        <v>1145500005380</v>
      </c>
      <c r="L598" t="str">
        <f ca="1">IFERROR(__xludf.DUMMYFUNCTION("""COMPUTED_VALUE"""),"PEYAD")</f>
        <v>PEYAD</v>
      </c>
      <c r="M598" t="str">
        <f ca="1">IFERROR(__xludf.DUMMYFUNCTION("""COMPUTED_VALUE"""),"I Accept")</f>
        <v>I Accept</v>
      </c>
      <c r="N598" s="4">
        <f ca="1">IFERROR(__xludf.DUMMYFUNCTION("""COMPUTED_VALUE"""),43190)</f>
        <v>43190</v>
      </c>
      <c r="O598" s="4">
        <f ca="1">IFERROR(__xludf.DUMMYFUNCTION("""COMPUTED_VALUE"""),43190)</f>
        <v>43190</v>
      </c>
      <c r="P598">
        <f ca="1">IFERROR(__xludf.DUMMYFUNCTION("""COMPUTED_VALUE"""),2)</f>
        <v>2</v>
      </c>
      <c r="Q598" t="str">
        <f ca="1">IFERROR(__xludf.DUMMYFUNCTION("""COMPUTED_VALUE"""),"jose.dilip@gmail.com")</f>
        <v>jose.dilip@gmail.com</v>
      </c>
      <c r="R598" s="2" t="s">
        <v>3012</v>
      </c>
    </row>
    <row r="599" spans="1:18" ht="13" x14ac:dyDescent="0.15">
      <c r="A599" s="3">
        <f ca="1">IFERROR(__xludf.DUMMYFUNCTION("""COMPUTED_VALUE"""),43236.4260500115)</f>
        <v>43236.426050011498</v>
      </c>
      <c r="B599" t="str">
        <f ca="1">IFERROR(__xludf.DUMMYFUNCTION("""COMPUTED_VALUE"""),"muhamadsalim1974@gmail.com")</f>
        <v>muhamadsalim1974@gmail.com</v>
      </c>
      <c r="C599">
        <f ca="1">IFERROR(__xludf.DUMMYFUNCTION("""COMPUTED_VALUE"""),1047)</f>
        <v>1047</v>
      </c>
      <c r="D599" t="str">
        <f ca="1">IFERROR(__xludf.DUMMYFUNCTION("""COMPUTED_VALUE"""),"MOHAMAD SALIM K")</f>
        <v>MOHAMAD SALIM K</v>
      </c>
      <c r="E599">
        <f ca="1">IFERROR(__xludf.DUMMYFUNCTION("""COMPUTED_VALUE"""),9562233099)</f>
        <v>9562233099</v>
      </c>
      <c r="F599" t="str">
        <f ca="1">IFERROR(__xludf.DUMMYFUNCTION("""COMPUTED_VALUE"""),"Kozhikode")</f>
        <v>Kozhikode</v>
      </c>
      <c r="G599" t="str">
        <f ca="1">IFERROR(__xludf.DUMMYFUNCTION("""COMPUTED_VALUE"""),"Reecco Energy India Pvt Ltd")</f>
        <v>Reecco Energy India Pvt Ltd</v>
      </c>
      <c r="H599">
        <f ca="1">IFERROR(__xludf.DUMMYFUNCTION("""COMPUTED_VALUE"""),47)</f>
        <v>47</v>
      </c>
      <c r="I599" s="4">
        <f ca="1">IFERROR(__xludf.DUMMYFUNCTION("""COMPUTED_VALUE"""),43235)</f>
        <v>43235</v>
      </c>
      <c r="J599">
        <f ca="1">IFERROR(__xludf.DUMMYFUNCTION("""COMPUTED_VALUE"""),3)</f>
        <v>3</v>
      </c>
      <c r="K599">
        <f ca="1">IFERROR(__xludf.DUMMYFUNCTION("""COMPUTED_VALUE"""),1165951035189)</f>
        <v>1165951035189</v>
      </c>
      <c r="L599" t="str">
        <f ca="1">IFERROR(__xludf.DUMMYFUNCTION("""COMPUTED_VALUE"""),"Kovoor")</f>
        <v>Kovoor</v>
      </c>
      <c r="M599" t="str">
        <f ca="1">IFERROR(__xludf.DUMMYFUNCTION("""COMPUTED_VALUE"""),"I Accept")</f>
        <v>I Accept</v>
      </c>
      <c r="N599" s="4">
        <f ca="1">IFERROR(__xludf.DUMMYFUNCTION("""COMPUTED_VALUE"""),43227)</f>
        <v>43227</v>
      </c>
      <c r="O599" s="4">
        <f ca="1">IFERROR(__xludf.DUMMYFUNCTION("""COMPUTED_VALUE"""),43227)</f>
        <v>43227</v>
      </c>
      <c r="P599">
        <f ca="1">IFERROR(__xludf.DUMMYFUNCTION("""COMPUTED_VALUE"""),3)</f>
        <v>3</v>
      </c>
      <c r="Q599" t="str">
        <f ca="1">IFERROR(__xludf.DUMMYFUNCTION("""COMPUTED_VALUE"""),"muhamadsalim1974@gmail.com")</f>
        <v>muhamadsalim1974@gmail.com</v>
      </c>
      <c r="R599" s="2" t="s">
        <v>3013</v>
      </c>
    </row>
    <row r="600" spans="1:18" ht="13" x14ac:dyDescent="0.15">
      <c r="A600" s="3">
        <f ca="1">IFERROR(__xludf.DUMMYFUNCTION("""COMPUTED_VALUE"""),43236.5694087615)</f>
        <v>43236.569408761497</v>
      </c>
      <c r="B600" t="str">
        <f ca="1">IFERROR(__xludf.DUMMYFUNCTION("""COMPUTED_VALUE"""),"vivekkuthanazhi@gmail.com")</f>
        <v>vivekkuthanazhi@gmail.com</v>
      </c>
      <c r="C600">
        <f ca="1">IFERROR(__xludf.DUMMYFUNCTION("""COMPUTED_VALUE"""),902)</f>
        <v>902</v>
      </c>
      <c r="D600" t="str">
        <f ca="1">IFERROR(__xludf.DUMMYFUNCTION("""COMPUTED_VALUE"""),"P. Sreeramakrishnan")</f>
        <v>P. Sreeramakrishnan</v>
      </c>
      <c r="E600">
        <f ca="1">IFERROR(__xludf.DUMMYFUNCTION("""COMPUTED_VALUE"""),9446336196)</f>
        <v>9446336196</v>
      </c>
      <c r="F600" t="str">
        <f ca="1">IFERROR(__xludf.DUMMYFUNCTION("""COMPUTED_VALUE"""),"Malappuram")</f>
        <v>Malappuram</v>
      </c>
      <c r="G600" t="str">
        <f ca="1">IFERROR(__xludf.DUMMYFUNCTION("""COMPUTED_VALUE"""),"RAIDCO KERALA LTD.")</f>
        <v>RAIDCO KERALA LTD.</v>
      </c>
      <c r="H600">
        <f ca="1">IFERROR(__xludf.DUMMYFUNCTION("""COMPUTED_VALUE"""),69)</f>
        <v>69</v>
      </c>
      <c r="I600" s="4">
        <f ca="1">IFERROR(__xludf.DUMMYFUNCTION("""COMPUTED_VALUE"""),43220)</f>
        <v>43220</v>
      </c>
      <c r="J600">
        <f ca="1">IFERROR(__xludf.DUMMYFUNCTION("""COMPUTED_VALUE"""),3)</f>
        <v>3</v>
      </c>
      <c r="K600">
        <f ca="1">IFERROR(__xludf.DUMMYFUNCTION("""COMPUTED_VALUE"""),1165628038591)</f>
        <v>1165628038591</v>
      </c>
      <c r="L600" t="str">
        <f ca="1">IFERROR(__xludf.DUMMYFUNCTION("""COMPUTED_VALUE"""),"PERINTHALMANNA")</f>
        <v>PERINTHALMANNA</v>
      </c>
      <c r="M600" t="str">
        <f ca="1">IFERROR(__xludf.DUMMYFUNCTION("""COMPUTED_VALUE"""),"I Accept")</f>
        <v>I Accept</v>
      </c>
      <c r="N600" s="4">
        <f ca="1">IFERROR(__xludf.DUMMYFUNCTION("""COMPUTED_VALUE"""),43218)</f>
        <v>43218</v>
      </c>
      <c r="O600" s="4">
        <f ca="1">IFERROR(__xludf.DUMMYFUNCTION("""COMPUTED_VALUE"""),43218)</f>
        <v>43218</v>
      </c>
      <c r="P600">
        <f ca="1">IFERROR(__xludf.DUMMYFUNCTION("""COMPUTED_VALUE"""),3)</f>
        <v>3</v>
      </c>
      <c r="Q600" t="str">
        <f ca="1">IFERROR(__xludf.DUMMYFUNCTION("""COMPUTED_VALUE"""),"vivekkuthanazhi@gmail.com")</f>
        <v>vivekkuthanazhi@gmail.com</v>
      </c>
      <c r="R600" s="2" t="s">
        <v>3014</v>
      </c>
    </row>
    <row r="601" spans="1:18" ht="13" x14ac:dyDescent="0.15">
      <c r="A601" s="3">
        <f ca="1">IFERROR(__xludf.DUMMYFUNCTION("""COMPUTED_VALUE"""),43236.5936870023)</f>
        <v>43236.5936870023</v>
      </c>
      <c r="B601" t="str">
        <f ca="1">IFERROR(__xludf.DUMMYFUNCTION("""COMPUTED_VALUE"""),"solarconnect2018@gmail.com")</f>
        <v>solarconnect2018@gmail.com</v>
      </c>
      <c r="C601">
        <f ca="1">IFERROR(__xludf.DUMMYFUNCTION("""COMPUTED_VALUE"""),723)</f>
        <v>723</v>
      </c>
      <c r="D601" t="str">
        <f ca="1">IFERROR(__xludf.DUMMYFUNCTION("""COMPUTED_VALUE"""),"DR SHYAM MOHAN ")</f>
        <v xml:space="preserve">DR SHYAM MOHAN </v>
      </c>
      <c r="E601">
        <f ca="1">IFERROR(__xludf.DUMMYFUNCTION("""COMPUTED_VALUE"""),9895227420)</f>
        <v>9895227420</v>
      </c>
      <c r="F601" t="str">
        <f ca="1">IFERROR(__xludf.DUMMYFUNCTION("""COMPUTED_VALUE"""),"Kannur")</f>
        <v>Kannur</v>
      </c>
      <c r="G601" t="str">
        <f ca="1">IFERROR(__xludf.DUMMYFUNCTION("""COMPUTED_VALUE"""),"SPECTRUM TECHNO PRODUCTS")</f>
        <v>SPECTRUM TECHNO PRODUCTS</v>
      </c>
      <c r="H601">
        <f ca="1">IFERROR(__xludf.DUMMYFUNCTION("""COMPUTED_VALUE"""),66)</f>
        <v>66</v>
      </c>
      <c r="I601" s="4">
        <f ca="1">IFERROR(__xludf.DUMMYFUNCTION("""COMPUTED_VALUE"""),43234)</f>
        <v>43234</v>
      </c>
      <c r="J601">
        <f ca="1">IFERROR(__xludf.DUMMYFUNCTION("""COMPUTED_VALUE"""),3)</f>
        <v>3</v>
      </c>
      <c r="K601">
        <f ca="1">IFERROR(__xludf.DUMMYFUNCTION("""COMPUTED_VALUE"""),1166687020869)</f>
        <v>1166687020869</v>
      </c>
      <c r="L601" t="str">
        <f ca="1">IFERROR(__xludf.DUMMYFUNCTION("""COMPUTED_VALUE"""),"THALASSERY SOUTH")</f>
        <v>THALASSERY SOUTH</v>
      </c>
      <c r="M601" t="str">
        <f ca="1">IFERROR(__xludf.DUMMYFUNCTION("""COMPUTED_VALUE"""),"I Accept")</f>
        <v>I Accept</v>
      </c>
      <c r="N601" s="4">
        <f ca="1">IFERROR(__xludf.DUMMYFUNCTION("""COMPUTED_VALUE"""),43194)</f>
        <v>43194</v>
      </c>
      <c r="O601" s="4">
        <f ca="1">IFERROR(__xludf.DUMMYFUNCTION("""COMPUTED_VALUE"""),43194)</f>
        <v>43194</v>
      </c>
      <c r="P601">
        <f ca="1">IFERROR(__xludf.DUMMYFUNCTION("""COMPUTED_VALUE"""),3)</f>
        <v>3</v>
      </c>
      <c r="Q601" t="str">
        <f ca="1">IFERROR(__xludf.DUMMYFUNCTION("""COMPUTED_VALUE"""),"solarconnect2018@gmail.com")</f>
        <v>solarconnect2018@gmail.com</v>
      </c>
      <c r="R601" s="2" t="s">
        <v>3015</v>
      </c>
    </row>
    <row r="602" spans="1:18" ht="13" x14ac:dyDescent="0.15">
      <c r="A602" s="3">
        <f ca="1">IFERROR(__xludf.DUMMYFUNCTION("""COMPUTED_VALUE"""),43236.6066230555)</f>
        <v>43236.606623055501</v>
      </c>
      <c r="B602" t="str">
        <f ca="1">IFERROR(__xludf.DUMMYFUNCTION("""COMPUTED_VALUE"""),"solarconnect2018@gmail.com")</f>
        <v>solarconnect2018@gmail.com</v>
      </c>
      <c r="C602">
        <f ca="1">IFERROR(__xludf.DUMMYFUNCTION("""COMPUTED_VALUE"""),577)</f>
        <v>577</v>
      </c>
      <c r="D602" t="str">
        <f ca="1">IFERROR(__xludf.DUMMYFUNCTION("""COMPUTED_VALUE"""),"DR MURALIGOPAL P")</f>
        <v>DR MURALIGOPAL P</v>
      </c>
      <c r="E602">
        <f ca="1">IFERROR(__xludf.DUMMYFUNCTION("""COMPUTED_VALUE"""),9447151788)</f>
        <v>9447151788</v>
      </c>
      <c r="F602" t="str">
        <f ca="1">IFERROR(__xludf.DUMMYFUNCTION("""COMPUTED_VALUE"""),"Kannur")</f>
        <v>Kannur</v>
      </c>
      <c r="G602" t="str">
        <f ca="1">IFERROR(__xludf.DUMMYFUNCTION("""COMPUTED_VALUE"""),"SPECTRUM TECHNO PRODUCTS")</f>
        <v>SPECTRUM TECHNO PRODUCTS</v>
      </c>
      <c r="H602">
        <f ca="1">IFERROR(__xludf.DUMMYFUNCTION("""COMPUTED_VALUE"""),66)</f>
        <v>66</v>
      </c>
      <c r="I602" s="4">
        <f ca="1">IFERROR(__xludf.DUMMYFUNCTION("""COMPUTED_VALUE"""),43210)</f>
        <v>43210</v>
      </c>
      <c r="J602">
        <f ca="1">IFERROR(__xludf.DUMMYFUNCTION("""COMPUTED_VALUE"""),5)</f>
        <v>5</v>
      </c>
      <c r="K602">
        <f ca="1">IFERROR(__xludf.DUMMYFUNCTION("""COMPUTED_VALUE"""),1166585020061)</f>
        <v>1166585020061</v>
      </c>
      <c r="L602" t="str">
        <f ca="1">IFERROR(__xludf.DUMMYFUNCTION("""COMPUTED_VALUE"""),"KADACHIRA")</f>
        <v>KADACHIRA</v>
      </c>
      <c r="M602" t="str">
        <f ca="1">IFERROR(__xludf.DUMMYFUNCTION("""COMPUTED_VALUE"""),"I Accept")</f>
        <v>I Accept</v>
      </c>
      <c r="N602" s="4">
        <f ca="1">IFERROR(__xludf.DUMMYFUNCTION("""COMPUTED_VALUE"""),43175)</f>
        <v>43175</v>
      </c>
      <c r="O602" s="4">
        <f ca="1">IFERROR(__xludf.DUMMYFUNCTION("""COMPUTED_VALUE"""),43175)</f>
        <v>43175</v>
      </c>
      <c r="P602">
        <f ca="1">IFERROR(__xludf.DUMMYFUNCTION("""COMPUTED_VALUE"""),5)</f>
        <v>5</v>
      </c>
      <c r="Q602" t="str">
        <f ca="1">IFERROR(__xludf.DUMMYFUNCTION("""COMPUTED_VALUE"""),"solarconnect2018@gmail.com")</f>
        <v>solarconnect2018@gmail.com</v>
      </c>
      <c r="R602" s="2" t="s">
        <v>3016</v>
      </c>
    </row>
    <row r="603" spans="1:18" ht="13" x14ac:dyDescent="0.15">
      <c r="A603" s="3">
        <f ca="1">IFERROR(__xludf.DUMMYFUNCTION("""COMPUTED_VALUE"""),43236.6247304398)</f>
        <v>43236.624730439798</v>
      </c>
      <c r="B603" t="str">
        <f ca="1">IFERROR(__xludf.DUMMYFUNCTION("""COMPUTED_VALUE"""),"solarconnect2018@gmail.com")</f>
        <v>solarconnect2018@gmail.com</v>
      </c>
      <c r="C603">
        <f ca="1">IFERROR(__xludf.DUMMYFUNCTION("""COMPUTED_VALUE"""),629)</f>
        <v>629</v>
      </c>
      <c r="D603" t="str">
        <f ca="1">IFERROR(__xludf.DUMMYFUNCTION("""COMPUTED_VALUE"""),"MANI M M")</f>
        <v>MANI M M</v>
      </c>
      <c r="E603">
        <f ca="1">IFERROR(__xludf.DUMMYFUNCTION("""COMPUTED_VALUE"""),9447883221)</f>
        <v>9447883221</v>
      </c>
      <c r="F603" t="str">
        <f ca="1">IFERROR(__xludf.DUMMYFUNCTION("""COMPUTED_VALUE"""),"Kannur")</f>
        <v>Kannur</v>
      </c>
      <c r="G603" t="str">
        <f ca="1">IFERROR(__xludf.DUMMYFUNCTION("""COMPUTED_VALUE"""),"SPECTRUM TECHNO PRODUCTS")</f>
        <v>SPECTRUM TECHNO PRODUCTS</v>
      </c>
      <c r="H603">
        <f ca="1">IFERROR(__xludf.DUMMYFUNCTION("""COMPUTED_VALUE"""),66)</f>
        <v>66</v>
      </c>
      <c r="I603" s="4">
        <f ca="1">IFERROR(__xludf.DUMMYFUNCTION("""COMPUTED_VALUE"""),43234)</f>
        <v>43234</v>
      </c>
      <c r="J603">
        <f ca="1">IFERROR(__xludf.DUMMYFUNCTION("""COMPUTED_VALUE"""),3)</f>
        <v>3</v>
      </c>
      <c r="K603">
        <f ca="1">IFERROR(__xludf.DUMMYFUNCTION("""COMPUTED_VALUE"""),1166801003655)</f>
        <v>1166801003655</v>
      </c>
      <c r="L603" t="str">
        <f ca="1">IFERROR(__xludf.DUMMYFUNCTION("""COMPUTED_VALUE"""),"KUTHUPARAMBA")</f>
        <v>KUTHUPARAMBA</v>
      </c>
      <c r="M603" t="str">
        <f ca="1">IFERROR(__xludf.DUMMYFUNCTION("""COMPUTED_VALUE"""),"I Accept")</f>
        <v>I Accept</v>
      </c>
      <c r="N603" s="4">
        <f ca="1">IFERROR(__xludf.DUMMYFUNCTION("""COMPUTED_VALUE"""),43183)</f>
        <v>43183</v>
      </c>
      <c r="O603" s="4">
        <f ca="1">IFERROR(__xludf.DUMMYFUNCTION("""COMPUTED_VALUE"""),43183)</f>
        <v>43183</v>
      </c>
      <c r="P603">
        <f ca="1">IFERROR(__xludf.DUMMYFUNCTION("""COMPUTED_VALUE"""),3)</f>
        <v>3</v>
      </c>
      <c r="Q603" t="str">
        <f ca="1">IFERROR(__xludf.DUMMYFUNCTION("""COMPUTED_VALUE"""),"solarconnect2018@gmail.com")</f>
        <v>solarconnect2018@gmail.com</v>
      </c>
      <c r="R603" s="2" t="s">
        <v>3017</v>
      </c>
    </row>
    <row r="604" spans="1:18" ht="13" x14ac:dyDescent="0.15">
      <c r="A604" s="3">
        <f ca="1">IFERROR(__xludf.DUMMYFUNCTION("""COMPUTED_VALUE"""),43236.6297268402)</f>
        <v>43236.629726840198</v>
      </c>
      <c r="B604" t="str">
        <f ca="1">IFERROR(__xludf.DUMMYFUNCTION("""COMPUTED_VALUE"""),"suncitycustomercare@gmail.com")</f>
        <v>suncitycustomercare@gmail.com</v>
      </c>
      <c r="C604">
        <f ca="1">IFERROR(__xludf.DUMMYFUNCTION("""COMPUTED_VALUE"""),1061)</f>
        <v>1061</v>
      </c>
      <c r="D604" t="str">
        <f ca="1">IFERROR(__xludf.DUMMYFUNCTION("""COMPUTED_VALUE"""),"MOHANAN T.K.")</f>
        <v>MOHANAN T.K.</v>
      </c>
      <c r="E604">
        <f ca="1">IFERROR(__xludf.DUMMYFUNCTION("""COMPUTED_VALUE"""),8943555146)</f>
        <v>8943555146</v>
      </c>
      <c r="F604" t="str">
        <f ca="1">IFERROR(__xludf.DUMMYFUNCTION("""COMPUTED_VALUE"""),"Thrissur")</f>
        <v>Thrissur</v>
      </c>
      <c r="G604" t="str">
        <f ca="1">IFERROR(__xludf.DUMMYFUNCTION("""COMPUTED_VALUE"""),"TATA POWER SOLAR SYSTEMS LIMITED")</f>
        <v>TATA POWER SOLAR SYSTEMS LIMITED</v>
      </c>
      <c r="H604">
        <f ca="1">IFERROR(__xludf.DUMMYFUNCTION("""COMPUTED_VALUE"""),20)</f>
        <v>20</v>
      </c>
      <c r="I604" s="4">
        <f ca="1">IFERROR(__xludf.DUMMYFUNCTION("""COMPUTED_VALUE"""),43195)</f>
        <v>43195</v>
      </c>
      <c r="J604">
        <f ca="1">IFERROR(__xludf.DUMMYFUNCTION("""COMPUTED_VALUE"""),3)</f>
        <v>3</v>
      </c>
      <c r="K604">
        <f ca="1">IFERROR(__xludf.DUMMYFUNCTION("""COMPUTED_VALUE"""),1156771021009)</f>
        <v>1156771021009</v>
      </c>
      <c r="L604" t="str">
        <f ca="1">IFERROR(__xludf.DUMMYFUNCTION("""COMPUTED_VALUE"""),"NADATHARA")</f>
        <v>NADATHARA</v>
      </c>
      <c r="M604" t="str">
        <f ca="1">IFERROR(__xludf.DUMMYFUNCTION("""COMPUTED_VALUE"""),"I Accept")</f>
        <v>I Accept</v>
      </c>
      <c r="N604" s="4">
        <f ca="1">IFERROR(__xludf.DUMMYFUNCTION("""COMPUTED_VALUE"""),43225)</f>
        <v>43225</v>
      </c>
      <c r="O604" s="4">
        <f ca="1">IFERROR(__xludf.DUMMYFUNCTION("""COMPUTED_VALUE"""),43225)</f>
        <v>43225</v>
      </c>
      <c r="P604">
        <f ca="1">IFERROR(__xludf.DUMMYFUNCTION("""COMPUTED_VALUE"""),3)</f>
        <v>3</v>
      </c>
      <c r="Q604" t="str">
        <f ca="1">IFERROR(__xludf.DUMMYFUNCTION("""COMPUTED_VALUE"""),"suncitycustomercare@gmail.com")</f>
        <v>suncitycustomercare@gmail.com</v>
      </c>
      <c r="R604" s="2" t="s">
        <v>3018</v>
      </c>
    </row>
    <row r="605" spans="1:18" ht="13" x14ac:dyDescent="0.15">
      <c r="A605" s="3">
        <f ca="1">IFERROR(__xludf.DUMMYFUNCTION("""COMPUTED_VALUE"""),43236.6369536458)</f>
        <v>43236.636953645801</v>
      </c>
      <c r="B605" t="str">
        <f ca="1">IFERROR(__xludf.DUMMYFUNCTION("""COMPUTED_VALUE"""),"solarconnect2018@gmail.com")</f>
        <v>solarconnect2018@gmail.com</v>
      </c>
      <c r="C605">
        <f ca="1">IFERROR(__xludf.DUMMYFUNCTION("""COMPUTED_VALUE"""),988)</f>
        <v>988</v>
      </c>
      <c r="D605" t="str">
        <f ca="1">IFERROR(__xludf.DUMMYFUNCTION("""COMPUTED_VALUE"""),"DR PRASANTH K")</f>
        <v>DR PRASANTH K</v>
      </c>
      <c r="E605">
        <f ca="1">IFERROR(__xludf.DUMMYFUNCTION("""COMPUTED_VALUE"""),9947778014)</f>
        <v>9947778014</v>
      </c>
      <c r="F605" t="str">
        <f ca="1">IFERROR(__xludf.DUMMYFUNCTION("""COMPUTED_VALUE"""),"Kannur")</f>
        <v>Kannur</v>
      </c>
      <c r="G605" t="str">
        <f ca="1">IFERROR(__xludf.DUMMYFUNCTION("""COMPUTED_VALUE"""),"SPECTRUM TECHNO PRODUCTS")</f>
        <v>SPECTRUM TECHNO PRODUCTS</v>
      </c>
      <c r="H605">
        <f ca="1">IFERROR(__xludf.DUMMYFUNCTION("""COMPUTED_VALUE"""),66)</f>
        <v>66</v>
      </c>
      <c r="I605" s="4">
        <f ca="1">IFERROR(__xludf.DUMMYFUNCTION("""COMPUTED_VALUE"""),43234)</f>
        <v>43234</v>
      </c>
      <c r="J605">
        <f ca="1">IFERROR(__xludf.DUMMYFUNCTION("""COMPUTED_VALUE"""),5)</f>
        <v>5</v>
      </c>
      <c r="K605">
        <f ca="1">IFERROR(__xludf.DUMMYFUNCTION("""COMPUTED_VALUE"""),1166543023522)</f>
        <v>1166543023522</v>
      </c>
      <c r="L605" t="str">
        <f ca="1">IFERROR(__xludf.DUMMYFUNCTION("""COMPUTED_VALUE"""),"KANNUR")</f>
        <v>KANNUR</v>
      </c>
      <c r="M605" t="str">
        <f ca="1">IFERROR(__xludf.DUMMYFUNCTION("""COMPUTED_VALUE"""),"I Accept")</f>
        <v>I Accept</v>
      </c>
      <c r="N605" s="4">
        <f ca="1">IFERROR(__xludf.DUMMYFUNCTION("""COMPUTED_VALUE"""),43197)</f>
        <v>43197</v>
      </c>
      <c r="O605" s="4">
        <f ca="1">IFERROR(__xludf.DUMMYFUNCTION("""COMPUTED_VALUE"""),219609)</f>
        <v>219609</v>
      </c>
      <c r="P605">
        <f ca="1">IFERROR(__xludf.DUMMYFUNCTION("""COMPUTED_VALUE"""),5)</f>
        <v>5</v>
      </c>
      <c r="Q605" t="str">
        <f ca="1">IFERROR(__xludf.DUMMYFUNCTION("""COMPUTED_VALUE"""),"solarconnect2018@gmail.com")</f>
        <v>solarconnect2018@gmail.com</v>
      </c>
      <c r="R605" s="2" t="s">
        <v>3019</v>
      </c>
    </row>
    <row r="606" spans="1:18" ht="13" x14ac:dyDescent="0.15">
      <c r="A606" s="3">
        <f ca="1">IFERROR(__xludf.DUMMYFUNCTION("""COMPUTED_VALUE"""),43236.6938351504)</f>
        <v>43236.6938351504</v>
      </c>
      <c r="B606" t="str">
        <f ca="1">IFERROR(__xludf.DUMMYFUNCTION("""COMPUTED_VALUE"""),"solarconnect2018@gmail.com")</f>
        <v>solarconnect2018@gmail.com</v>
      </c>
      <c r="C606">
        <f ca="1">IFERROR(__xludf.DUMMYFUNCTION("""COMPUTED_VALUE"""),676)</f>
        <v>676</v>
      </c>
      <c r="D606" t="str">
        <f ca="1">IFERROR(__xludf.DUMMYFUNCTION("""COMPUTED_VALUE"""),"T MANOHARAN NAIR")</f>
        <v>T MANOHARAN NAIR</v>
      </c>
      <c r="E606">
        <f ca="1">IFERROR(__xludf.DUMMYFUNCTION("""COMPUTED_VALUE"""),9497849643)</f>
        <v>9497849643</v>
      </c>
      <c r="F606" t="str">
        <f ca="1">IFERROR(__xludf.DUMMYFUNCTION("""COMPUTED_VALUE"""),"Thiruvananthapuram")</f>
        <v>Thiruvananthapuram</v>
      </c>
      <c r="G606" t="str">
        <f ca="1">IFERROR(__xludf.DUMMYFUNCTION("""COMPUTED_VALUE"""),"SPECTRUM TECHNO PRODUCTS")</f>
        <v>SPECTRUM TECHNO PRODUCTS</v>
      </c>
      <c r="H606">
        <f ca="1">IFERROR(__xludf.DUMMYFUNCTION("""COMPUTED_VALUE"""),66)</f>
        <v>66</v>
      </c>
      <c r="I606" s="4">
        <f ca="1">IFERROR(__xludf.DUMMYFUNCTION("""COMPUTED_VALUE"""),43218)</f>
        <v>43218</v>
      </c>
      <c r="J606">
        <f ca="1">IFERROR(__xludf.DUMMYFUNCTION("""COMPUTED_VALUE"""),3)</f>
        <v>3</v>
      </c>
      <c r="K606">
        <f ca="1">IFERROR(__xludf.DUMMYFUNCTION("""COMPUTED_VALUE"""),1145118010573)</f>
        <v>1145118010573</v>
      </c>
      <c r="L606" t="str">
        <f ca="1">IFERROR(__xludf.DUMMYFUNCTION("""COMPUTED_VALUE"""),"THIRUMALA")</f>
        <v>THIRUMALA</v>
      </c>
      <c r="M606" t="str">
        <f ca="1">IFERROR(__xludf.DUMMYFUNCTION("""COMPUTED_VALUE"""),"I Accept")</f>
        <v>I Accept</v>
      </c>
      <c r="N606" s="4">
        <f ca="1">IFERROR(__xludf.DUMMYFUNCTION("""COMPUTED_VALUE"""),43195)</f>
        <v>43195</v>
      </c>
      <c r="O606" s="4">
        <f ca="1">IFERROR(__xludf.DUMMYFUNCTION("""COMPUTED_VALUE"""),43195)</f>
        <v>43195</v>
      </c>
      <c r="P606">
        <f ca="1">IFERROR(__xludf.DUMMYFUNCTION("""COMPUTED_VALUE"""),3)</f>
        <v>3</v>
      </c>
      <c r="Q606" t="str">
        <f ca="1">IFERROR(__xludf.DUMMYFUNCTION("""COMPUTED_VALUE"""),"solarconnect2018@gmail.com")</f>
        <v>solarconnect2018@gmail.com</v>
      </c>
      <c r="R606" s="2" t="s">
        <v>3020</v>
      </c>
    </row>
    <row r="607" spans="1:18" ht="13" x14ac:dyDescent="0.15">
      <c r="A607" s="3">
        <f ca="1">IFERROR(__xludf.DUMMYFUNCTION("""COMPUTED_VALUE"""),43236.7900268634)</f>
        <v>43236.790026863397</v>
      </c>
      <c r="B607" t="str">
        <f ca="1">IFERROR(__xludf.DUMMYFUNCTION("""COMPUTED_VALUE"""),"shajiats1728@gmail.com")</f>
        <v>shajiats1728@gmail.com</v>
      </c>
      <c r="C607">
        <f ca="1">IFERROR(__xludf.DUMMYFUNCTION("""COMPUTED_VALUE"""),617)</f>
        <v>617</v>
      </c>
      <c r="D607" t="str">
        <f ca="1">IFERROR(__xludf.DUMMYFUNCTION("""COMPUTED_VALUE"""),"Shaji")</f>
        <v>Shaji</v>
      </c>
      <c r="E607">
        <f ca="1">IFERROR(__xludf.DUMMYFUNCTION("""COMPUTED_VALUE"""),9447721952)</f>
        <v>9447721952</v>
      </c>
      <c r="F607" t="str">
        <f ca="1">IFERROR(__xludf.DUMMYFUNCTION("""COMPUTED_VALUE"""),"Ernakulam")</f>
        <v>Ernakulam</v>
      </c>
      <c r="G607" t="str">
        <f ca="1">IFERROR(__xludf.DUMMYFUNCTION("""COMPUTED_VALUE"""),"INDEX INFORMATICS SYSTEMS PVT LTD")</f>
        <v>INDEX INFORMATICS SYSTEMS PVT LTD</v>
      </c>
      <c r="H607">
        <f ca="1">IFERROR(__xludf.DUMMYFUNCTION("""COMPUTED_VALUE"""),12)</f>
        <v>12</v>
      </c>
      <c r="I607" s="4">
        <f ca="1">IFERROR(__xludf.DUMMYFUNCTION("""COMPUTED_VALUE"""),43184)</f>
        <v>43184</v>
      </c>
      <c r="J607">
        <f ca="1">IFERROR(__xludf.DUMMYFUNCTION("""COMPUTED_VALUE"""),2)</f>
        <v>2</v>
      </c>
      <c r="K607">
        <f ca="1">IFERROR(__xludf.DUMMYFUNCTION("""COMPUTED_VALUE"""),1155517011334)</f>
        <v>1155517011334</v>
      </c>
      <c r="L607" t="str">
        <f ca="1">IFERROR(__xludf.DUMMYFUNCTION("""COMPUTED_VALUE"""),"Chottanikkara")</f>
        <v>Chottanikkara</v>
      </c>
      <c r="M607" t="str">
        <f ca="1">IFERROR(__xludf.DUMMYFUNCTION("""COMPUTED_VALUE"""),"I Accept")</f>
        <v>I Accept</v>
      </c>
      <c r="N607" s="4">
        <f ca="1">IFERROR(__xludf.DUMMYFUNCTION("""COMPUTED_VALUE"""),43202)</f>
        <v>43202</v>
      </c>
      <c r="O607" s="4">
        <f ca="1">IFERROR(__xludf.DUMMYFUNCTION("""COMPUTED_VALUE"""),43202)</f>
        <v>43202</v>
      </c>
      <c r="P607">
        <f ca="1">IFERROR(__xludf.DUMMYFUNCTION("""COMPUTED_VALUE"""),2)</f>
        <v>2</v>
      </c>
      <c r="Q607" t="str">
        <f ca="1">IFERROR(__xludf.DUMMYFUNCTION("""COMPUTED_VALUE"""),"info.indexinformatics@gmail.com")</f>
        <v>info.indexinformatics@gmail.com</v>
      </c>
      <c r="R607" s="2" t="s">
        <v>3021</v>
      </c>
    </row>
    <row r="608" spans="1:18" ht="13" x14ac:dyDescent="0.15">
      <c r="A608" s="3">
        <f ca="1">IFERROR(__xludf.DUMMYFUNCTION("""COMPUTED_VALUE"""),43237.2171078009)</f>
        <v>43237.217107800898</v>
      </c>
      <c r="B608" t="str">
        <f ca="1">IFERROR(__xludf.DUMMYFUNCTION("""COMPUTED_VALUE"""),"saji_sini@yahoo.com")</f>
        <v>saji_sini@yahoo.com</v>
      </c>
      <c r="C608">
        <f ca="1">IFERROR(__xludf.DUMMYFUNCTION("""COMPUTED_VALUE"""),1020)</f>
        <v>1020</v>
      </c>
      <c r="D608" t="str">
        <f ca="1">IFERROR(__xludf.DUMMYFUNCTION("""COMPUTED_VALUE"""),"SAJI NALLAPRAMBIL IGNATIUS")</f>
        <v>SAJI NALLAPRAMBIL IGNATIUS</v>
      </c>
      <c r="E608">
        <f ca="1">IFERROR(__xludf.DUMMYFUNCTION("""COMPUTED_VALUE"""),9048319134)</f>
        <v>9048319134</v>
      </c>
      <c r="F608" t="str">
        <f ca="1">IFERROR(__xludf.DUMMYFUNCTION("""COMPUTED_VALUE"""),"Thiruvananthapuram")</f>
        <v>Thiruvananthapuram</v>
      </c>
      <c r="G608" t="str">
        <f ca="1">IFERROR(__xludf.DUMMYFUNCTION("""COMPUTED_VALUE"""),"Wattsun Energy India  (P)  Ltd")</f>
        <v>Wattsun Energy India  (P)  Ltd</v>
      </c>
      <c r="H608">
        <f ca="1">IFERROR(__xludf.DUMMYFUNCTION("""COMPUTED_VALUE"""),54)</f>
        <v>54</v>
      </c>
      <c r="I608" s="4">
        <f ca="1">IFERROR(__xludf.DUMMYFUNCTION("""COMPUTED_VALUE"""),43229)</f>
        <v>43229</v>
      </c>
      <c r="J608">
        <f ca="1">IFERROR(__xludf.DUMMYFUNCTION("""COMPUTED_VALUE"""),3)</f>
        <v>3</v>
      </c>
      <c r="K608">
        <f ca="1">IFERROR(__xludf.DUMMYFUNCTION("""COMPUTED_VALUE"""),1145143005747)</f>
        <v>1145143005747</v>
      </c>
      <c r="L608" t="str">
        <f ca="1">IFERROR(__xludf.DUMMYFUNCTION("""COMPUTED_VALUE"""),"Pettah (4514)")</f>
        <v>Pettah (4514)</v>
      </c>
      <c r="M608" t="str">
        <f ca="1">IFERROR(__xludf.DUMMYFUNCTION("""COMPUTED_VALUE"""),"I Accept")</f>
        <v>I Accept</v>
      </c>
      <c r="N608" s="4">
        <f ca="1">IFERROR(__xludf.DUMMYFUNCTION("""COMPUTED_VALUE"""),43220)</f>
        <v>43220</v>
      </c>
      <c r="O608" s="4">
        <f ca="1">IFERROR(__xludf.DUMMYFUNCTION("""COMPUTED_VALUE"""),43220)</f>
        <v>43220</v>
      </c>
      <c r="P608">
        <f ca="1">IFERROR(__xludf.DUMMYFUNCTION("""COMPUTED_VALUE"""),3)</f>
        <v>3</v>
      </c>
      <c r="Q608" t="str">
        <f ca="1">IFERROR(__xludf.DUMMYFUNCTION("""COMPUTED_VALUE"""),"saji.ignatius@gmail.com")</f>
        <v>saji.ignatius@gmail.com</v>
      </c>
      <c r="R608" s="2" t="s">
        <v>3022</v>
      </c>
    </row>
    <row r="609" spans="1:18" ht="13" x14ac:dyDescent="0.15">
      <c r="A609" s="3">
        <f ca="1">IFERROR(__xludf.DUMMYFUNCTION("""COMPUTED_VALUE"""),43237.5115683101)</f>
        <v>43237.511568310103</v>
      </c>
      <c r="B609" t="str">
        <f ca="1">IFERROR(__xludf.DUMMYFUNCTION("""COMPUTED_VALUE"""),"joyjosephptkl@gmail.com")</f>
        <v>joyjosephptkl@gmail.com</v>
      </c>
      <c r="C609">
        <f ca="1">IFERROR(__xludf.DUMMYFUNCTION("""COMPUTED_VALUE"""),1092)</f>
        <v>1092</v>
      </c>
      <c r="D609" t="str">
        <f ca="1">IFERROR(__xludf.DUMMYFUNCTION("""COMPUTED_VALUE"""),"Joy Joseph")</f>
        <v>Joy Joseph</v>
      </c>
      <c r="E609">
        <f ca="1">IFERROR(__xludf.DUMMYFUNCTION("""COMPUTED_VALUE"""),9562233099)</f>
        <v>9562233099</v>
      </c>
      <c r="F609" t="str">
        <f ca="1">IFERROR(__xludf.DUMMYFUNCTION("""COMPUTED_VALUE"""),"Ernakulam")</f>
        <v>Ernakulam</v>
      </c>
      <c r="G609" t="str">
        <f ca="1">IFERROR(__xludf.DUMMYFUNCTION("""COMPUTED_VALUE"""),"Reecco Energy India Pvt. Ltd.")</f>
        <v>Reecco Energy India Pvt. Ltd.</v>
      </c>
      <c r="H609">
        <f ca="1">IFERROR(__xludf.DUMMYFUNCTION("""COMPUTED_VALUE"""),47)</f>
        <v>47</v>
      </c>
      <c r="I609" s="4">
        <f ca="1">IFERROR(__xludf.DUMMYFUNCTION("""COMPUTED_VALUE"""),43236)</f>
        <v>43236</v>
      </c>
      <c r="J609">
        <f ca="1">IFERROR(__xludf.DUMMYFUNCTION("""COMPUTED_VALUE"""),3)</f>
        <v>3</v>
      </c>
      <c r="K609">
        <f ca="1">IFERROR(__xludf.DUMMYFUNCTION("""COMPUTED_VALUE"""),1157522005041)</f>
        <v>1157522005041</v>
      </c>
      <c r="L609" t="str">
        <f ca="1">IFERROR(__xludf.DUMMYFUNCTION("""COMPUTED_VALUE"""),"Manjalloor")</f>
        <v>Manjalloor</v>
      </c>
      <c r="M609" t="str">
        <f ca="1">IFERROR(__xludf.DUMMYFUNCTION("""COMPUTED_VALUE"""),"I Accept")</f>
        <v>I Accept</v>
      </c>
      <c r="N609" s="4">
        <f ca="1">IFERROR(__xludf.DUMMYFUNCTION("""COMPUTED_VALUE"""),43234)</f>
        <v>43234</v>
      </c>
      <c r="O609" s="4">
        <f ca="1">IFERROR(__xludf.DUMMYFUNCTION("""COMPUTED_VALUE"""),43234)</f>
        <v>43234</v>
      </c>
      <c r="P609">
        <f ca="1">IFERROR(__xludf.DUMMYFUNCTION("""COMPUTED_VALUE"""),5)</f>
        <v>5</v>
      </c>
      <c r="Q609" t="str">
        <f ca="1">IFERROR(__xludf.DUMMYFUNCTION("""COMPUTED_VALUE"""),"joyjosephptkl@gmail.com")</f>
        <v>joyjosephptkl@gmail.com</v>
      </c>
      <c r="R609" s="2" t="s">
        <v>3023</v>
      </c>
    </row>
    <row r="610" spans="1:18" ht="13" x14ac:dyDescent="0.15">
      <c r="A610" s="3">
        <f ca="1">IFERROR(__xludf.DUMMYFUNCTION("""COMPUTED_VALUE"""),43237.5888132523)</f>
        <v>43237.588813252303</v>
      </c>
      <c r="B610" t="str">
        <f ca="1">IFERROR(__xludf.DUMMYFUNCTION("""COMPUTED_VALUE"""),"noorakshaya@gmail.com")</f>
        <v>noorakshaya@gmail.com</v>
      </c>
      <c r="C610">
        <f ca="1">IFERROR(__xludf.DUMMYFUNCTION("""COMPUTED_VALUE"""),1017)</f>
        <v>1017</v>
      </c>
      <c r="D610" t="str">
        <f ca="1">IFERROR(__xludf.DUMMYFUNCTION("""COMPUTED_VALUE"""),"R Girija")</f>
        <v>R Girija</v>
      </c>
      <c r="E610">
        <f ca="1">IFERROR(__xludf.DUMMYFUNCTION("""COMPUTED_VALUE"""),9645322229)</f>
        <v>9645322229</v>
      </c>
      <c r="F610" t="str">
        <f ca="1">IFERROR(__xludf.DUMMYFUNCTION("""COMPUTED_VALUE"""),"Kollam")</f>
        <v>Kollam</v>
      </c>
      <c r="G610" t="str">
        <f ca="1">IFERROR(__xludf.DUMMYFUNCTION("""COMPUTED_VALUE"""),"Renergy Systems India Pvt Ltd")</f>
        <v>Renergy Systems India Pvt Ltd</v>
      </c>
      <c r="H610">
        <f ca="1">IFERROR(__xludf.DUMMYFUNCTION("""COMPUTED_VALUE"""),38)</f>
        <v>38</v>
      </c>
      <c r="I610" s="4">
        <f ca="1">IFERROR(__xludf.DUMMYFUNCTION("""COMPUTED_VALUE"""),43237)</f>
        <v>43237</v>
      </c>
      <c r="J610">
        <f ca="1">IFERROR(__xludf.DUMMYFUNCTION("""COMPUTED_VALUE"""),2)</f>
        <v>2</v>
      </c>
      <c r="K610">
        <f ca="1">IFERROR(__xludf.DUMMYFUNCTION("""COMPUTED_VALUE"""),1145608005413)</f>
        <v>1145608005413</v>
      </c>
      <c r="L610" t="str">
        <f ca="1">IFERROR(__xludf.DUMMYFUNCTION("""COMPUTED_VALUE"""),"Olai")</f>
        <v>Olai</v>
      </c>
      <c r="M610" t="str">
        <f ca="1">IFERROR(__xludf.DUMMYFUNCTION("""COMPUTED_VALUE"""),"I Accept")</f>
        <v>I Accept</v>
      </c>
      <c r="N610" s="4">
        <f ca="1">IFERROR(__xludf.DUMMYFUNCTION("""COMPUTED_VALUE"""),43237)</f>
        <v>43237</v>
      </c>
      <c r="O610" s="4">
        <f ca="1">IFERROR(__xludf.DUMMYFUNCTION("""COMPUTED_VALUE"""),43237)</f>
        <v>43237</v>
      </c>
      <c r="P610">
        <f ca="1">IFERROR(__xludf.DUMMYFUNCTION("""COMPUTED_VALUE"""),2)</f>
        <v>2</v>
      </c>
      <c r="Q610" t="str">
        <f ca="1">IFERROR(__xludf.DUMMYFUNCTION("""COMPUTED_VALUE"""),"noorakshaya@gmail.com")</f>
        <v>noorakshaya@gmail.com</v>
      </c>
      <c r="R610" s="2" t="s">
        <v>3024</v>
      </c>
    </row>
    <row r="611" spans="1:18" ht="13" x14ac:dyDescent="0.15">
      <c r="A611" s="3">
        <f ca="1">IFERROR(__xludf.DUMMYFUNCTION("""COMPUTED_VALUE"""),43237.6546260763)</f>
        <v>43237.654626076299</v>
      </c>
      <c r="B611" t="str">
        <f ca="1">IFERROR(__xludf.DUMMYFUNCTION("""COMPUTED_VALUE"""),"nestromarketing@gmail.com")</f>
        <v>nestromarketing@gmail.com</v>
      </c>
      <c r="C611">
        <f ca="1">IFERROR(__xludf.DUMMYFUNCTION("""COMPUTED_VALUE"""),996)</f>
        <v>996</v>
      </c>
      <c r="D611" t="str">
        <f ca="1">IFERROR(__xludf.DUMMYFUNCTION("""COMPUTED_VALUE"""),"MOHAMMED RAFI KAIDAKATH")</f>
        <v>MOHAMMED RAFI KAIDAKATH</v>
      </c>
      <c r="E611">
        <f ca="1">IFERROR(__xludf.DUMMYFUNCTION("""COMPUTED_VALUE"""),9142099977)</f>
        <v>9142099977</v>
      </c>
      <c r="F611" t="str">
        <f ca="1">IFERROR(__xludf.DUMMYFUNCTION("""COMPUTED_VALUE"""),"Malappuram")</f>
        <v>Malappuram</v>
      </c>
      <c r="G611" t="str">
        <f ca="1">IFERROR(__xludf.DUMMYFUNCTION("""COMPUTED_VALUE"""),"NESTRO MARKETING LLP")</f>
        <v>NESTRO MARKETING LLP</v>
      </c>
      <c r="H611">
        <f ca="1">IFERROR(__xludf.DUMMYFUNCTION("""COMPUTED_VALUE"""),14)</f>
        <v>14</v>
      </c>
      <c r="I611" s="4">
        <f ca="1">IFERROR(__xludf.DUMMYFUNCTION("""COMPUTED_VALUE"""),43237)</f>
        <v>43237</v>
      </c>
      <c r="J611">
        <f ca="1">IFERROR(__xludf.DUMMYFUNCTION("""COMPUTED_VALUE"""),3)</f>
        <v>3</v>
      </c>
      <c r="K611">
        <f ca="1">IFERROR(__xludf.DUMMYFUNCTION("""COMPUTED_VALUE"""),1167390021307)</f>
        <v>1167390021307</v>
      </c>
      <c r="L611" t="str">
        <f ca="1">IFERROR(__xludf.DUMMYFUNCTION("""COMPUTED_VALUE"""),"KUNNUMPURAM (AR NAGAR)  (6739)")</f>
        <v>KUNNUMPURAM (AR NAGAR)  (6739)</v>
      </c>
      <c r="M611" t="str">
        <f ca="1">IFERROR(__xludf.DUMMYFUNCTION("""COMPUTED_VALUE"""),"I Accept")</f>
        <v>I Accept</v>
      </c>
      <c r="N611" s="4">
        <f ca="1">IFERROR(__xludf.DUMMYFUNCTION("""COMPUTED_VALUE"""),43236)</f>
        <v>43236</v>
      </c>
      <c r="O611" s="4">
        <f ca="1">IFERROR(__xludf.DUMMYFUNCTION("""COMPUTED_VALUE"""),43236)</f>
        <v>43236</v>
      </c>
      <c r="P611">
        <f ca="1">IFERROR(__xludf.DUMMYFUNCTION("""COMPUTED_VALUE"""),3)</f>
        <v>3</v>
      </c>
      <c r="Q611" t="str">
        <f ca="1">IFERROR(__xludf.DUMMYFUNCTION("""COMPUTED_VALUE"""),"nestromarketing@gmail.com")</f>
        <v>nestromarketing@gmail.com</v>
      </c>
      <c r="R611" s="2" t="s">
        <v>3025</v>
      </c>
    </row>
    <row r="612" spans="1:18" ht="13" x14ac:dyDescent="0.15">
      <c r="A612" s="3">
        <f ca="1">IFERROR(__xludf.DUMMYFUNCTION("""COMPUTED_VALUE"""),43237.6887410995)</f>
        <v>43237.688741099497</v>
      </c>
      <c r="B612" t="str">
        <f ca="1">IFERROR(__xludf.DUMMYFUNCTION("""COMPUTED_VALUE"""),"info@wattsun.in")</f>
        <v>info@wattsun.in</v>
      </c>
      <c r="C612">
        <f ca="1">IFERROR(__xludf.DUMMYFUNCTION("""COMPUTED_VALUE"""),672)</f>
        <v>672</v>
      </c>
      <c r="D612" t="str">
        <f ca="1">IFERROR(__xludf.DUMMYFUNCTION("""COMPUTED_VALUE"""),"UNNI SANKAR")</f>
        <v>UNNI SANKAR</v>
      </c>
      <c r="E612">
        <f ca="1">IFERROR(__xludf.DUMMYFUNCTION("""COMPUTED_VALUE"""),9072666513)</f>
        <v>9072666513</v>
      </c>
      <c r="F612" t="str">
        <f ca="1">IFERROR(__xludf.DUMMYFUNCTION("""COMPUTED_VALUE"""),"Thiruvananthapuram")</f>
        <v>Thiruvananthapuram</v>
      </c>
      <c r="G612" t="str">
        <f ca="1">IFERROR(__xludf.DUMMYFUNCTION("""COMPUTED_VALUE"""),"Wattsun Energy India Private Limited")</f>
        <v>Wattsun Energy India Private Limited</v>
      </c>
      <c r="H612">
        <f ca="1">IFERROR(__xludf.DUMMYFUNCTION("""COMPUTED_VALUE"""),54)</f>
        <v>54</v>
      </c>
      <c r="I612" s="4">
        <f ca="1">IFERROR(__xludf.DUMMYFUNCTION("""COMPUTED_VALUE"""),43237)</f>
        <v>43237</v>
      </c>
      <c r="J612">
        <f ca="1">IFERROR(__xludf.DUMMYFUNCTION("""COMPUTED_VALUE"""),3)</f>
        <v>3</v>
      </c>
      <c r="K612">
        <f ca="1">IFERROR(__xludf.DUMMYFUNCTION("""COMPUTED_VALUE"""),1145195019659)</f>
        <v>1145195019659</v>
      </c>
      <c r="L612" t="str">
        <f ca="1">IFERROR(__xludf.DUMMYFUNCTION("""COMPUTED_VALUE"""),"Sreekariyam")</f>
        <v>Sreekariyam</v>
      </c>
      <c r="M612" t="str">
        <f ca="1">IFERROR(__xludf.DUMMYFUNCTION("""COMPUTED_VALUE"""),"I Accept")</f>
        <v>I Accept</v>
      </c>
      <c r="N612" s="4">
        <f ca="1">IFERROR(__xludf.DUMMYFUNCTION("""COMPUTED_VALUE"""),43211)</f>
        <v>43211</v>
      </c>
      <c r="O612" s="4">
        <f ca="1">IFERROR(__xludf.DUMMYFUNCTION("""COMPUTED_VALUE"""),43211)</f>
        <v>43211</v>
      </c>
      <c r="P612">
        <f ca="1">IFERROR(__xludf.DUMMYFUNCTION("""COMPUTED_VALUE"""),3)</f>
        <v>3</v>
      </c>
      <c r="Q612" t="str">
        <f ca="1">IFERROR(__xludf.DUMMYFUNCTION("""COMPUTED_VALUE"""),"info@wattsun.in")</f>
        <v>info@wattsun.in</v>
      </c>
      <c r="R612" s="2" t="s">
        <v>3026</v>
      </c>
    </row>
    <row r="613" spans="1:18" ht="13" x14ac:dyDescent="0.15">
      <c r="A613" s="3">
        <f ca="1">IFERROR(__xludf.DUMMYFUNCTION("""COMPUTED_VALUE"""),43237.7321758449)</f>
        <v>43237.732175844903</v>
      </c>
      <c r="B613" t="str">
        <f ca="1">IFERROR(__xludf.DUMMYFUNCTION("""COMPUTED_VALUE"""),"sabeenashamil@gamil.com")</f>
        <v>sabeenashamil@gamil.com</v>
      </c>
      <c r="C613">
        <f ca="1">IFERROR(__xludf.DUMMYFUNCTION("""COMPUTED_VALUE"""),565)</f>
        <v>565</v>
      </c>
      <c r="D613" t="str">
        <f ca="1">IFERROR(__xludf.DUMMYFUNCTION("""COMPUTED_VALUE"""),"KASSIM.V")</f>
        <v>KASSIM.V</v>
      </c>
      <c r="E613">
        <f ca="1">IFERROR(__xludf.DUMMYFUNCTION("""COMPUTED_VALUE"""),9496962302)</f>
        <v>9496962302</v>
      </c>
      <c r="F613" t="str">
        <f ca="1">IFERROR(__xludf.DUMMYFUNCTION("""COMPUTED_VALUE"""),"Palakkad")</f>
        <v>Palakkad</v>
      </c>
      <c r="G613" t="str">
        <f ca="1">IFERROR(__xludf.DUMMYFUNCTION("""COMPUTED_VALUE"""),"TATA POWER SOLAR SYSTEMS LIMITED")</f>
        <v>TATA POWER SOLAR SYSTEMS LIMITED</v>
      </c>
      <c r="H613">
        <f ca="1">IFERROR(__xludf.DUMMYFUNCTION("""COMPUTED_VALUE"""),20)</f>
        <v>20</v>
      </c>
      <c r="I613" s="4">
        <f ca="1">IFERROR(__xludf.DUMMYFUNCTION("""COMPUTED_VALUE"""),43215)</f>
        <v>43215</v>
      </c>
      <c r="J613">
        <f ca="1">IFERROR(__xludf.DUMMYFUNCTION("""COMPUTED_VALUE"""),3)</f>
        <v>3</v>
      </c>
      <c r="K613">
        <f ca="1">IFERROR(__xludf.DUMMYFUNCTION("""COMPUTED_VALUE"""),1165330024222)</f>
        <v>1165330024222</v>
      </c>
      <c r="L613" t="str">
        <f ca="1">IFERROR(__xludf.DUMMYFUNCTION("""COMPUTED_VALUE"""),"OTTAPPALAM")</f>
        <v>OTTAPPALAM</v>
      </c>
      <c r="M613" t="str">
        <f ca="1">IFERROR(__xludf.DUMMYFUNCTION("""COMPUTED_VALUE"""),"I Accept")</f>
        <v>I Accept</v>
      </c>
      <c r="N613" s="4">
        <f ca="1">IFERROR(__xludf.DUMMYFUNCTION("""COMPUTED_VALUE"""),43235)</f>
        <v>43235</v>
      </c>
      <c r="O613" s="4">
        <f ca="1">IFERROR(__xludf.DUMMYFUNCTION("""COMPUTED_VALUE"""),43235)</f>
        <v>43235</v>
      </c>
      <c r="P613">
        <f ca="1">IFERROR(__xludf.DUMMYFUNCTION("""COMPUTED_VALUE"""),3)</f>
        <v>3</v>
      </c>
      <c r="Q613" t="str">
        <f ca="1">IFERROR(__xludf.DUMMYFUNCTION("""COMPUTED_VALUE"""),"sabeenashamil@gamil.com")</f>
        <v>sabeenashamil@gamil.com</v>
      </c>
      <c r="R613" s="2" t="s">
        <v>3027</v>
      </c>
    </row>
    <row r="614" spans="1:18" ht="13" x14ac:dyDescent="0.15">
      <c r="A614" s="3">
        <f ca="1">IFERROR(__xludf.DUMMYFUNCTION("""COMPUTED_VALUE"""),43238.3924021527)</f>
        <v>43238.392402152698</v>
      </c>
      <c r="B614" t="str">
        <f ca="1">IFERROR(__xludf.DUMMYFUNCTION("""COMPUTED_VALUE"""),"solarconnect2018@gmail.com")</f>
        <v>solarconnect2018@gmail.com</v>
      </c>
      <c r="C614">
        <f ca="1">IFERROR(__xludf.DUMMYFUNCTION("""COMPUTED_VALUE"""),423)</f>
        <v>423</v>
      </c>
      <c r="D614" t="str">
        <f ca="1">IFERROR(__xludf.DUMMYFUNCTION("""COMPUTED_VALUE"""),"ANTONY A M")</f>
        <v>ANTONY A M</v>
      </c>
      <c r="E614">
        <f ca="1">IFERROR(__xludf.DUMMYFUNCTION("""COMPUTED_VALUE"""),9447437852)</f>
        <v>9447437852</v>
      </c>
      <c r="F614" t="str">
        <f ca="1">IFERROR(__xludf.DUMMYFUNCTION("""COMPUTED_VALUE"""),"Wayanad")</f>
        <v>Wayanad</v>
      </c>
      <c r="G614" t="str">
        <f ca="1">IFERROR(__xludf.DUMMYFUNCTION("""COMPUTED_VALUE"""),"SPECTRUM TECHNO PRODUCTS")</f>
        <v>SPECTRUM TECHNO PRODUCTS</v>
      </c>
      <c r="H614">
        <f ca="1">IFERROR(__xludf.DUMMYFUNCTION("""COMPUTED_VALUE"""),66)</f>
        <v>66</v>
      </c>
      <c r="I614" s="4">
        <f ca="1">IFERROR(__xludf.DUMMYFUNCTION("""COMPUTED_VALUE"""),43235)</f>
        <v>43235</v>
      </c>
      <c r="J614">
        <f ca="1">IFERROR(__xludf.DUMMYFUNCTION("""COMPUTED_VALUE"""),2)</f>
        <v>2</v>
      </c>
      <c r="K614">
        <f ca="1">IFERROR(__xludf.DUMMYFUNCTION("""COMPUTED_VALUE"""),1165891026301)</f>
        <v>1165891026301</v>
      </c>
      <c r="L614" t="str">
        <f ca="1">IFERROR(__xludf.DUMMYFUNCTION("""COMPUTED_VALUE"""),"MANANTHAVADY")</f>
        <v>MANANTHAVADY</v>
      </c>
      <c r="M614" t="str">
        <f ca="1">IFERROR(__xludf.DUMMYFUNCTION("""COMPUTED_VALUE"""),"I Accept")</f>
        <v>I Accept</v>
      </c>
      <c r="N614" s="4">
        <f ca="1">IFERROR(__xludf.DUMMYFUNCTION("""COMPUTED_VALUE"""),43173)</f>
        <v>43173</v>
      </c>
      <c r="O614" s="4">
        <f ca="1">IFERROR(__xludf.DUMMYFUNCTION("""COMPUTED_VALUE"""),43173)</f>
        <v>43173</v>
      </c>
      <c r="P614">
        <f ca="1">IFERROR(__xludf.DUMMYFUNCTION("""COMPUTED_VALUE"""),2)</f>
        <v>2</v>
      </c>
      <c r="Q614" t="str">
        <f ca="1">IFERROR(__xludf.DUMMYFUNCTION("""COMPUTED_VALUE"""),"solarconnect2018@gmail.com")</f>
        <v>solarconnect2018@gmail.com</v>
      </c>
      <c r="R614" s="2" t="s">
        <v>3028</v>
      </c>
    </row>
    <row r="615" spans="1:18" ht="13" x14ac:dyDescent="0.15">
      <c r="A615" s="3">
        <f ca="1">IFERROR(__xludf.DUMMYFUNCTION("""COMPUTED_VALUE"""),43238.4298053124)</f>
        <v>43238.4298053124</v>
      </c>
      <c r="B615" t="str">
        <f ca="1">IFERROR(__xludf.DUMMYFUNCTION("""COMPUTED_VALUE"""),"info@wattsun.in")</f>
        <v>info@wattsun.in</v>
      </c>
      <c r="C615">
        <f ca="1">IFERROR(__xludf.DUMMYFUNCTION("""COMPUTED_VALUE"""),903)</f>
        <v>903</v>
      </c>
      <c r="D615" t="str">
        <f ca="1">IFERROR(__xludf.DUMMYFUNCTION("""COMPUTED_VALUE"""),"Suchith S B")</f>
        <v>Suchith S B</v>
      </c>
      <c r="E615">
        <f ca="1">IFERROR(__xludf.DUMMYFUNCTION("""COMPUTED_VALUE"""),9072666513)</f>
        <v>9072666513</v>
      </c>
      <c r="F615" t="str">
        <f ca="1">IFERROR(__xludf.DUMMYFUNCTION("""COMPUTED_VALUE"""),"Thiruvananthapuram")</f>
        <v>Thiruvananthapuram</v>
      </c>
      <c r="G615" t="str">
        <f ca="1">IFERROR(__xludf.DUMMYFUNCTION("""COMPUTED_VALUE"""),"Wattsun Energy India Private Limited")</f>
        <v>Wattsun Energy India Private Limited</v>
      </c>
      <c r="H615">
        <f ca="1">IFERROR(__xludf.DUMMYFUNCTION("""COMPUTED_VALUE"""),54)</f>
        <v>54</v>
      </c>
      <c r="I615" s="4">
        <f ca="1">IFERROR(__xludf.DUMMYFUNCTION("""COMPUTED_VALUE"""),43238)</f>
        <v>43238</v>
      </c>
      <c r="J615">
        <f ca="1">IFERROR(__xludf.DUMMYFUNCTION("""COMPUTED_VALUE"""),5)</f>
        <v>5</v>
      </c>
      <c r="K615">
        <f ca="1">IFERROR(__xludf.DUMMYFUNCTION("""COMPUTED_VALUE"""),1145183024685)</f>
        <v>1145183024685</v>
      </c>
      <c r="L615" t="str">
        <f ca="1">IFERROR(__xludf.DUMMYFUNCTION("""COMPUTED_VALUE"""),"Nalanchira")</f>
        <v>Nalanchira</v>
      </c>
      <c r="M615" t="str">
        <f ca="1">IFERROR(__xludf.DUMMYFUNCTION("""COMPUTED_VALUE"""),"I Accept")</f>
        <v>I Accept</v>
      </c>
      <c r="N615" s="4">
        <f ca="1">IFERROR(__xludf.DUMMYFUNCTION("""COMPUTED_VALUE"""),43208)</f>
        <v>43208</v>
      </c>
      <c r="O615" s="4">
        <f ca="1">IFERROR(__xludf.DUMMYFUNCTION("""COMPUTED_VALUE"""),43208)</f>
        <v>43208</v>
      </c>
      <c r="P615">
        <f ca="1">IFERROR(__xludf.DUMMYFUNCTION("""COMPUTED_VALUE"""),5)</f>
        <v>5</v>
      </c>
      <c r="Q615" t="str">
        <f ca="1">IFERROR(__xludf.DUMMYFUNCTION("""COMPUTED_VALUE"""),"info@wattsun.in")</f>
        <v>info@wattsun.in</v>
      </c>
      <c r="R615" s="2" t="s">
        <v>3029</v>
      </c>
    </row>
    <row r="616" spans="1:18" ht="13" x14ac:dyDescent="0.15">
      <c r="A616" s="3">
        <f ca="1">IFERROR(__xludf.DUMMYFUNCTION("""COMPUTED_VALUE"""),43238.4473799768)</f>
        <v>43238.447379976802</v>
      </c>
      <c r="B616" t="str">
        <f ca="1">IFERROR(__xludf.DUMMYFUNCTION("""COMPUTED_VALUE"""),"info@wattsun.in")</f>
        <v>info@wattsun.in</v>
      </c>
      <c r="C616">
        <f ca="1">IFERROR(__xludf.DUMMYFUNCTION("""COMPUTED_VALUE"""),1020)</f>
        <v>1020</v>
      </c>
      <c r="D616" t="str">
        <f ca="1">IFERROR(__xludf.DUMMYFUNCTION("""COMPUTED_VALUE"""),"SAJI NALLAPARAMBIL  IGNATIUS ")</f>
        <v xml:space="preserve">SAJI NALLAPARAMBIL  IGNATIUS </v>
      </c>
      <c r="E616">
        <f ca="1">IFERROR(__xludf.DUMMYFUNCTION("""COMPUTED_VALUE"""),9072666513)</f>
        <v>9072666513</v>
      </c>
      <c r="F616" t="str">
        <f ca="1">IFERROR(__xludf.DUMMYFUNCTION("""COMPUTED_VALUE"""),"Thiruvananthapuram")</f>
        <v>Thiruvananthapuram</v>
      </c>
      <c r="G616" t="str">
        <f ca="1">IFERROR(__xludf.DUMMYFUNCTION("""COMPUTED_VALUE"""),"Wattsun Energy India Private Limited")</f>
        <v>Wattsun Energy India Private Limited</v>
      </c>
      <c r="H616">
        <f ca="1">IFERROR(__xludf.DUMMYFUNCTION("""COMPUTED_VALUE"""),54)</f>
        <v>54</v>
      </c>
      <c r="I616" s="4">
        <f ca="1">IFERROR(__xludf.DUMMYFUNCTION("""COMPUTED_VALUE"""),43238)</f>
        <v>43238</v>
      </c>
      <c r="J616">
        <f ca="1">IFERROR(__xludf.DUMMYFUNCTION("""COMPUTED_VALUE"""),3)</f>
        <v>3</v>
      </c>
      <c r="K616">
        <f ca="1">IFERROR(__xludf.DUMMYFUNCTION("""COMPUTED_VALUE"""),1145143005747)</f>
        <v>1145143005747</v>
      </c>
      <c r="L616" t="str">
        <f ca="1">IFERROR(__xludf.DUMMYFUNCTION("""COMPUTED_VALUE"""),"Petttah")</f>
        <v>Petttah</v>
      </c>
      <c r="M616" t="str">
        <f ca="1">IFERROR(__xludf.DUMMYFUNCTION("""COMPUTED_VALUE"""),"I Accept")</f>
        <v>I Accept</v>
      </c>
      <c r="N616" s="4">
        <f ca="1">IFERROR(__xludf.DUMMYFUNCTION("""COMPUTED_VALUE"""),43218)</f>
        <v>43218</v>
      </c>
      <c r="O616" s="4">
        <f ca="1">IFERROR(__xludf.DUMMYFUNCTION("""COMPUTED_VALUE"""),43218)</f>
        <v>43218</v>
      </c>
      <c r="P616">
        <f ca="1">IFERROR(__xludf.DUMMYFUNCTION("""COMPUTED_VALUE"""),3)</f>
        <v>3</v>
      </c>
      <c r="Q616" t="str">
        <f ca="1">IFERROR(__xludf.DUMMYFUNCTION("""COMPUTED_VALUE"""),"info@wattsun.in")</f>
        <v>info@wattsun.in</v>
      </c>
      <c r="R616" s="2" t="s">
        <v>3030</v>
      </c>
    </row>
    <row r="617" spans="1:18" ht="13" x14ac:dyDescent="0.15">
      <c r="A617" s="3">
        <f ca="1">IFERROR(__xludf.DUMMYFUNCTION("""COMPUTED_VALUE"""),43238.4568555092)</f>
        <v>43238.456855509197</v>
      </c>
      <c r="B617" t="str">
        <f ca="1">IFERROR(__xludf.DUMMYFUNCTION("""COMPUTED_VALUE"""),"info@wattsun.in")</f>
        <v>info@wattsun.in</v>
      </c>
      <c r="C617">
        <f ca="1">IFERROR(__xludf.DUMMYFUNCTION("""COMPUTED_VALUE"""),586)</f>
        <v>586</v>
      </c>
      <c r="D617" t="str">
        <f ca="1">IFERROR(__xludf.DUMMYFUNCTION("""COMPUTED_VALUE"""),"N Sadanandan")</f>
        <v>N Sadanandan</v>
      </c>
      <c r="E617">
        <f ca="1">IFERROR(__xludf.DUMMYFUNCTION("""COMPUTED_VALUE"""),9072666513)</f>
        <v>9072666513</v>
      </c>
      <c r="F617" t="str">
        <f ca="1">IFERROR(__xludf.DUMMYFUNCTION("""COMPUTED_VALUE"""),"Thiruvananthapuram")</f>
        <v>Thiruvananthapuram</v>
      </c>
      <c r="G617" t="str">
        <f ca="1">IFERROR(__xludf.DUMMYFUNCTION("""COMPUTED_VALUE"""),"Wattsun Energy India Private Limited")</f>
        <v>Wattsun Energy India Private Limited</v>
      </c>
      <c r="H617">
        <f ca="1">IFERROR(__xludf.DUMMYFUNCTION("""COMPUTED_VALUE"""),54)</f>
        <v>54</v>
      </c>
      <c r="I617" s="4">
        <f ca="1">IFERROR(__xludf.DUMMYFUNCTION("""COMPUTED_VALUE"""),43238)</f>
        <v>43238</v>
      </c>
      <c r="J617">
        <f ca="1">IFERROR(__xludf.DUMMYFUNCTION("""COMPUTED_VALUE"""),2)</f>
        <v>2</v>
      </c>
      <c r="K617">
        <f ca="1">IFERROR(__xludf.DUMMYFUNCTION("""COMPUTED_VALUE"""),1145015005445)</f>
        <v>1145015005445</v>
      </c>
      <c r="L617" t="str">
        <f ca="1">IFERROR(__xludf.DUMMYFUNCTION("""COMPUTED_VALUE"""),"Manacaud")</f>
        <v>Manacaud</v>
      </c>
      <c r="M617" t="str">
        <f ca="1">IFERROR(__xludf.DUMMYFUNCTION("""COMPUTED_VALUE"""),"I Accept")</f>
        <v>I Accept</v>
      </c>
      <c r="N617" s="4">
        <f ca="1">IFERROR(__xludf.DUMMYFUNCTION("""COMPUTED_VALUE"""),43207)</f>
        <v>43207</v>
      </c>
      <c r="O617" s="4">
        <f ca="1">IFERROR(__xludf.DUMMYFUNCTION("""COMPUTED_VALUE"""),43207)</f>
        <v>43207</v>
      </c>
      <c r="P617">
        <f ca="1">IFERROR(__xludf.DUMMYFUNCTION("""COMPUTED_VALUE"""),2)</f>
        <v>2</v>
      </c>
      <c r="Q617" t="str">
        <f ca="1">IFERROR(__xludf.DUMMYFUNCTION("""COMPUTED_VALUE"""),"info@wattsun.in")</f>
        <v>info@wattsun.in</v>
      </c>
      <c r="R617" s="2" t="s">
        <v>3031</v>
      </c>
    </row>
    <row r="618" spans="1:18" ht="13" x14ac:dyDescent="0.15">
      <c r="A618" s="3">
        <f ca="1">IFERROR(__xludf.DUMMYFUNCTION("""COMPUTED_VALUE"""),43238.4815910648)</f>
        <v>43238.481591064803</v>
      </c>
      <c r="B618" t="str">
        <f ca="1">IFERROR(__xludf.DUMMYFUNCTION("""COMPUTED_VALUE"""),"nestromarketing@gmail.com")</f>
        <v>nestromarketing@gmail.com</v>
      </c>
      <c r="C618">
        <f ca="1">IFERROR(__xludf.DUMMYFUNCTION("""COMPUTED_VALUE"""),18)</f>
        <v>18</v>
      </c>
      <c r="D618" t="str">
        <f ca="1">IFERROR(__xludf.DUMMYFUNCTION("""COMPUTED_VALUE"""),"UMAIBA")</f>
        <v>UMAIBA</v>
      </c>
      <c r="E618">
        <f ca="1">IFERROR(__xludf.DUMMYFUNCTION("""COMPUTED_VALUE"""),9142099977)</f>
        <v>9142099977</v>
      </c>
      <c r="F618" t="str">
        <f ca="1">IFERROR(__xludf.DUMMYFUNCTION("""COMPUTED_VALUE"""),"Kozhikode")</f>
        <v>Kozhikode</v>
      </c>
      <c r="G618" t="str">
        <f ca="1">IFERROR(__xludf.DUMMYFUNCTION("""COMPUTED_VALUE"""),"NESTRO MARKETING LLP")</f>
        <v>NESTRO MARKETING LLP</v>
      </c>
      <c r="H618">
        <f ca="1">IFERROR(__xludf.DUMMYFUNCTION("""COMPUTED_VALUE"""),14)</f>
        <v>14</v>
      </c>
      <c r="I618" s="4">
        <f ca="1">IFERROR(__xludf.DUMMYFUNCTION("""COMPUTED_VALUE"""),43238)</f>
        <v>43238</v>
      </c>
      <c r="J618">
        <f ca="1">IFERROR(__xludf.DUMMYFUNCTION("""COMPUTED_VALUE"""),10)</f>
        <v>10</v>
      </c>
      <c r="K618">
        <f ca="1">IFERROR(__xludf.DUMMYFUNCTION("""COMPUTED_VALUE"""),1165980014695)</f>
        <v>1165980014695</v>
      </c>
      <c r="L618" t="str">
        <f ca="1">IFERROR(__xludf.DUMMYFUNCTION("""COMPUTED_VALUE"""),"KARAPARAMBA (6598)")</f>
        <v>KARAPARAMBA (6598)</v>
      </c>
      <c r="M618" t="str">
        <f ca="1">IFERROR(__xludf.DUMMYFUNCTION("""COMPUTED_VALUE"""),"I Accept")</f>
        <v>I Accept</v>
      </c>
      <c r="N618" s="4">
        <f ca="1">IFERROR(__xludf.DUMMYFUNCTION("""COMPUTED_VALUE"""),43236)</f>
        <v>43236</v>
      </c>
      <c r="O618" s="4">
        <f ca="1">IFERROR(__xludf.DUMMYFUNCTION("""COMPUTED_VALUE"""),43236)</f>
        <v>43236</v>
      </c>
      <c r="P618">
        <f ca="1">IFERROR(__xludf.DUMMYFUNCTION("""COMPUTED_VALUE"""),10)</f>
        <v>10</v>
      </c>
      <c r="Q618" t="str">
        <f ca="1">IFERROR(__xludf.DUMMYFUNCTION("""COMPUTED_VALUE"""),"nestromarketing@gmail.com")</f>
        <v>nestromarketing@gmail.com</v>
      </c>
      <c r="R618" s="2" t="s">
        <v>3032</v>
      </c>
    </row>
    <row r="619" spans="1:18" ht="13" x14ac:dyDescent="0.15">
      <c r="A619" s="3">
        <f ca="1">IFERROR(__xludf.DUMMYFUNCTION("""COMPUTED_VALUE"""),43238.4969762847)</f>
        <v>43238.496976284703</v>
      </c>
      <c r="B619" t="str">
        <f ca="1">IFERROR(__xludf.DUMMYFUNCTION("""COMPUTED_VALUE"""),"connectdsk@gmail.com")</f>
        <v>connectdsk@gmail.com</v>
      </c>
      <c r="C619">
        <f ca="1">IFERROR(__xludf.DUMMYFUNCTION("""COMPUTED_VALUE"""),1160)</f>
        <v>1160</v>
      </c>
      <c r="D619" t="str">
        <f ca="1">IFERROR(__xludf.DUMMYFUNCTION("""COMPUTED_VALUE"""),"K SRIKANT")</f>
        <v>K SRIKANT</v>
      </c>
      <c r="E619">
        <f ca="1">IFERROR(__xludf.DUMMYFUNCTION("""COMPUTED_VALUE"""),8547564126)</f>
        <v>8547564126</v>
      </c>
      <c r="F619" t="str">
        <f ca="1">IFERROR(__xludf.DUMMYFUNCTION("""COMPUTED_VALUE"""),"Thiruvananthapuram")</f>
        <v>Thiruvananthapuram</v>
      </c>
      <c r="G619" t="str">
        <f ca="1">IFERROR(__xludf.DUMMYFUNCTION("""COMPUTED_VALUE"""),"FERT")</f>
        <v>FERT</v>
      </c>
      <c r="H619">
        <f ca="1">IFERROR(__xludf.DUMMYFUNCTION("""COMPUTED_VALUE"""),27)</f>
        <v>27</v>
      </c>
      <c r="I619" s="4">
        <f ca="1">IFERROR(__xludf.DUMMYFUNCTION("""COMPUTED_VALUE"""),43231)</f>
        <v>43231</v>
      </c>
      <c r="J619">
        <f ca="1">IFERROR(__xludf.DUMMYFUNCTION("""COMPUTED_VALUE"""),5)</f>
        <v>5</v>
      </c>
      <c r="K619">
        <f ca="1">IFERROR(__xludf.DUMMYFUNCTION("""COMPUTED_VALUE"""),1146764010959)</f>
        <v>1146764010959</v>
      </c>
      <c r="L619" t="str">
        <f ca="1">IFERROR(__xludf.DUMMYFUNCTION("""COMPUTED_VALUE"""),"KUDAPPANAKKUNNU")</f>
        <v>KUDAPPANAKKUNNU</v>
      </c>
      <c r="M619" t="str">
        <f ca="1">IFERROR(__xludf.DUMMYFUNCTION("""COMPUTED_VALUE"""),"I Accept")</f>
        <v>I Accept</v>
      </c>
      <c r="N619" s="4">
        <f ca="1">IFERROR(__xludf.DUMMYFUNCTION("""COMPUTED_VALUE"""),43230)</f>
        <v>43230</v>
      </c>
      <c r="O619" s="4">
        <f ca="1">IFERROR(__xludf.DUMMYFUNCTION("""COMPUTED_VALUE"""),43230)</f>
        <v>43230</v>
      </c>
      <c r="P619">
        <f ca="1">IFERROR(__xludf.DUMMYFUNCTION("""COMPUTED_VALUE"""),5)</f>
        <v>5</v>
      </c>
      <c r="Q619" t="str">
        <f ca="1">IFERROR(__xludf.DUMMYFUNCTION("""COMPUTED_VALUE"""),"connectdsk@gmail.com")</f>
        <v>connectdsk@gmail.com</v>
      </c>
      <c r="R619" s="2" t="s">
        <v>3033</v>
      </c>
    </row>
    <row r="620" spans="1:18" ht="13" x14ac:dyDescent="0.15">
      <c r="A620" s="3">
        <f ca="1">IFERROR(__xludf.DUMMYFUNCTION("""COMPUTED_VALUE"""),43238.5008707175)</f>
        <v>43238.5008707175</v>
      </c>
      <c r="B620" t="str">
        <f ca="1">IFERROR(__xludf.DUMMYFUNCTION("""COMPUTED_VALUE"""),"connectdsk@gmail.com")</f>
        <v>connectdsk@gmail.com</v>
      </c>
      <c r="C620">
        <f ca="1">IFERROR(__xludf.DUMMYFUNCTION("""COMPUTED_VALUE"""),987)</f>
        <v>987</v>
      </c>
      <c r="D620" t="str">
        <f ca="1">IFERROR(__xludf.DUMMYFUNCTION("""COMPUTED_VALUE"""),"K VIDYASAGARAN")</f>
        <v>K VIDYASAGARAN</v>
      </c>
      <c r="E620">
        <f ca="1">IFERROR(__xludf.DUMMYFUNCTION("""COMPUTED_VALUE"""),8547564126)</f>
        <v>8547564126</v>
      </c>
      <c r="F620" t="str">
        <f ca="1">IFERROR(__xludf.DUMMYFUNCTION("""COMPUTED_VALUE"""),"Thrissur")</f>
        <v>Thrissur</v>
      </c>
      <c r="G620" t="str">
        <f ca="1">IFERROR(__xludf.DUMMYFUNCTION("""COMPUTED_VALUE"""),"FERT")</f>
        <v>FERT</v>
      </c>
      <c r="H620">
        <f ca="1">IFERROR(__xludf.DUMMYFUNCTION("""COMPUTED_VALUE"""),27)</f>
        <v>27</v>
      </c>
      <c r="I620" s="4">
        <f ca="1">IFERROR(__xludf.DUMMYFUNCTION("""COMPUTED_VALUE"""),43211)</f>
        <v>43211</v>
      </c>
      <c r="J620">
        <f ca="1">IFERROR(__xludf.DUMMYFUNCTION("""COMPUTED_VALUE"""),3)</f>
        <v>3</v>
      </c>
      <c r="K620">
        <f ca="1">IFERROR(__xludf.DUMMYFUNCTION("""COMPUTED_VALUE"""),1156792006199)</f>
        <v>1156792006199</v>
      </c>
      <c r="L620" t="str">
        <f ca="1">IFERROR(__xludf.DUMMYFUNCTION("""COMPUTED_VALUE"""),"ARIMBOOR")</f>
        <v>ARIMBOOR</v>
      </c>
      <c r="M620" t="str">
        <f ca="1">IFERROR(__xludf.DUMMYFUNCTION("""COMPUTED_VALUE"""),"I Accept")</f>
        <v>I Accept</v>
      </c>
      <c r="N620" s="4">
        <f ca="1">IFERROR(__xludf.DUMMYFUNCTION("""COMPUTED_VALUE"""),43211)</f>
        <v>43211</v>
      </c>
      <c r="O620" s="4">
        <f ca="1">IFERROR(__xludf.DUMMYFUNCTION("""COMPUTED_VALUE"""),43211)</f>
        <v>43211</v>
      </c>
      <c r="P620">
        <f ca="1">IFERROR(__xludf.DUMMYFUNCTION("""COMPUTED_VALUE"""),3)</f>
        <v>3</v>
      </c>
      <c r="Q620" t="str">
        <f ca="1">IFERROR(__xludf.DUMMYFUNCTION("""COMPUTED_VALUE"""),"connectdsk@gmail.com")</f>
        <v>connectdsk@gmail.com</v>
      </c>
      <c r="R620" s="2" t="s">
        <v>3034</v>
      </c>
    </row>
    <row r="621" spans="1:18" ht="13" x14ac:dyDescent="0.15">
      <c r="A621" s="3">
        <f ca="1">IFERROR(__xludf.DUMMYFUNCTION("""COMPUTED_VALUE"""),43238.5288141782)</f>
        <v>43238.5288141782</v>
      </c>
      <c r="B621" t="str">
        <f ca="1">IFERROR(__xludf.DUMMYFUNCTION("""COMPUTED_VALUE"""),"arun8943674152@gmail.com")</f>
        <v>arun8943674152@gmail.com</v>
      </c>
      <c r="C621">
        <f ca="1">IFERROR(__xludf.DUMMYFUNCTION("""COMPUTED_VALUE"""),970)</f>
        <v>970</v>
      </c>
      <c r="D621" t="str">
        <f ca="1">IFERROR(__xludf.DUMMYFUNCTION("""COMPUTED_VALUE"""),"KHALID PM")</f>
        <v>KHALID PM</v>
      </c>
      <c r="E621">
        <f ca="1">IFERROR(__xludf.DUMMYFUNCTION("""COMPUTED_VALUE"""),8943674152)</f>
        <v>8943674152</v>
      </c>
      <c r="F621" t="str">
        <f ca="1">IFERROR(__xludf.DUMMYFUNCTION("""COMPUTED_VALUE"""),"Thrissur")</f>
        <v>Thrissur</v>
      </c>
      <c r="G621" t="str">
        <f ca="1">IFERROR(__xludf.DUMMYFUNCTION("""COMPUTED_VALUE"""),"SOLGEN ENERGY PVT LTD")</f>
        <v>SOLGEN ENERGY PVT LTD</v>
      </c>
      <c r="H621">
        <f ca="1">IFERROR(__xludf.DUMMYFUNCTION("""COMPUTED_VALUE"""),42)</f>
        <v>42</v>
      </c>
      <c r="I621" s="4">
        <f ca="1">IFERROR(__xludf.DUMMYFUNCTION("""COMPUTED_VALUE"""),43230)</f>
        <v>43230</v>
      </c>
      <c r="J621">
        <f ca="1">IFERROR(__xludf.DUMMYFUNCTION("""COMPUTED_VALUE"""),2)</f>
        <v>2</v>
      </c>
      <c r="K621">
        <f ca="1">IFERROR(__xludf.DUMMYFUNCTION("""COMPUTED_VALUE"""),1156811000277)</f>
        <v>1156811000277</v>
      </c>
      <c r="L621" t="str">
        <f ca="1">IFERROR(__xludf.DUMMYFUNCTION("""COMPUTED_VALUE"""),"R V PURAM")</f>
        <v>R V PURAM</v>
      </c>
      <c r="M621" t="str">
        <f ca="1">IFERROR(__xludf.DUMMYFUNCTION("""COMPUTED_VALUE"""),"I Accept")</f>
        <v>I Accept</v>
      </c>
      <c r="N621" s="4">
        <f ca="1">IFERROR(__xludf.DUMMYFUNCTION("""COMPUTED_VALUE"""),43206)</f>
        <v>43206</v>
      </c>
      <c r="O621" s="4">
        <f ca="1">IFERROR(__xludf.DUMMYFUNCTION("""COMPUTED_VALUE"""),43206)</f>
        <v>43206</v>
      </c>
      <c r="P621">
        <f ca="1">IFERROR(__xludf.DUMMYFUNCTION("""COMPUTED_VALUE"""),2)</f>
        <v>2</v>
      </c>
      <c r="Q621" t="str">
        <f ca="1">IFERROR(__xludf.DUMMYFUNCTION("""COMPUTED_VALUE"""),"arun8943674152@gmail.com")</f>
        <v>arun8943674152@gmail.com</v>
      </c>
      <c r="R621" s="2" t="s">
        <v>3035</v>
      </c>
    </row>
    <row r="622" spans="1:18" ht="13" x14ac:dyDescent="0.15">
      <c r="A622" s="3">
        <f ca="1">IFERROR(__xludf.DUMMYFUNCTION("""COMPUTED_VALUE"""),43238.6299768171)</f>
        <v>43238.629976817101</v>
      </c>
      <c r="B622" t="str">
        <f ca="1">IFERROR(__xludf.DUMMYFUNCTION("""COMPUTED_VALUE"""),"contactvinova@gmail.com")</f>
        <v>contactvinova@gmail.com</v>
      </c>
      <c r="C622">
        <f ca="1">IFERROR(__xludf.DUMMYFUNCTION("""COMPUTED_VALUE"""),1127)</f>
        <v>1127</v>
      </c>
      <c r="D622" t="str">
        <f ca="1">IFERROR(__xludf.DUMMYFUNCTION("""COMPUTED_VALUE"""),"Vidyanandan V B")</f>
        <v>Vidyanandan V B</v>
      </c>
      <c r="E622">
        <f ca="1">IFERROR(__xludf.DUMMYFUNCTION("""COMPUTED_VALUE"""),9388155155)</f>
        <v>9388155155</v>
      </c>
      <c r="F622" t="str">
        <f ca="1">IFERROR(__xludf.DUMMYFUNCTION("""COMPUTED_VALUE"""),"Thrissur")</f>
        <v>Thrissur</v>
      </c>
      <c r="G622" t="str">
        <f ca="1">IFERROR(__xludf.DUMMYFUNCTION("""COMPUTED_VALUE"""),"vinova energy systems")</f>
        <v>vinova energy systems</v>
      </c>
      <c r="H622">
        <f ca="1">IFERROR(__xludf.DUMMYFUNCTION("""COMPUTED_VALUE"""),48)</f>
        <v>48</v>
      </c>
      <c r="I622" s="4">
        <f ca="1">IFERROR(__xludf.DUMMYFUNCTION("""COMPUTED_VALUE"""),43234)</f>
        <v>43234</v>
      </c>
      <c r="J622">
        <f ca="1">IFERROR(__xludf.DUMMYFUNCTION("""COMPUTED_VALUE"""),10)</f>
        <v>10</v>
      </c>
      <c r="K622">
        <f ca="1">IFERROR(__xludf.DUMMYFUNCTION("""COMPUTED_VALUE"""),1157161009904)</f>
        <v>1157161009904</v>
      </c>
      <c r="L622" t="str">
        <f ca="1">IFERROR(__xludf.DUMMYFUNCTION("""COMPUTED_VALUE"""),"thalikulam")</f>
        <v>thalikulam</v>
      </c>
      <c r="M622" t="str">
        <f ca="1">IFERROR(__xludf.DUMMYFUNCTION("""COMPUTED_VALUE"""),"I Accept")</f>
        <v>I Accept</v>
      </c>
      <c r="N622" s="4">
        <f ca="1">IFERROR(__xludf.DUMMYFUNCTION("""COMPUTED_VALUE"""),43237)</f>
        <v>43237</v>
      </c>
      <c r="O622" s="4">
        <f ca="1">IFERROR(__xludf.DUMMYFUNCTION("""COMPUTED_VALUE"""),43237)</f>
        <v>43237</v>
      </c>
      <c r="P622">
        <f ca="1">IFERROR(__xludf.DUMMYFUNCTION("""COMPUTED_VALUE"""),10)</f>
        <v>10</v>
      </c>
      <c r="Q622" t="str">
        <f ca="1">IFERROR(__xludf.DUMMYFUNCTION("""COMPUTED_VALUE"""),"contactvinova@gmail.com")</f>
        <v>contactvinova@gmail.com</v>
      </c>
      <c r="R622" s="2" t="s">
        <v>3036</v>
      </c>
    </row>
    <row r="623" spans="1:18" ht="13" x14ac:dyDescent="0.15">
      <c r="A623" s="3">
        <f ca="1">IFERROR(__xludf.DUMMYFUNCTION("""COMPUTED_VALUE"""),43239.4480707523)</f>
        <v>43239.448070752303</v>
      </c>
      <c r="B623" t="str">
        <f ca="1">IFERROR(__xludf.DUMMYFUNCTION("""COMPUTED_VALUE"""),"arunmamachan.prime@gmail.com")</f>
        <v>arunmamachan.prime@gmail.com</v>
      </c>
      <c r="C623">
        <f ca="1">IFERROR(__xludf.DUMMYFUNCTION("""COMPUTED_VALUE"""),768)</f>
        <v>768</v>
      </c>
      <c r="D623" t="str">
        <f ca="1">IFERROR(__xludf.DUMMYFUNCTION("""COMPUTED_VALUE"""),"Samual John")</f>
        <v>Samual John</v>
      </c>
      <c r="E623">
        <f ca="1">IFERROR(__xludf.DUMMYFUNCTION("""COMPUTED_VALUE"""),9446393399)</f>
        <v>9446393399</v>
      </c>
      <c r="F623" t="str">
        <f ca="1">IFERROR(__xludf.DUMMYFUNCTION("""COMPUTED_VALUE"""),"Thiruvananthapuram")</f>
        <v>Thiruvananthapuram</v>
      </c>
      <c r="G623" t="str">
        <f ca="1">IFERROR(__xludf.DUMMYFUNCTION("""COMPUTED_VALUE"""),"RENERGY SYSTEMS INDIA Pvt Ltd")</f>
        <v>RENERGY SYSTEMS INDIA Pvt Ltd</v>
      </c>
      <c r="H623">
        <f ca="1">IFERROR(__xludf.DUMMYFUNCTION("""COMPUTED_VALUE"""),38)</f>
        <v>38</v>
      </c>
      <c r="I623" s="4">
        <f ca="1">IFERROR(__xludf.DUMMYFUNCTION("""COMPUTED_VALUE"""),43242)</f>
        <v>43242</v>
      </c>
      <c r="J623">
        <f ca="1">IFERROR(__xludf.DUMMYFUNCTION("""COMPUTED_VALUE"""),5)</f>
        <v>5</v>
      </c>
      <c r="K623">
        <f ca="1">IFERROR(__xludf.DUMMYFUNCTION("""COMPUTED_VALUE"""),1145079005095)</f>
        <v>1145079005095</v>
      </c>
      <c r="L623" t="str">
        <f ca="1">IFERROR(__xludf.DUMMYFUNCTION("""COMPUTED_VALUE"""),"Vellayambalam")</f>
        <v>Vellayambalam</v>
      </c>
      <c r="M623" t="str">
        <f ca="1">IFERROR(__xludf.DUMMYFUNCTION("""COMPUTED_VALUE"""),"I Accept")</f>
        <v>I Accept</v>
      </c>
      <c r="N623" s="4">
        <f ca="1">IFERROR(__xludf.DUMMYFUNCTION("""COMPUTED_VALUE"""),43210)</f>
        <v>43210</v>
      </c>
      <c r="O623" s="4">
        <f ca="1">IFERROR(__xludf.DUMMYFUNCTION("""COMPUTED_VALUE"""),43210)</f>
        <v>43210</v>
      </c>
      <c r="P623">
        <f ca="1">IFERROR(__xludf.DUMMYFUNCTION("""COMPUTED_VALUE"""),5)</f>
        <v>5</v>
      </c>
      <c r="Q623" t="str">
        <f ca="1">IFERROR(__xludf.DUMMYFUNCTION("""COMPUTED_VALUE"""),"arunmamachan.prime@gmail.com")</f>
        <v>arunmamachan.prime@gmail.com</v>
      </c>
      <c r="R623" s="2" t="s">
        <v>3037</v>
      </c>
    </row>
    <row r="624" spans="1:18" ht="13" x14ac:dyDescent="0.15">
      <c r="A624" s="3">
        <f ca="1">IFERROR(__xludf.DUMMYFUNCTION("""COMPUTED_VALUE"""),43239.4817578819)</f>
        <v>43239.481757881898</v>
      </c>
      <c r="B624" t="str">
        <f ca="1">IFERROR(__xludf.DUMMYFUNCTION("""COMPUTED_VALUE"""),"rahoof0001@gmail.com")</f>
        <v>rahoof0001@gmail.com</v>
      </c>
      <c r="C624">
        <f ca="1">IFERROR(__xludf.DUMMYFUNCTION("""COMPUTED_VALUE"""),370)</f>
        <v>370</v>
      </c>
      <c r="D624" t="str">
        <f ca="1">IFERROR(__xludf.DUMMYFUNCTION("""COMPUTED_VALUE"""),"NEETHU KRISHNA M")</f>
        <v>NEETHU KRISHNA M</v>
      </c>
      <c r="E624">
        <f ca="1">IFERROR(__xludf.DUMMYFUNCTION("""COMPUTED_VALUE"""),7907068863)</f>
        <v>7907068863</v>
      </c>
      <c r="F624" t="str">
        <f ca="1">IFERROR(__xludf.DUMMYFUNCTION("""COMPUTED_VALUE"""),"Thiruvananthapuram")</f>
        <v>Thiruvananthapuram</v>
      </c>
      <c r="G624" t="str">
        <f ca="1">IFERROR(__xludf.DUMMYFUNCTION("""COMPUTED_VALUE"""),"SOLGEN ENERGY PVT LTD")</f>
        <v>SOLGEN ENERGY PVT LTD</v>
      </c>
      <c r="H624">
        <f ca="1">IFERROR(__xludf.DUMMYFUNCTION("""COMPUTED_VALUE"""),42)</f>
        <v>42</v>
      </c>
      <c r="I624" s="4">
        <f ca="1">IFERROR(__xludf.DUMMYFUNCTION("""COMPUTED_VALUE"""),43209)</f>
        <v>43209</v>
      </c>
      <c r="J624">
        <f ca="1">IFERROR(__xludf.DUMMYFUNCTION("""COMPUTED_VALUE"""),5)</f>
        <v>5</v>
      </c>
      <c r="K624">
        <f ca="1">IFERROR(__xludf.DUMMYFUNCTION("""COMPUTED_VALUE"""),1145117006779)</f>
        <v>1145117006779</v>
      </c>
      <c r="L624" t="str">
        <f ca="1">IFERROR(__xludf.DUMMYFUNCTION("""COMPUTED_VALUE"""),"Thirumala")</f>
        <v>Thirumala</v>
      </c>
      <c r="M624" t="str">
        <f ca="1">IFERROR(__xludf.DUMMYFUNCTION("""COMPUTED_VALUE"""),"I Accept")</f>
        <v>I Accept</v>
      </c>
      <c r="N624" s="4">
        <f ca="1">IFERROR(__xludf.DUMMYFUNCTION("""COMPUTED_VALUE"""),43179)</f>
        <v>43179</v>
      </c>
      <c r="O624" s="4">
        <f ca="1">IFERROR(__xludf.DUMMYFUNCTION("""COMPUTED_VALUE"""),43179)</f>
        <v>43179</v>
      </c>
      <c r="P624">
        <f ca="1">IFERROR(__xludf.DUMMYFUNCTION("""COMPUTED_VALUE"""),5)</f>
        <v>5</v>
      </c>
      <c r="Q624" t="str">
        <f ca="1">IFERROR(__xludf.DUMMYFUNCTION("""COMPUTED_VALUE"""),"rahoof0001@gmail.com")</f>
        <v>rahoof0001@gmail.com</v>
      </c>
      <c r="R624" s="2" t="s">
        <v>3038</v>
      </c>
    </row>
    <row r="625" spans="1:18" ht="13" x14ac:dyDescent="0.15">
      <c r="A625" s="3">
        <f ca="1">IFERROR(__xludf.DUMMYFUNCTION("""COMPUTED_VALUE"""),43239.4818982986)</f>
        <v>43239.481898298603</v>
      </c>
      <c r="B625" t="str">
        <f ca="1">IFERROR(__xludf.DUMMYFUNCTION("""COMPUTED_VALUE"""),"rahoof0001@gmail.com")</f>
        <v>rahoof0001@gmail.com</v>
      </c>
      <c r="C625">
        <f ca="1">IFERROR(__xludf.DUMMYFUNCTION("""COMPUTED_VALUE"""),370)</f>
        <v>370</v>
      </c>
      <c r="D625" t="str">
        <f ca="1">IFERROR(__xludf.DUMMYFUNCTION("""COMPUTED_VALUE"""),"NEETHU KRISHNA M")</f>
        <v>NEETHU KRISHNA M</v>
      </c>
      <c r="E625">
        <f ca="1">IFERROR(__xludf.DUMMYFUNCTION("""COMPUTED_VALUE"""),7907068863)</f>
        <v>7907068863</v>
      </c>
      <c r="F625" t="str">
        <f ca="1">IFERROR(__xludf.DUMMYFUNCTION("""COMPUTED_VALUE"""),"Thiruvananthapuram")</f>
        <v>Thiruvananthapuram</v>
      </c>
      <c r="G625" t="str">
        <f ca="1">IFERROR(__xludf.DUMMYFUNCTION("""COMPUTED_VALUE"""),"SOLGEN ENERGY PVT LTD")</f>
        <v>SOLGEN ENERGY PVT LTD</v>
      </c>
      <c r="H625">
        <f ca="1">IFERROR(__xludf.DUMMYFUNCTION("""COMPUTED_VALUE"""),42)</f>
        <v>42</v>
      </c>
      <c r="I625" s="4">
        <f ca="1">IFERROR(__xludf.DUMMYFUNCTION("""COMPUTED_VALUE"""),43209)</f>
        <v>43209</v>
      </c>
      <c r="J625">
        <f ca="1">IFERROR(__xludf.DUMMYFUNCTION("""COMPUTED_VALUE"""),5)</f>
        <v>5</v>
      </c>
      <c r="K625">
        <f ca="1">IFERROR(__xludf.DUMMYFUNCTION("""COMPUTED_VALUE"""),1145117006779)</f>
        <v>1145117006779</v>
      </c>
      <c r="L625" t="str">
        <f ca="1">IFERROR(__xludf.DUMMYFUNCTION("""COMPUTED_VALUE"""),"Thirumala")</f>
        <v>Thirumala</v>
      </c>
      <c r="M625" t="str">
        <f ca="1">IFERROR(__xludf.DUMMYFUNCTION("""COMPUTED_VALUE"""),"I Accept")</f>
        <v>I Accept</v>
      </c>
      <c r="N625" s="4">
        <f ca="1">IFERROR(__xludf.DUMMYFUNCTION("""COMPUTED_VALUE"""),43179)</f>
        <v>43179</v>
      </c>
      <c r="O625" s="4">
        <f ca="1">IFERROR(__xludf.DUMMYFUNCTION("""COMPUTED_VALUE"""),43179)</f>
        <v>43179</v>
      </c>
      <c r="P625">
        <f ca="1">IFERROR(__xludf.DUMMYFUNCTION("""COMPUTED_VALUE"""),5)</f>
        <v>5</v>
      </c>
      <c r="Q625" t="str">
        <f ca="1">IFERROR(__xludf.DUMMYFUNCTION("""COMPUTED_VALUE"""),"rahoof0001@gmail.com")</f>
        <v>rahoof0001@gmail.com</v>
      </c>
      <c r="R625" s="2" t="s">
        <v>3039</v>
      </c>
    </row>
    <row r="626" spans="1:18" ht="13" x14ac:dyDescent="0.15">
      <c r="A626" s="3">
        <f ca="1">IFERROR(__xludf.DUMMYFUNCTION("""COMPUTED_VALUE"""),43239.4819273958)</f>
        <v>43239.481927395798</v>
      </c>
      <c r="B626" t="str">
        <f ca="1">IFERROR(__xludf.DUMMYFUNCTION("""COMPUTED_VALUE"""),"rahoof0001@gmail.com")</f>
        <v>rahoof0001@gmail.com</v>
      </c>
      <c r="C626">
        <f ca="1">IFERROR(__xludf.DUMMYFUNCTION("""COMPUTED_VALUE"""),370)</f>
        <v>370</v>
      </c>
      <c r="D626" t="str">
        <f ca="1">IFERROR(__xludf.DUMMYFUNCTION("""COMPUTED_VALUE"""),"NEETHU KRISHNA M")</f>
        <v>NEETHU KRISHNA M</v>
      </c>
      <c r="E626">
        <f ca="1">IFERROR(__xludf.DUMMYFUNCTION("""COMPUTED_VALUE"""),7907068863)</f>
        <v>7907068863</v>
      </c>
      <c r="F626" t="str">
        <f ca="1">IFERROR(__xludf.DUMMYFUNCTION("""COMPUTED_VALUE"""),"Thiruvananthapuram")</f>
        <v>Thiruvananthapuram</v>
      </c>
      <c r="G626" t="str">
        <f ca="1">IFERROR(__xludf.DUMMYFUNCTION("""COMPUTED_VALUE"""),"SOLGEN ENERGY PVT LTD")</f>
        <v>SOLGEN ENERGY PVT LTD</v>
      </c>
      <c r="H626">
        <f ca="1">IFERROR(__xludf.DUMMYFUNCTION("""COMPUTED_VALUE"""),42)</f>
        <v>42</v>
      </c>
      <c r="I626" s="4">
        <f ca="1">IFERROR(__xludf.DUMMYFUNCTION("""COMPUTED_VALUE"""),43209)</f>
        <v>43209</v>
      </c>
      <c r="J626">
        <f ca="1">IFERROR(__xludf.DUMMYFUNCTION("""COMPUTED_VALUE"""),5)</f>
        <v>5</v>
      </c>
      <c r="K626">
        <f ca="1">IFERROR(__xludf.DUMMYFUNCTION("""COMPUTED_VALUE"""),1145117006779)</f>
        <v>1145117006779</v>
      </c>
      <c r="L626" t="str">
        <f ca="1">IFERROR(__xludf.DUMMYFUNCTION("""COMPUTED_VALUE"""),"Thirumala")</f>
        <v>Thirumala</v>
      </c>
      <c r="M626" t="str">
        <f ca="1">IFERROR(__xludf.DUMMYFUNCTION("""COMPUTED_VALUE"""),"I Accept")</f>
        <v>I Accept</v>
      </c>
      <c r="N626" s="4">
        <f ca="1">IFERROR(__xludf.DUMMYFUNCTION("""COMPUTED_VALUE"""),43179)</f>
        <v>43179</v>
      </c>
      <c r="O626" s="4">
        <f ca="1">IFERROR(__xludf.DUMMYFUNCTION("""COMPUTED_VALUE"""),43179)</f>
        <v>43179</v>
      </c>
      <c r="P626">
        <f ca="1">IFERROR(__xludf.DUMMYFUNCTION("""COMPUTED_VALUE"""),5)</f>
        <v>5</v>
      </c>
      <c r="Q626" t="str">
        <f ca="1">IFERROR(__xludf.DUMMYFUNCTION("""COMPUTED_VALUE"""),"rahoof0001@gmail.com")</f>
        <v>rahoof0001@gmail.com</v>
      </c>
      <c r="R626" s="2" t="s">
        <v>3040</v>
      </c>
    </row>
    <row r="627" spans="1:18" ht="13" x14ac:dyDescent="0.15">
      <c r="A627" s="3">
        <f ca="1">IFERROR(__xludf.DUMMYFUNCTION("""COMPUTED_VALUE"""),43239.5094993518)</f>
        <v>43239.5094993518</v>
      </c>
      <c r="B627" t="str">
        <f ca="1">IFERROR(__xludf.DUMMYFUNCTION("""COMPUTED_VALUE"""),"tpsmalappuram@gmail.com")</f>
        <v>tpsmalappuram@gmail.com</v>
      </c>
      <c r="C627">
        <f ca="1">IFERROR(__xludf.DUMMYFUNCTION("""COMPUTED_VALUE"""),13)</f>
        <v>13</v>
      </c>
      <c r="D627" t="str">
        <f ca="1">IFERROR(__xludf.DUMMYFUNCTION("""COMPUTED_VALUE"""),"SARASWATHY MADHAVAN")</f>
        <v>SARASWATHY MADHAVAN</v>
      </c>
      <c r="E627">
        <f ca="1">IFERROR(__xludf.DUMMYFUNCTION("""COMPUTED_VALUE"""),9446692481)</f>
        <v>9446692481</v>
      </c>
      <c r="F627" t="str">
        <f ca="1">IFERROR(__xludf.DUMMYFUNCTION("""COMPUTED_VALUE"""),"Malappuram")</f>
        <v>Malappuram</v>
      </c>
      <c r="G627" t="str">
        <f ca="1">IFERROR(__xludf.DUMMYFUNCTION("""COMPUTED_VALUE"""),"TATA POWER SOLAR SYSTEMS LTD")</f>
        <v>TATA POWER SOLAR SYSTEMS LTD</v>
      </c>
      <c r="H627">
        <f ca="1">IFERROR(__xludf.DUMMYFUNCTION("""COMPUTED_VALUE"""),20)</f>
        <v>20</v>
      </c>
      <c r="I627" s="4">
        <f ca="1">IFERROR(__xludf.DUMMYFUNCTION("""COMPUTED_VALUE"""),43185)</f>
        <v>43185</v>
      </c>
      <c r="J627">
        <f ca="1">IFERROR(__xludf.DUMMYFUNCTION("""COMPUTED_VALUE"""),3)</f>
        <v>3</v>
      </c>
      <c r="K627">
        <f ca="1">IFERROR(__xludf.DUMMYFUNCTION("""COMPUTED_VALUE"""),1165433021399)</f>
        <v>1165433021399</v>
      </c>
      <c r="L627" t="str">
        <f ca="1">IFERROR(__xludf.DUMMYFUNCTION("""COMPUTED_VALUE"""),"NILAMBUR[6543]")</f>
        <v>NILAMBUR[6543]</v>
      </c>
      <c r="M627" t="str">
        <f ca="1">IFERROR(__xludf.DUMMYFUNCTION("""COMPUTED_VALUE"""),"I Accept")</f>
        <v>I Accept</v>
      </c>
      <c r="N627" s="4">
        <f ca="1">IFERROR(__xludf.DUMMYFUNCTION("""COMPUTED_VALUE"""),43183)</f>
        <v>43183</v>
      </c>
      <c r="O627" s="4">
        <f ca="1">IFERROR(__xludf.DUMMYFUNCTION("""COMPUTED_VALUE"""),43183)</f>
        <v>43183</v>
      </c>
      <c r="P627">
        <f ca="1">IFERROR(__xludf.DUMMYFUNCTION("""COMPUTED_VALUE"""),3)</f>
        <v>3</v>
      </c>
      <c r="Q627" t="str">
        <f ca="1">IFERROR(__xludf.DUMMYFUNCTION("""COMPUTED_VALUE"""),"tpsmalappuram@gmail.com")</f>
        <v>tpsmalappuram@gmail.com</v>
      </c>
      <c r="R627" s="2" t="s">
        <v>3041</v>
      </c>
    </row>
    <row r="628" spans="1:18" ht="13" x14ac:dyDescent="0.15">
      <c r="A628" s="3">
        <f ca="1">IFERROR(__xludf.DUMMYFUNCTION("""COMPUTED_VALUE"""),43239.5252861574)</f>
        <v>43239.525286157397</v>
      </c>
      <c r="B628" t="str">
        <f ca="1">IFERROR(__xludf.DUMMYFUNCTION("""COMPUTED_VALUE"""),"tpsmalappuram@gmail.com")</f>
        <v>tpsmalappuram@gmail.com</v>
      </c>
      <c r="C628">
        <f ca="1">IFERROR(__xludf.DUMMYFUNCTION("""COMPUTED_VALUE"""),207)</f>
        <v>207</v>
      </c>
      <c r="D628" t="str">
        <f ca="1">IFERROR(__xludf.DUMMYFUNCTION("""COMPUTED_VALUE"""),"V K SANJO")</f>
        <v>V K SANJO</v>
      </c>
      <c r="E628">
        <f ca="1">IFERROR(__xludf.DUMMYFUNCTION("""COMPUTED_VALUE"""),8281932030)</f>
        <v>8281932030</v>
      </c>
      <c r="F628" t="str">
        <f ca="1">IFERROR(__xludf.DUMMYFUNCTION("""COMPUTED_VALUE"""),"Malappuram")</f>
        <v>Malappuram</v>
      </c>
      <c r="G628" t="str">
        <f ca="1">IFERROR(__xludf.DUMMYFUNCTION("""COMPUTED_VALUE"""),"TATA POWER SOLAR SYSTEMS LIMITED")</f>
        <v>TATA POWER SOLAR SYSTEMS LIMITED</v>
      </c>
      <c r="H628">
        <f ca="1">IFERROR(__xludf.DUMMYFUNCTION("""COMPUTED_VALUE"""),20)</f>
        <v>20</v>
      </c>
      <c r="I628" s="4">
        <f ca="1">IFERROR(__xludf.DUMMYFUNCTION("""COMPUTED_VALUE"""),43220)</f>
        <v>43220</v>
      </c>
      <c r="J628">
        <f ca="1">IFERROR(__xludf.DUMMYFUNCTION("""COMPUTED_VALUE"""),10)</f>
        <v>10</v>
      </c>
      <c r="K628">
        <f ca="1">IFERROR(__xludf.DUMMYFUNCTION("""COMPUTED_VALUE"""),1165432023043)</f>
        <v>1165432023043</v>
      </c>
      <c r="L628" t="str">
        <f ca="1">IFERROR(__xludf.DUMMYFUNCTION("""COMPUTED_VALUE"""),"NILAMBUR [6543]")</f>
        <v>NILAMBUR [6543]</v>
      </c>
      <c r="M628" t="str">
        <f ca="1">IFERROR(__xludf.DUMMYFUNCTION("""COMPUTED_VALUE"""),"I Accept")</f>
        <v>I Accept</v>
      </c>
      <c r="N628" s="4">
        <f ca="1">IFERROR(__xludf.DUMMYFUNCTION("""COMPUTED_VALUE"""),43183)</f>
        <v>43183</v>
      </c>
      <c r="O628" s="4">
        <f ca="1">IFERROR(__xludf.DUMMYFUNCTION("""COMPUTED_VALUE"""),43183)</f>
        <v>43183</v>
      </c>
      <c r="P628">
        <f ca="1">IFERROR(__xludf.DUMMYFUNCTION("""COMPUTED_VALUE"""),10)</f>
        <v>10</v>
      </c>
      <c r="Q628" t="str">
        <f ca="1">IFERROR(__xludf.DUMMYFUNCTION("""COMPUTED_VALUE"""),"tpsmalappuram@gmail.com")</f>
        <v>tpsmalappuram@gmail.com</v>
      </c>
      <c r="R628" s="2" t="s">
        <v>3042</v>
      </c>
    </row>
    <row r="629" spans="1:18" ht="13" x14ac:dyDescent="0.15">
      <c r="A629" s="3">
        <f ca="1">IFERROR(__xludf.DUMMYFUNCTION("""COMPUTED_VALUE"""),43239.5304076736)</f>
        <v>43239.530407673599</v>
      </c>
      <c r="B629" t="str">
        <f ca="1">IFERROR(__xludf.DUMMYFUNCTION("""COMPUTED_VALUE"""),"tpsmalappuram@gmail.com")</f>
        <v>tpsmalappuram@gmail.com</v>
      </c>
      <c r="C629">
        <f ca="1">IFERROR(__xludf.DUMMYFUNCTION("""COMPUTED_VALUE"""),206)</f>
        <v>206</v>
      </c>
      <c r="D629" t="str">
        <f ca="1">IFERROR(__xludf.DUMMYFUNCTION("""COMPUTED_VALUE"""),"SAIDALAVI EK")</f>
        <v>SAIDALAVI EK</v>
      </c>
      <c r="E629">
        <f ca="1">IFERROR(__xludf.DUMMYFUNCTION("""COMPUTED_VALUE"""),9447750999)</f>
        <v>9447750999</v>
      </c>
      <c r="F629" t="str">
        <f ca="1">IFERROR(__xludf.DUMMYFUNCTION("""COMPUTED_VALUE"""),"Malappuram")</f>
        <v>Malappuram</v>
      </c>
      <c r="G629" t="str">
        <f ca="1">IFERROR(__xludf.DUMMYFUNCTION("""COMPUTED_VALUE"""),"TATA POWER SOLAR SYSTEMS LIMITED")</f>
        <v>TATA POWER SOLAR SYSTEMS LIMITED</v>
      </c>
      <c r="H629">
        <f ca="1">IFERROR(__xludf.DUMMYFUNCTION("""COMPUTED_VALUE"""),20)</f>
        <v>20</v>
      </c>
      <c r="I629" s="4">
        <f ca="1">IFERROR(__xludf.DUMMYFUNCTION("""COMPUTED_VALUE"""),43217)</f>
        <v>43217</v>
      </c>
      <c r="J629">
        <f ca="1">IFERROR(__xludf.DUMMYFUNCTION("""COMPUTED_VALUE"""),10)</f>
        <v>10</v>
      </c>
      <c r="K629">
        <f ca="1">IFERROR(__xludf.DUMMYFUNCTION("""COMPUTED_VALUE"""),1165565028206)</f>
        <v>1165565028206</v>
      </c>
      <c r="L629" t="str">
        <f ca="1">IFERROR(__xludf.DUMMYFUNCTION("""COMPUTED_VALUE"""),"VENGARA [6556]")</f>
        <v>VENGARA [6556]</v>
      </c>
      <c r="M629" t="str">
        <f ca="1">IFERROR(__xludf.DUMMYFUNCTION("""COMPUTED_VALUE"""),"I Accept")</f>
        <v>I Accept</v>
      </c>
      <c r="N629" s="4">
        <f ca="1">IFERROR(__xludf.DUMMYFUNCTION("""COMPUTED_VALUE"""),43209)</f>
        <v>43209</v>
      </c>
      <c r="O629" s="4">
        <f ca="1">IFERROR(__xludf.DUMMYFUNCTION("""COMPUTED_VALUE"""),43209)</f>
        <v>43209</v>
      </c>
      <c r="P629">
        <f ca="1">IFERROR(__xludf.DUMMYFUNCTION("""COMPUTED_VALUE"""),10)</f>
        <v>10</v>
      </c>
      <c r="Q629" t="str">
        <f ca="1">IFERROR(__xludf.DUMMYFUNCTION("""COMPUTED_VALUE"""),"tpsmalappuram@gmail.com")</f>
        <v>tpsmalappuram@gmail.com</v>
      </c>
      <c r="R629" s="2" t="s">
        <v>3043</v>
      </c>
    </row>
    <row r="630" spans="1:18" ht="13" x14ac:dyDescent="0.15">
      <c r="A630" s="3">
        <f ca="1">IFERROR(__xludf.DUMMYFUNCTION("""COMPUTED_VALUE"""),43239.5350467013)</f>
        <v>43239.535046701298</v>
      </c>
      <c r="B630" t="str">
        <f ca="1">IFERROR(__xludf.DUMMYFUNCTION("""COMPUTED_VALUE"""),"tpsmalappuram@gmail.com")</f>
        <v>tpsmalappuram@gmail.com</v>
      </c>
      <c r="C630">
        <f ca="1">IFERROR(__xludf.DUMMYFUNCTION("""COMPUTED_VALUE"""),1154)</f>
        <v>1154</v>
      </c>
      <c r="D630" t="str">
        <f ca="1">IFERROR(__xludf.DUMMYFUNCTION("""COMPUTED_VALUE"""),"JAMEELA P K")</f>
        <v>JAMEELA P K</v>
      </c>
      <c r="E630">
        <f ca="1">IFERROR(__xludf.DUMMYFUNCTION("""COMPUTED_VALUE"""),9645403405)</f>
        <v>9645403405</v>
      </c>
      <c r="F630" t="str">
        <f ca="1">IFERROR(__xludf.DUMMYFUNCTION("""COMPUTED_VALUE"""),"Malappuram")</f>
        <v>Malappuram</v>
      </c>
      <c r="G630" t="str">
        <f ca="1">IFERROR(__xludf.DUMMYFUNCTION("""COMPUTED_VALUE"""),"TATA POWER SOLAR SYSTEMS LIMITED")</f>
        <v>TATA POWER SOLAR SYSTEMS LIMITED</v>
      </c>
      <c r="H630">
        <f ca="1">IFERROR(__xludf.DUMMYFUNCTION("""COMPUTED_VALUE"""),20)</f>
        <v>20</v>
      </c>
      <c r="I630" s="4">
        <f ca="1">IFERROR(__xludf.DUMMYFUNCTION("""COMPUTED_VALUE"""),43208)</f>
        <v>43208</v>
      </c>
      <c r="J630">
        <f ca="1">IFERROR(__xludf.DUMMYFUNCTION("""COMPUTED_VALUE"""),3)</f>
        <v>3</v>
      </c>
      <c r="K630">
        <f ca="1">IFERROR(__xludf.DUMMYFUNCTION("""COMPUTED_VALUE"""),1165542026389)</f>
        <v>1165542026389</v>
      </c>
      <c r="L630" t="str">
        <f ca="1">IFERROR(__xludf.DUMMYFUNCTION("""COMPUTED_VALUE"""),"VELLUVAMBRAM [6554]")</f>
        <v>VELLUVAMBRAM [6554]</v>
      </c>
      <c r="M630" t="str">
        <f ca="1">IFERROR(__xludf.DUMMYFUNCTION("""COMPUTED_VALUE"""),"I Accept")</f>
        <v>I Accept</v>
      </c>
      <c r="N630" s="4">
        <f ca="1">IFERROR(__xludf.DUMMYFUNCTION("""COMPUTED_VALUE"""),43188)</f>
        <v>43188</v>
      </c>
      <c r="O630" s="4">
        <f ca="1">IFERROR(__xludf.DUMMYFUNCTION("""COMPUTED_VALUE"""),43188)</f>
        <v>43188</v>
      </c>
      <c r="P630">
        <f ca="1">IFERROR(__xludf.DUMMYFUNCTION("""COMPUTED_VALUE"""),3)</f>
        <v>3</v>
      </c>
      <c r="Q630" t="str">
        <f ca="1">IFERROR(__xludf.DUMMYFUNCTION("""COMPUTED_VALUE"""),"tpsmalappuram@gmail.com")</f>
        <v>tpsmalappuram@gmail.com</v>
      </c>
      <c r="R630" s="2" t="s">
        <v>3044</v>
      </c>
    </row>
    <row r="631" spans="1:18" ht="13" x14ac:dyDescent="0.15">
      <c r="A631" s="3">
        <f ca="1">IFERROR(__xludf.DUMMYFUNCTION("""COMPUTED_VALUE"""),43239.6526721643)</f>
        <v>43239.652672164302</v>
      </c>
      <c r="B631" t="str">
        <f ca="1">IFERROR(__xludf.DUMMYFUNCTION("""COMPUTED_VALUE"""),"connectdsk@gmail.com")</f>
        <v>connectdsk@gmail.com</v>
      </c>
      <c r="C631">
        <f ca="1">IFERROR(__xludf.DUMMYFUNCTION("""COMPUTED_VALUE"""),879)</f>
        <v>879</v>
      </c>
      <c r="D631" t="str">
        <f ca="1">IFERROR(__xludf.DUMMYFUNCTION("""COMPUTED_VALUE"""),"V K BALAN")</f>
        <v>V K BALAN</v>
      </c>
      <c r="E631">
        <f ca="1">IFERROR(__xludf.DUMMYFUNCTION("""COMPUTED_VALUE"""),8547564126)</f>
        <v>8547564126</v>
      </c>
      <c r="F631" t="str">
        <f ca="1">IFERROR(__xludf.DUMMYFUNCTION("""COMPUTED_VALUE"""),"Palakkad")</f>
        <v>Palakkad</v>
      </c>
      <c r="G631" t="str">
        <f ca="1">IFERROR(__xludf.DUMMYFUNCTION("""COMPUTED_VALUE"""),"FERT")</f>
        <v>FERT</v>
      </c>
      <c r="H631">
        <f ca="1">IFERROR(__xludf.DUMMYFUNCTION("""COMPUTED_VALUE"""),27)</f>
        <v>27</v>
      </c>
      <c r="I631" s="4">
        <f ca="1">IFERROR(__xludf.DUMMYFUNCTION("""COMPUTED_VALUE"""),43239)</f>
        <v>43239</v>
      </c>
      <c r="J631">
        <f ca="1">IFERROR(__xludf.DUMMYFUNCTION("""COMPUTED_VALUE"""),30)</f>
        <v>30</v>
      </c>
      <c r="K631">
        <f ca="1">IFERROR(__xludf.DUMMYFUNCTION("""COMPUTED_VALUE"""),1356830000974)</f>
        <v>1356830000974</v>
      </c>
      <c r="L631" t="str">
        <f ca="1">IFERROR(__xludf.DUMMYFUNCTION("""COMPUTED_VALUE"""),"VADAKKENCHERY")</f>
        <v>VADAKKENCHERY</v>
      </c>
      <c r="M631" t="str">
        <f ca="1">IFERROR(__xludf.DUMMYFUNCTION("""COMPUTED_VALUE"""),"I Accept")</f>
        <v>I Accept</v>
      </c>
      <c r="N631" s="4">
        <f ca="1">IFERROR(__xludf.DUMMYFUNCTION("""COMPUTED_VALUE"""),43203)</f>
        <v>43203</v>
      </c>
      <c r="O631" s="4">
        <f ca="1">IFERROR(__xludf.DUMMYFUNCTION("""COMPUTED_VALUE"""),43203)</f>
        <v>43203</v>
      </c>
      <c r="P631">
        <f ca="1">IFERROR(__xludf.DUMMYFUNCTION("""COMPUTED_VALUE"""),30)</f>
        <v>30</v>
      </c>
      <c r="Q631" t="str">
        <f ca="1">IFERROR(__xludf.DUMMYFUNCTION("""COMPUTED_VALUE"""),"connectdsk@gmail.com")</f>
        <v>connectdsk@gmail.com</v>
      </c>
      <c r="R631" s="2" t="s">
        <v>3045</v>
      </c>
    </row>
    <row r="632" spans="1:18" ht="13" x14ac:dyDescent="0.15">
      <c r="A632" s="3">
        <f ca="1">IFERROR(__xludf.DUMMYFUNCTION("""COMPUTED_VALUE"""),43239.6750524074)</f>
        <v>43239.675052407401</v>
      </c>
      <c r="B632" t="str">
        <f ca="1">IFERROR(__xludf.DUMMYFUNCTION("""COMPUTED_VALUE"""),"nestromarketing@gmail.com")</f>
        <v>nestromarketing@gmail.com</v>
      </c>
      <c r="C632">
        <f ca="1">IFERROR(__xludf.DUMMYFUNCTION("""COMPUTED_VALUE"""),958)</f>
        <v>958</v>
      </c>
      <c r="D632" t="str">
        <f ca="1">IFERROR(__xludf.DUMMYFUNCTION("""COMPUTED_VALUE"""),"SOMAN C")</f>
        <v>SOMAN C</v>
      </c>
      <c r="E632">
        <f ca="1">IFERROR(__xludf.DUMMYFUNCTION("""COMPUTED_VALUE"""),9142099977)</f>
        <v>9142099977</v>
      </c>
      <c r="F632" t="str">
        <f ca="1">IFERROR(__xludf.DUMMYFUNCTION("""COMPUTED_VALUE"""),"Malappuram")</f>
        <v>Malappuram</v>
      </c>
      <c r="G632" t="str">
        <f ca="1">IFERROR(__xludf.DUMMYFUNCTION("""COMPUTED_VALUE"""),"NESTRO MARKETING LLP")</f>
        <v>NESTRO MARKETING LLP</v>
      </c>
      <c r="H632">
        <f ca="1">IFERROR(__xludf.DUMMYFUNCTION("""COMPUTED_VALUE"""),14)</f>
        <v>14</v>
      </c>
      <c r="I632" s="4">
        <f ca="1">IFERROR(__xludf.DUMMYFUNCTION("""COMPUTED_VALUE"""),43239)</f>
        <v>43239</v>
      </c>
      <c r="J632">
        <f ca="1">IFERROR(__xludf.DUMMYFUNCTION("""COMPUTED_VALUE"""),3)</f>
        <v>3</v>
      </c>
      <c r="K632">
        <f ca="1">IFERROR(__xludf.DUMMYFUNCTION("""COMPUTED_VALUE"""),1167796004295)</f>
        <v>1167796004295</v>
      </c>
      <c r="L632" t="str">
        <f ca="1">IFERROR(__xludf.DUMMYFUNCTION("""COMPUTED_VALUE"""),"PATTIKKAD(6779)")</f>
        <v>PATTIKKAD(6779)</v>
      </c>
      <c r="M632" t="str">
        <f ca="1">IFERROR(__xludf.DUMMYFUNCTION("""COMPUTED_VALUE"""),"I Accept")</f>
        <v>I Accept</v>
      </c>
      <c r="N632" s="4">
        <f ca="1">IFERROR(__xludf.DUMMYFUNCTION("""COMPUTED_VALUE"""),43231)</f>
        <v>43231</v>
      </c>
      <c r="O632" s="4">
        <f ca="1">IFERROR(__xludf.DUMMYFUNCTION("""COMPUTED_VALUE"""),43231)</f>
        <v>43231</v>
      </c>
      <c r="P632">
        <f ca="1">IFERROR(__xludf.DUMMYFUNCTION("""COMPUTED_VALUE"""),3)</f>
        <v>3</v>
      </c>
      <c r="Q632" t="str">
        <f ca="1">IFERROR(__xludf.DUMMYFUNCTION("""COMPUTED_VALUE"""),"nestromarketing@gmail.com")</f>
        <v>nestromarketing@gmail.com</v>
      </c>
      <c r="R632" s="2" t="s">
        <v>3046</v>
      </c>
    </row>
    <row r="633" spans="1:18" ht="13" x14ac:dyDescent="0.15">
      <c r="A633" s="3">
        <f ca="1">IFERROR(__xludf.DUMMYFUNCTION("""COMPUTED_VALUE"""),43239.9917391203)</f>
        <v>43239.991739120298</v>
      </c>
      <c r="B633" t="str">
        <f ca="1">IFERROR(__xludf.DUMMYFUNCTION("""COMPUTED_VALUE"""),"amtkjmaloth@gmail.com")</f>
        <v>amtkjmaloth@gmail.com</v>
      </c>
      <c r="C633">
        <f ca="1">IFERROR(__xludf.DUMMYFUNCTION("""COMPUTED_VALUE"""),940)</f>
        <v>940</v>
      </c>
      <c r="D633" t="str">
        <f ca="1">IFERROR(__xludf.DUMMYFUNCTION("""COMPUTED_VALUE"""),"M J GEORGE")</f>
        <v>M J GEORGE</v>
      </c>
      <c r="E633">
        <f ca="1">IFERROR(__xludf.DUMMYFUNCTION("""COMPUTED_VALUE"""),9496823927)</f>
        <v>9496823927</v>
      </c>
      <c r="F633" t="str">
        <f ca="1">IFERROR(__xludf.DUMMYFUNCTION("""COMPUTED_VALUE"""),"Ernakulam")</f>
        <v>Ernakulam</v>
      </c>
      <c r="G633" t="str">
        <f ca="1">IFERROR(__xludf.DUMMYFUNCTION("""COMPUTED_VALUE"""),"SPECTRUM TECHNO PRODUCTS")</f>
        <v>SPECTRUM TECHNO PRODUCTS</v>
      </c>
      <c r="H633">
        <f ca="1">IFERROR(__xludf.DUMMYFUNCTION("""COMPUTED_VALUE"""),66)</f>
        <v>66</v>
      </c>
      <c r="I633" s="4">
        <f ca="1">IFERROR(__xludf.DUMMYFUNCTION("""COMPUTED_VALUE"""),43239)</f>
        <v>43239</v>
      </c>
      <c r="J633">
        <f ca="1">IFERROR(__xludf.DUMMYFUNCTION("""COMPUTED_VALUE"""),3)</f>
        <v>3</v>
      </c>
      <c r="K633">
        <f ca="1">IFERROR(__xludf.DUMMYFUNCTION("""COMPUTED_VALUE"""),1155413006624)</f>
        <v>1155413006624</v>
      </c>
      <c r="L633" t="str">
        <f ca="1">IFERROR(__xludf.DUMMYFUNCTION("""COMPUTED_VALUE"""),"THEVARA")</f>
        <v>THEVARA</v>
      </c>
      <c r="M633" t="str">
        <f ca="1">IFERROR(__xludf.DUMMYFUNCTION("""COMPUTED_VALUE"""),"I Accept")</f>
        <v>I Accept</v>
      </c>
      <c r="N633" s="4">
        <f ca="1">IFERROR(__xludf.DUMMYFUNCTION("""COMPUTED_VALUE"""),43216)</f>
        <v>43216</v>
      </c>
      <c r="O633" s="4">
        <f ca="1">IFERROR(__xludf.DUMMYFUNCTION("""COMPUTED_VALUE"""),43216)</f>
        <v>43216</v>
      </c>
      <c r="P633">
        <f ca="1">IFERROR(__xludf.DUMMYFUNCTION("""COMPUTED_VALUE"""),3)</f>
        <v>3</v>
      </c>
      <c r="Q633" t="str">
        <f ca="1">IFERROR(__xludf.DUMMYFUNCTION("""COMPUTED_VALUE"""),"amtkjmaloth@gmail.com")</f>
        <v>amtkjmaloth@gmail.com</v>
      </c>
      <c r="R633" s="2" t="s">
        <v>3047</v>
      </c>
    </row>
    <row r="634" spans="1:18" ht="13" x14ac:dyDescent="0.15">
      <c r="A634" s="3">
        <f ca="1">IFERROR(__xludf.DUMMYFUNCTION("""COMPUTED_VALUE"""),43239.9967864467)</f>
        <v>43239.996786446703</v>
      </c>
      <c r="B634" t="str">
        <f ca="1">IFERROR(__xludf.DUMMYFUNCTION("""COMPUTED_VALUE"""),"santoshpaugustine@gmail.com")</f>
        <v>santoshpaugustine@gmail.com</v>
      </c>
      <c r="C634">
        <f ca="1">IFERROR(__xludf.DUMMYFUNCTION("""COMPUTED_VALUE"""),534)</f>
        <v>534</v>
      </c>
      <c r="D634" t="str">
        <f ca="1">IFERROR(__xludf.DUMMYFUNCTION("""COMPUTED_VALUE"""),"SANTOSH P AUGUSTINE")</f>
        <v>SANTOSH P AUGUSTINE</v>
      </c>
      <c r="E634">
        <f ca="1">IFERROR(__xludf.DUMMYFUNCTION("""COMPUTED_VALUE"""),9745100141)</f>
        <v>9745100141</v>
      </c>
      <c r="F634" t="str">
        <f ca="1">IFERROR(__xludf.DUMMYFUNCTION("""COMPUTED_VALUE"""),"Ernakulam")</f>
        <v>Ernakulam</v>
      </c>
      <c r="G634" t="str">
        <f ca="1">IFERROR(__xludf.DUMMYFUNCTION("""COMPUTED_VALUE"""),"SPECTRUM TECHNO PRODUCTS")</f>
        <v>SPECTRUM TECHNO PRODUCTS</v>
      </c>
      <c r="H634">
        <f ca="1">IFERROR(__xludf.DUMMYFUNCTION("""COMPUTED_VALUE"""),66)</f>
        <v>66</v>
      </c>
      <c r="I634" s="4">
        <f ca="1">IFERROR(__xludf.DUMMYFUNCTION("""COMPUTED_VALUE"""),43239)</f>
        <v>43239</v>
      </c>
      <c r="J634">
        <f ca="1">IFERROR(__xludf.DUMMYFUNCTION("""COMPUTED_VALUE"""),3)</f>
        <v>3</v>
      </c>
      <c r="K634">
        <f ca="1">IFERROR(__xludf.DUMMYFUNCTION("""COMPUTED_VALUE"""),1157128012876)</f>
        <v>1157128012876</v>
      </c>
      <c r="L634" t="str">
        <f ca="1">IFERROR(__xludf.DUMMYFUNCTION("""COMPUTED_VALUE"""),"EDAYAR MUPPATHADAM")</f>
        <v>EDAYAR MUPPATHADAM</v>
      </c>
      <c r="M634" t="str">
        <f ca="1">IFERROR(__xludf.DUMMYFUNCTION("""COMPUTED_VALUE"""),"I Accept")</f>
        <v>I Accept</v>
      </c>
      <c r="N634" s="4">
        <f ca="1">IFERROR(__xludf.DUMMYFUNCTION("""COMPUTED_VALUE"""),43200)</f>
        <v>43200</v>
      </c>
      <c r="O634" s="4">
        <f ca="1">IFERROR(__xludf.DUMMYFUNCTION("""COMPUTED_VALUE"""),43200)</f>
        <v>43200</v>
      </c>
      <c r="P634">
        <f ca="1">IFERROR(__xludf.DUMMYFUNCTION("""COMPUTED_VALUE"""),3)</f>
        <v>3</v>
      </c>
      <c r="Q634" t="str">
        <f ca="1">IFERROR(__xludf.DUMMYFUNCTION("""COMPUTED_VALUE"""),"santoshpaugustine@gmail.com")</f>
        <v>santoshpaugustine@gmail.com</v>
      </c>
      <c r="R634" s="2" t="s">
        <v>3048</v>
      </c>
    </row>
    <row r="635" spans="1:18" ht="13" x14ac:dyDescent="0.15">
      <c r="A635" s="3">
        <f ca="1">IFERROR(__xludf.DUMMYFUNCTION("""COMPUTED_VALUE"""),43241.4416614351)</f>
        <v>43241.441661435099</v>
      </c>
      <c r="B635" t="str">
        <f ca="1">IFERROR(__xludf.DUMMYFUNCTION("""COMPUTED_VALUE"""),"info@wattsun.in")</f>
        <v>info@wattsun.in</v>
      </c>
      <c r="C635">
        <f ca="1">IFERROR(__xludf.DUMMYFUNCTION("""COMPUTED_VALUE"""),1004)</f>
        <v>1004</v>
      </c>
      <c r="D635" t="str">
        <f ca="1">IFERROR(__xludf.DUMMYFUNCTION("""COMPUTED_VALUE"""),"Vibin Kachappilly")</f>
        <v>Vibin Kachappilly</v>
      </c>
      <c r="E635">
        <f ca="1">IFERROR(__xludf.DUMMYFUNCTION("""COMPUTED_VALUE"""),9072666513)</f>
        <v>9072666513</v>
      </c>
      <c r="F635" t="str">
        <f ca="1">IFERROR(__xludf.DUMMYFUNCTION("""COMPUTED_VALUE"""),"Ernakulam")</f>
        <v>Ernakulam</v>
      </c>
      <c r="G635" t="str">
        <f ca="1">IFERROR(__xludf.DUMMYFUNCTION("""COMPUTED_VALUE"""),"Wattsun Energy India Private Limited")</f>
        <v>Wattsun Energy India Private Limited</v>
      </c>
      <c r="H635">
        <f ca="1">IFERROR(__xludf.DUMMYFUNCTION("""COMPUTED_VALUE"""),54)</f>
        <v>54</v>
      </c>
      <c r="I635" s="4">
        <f ca="1">IFERROR(__xludf.DUMMYFUNCTION("""COMPUTED_VALUE"""),43241)</f>
        <v>43241</v>
      </c>
      <c r="J635">
        <f ca="1">IFERROR(__xludf.DUMMYFUNCTION("""COMPUTED_VALUE"""),5)</f>
        <v>5</v>
      </c>
      <c r="K635">
        <f ca="1">IFERROR(__xludf.DUMMYFUNCTION("""COMPUTED_VALUE"""),1156593000039)</f>
        <v>1156593000039</v>
      </c>
      <c r="L635" t="str">
        <f ca="1">IFERROR(__xludf.DUMMYFUNCTION("""COMPUTED_VALUE"""),"Puthenvelikkara")</f>
        <v>Puthenvelikkara</v>
      </c>
      <c r="M635" t="str">
        <f ca="1">IFERROR(__xludf.DUMMYFUNCTION("""COMPUTED_VALUE"""),"I Accept")</f>
        <v>I Accept</v>
      </c>
      <c r="N635" s="4">
        <f ca="1">IFERROR(__xludf.DUMMYFUNCTION("""COMPUTED_VALUE"""),43236)</f>
        <v>43236</v>
      </c>
      <c r="O635" s="4">
        <f ca="1">IFERROR(__xludf.DUMMYFUNCTION("""COMPUTED_VALUE"""),43236)</f>
        <v>43236</v>
      </c>
      <c r="P635">
        <f ca="1">IFERROR(__xludf.DUMMYFUNCTION("""COMPUTED_VALUE"""),5)</f>
        <v>5</v>
      </c>
      <c r="Q635" t="str">
        <f ca="1">IFERROR(__xludf.DUMMYFUNCTION("""COMPUTED_VALUE"""),"info@wattsun.in")</f>
        <v>info@wattsun.in</v>
      </c>
      <c r="R635" s="2" t="s">
        <v>3049</v>
      </c>
    </row>
    <row r="636" spans="1:18" ht="13" x14ac:dyDescent="0.15">
      <c r="A636" s="3">
        <f ca="1">IFERROR(__xludf.DUMMYFUNCTION("""COMPUTED_VALUE"""),43241.4967792476)</f>
        <v>43241.496779247602</v>
      </c>
      <c r="B636" t="str">
        <f ca="1">IFERROR(__xludf.DUMMYFUNCTION("""COMPUTED_VALUE"""),"warmncoolplr@gmail.com")</f>
        <v>warmncoolplr@gmail.com</v>
      </c>
      <c r="C636">
        <f ca="1">IFERROR(__xludf.DUMMYFUNCTION("""COMPUTED_VALUE"""),1137)</f>
        <v>1137</v>
      </c>
      <c r="D636" t="str">
        <f ca="1">IFERROR(__xludf.DUMMYFUNCTION("""COMPUTED_VALUE"""),"Jacob Chacko")</f>
        <v>Jacob Chacko</v>
      </c>
      <c r="E636">
        <f ca="1">IFERROR(__xludf.DUMMYFUNCTION("""COMPUTED_VALUE"""),9946901109)</f>
        <v>9946901109</v>
      </c>
      <c r="F636" t="str">
        <f ca="1">IFERROR(__xludf.DUMMYFUNCTION("""COMPUTED_VALUE"""),"Pathanamthitta")</f>
        <v>Pathanamthitta</v>
      </c>
      <c r="G636" t="str">
        <f ca="1">IFERROR(__xludf.DUMMYFUNCTION("""COMPUTED_VALUE"""),"Solgen Energy Pvt Ltd")</f>
        <v>Solgen Energy Pvt Ltd</v>
      </c>
      <c r="H636">
        <f ca="1">IFERROR(__xludf.DUMMYFUNCTION("""COMPUTED_VALUE"""),42)</f>
        <v>42</v>
      </c>
      <c r="I636" s="4">
        <f ca="1">IFERROR(__xludf.DUMMYFUNCTION("""COMPUTED_VALUE"""),43241)</f>
        <v>43241</v>
      </c>
      <c r="J636">
        <f ca="1">IFERROR(__xludf.DUMMYFUNCTION("""COMPUTED_VALUE"""),3)</f>
        <v>3</v>
      </c>
      <c r="K636">
        <f ca="1">IFERROR(__xludf.DUMMYFUNCTION("""COMPUTED_VALUE"""),1146190003833)</f>
        <v>1146190003833</v>
      </c>
      <c r="L636" t="str">
        <f ca="1">IFERROR(__xludf.DUMMYFUNCTION("""COMPUTED_VALUE"""),"Kumbanadu")</f>
        <v>Kumbanadu</v>
      </c>
      <c r="M636" t="str">
        <f ca="1">IFERROR(__xludf.DUMMYFUNCTION("""COMPUTED_VALUE"""),"I Accept")</f>
        <v>I Accept</v>
      </c>
      <c r="N636" s="4">
        <f ca="1">IFERROR(__xludf.DUMMYFUNCTION("""COMPUTED_VALUE"""),43227)</f>
        <v>43227</v>
      </c>
      <c r="O636" s="4">
        <f ca="1">IFERROR(__xludf.DUMMYFUNCTION("""COMPUTED_VALUE"""),43227)</f>
        <v>43227</v>
      </c>
      <c r="P636">
        <f ca="1">IFERROR(__xludf.DUMMYFUNCTION("""COMPUTED_VALUE"""),3)</f>
        <v>3</v>
      </c>
      <c r="Q636" t="str">
        <f ca="1">IFERROR(__xludf.DUMMYFUNCTION("""COMPUTED_VALUE"""),"warmncoolplr@gmail.com")</f>
        <v>warmncoolplr@gmail.com</v>
      </c>
      <c r="R636" s="2" t="s">
        <v>3050</v>
      </c>
    </row>
    <row r="637" spans="1:18" ht="13" x14ac:dyDescent="0.15">
      <c r="A637" s="3">
        <f ca="1">IFERROR(__xludf.DUMMYFUNCTION("""COMPUTED_VALUE"""),43241.4982363425)</f>
        <v>43241.498236342501</v>
      </c>
      <c r="B637" t="str">
        <f ca="1">IFERROR(__xludf.DUMMYFUNCTION("""COMPUTED_VALUE"""),"solarconnect2018@gmail.com")</f>
        <v>solarconnect2018@gmail.com</v>
      </c>
      <c r="C637">
        <f ca="1">IFERROR(__xludf.DUMMYFUNCTION("""COMPUTED_VALUE"""),997)</f>
        <v>997</v>
      </c>
      <c r="D637" t="str">
        <f ca="1">IFERROR(__xludf.DUMMYFUNCTION("""COMPUTED_VALUE"""),"SHYAM MOHAN")</f>
        <v>SHYAM MOHAN</v>
      </c>
      <c r="E637">
        <f ca="1">IFERROR(__xludf.DUMMYFUNCTION("""COMPUTED_VALUE"""),9495630630)</f>
        <v>9495630630</v>
      </c>
      <c r="F637" t="str">
        <f ca="1">IFERROR(__xludf.DUMMYFUNCTION("""COMPUTED_VALUE"""),"Thiruvananthapuram")</f>
        <v>Thiruvananthapuram</v>
      </c>
      <c r="G637" t="str">
        <f ca="1">IFERROR(__xludf.DUMMYFUNCTION("""COMPUTED_VALUE"""),"SPECTRUM TECHNO PRODUCTS")</f>
        <v>SPECTRUM TECHNO PRODUCTS</v>
      </c>
      <c r="H637">
        <f ca="1">IFERROR(__xludf.DUMMYFUNCTION("""COMPUTED_VALUE"""),66)</f>
        <v>66</v>
      </c>
      <c r="I637" s="4">
        <f ca="1">IFERROR(__xludf.DUMMYFUNCTION("""COMPUTED_VALUE"""),43241)</f>
        <v>43241</v>
      </c>
      <c r="J637">
        <f ca="1">IFERROR(__xludf.DUMMYFUNCTION("""COMPUTED_VALUE"""),5)</f>
        <v>5</v>
      </c>
      <c r="K637">
        <f ca="1">IFERROR(__xludf.DUMMYFUNCTION("""COMPUTED_VALUE"""),1145074016411)</f>
        <v>1145074016411</v>
      </c>
      <c r="L637" t="str">
        <f ca="1">IFERROR(__xludf.DUMMYFUNCTION("""COMPUTED_VALUE"""),"VELLAYAMBALAM")</f>
        <v>VELLAYAMBALAM</v>
      </c>
      <c r="M637" t="str">
        <f ca="1">IFERROR(__xludf.DUMMYFUNCTION("""COMPUTED_VALUE"""),"I Accept")</f>
        <v>I Accept</v>
      </c>
      <c r="N637" s="4">
        <f ca="1">IFERROR(__xludf.DUMMYFUNCTION("""COMPUTED_VALUE"""),43218)</f>
        <v>43218</v>
      </c>
      <c r="O637" s="4">
        <f ca="1">IFERROR(__xludf.DUMMYFUNCTION("""COMPUTED_VALUE"""),43218)</f>
        <v>43218</v>
      </c>
      <c r="P637">
        <f ca="1">IFERROR(__xludf.DUMMYFUNCTION("""COMPUTED_VALUE"""),5)</f>
        <v>5</v>
      </c>
      <c r="Q637" t="str">
        <f ca="1">IFERROR(__xludf.DUMMYFUNCTION("""COMPUTED_VALUE"""),"solarconnect2018@gmail.com")</f>
        <v>solarconnect2018@gmail.com</v>
      </c>
      <c r="R637" s="2" t="s">
        <v>3051</v>
      </c>
    </row>
    <row r="638" spans="1:18" ht="13" x14ac:dyDescent="0.15">
      <c r="A638" s="3">
        <f ca="1">IFERROR(__xludf.DUMMYFUNCTION("""COMPUTED_VALUE"""),43241.5555904398)</f>
        <v>43241.555590439799</v>
      </c>
      <c r="B638" t="str">
        <f ca="1">IFERROR(__xludf.DUMMYFUNCTION("""COMPUTED_VALUE"""),"info.indexinformatics@gmail.com")</f>
        <v>info.indexinformatics@gmail.com</v>
      </c>
      <c r="C638">
        <f ca="1">IFERROR(__xludf.DUMMYFUNCTION("""COMPUTED_VALUE"""),1060)</f>
        <v>1060</v>
      </c>
      <c r="D638" t="str">
        <f ca="1">IFERROR(__xludf.DUMMYFUNCTION("""COMPUTED_VALUE"""),"SINDHU JOSEPH")</f>
        <v>SINDHU JOSEPH</v>
      </c>
      <c r="E638">
        <f ca="1">IFERROR(__xludf.DUMMYFUNCTION("""COMPUTED_VALUE"""),8075106500)</f>
        <v>8075106500</v>
      </c>
      <c r="F638" t="str">
        <f ca="1">IFERROR(__xludf.DUMMYFUNCTION("""COMPUTED_VALUE"""),"Thrissur")</f>
        <v>Thrissur</v>
      </c>
      <c r="G638" t="str">
        <f ca="1">IFERROR(__xludf.DUMMYFUNCTION("""COMPUTED_VALUE"""),"INDEX INFORMATICS SYSTEMS PVT LTD")</f>
        <v>INDEX INFORMATICS SYSTEMS PVT LTD</v>
      </c>
      <c r="H638">
        <f ca="1">IFERROR(__xludf.DUMMYFUNCTION("""COMPUTED_VALUE"""),12)</f>
        <v>12</v>
      </c>
      <c r="I638" s="4">
        <f ca="1">IFERROR(__xludf.DUMMYFUNCTION("""COMPUTED_VALUE"""),43240)</f>
        <v>43240</v>
      </c>
      <c r="J638">
        <f ca="1">IFERROR(__xludf.DUMMYFUNCTION("""COMPUTED_VALUE"""),5)</f>
        <v>5</v>
      </c>
      <c r="K638">
        <f ca="1">IFERROR(__xludf.DUMMYFUNCTION("""COMPUTED_VALUE"""),1156851003355)</f>
        <v>1156851003355</v>
      </c>
      <c r="L638" t="str">
        <f ca="1">IFERROR(__xludf.DUMMYFUNCTION("""COMPUTED_VALUE"""),"MUTHUVARA")</f>
        <v>MUTHUVARA</v>
      </c>
      <c r="M638" t="str">
        <f ca="1">IFERROR(__xludf.DUMMYFUNCTION("""COMPUTED_VALUE"""),"I Accept")</f>
        <v>I Accept</v>
      </c>
      <c r="N638" s="4">
        <f ca="1">IFERROR(__xludf.DUMMYFUNCTION("""COMPUTED_VALUE"""),43239)</f>
        <v>43239</v>
      </c>
      <c r="O638" s="4">
        <f ca="1">IFERROR(__xludf.DUMMYFUNCTION("""COMPUTED_VALUE"""),43239)</f>
        <v>43239</v>
      </c>
      <c r="P638">
        <f ca="1">IFERROR(__xludf.DUMMYFUNCTION("""COMPUTED_VALUE"""),5)</f>
        <v>5</v>
      </c>
      <c r="Q638" t="str">
        <f ca="1">IFERROR(__xludf.DUMMYFUNCTION("""COMPUTED_VALUE"""),"info.indexinformatics@gmail.com")</f>
        <v>info.indexinformatics@gmail.com</v>
      </c>
      <c r="R638" s="2" t="s">
        <v>3052</v>
      </c>
    </row>
    <row r="639" spans="1:18" ht="13" x14ac:dyDescent="0.15">
      <c r="A639" s="3">
        <f ca="1">IFERROR(__xludf.DUMMYFUNCTION("""COMPUTED_VALUE"""),43241.5734320717)</f>
        <v>43241.573432071702</v>
      </c>
      <c r="B639" t="str">
        <f ca="1">IFERROR(__xludf.DUMMYFUNCTION("""COMPUTED_VALUE"""),"ddcarehome@gmail.com")</f>
        <v>ddcarehome@gmail.com</v>
      </c>
      <c r="C639">
        <f ca="1">IFERROR(__xludf.DUMMYFUNCTION("""COMPUTED_VALUE"""),1081)</f>
        <v>1081</v>
      </c>
      <c r="D639" t="str">
        <f ca="1">IFERROR(__xludf.DUMMYFUNCTION("""COMPUTED_VALUE"""),"Deena Dayalo Care Home")</f>
        <v>Deena Dayalo Care Home</v>
      </c>
      <c r="E639">
        <f ca="1">IFERROR(__xludf.DUMMYFUNCTION("""COMPUTED_VALUE"""),9495851950)</f>
        <v>9495851950</v>
      </c>
      <c r="F639" t="str">
        <f ca="1">IFERROR(__xludf.DUMMYFUNCTION("""COMPUTED_VALUE"""),"Thiruvananthapuram")</f>
        <v>Thiruvananthapuram</v>
      </c>
      <c r="G639" t="str">
        <f ca="1">IFERROR(__xludf.DUMMYFUNCTION("""COMPUTED_VALUE"""),"HYKON INDIA PVT. LTD")</f>
        <v>HYKON INDIA PVT. LTD</v>
      </c>
      <c r="H639">
        <f ca="1">IFERROR(__xludf.DUMMYFUNCTION("""COMPUTED_VALUE"""),41)</f>
        <v>41</v>
      </c>
      <c r="I639" s="4">
        <f ca="1">IFERROR(__xludf.DUMMYFUNCTION("""COMPUTED_VALUE"""),43235)</f>
        <v>43235</v>
      </c>
      <c r="J639">
        <f ca="1">IFERROR(__xludf.DUMMYFUNCTION("""COMPUTED_VALUE"""),5)</f>
        <v>5</v>
      </c>
      <c r="K639">
        <f ca="1">IFERROR(__xludf.DUMMYFUNCTION("""COMPUTED_VALUE"""),1145126031821)</f>
        <v>1145126031821</v>
      </c>
      <c r="L639" t="str">
        <f ca="1">IFERROR(__xludf.DUMMYFUNCTION("""COMPUTED_VALUE"""),"Poojapura")</f>
        <v>Poojapura</v>
      </c>
      <c r="M639" t="str">
        <f ca="1">IFERROR(__xludf.DUMMYFUNCTION("""COMPUTED_VALUE"""),"I Accept")</f>
        <v>I Accept</v>
      </c>
      <c r="N639" s="4">
        <f ca="1">IFERROR(__xludf.DUMMYFUNCTION("""COMPUTED_VALUE"""),43241)</f>
        <v>43241</v>
      </c>
      <c r="O639" s="4">
        <f ca="1">IFERROR(__xludf.DUMMYFUNCTION("""COMPUTED_VALUE"""),43271)</f>
        <v>43271</v>
      </c>
      <c r="P639">
        <f ca="1">IFERROR(__xludf.DUMMYFUNCTION("""COMPUTED_VALUE"""),5)</f>
        <v>5</v>
      </c>
      <c r="Q639" t="str">
        <f ca="1">IFERROR(__xludf.DUMMYFUNCTION("""COMPUTED_VALUE"""),"ddcarehome@gmail.com")</f>
        <v>ddcarehome@gmail.com</v>
      </c>
      <c r="R639" s="2" t="s">
        <v>3053</v>
      </c>
    </row>
    <row r="640" spans="1:18" ht="13" x14ac:dyDescent="0.15">
      <c r="A640" s="3">
        <f ca="1">IFERROR(__xludf.DUMMYFUNCTION("""COMPUTED_VALUE"""),43241.603387037)</f>
        <v>43241.603387037001</v>
      </c>
      <c r="B640" t="str">
        <f ca="1">IFERROR(__xludf.DUMMYFUNCTION("""COMPUTED_VALUE"""),"dreldhohomeoclinic@gmail.com")</f>
        <v>dreldhohomeoclinic@gmail.com</v>
      </c>
      <c r="C640">
        <f ca="1">IFERROR(__xludf.DUMMYFUNCTION("""COMPUTED_VALUE"""),1128)</f>
        <v>1128</v>
      </c>
      <c r="D640" t="str">
        <f ca="1">IFERROR(__xludf.DUMMYFUNCTION("""COMPUTED_VALUE"""),"ELDHO P JOHN")</f>
        <v>ELDHO P JOHN</v>
      </c>
      <c r="E640">
        <f ca="1">IFERROR(__xludf.DUMMYFUNCTION("""COMPUTED_VALUE"""),9745078782)</f>
        <v>9745078782</v>
      </c>
      <c r="F640" t="str">
        <f ca="1">IFERROR(__xludf.DUMMYFUNCTION("""COMPUTED_VALUE"""),"Ernakulam")</f>
        <v>Ernakulam</v>
      </c>
      <c r="G640" t="str">
        <f ca="1">IFERROR(__xludf.DUMMYFUNCTION("""COMPUTED_VALUE"""),"SPECTRUM TECHNO PRODUCTS")</f>
        <v>SPECTRUM TECHNO PRODUCTS</v>
      </c>
      <c r="H640">
        <f ca="1">IFERROR(__xludf.DUMMYFUNCTION("""COMPUTED_VALUE"""),66)</f>
        <v>66</v>
      </c>
      <c r="I640" s="4">
        <f ca="1">IFERROR(__xludf.DUMMYFUNCTION("""COMPUTED_VALUE"""),43241)</f>
        <v>43241</v>
      </c>
      <c r="J640">
        <f ca="1">IFERROR(__xludf.DUMMYFUNCTION("""COMPUTED_VALUE"""),5)</f>
        <v>5</v>
      </c>
      <c r="K640">
        <f ca="1">IFERROR(__xludf.DUMMYFUNCTION("""COMPUTED_VALUE"""),1155889019916)</f>
        <v>1155889019916</v>
      </c>
      <c r="L640" t="str">
        <f ca="1">IFERROR(__xludf.DUMMYFUNCTION("""COMPUTED_VALUE"""),"KURUPPUMPADY")</f>
        <v>KURUPPUMPADY</v>
      </c>
      <c r="M640" t="str">
        <f ca="1">IFERROR(__xludf.DUMMYFUNCTION("""COMPUTED_VALUE"""),"I Accept")</f>
        <v>I Accept</v>
      </c>
      <c r="N640" s="4">
        <f ca="1">IFERROR(__xludf.DUMMYFUNCTION("""COMPUTED_VALUE"""),43241)</f>
        <v>43241</v>
      </c>
      <c r="O640" s="4">
        <f ca="1">IFERROR(__xludf.DUMMYFUNCTION("""COMPUTED_VALUE"""),43241)</f>
        <v>43241</v>
      </c>
      <c r="P640">
        <f ca="1">IFERROR(__xludf.DUMMYFUNCTION("""COMPUTED_VALUE"""),5)</f>
        <v>5</v>
      </c>
      <c r="Q640" t="str">
        <f ca="1">IFERROR(__xludf.DUMMYFUNCTION("""COMPUTED_VALUE"""),"dreldhohomeoclinic@gmail.com")</f>
        <v>dreldhohomeoclinic@gmail.com</v>
      </c>
      <c r="R640" s="2" t="s">
        <v>3054</v>
      </c>
    </row>
    <row r="641" spans="1:18" ht="13" x14ac:dyDescent="0.15">
      <c r="A641" s="3">
        <f ca="1">IFERROR(__xludf.DUMMYFUNCTION("""COMPUTED_VALUE"""),43241.6184443981)</f>
        <v>43241.618444398096</v>
      </c>
      <c r="B641" t="str">
        <f ca="1">IFERROR(__xludf.DUMMYFUNCTION("""COMPUTED_VALUE"""),"ocmathew.engr@gmail.com")</f>
        <v>ocmathew.engr@gmail.com</v>
      </c>
      <c r="C641">
        <f ca="1">IFERROR(__xludf.DUMMYFUNCTION("""COMPUTED_VALUE"""),886)</f>
        <v>886</v>
      </c>
      <c r="D641" t="str">
        <f ca="1">IFERROR(__xludf.DUMMYFUNCTION("""COMPUTED_VALUE"""),"O C MATHEW")</f>
        <v>O C MATHEW</v>
      </c>
      <c r="E641">
        <f ca="1">IFERROR(__xludf.DUMMYFUNCTION("""COMPUTED_VALUE"""),9446221977)</f>
        <v>9446221977</v>
      </c>
      <c r="F641" t="str">
        <f ca="1">IFERROR(__xludf.DUMMYFUNCTION("""COMPUTED_VALUE"""),"Ernakulam")</f>
        <v>Ernakulam</v>
      </c>
      <c r="G641" t="str">
        <f ca="1">IFERROR(__xludf.DUMMYFUNCTION("""COMPUTED_VALUE"""),"SPECTRUM TECHN PRODUCTS")</f>
        <v>SPECTRUM TECHN PRODUCTS</v>
      </c>
      <c r="H641">
        <f ca="1">IFERROR(__xludf.DUMMYFUNCTION("""COMPUTED_VALUE"""),66)</f>
        <v>66</v>
      </c>
      <c r="I641" s="4">
        <f ca="1">IFERROR(__xludf.DUMMYFUNCTION("""COMPUTED_VALUE"""),43241)</f>
        <v>43241</v>
      </c>
      <c r="J641">
        <f ca="1">IFERROR(__xludf.DUMMYFUNCTION("""COMPUTED_VALUE"""),3)</f>
        <v>3</v>
      </c>
      <c r="K641">
        <f ca="1">IFERROR(__xludf.DUMMYFUNCTION("""COMPUTED_VALUE"""),1155955000426)</f>
        <v>1155955000426</v>
      </c>
      <c r="L641" t="str">
        <f ca="1">IFERROR(__xludf.DUMMYFUNCTION("""COMPUTED_VALUE"""),"VELOORKUNNAM")</f>
        <v>VELOORKUNNAM</v>
      </c>
      <c r="M641" t="str">
        <f ca="1">IFERROR(__xludf.DUMMYFUNCTION("""COMPUTED_VALUE"""),"I Accept")</f>
        <v>I Accept</v>
      </c>
      <c r="N641" s="4">
        <f ca="1">IFERROR(__xludf.DUMMYFUNCTION("""COMPUTED_VALUE"""),43245)</f>
        <v>43245</v>
      </c>
      <c r="O641" s="4">
        <f ca="1">IFERROR(__xludf.DUMMYFUNCTION("""COMPUTED_VALUE"""),43245)</f>
        <v>43245</v>
      </c>
      <c r="P641">
        <f ca="1">IFERROR(__xludf.DUMMYFUNCTION("""COMPUTED_VALUE"""),3)</f>
        <v>3</v>
      </c>
      <c r="Q641" t="str">
        <f ca="1">IFERROR(__xludf.DUMMYFUNCTION("""COMPUTED_VALUE"""),"ocmathew.engr@gmail.com")</f>
        <v>ocmathew.engr@gmail.com</v>
      </c>
      <c r="R641" s="2" t="s">
        <v>3055</v>
      </c>
    </row>
    <row r="642" spans="1:18" ht="13" x14ac:dyDescent="0.15">
      <c r="A642" s="3">
        <f ca="1">IFERROR(__xludf.DUMMYFUNCTION("""COMPUTED_VALUE"""),43241.6207841666)</f>
        <v>43241.620784166596</v>
      </c>
      <c r="B642" t="str">
        <f ca="1">IFERROR(__xludf.DUMMYFUNCTION("""COMPUTED_VALUE"""),"viswadeepthischool@gmail.com")</f>
        <v>viswadeepthischool@gmail.com</v>
      </c>
      <c r="C642">
        <f ca="1">IFERROR(__xludf.DUMMYFUNCTION("""COMPUTED_VALUE"""),918)</f>
        <v>918</v>
      </c>
      <c r="D642" t="str">
        <f ca="1">IFERROR(__xludf.DUMMYFUNCTION("""COMPUTED_VALUE"""),"VISWADEEPTHI PUBLIC SCHOOL")</f>
        <v>VISWADEEPTHI PUBLIC SCHOOL</v>
      </c>
      <c r="E642">
        <f ca="1">IFERROR(__xludf.DUMMYFUNCTION("""COMPUTED_VALUE"""),9562233099)</f>
        <v>9562233099</v>
      </c>
      <c r="F642" t="str">
        <f ca="1">IFERROR(__xludf.DUMMYFUNCTION("""COMPUTED_VALUE"""),"Idukki")</f>
        <v>Idukki</v>
      </c>
      <c r="G642" t="str">
        <f ca="1">IFERROR(__xludf.DUMMYFUNCTION("""COMPUTED_VALUE"""),"REECCO ENERGY INDIA PVT LTD")</f>
        <v>REECCO ENERGY INDIA PVT LTD</v>
      </c>
      <c r="H642">
        <f ca="1">IFERROR(__xludf.DUMMYFUNCTION("""COMPUTED_VALUE"""),47)</f>
        <v>47</v>
      </c>
      <c r="I642" s="4">
        <f ca="1">IFERROR(__xludf.DUMMYFUNCTION("""COMPUTED_VALUE"""),43241)</f>
        <v>43241</v>
      </c>
      <c r="J642">
        <f ca="1">IFERROR(__xludf.DUMMYFUNCTION("""COMPUTED_VALUE"""),10)</f>
        <v>10</v>
      </c>
      <c r="K642">
        <f ca="1">IFERROR(__xludf.DUMMYFUNCTION("""COMPUTED_VALUE"""),1156178006862)</f>
        <v>1156178006862</v>
      </c>
      <c r="L642" t="str">
        <f ca="1">IFERROR(__xludf.DUMMYFUNCTION("""COMPUTED_VALUE"""),"Adimali")</f>
        <v>Adimali</v>
      </c>
      <c r="M642" t="str">
        <f ca="1">IFERROR(__xludf.DUMMYFUNCTION("""COMPUTED_VALUE"""),"I Accept")</f>
        <v>I Accept</v>
      </c>
      <c r="N642" s="4">
        <f ca="1">IFERROR(__xludf.DUMMYFUNCTION("""COMPUTED_VALUE"""),43241)</f>
        <v>43241</v>
      </c>
      <c r="O642" s="4">
        <f ca="1">IFERROR(__xludf.DUMMYFUNCTION("""COMPUTED_VALUE"""),43241)</f>
        <v>43241</v>
      </c>
      <c r="P642">
        <f ca="1">IFERROR(__xludf.DUMMYFUNCTION("""COMPUTED_VALUE"""),10)</f>
        <v>10</v>
      </c>
      <c r="Q642" t="str">
        <f ca="1">IFERROR(__xludf.DUMMYFUNCTION("""COMPUTED_VALUE"""),"viswadeepthischool@gmail.com")</f>
        <v>viswadeepthischool@gmail.com</v>
      </c>
      <c r="R642" s="2" t="s">
        <v>3056</v>
      </c>
    </row>
    <row r="643" spans="1:18" ht="13" x14ac:dyDescent="0.15">
      <c r="A643" s="3">
        <f ca="1">IFERROR(__xludf.DUMMYFUNCTION("""COMPUTED_VALUE"""),43241.6257494212)</f>
        <v>43241.625749421197</v>
      </c>
      <c r="B643" t="str">
        <f ca="1">IFERROR(__xludf.DUMMYFUNCTION("""COMPUTED_VALUE"""),"pmsenggdpt@gmail.com")</f>
        <v>pmsenggdpt@gmail.com</v>
      </c>
      <c r="C643">
        <f ca="1">IFERROR(__xludf.DUMMYFUNCTION("""COMPUTED_VALUE"""),578)</f>
        <v>578</v>
      </c>
      <c r="D643" t="str">
        <f ca="1">IFERROR(__xludf.DUMMYFUNCTION("""COMPUTED_VALUE"""),"Dr. P.S. Thaha")</f>
        <v>Dr. P.S. Thaha</v>
      </c>
      <c r="E643">
        <f ca="1">IFERROR(__xludf.DUMMYFUNCTION("""COMPUTED_VALUE"""),9447123482)</f>
        <v>9447123482</v>
      </c>
      <c r="F643" t="str">
        <f ca="1">IFERROR(__xludf.DUMMYFUNCTION("""COMPUTED_VALUE"""),"Thiruvananthapuram")</f>
        <v>Thiruvananthapuram</v>
      </c>
      <c r="G643" t="str">
        <f ca="1">IFERROR(__xludf.DUMMYFUNCTION("""COMPUTED_VALUE"""),"Hykon India Pvt. Ltd.")</f>
        <v>Hykon India Pvt. Ltd.</v>
      </c>
      <c r="H643">
        <f ca="1">IFERROR(__xludf.DUMMYFUNCTION("""COMPUTED_VALUE"""),41)</f>
        <v>41</v>
      </c>
      <c r="I643" s="4">
        <f ca="1">IFERROR(__xludf.DUMMYFUNCTION("""COMPUTED_VALUE"""),43188)</f>
        <v>43188</v>
      </c>
      <c r="J643">
        <f ca="1">IFERROR(__xludf.DUMMYFUNCTION("""COMPUTED_VALUE"""),15)</f>
        <v>15</v>
      </c>
      <c r="K643">
        <f ca="1">IFERROR(__xludf.DUMMYFUNCTION("""COMPUTED_VALUE"""),1145075014655)</f>
        <v>1145075014655</v>
      </c>
      <c r="L643" t="str">
        <f ca="1">IFERROR(__xludf.DUMMYFUNCTION("""COMPUTED_VALUE"""),"Vellayambalam")</f>
        <v>Vellayambalam</v>
      </c>
      <c r="M643" t="str">
        <f ca="1">IFERROR(__xludf.DUMMYFUNCTION("""COMPUTED_VALUE"""),"I Accept")</f>
        <v>I Accept</v>
      </c>
      <c r="N643" s="4">
        <f ca="1">IFERROR(__xludf.DUMMYFUNCTION("""COMPUTED_VALUE"""),43178)</f>
        <v>43178</v>
      </c>
      <c r="O643" s="4">
        <f ca="1">IFERROR(__xludf.DUMMYFUNCTION("""COMPUTED_VALUE"""),43208)</f>
        <v>43208</v>
      </c>
      <c r="P643">
        <f ca="1">IFERROR(__xludf.DUMMYFUNCTION("""COMPUTED_VALUE"""),15)</f>
        <v>15</v>
      </c>
      <c r="Q643" t="str">
        <f ca="1">IFERROR(__xludf.DUMMYFUNCTION("""COMPUTED_VALUE"""),"pmsenggdpt@gmail.com")</f>
        <v>pmsenggdpt@gmail.com</v>
      </c>
      <c r="R643" s="2" t="s">
        <v>3057</v>
      </c>
    </row>
    <row r="644" spans="1:18" ht="13" x14ac:dyDescent="0.15">
      <c r="A644" s="3">
        <f ca="1">IFERROR(__xludf.DUMMYFUNCTION("""COMPUTED_VALUE"""),43241.7258615046)</f>
        <v>43241.725861504601</v>
      </c>
      <c r="B644" t="str">
        <f ca="1">IFERROR(__xludf.DUMMYFUNCTION("""COMPUTED_VALUE"""),"info@wattsun.in")</f>
        <v>info@wattsun.in</v>
      </c>
      <c r="C644">
        <f ca="1">IFERROR(__xludf.DUMMYFUNCTION("""COMPUTED_VALUE"""),1212)</f>
        <v>1212</v>
      </c>
      <c r="D644" t="str">
        <f ca="1">IFERROR(__xludf.DUMMYFUNCTION("""COMPUTED_VALUE"""),"R Sasidharan Nair")</f>
        <v>R Sasidharan Nair</v>
      </c>
      <c r="E644">
        <f ca="1">IFERROR(__xludf.DUMMYFUNCTION("""COMPUTED_VALUE"""),9072666513)</f>
        <v>9072666513</v>
      </c>
      <c r="F644" t="str">
        <f ca="1">IFERROR(__xludf.DUMMYFUNCTION("""COMPUTED_VALUE"""),"Ernakulam")</f>
        <v>Ernakulam</v>
      </c>
      <c r="G644" t="str">
        <f ca="1">IFERROR(__xludf.DUMMYFUNCTION("""COMPUTED_VALUE"""),"Wattsun Energy India Private Limited")</f>
        <v>Wattsun Energy India Private Limited</v>
      </c>
      <c r="H644">
        <f ca="1">IFERROR(__xludf.DUMMYFUNCTION("""COMPUTED_VALUE"""),54)</f>
        <v>54</v>
      </c>
      <c r="I644" s="4">
        <f ca="1">IFERROR(__xludf.DUMMYFUNCTION("""COMPUTED_VALUE"""),43241)</f>
        <v>43241</v>
      </c>
      <c r="J644">
        <f ca="1">IFERROR(__xludf.DUMMYFUNCTION("""COMPUTED_VALUE"""),3)</f>
        <v>3</v>
      </c>
      <c r="K644">
        <f ca="1">IFERROR(__xludf.DUMMYFUNCTION("""COMPUTED_VALUE"""),1155484007495)</f>
        <v>1155484007495</v>
      </c>
      <c r="L644" t="str">
        <f ca="1">IFERROR(__xludf.DUMMYFUNCTION("""COMPUTED_VALUE"""),"Thripunithura")</f>
        <v>Thripunithura</v>
      </c>
      <c r="M644" t="str">
        <f ca="1">IFERROR(__xludf.DUMMYFUNCTION("""COMPUTED_VALUE"""),"I Accept")</f>
        <v>I Accept</v>
      </c>
      <c r="N644" s="4">
        <f ca="1">IFERROR(__xludf.DUMMYFUNCTION("""COMPUTED_VALUE"""),43229)</f>
        <v>43229</v>
      </c>
      <c r="O644" s="4">
        <f ca="1">IFERROR(__xludf.DUMMYFUNCTION("""COMPUTED_VALUE"""),43229)</f>
        <v>43229</v>
      </c>
      <c r="P644">
        <f ca="1">IFERROR(__xludf.DUMMYFUNCTION("""COMPUTED_VALUE"""),3)</f>
        <v>3</v>
      </c>
      <c r="Q644" t="str">
        <f ca="1">IFERROR(__xludf.DUMMYFUNCTION("""COMPUTED_VALUE"""),"info@wattsun.in")</f>
        <v>info@wattsun.in</v>
      </c>
      <c r="R644" s="2" t="s">
        <v>3058</v>
      </c>
    </row>
    <row r="645" spans="1:18" ht="13" x14ac:dyDescent="0.15">
      <c r="A645" s="3">
        <f ca="1">IFERROR(__xludf.DUMMYFUNCTION("""COMPUTED_VALUE"""),43242.4133644444)</f>
        <v>43242.413364444401</v>
      </c>
      <c r="B645" t="str">
        <f ca="1">IFERROR(__xludf.DUMMYFUNCTION("""COMPUTED_VALUE"""),"lawrencevetticat@gmail.com")</f>
        <v>lawrencevetticat@gmail.com</v>
      </c>
      <c r="C645">
        <f ca="1">IFERROR(__xludf.DUMMYFUNCTION("""COMPUTED_VALUE"""),1032)</f>
        <v>1032</v>
      </c>
      <c r="D645" t="str">
        <f ca="1">IFERROR(__xludf.DUMMYFUNCTION("""COMPUTED_VALUE"""),"Lawrence M Thomas")</f>
        <v>Lawrence M Thomas</v>
      </c>
      <c r="E645">
        <f ca="1">IFERROR(__xludf.DUMMYFUNCTION("""COMPUTED_VALUE"""),9995429398)</f>
        <v>9995429398</v>
      </c>
      <c r="F645" t="str">
        <f ca="1">IFERROR(__xludf.DUMMYFUNCTION("""COMPUTED_VALUE"""),"Ernakulam")</f>
        <v>Ernakulam</v>
      </c>
      <c r="G645" t="str">
        <f ca="1">IFERROR(__xludf.DUMMYFUNCTION("""COMPUTED_VALUE"""),"GREENROOF SOLAR PVT LTD")</f>
        <v>GREENROOF SOLAR PVT LTD</v>
      </c>
      <c r="H645">
        <f ca="1">IFERROR(__xludf.DUMMYFUNCTION("""COMPUTED_VALUE"""),24)</f>
        <v>24</v>
      </c>
      <c r="I645" s="4">
        <f ca="1">IFERROR(__xludf.DUMMYFUNCTION("""COMPUTED_VALUE"""),43237)</f>
        <v>43237</v>
      </c>
      <c r="J645">
        <f ca="1">IFERROR(__xludf.DUMMYFUNCTION("""COMPUTED_VALUE"""),2)</f>
        <v>2</v>
      </c>
      <c r="K645">
        <f ca="1">IFERROR(__xludf.DUMMYFUNCTION("""COMPUTED_VALUE"""),1155734008104)</f>
        <v>1155734008104</v>
      </c>
      <c r="L645" t="str">
        <f ca="1">IFERROR(__xludf.DUMMYFUNCTION("""COMPUTED_VALUE"""),"Kalamassery-5573")</f>
        <v>Kalamassery-5573</v>
      </c>
      <c r="M645" t="str">
        <f ca="1">IFERROR(__xludf.DUMMYFUNCTION("""COMPUTED_VALUE"""),"I Accept")</f>
        <v>I Accept</v>
      </c>
      <c r="N645" s="4">
        <f ca="1">IFERROR(__xludf.DUMMYFUNCTION("""COMPUTED_VALUE"""),43230)</f>
        <v>43230</v>
      </c>
      <c r="O645" s="4">
        <f ca="1">IFERROR(__xludf.DUMMYFUNCTION("""COMPUTED_VALUE"""),43230)</f>
        <v>43230</v>
      </c>
      <c r="P645">
        <f ca="1">IFERROR(__xludf.DUMMYFUNCTION("""COMPUTED_VALUE"""),2)</f>
        <v>2</v>
      </c>
      <c r="Q645" t="str">
        <f ca="1">IFERROR(__xludf.DUMMYFUNCTION("""COMPUTED_VALUE"""),"lawrencevetticat@gmail.com")</f>
        <v>lawrencevetticat@gmail.com</v>
      </c>
      <c r="R645" s="2" t="s">
        <v>3059</v>
      </c>
    </row>
    <row r="646" spans="1:18" ht="13" x14ac:dyDescent="0.15">
      <c r="A646" s="3">
        <f ca="1">IFERROR(__xludf.DUMMYFUNCTION("""COMPUTED_VALUE"""),43242.4859760416)</f>
        <v>43242.4859760416</v>
      </c>
      <c r="B646" t="str">
        <f ca="1">IFERROR(__xludf.DUMMYFUNCTION("""COMPUTED_VALUE"""),"prasadthomas@hotmail.com")</f>
        <v>prasadthomas@hotmail.com</v>
      </c>
      <c r="C646">
        <f ca="1">IFERROR(__xludf.DUMMYFUNCTION("""COMPUTED_VALUE"""),435)</f>
        <v>435</v>
      </c>
      <c r="D646" t="str">
        <f ca="1">IFERROR(__xludf.DUMMYFUNCTION("""COMPUTED_VALUE"""),"Prasad Thomas")</f>
        <v>Prasad Thomas</v>
      </c>
      <c r="E646">
        <f ca="1">IFERROR(__xludf.DUMMYFUNCTION("""COMPUTED_VALUE"""),9446116219)</f>
        <v>9446116219</v>
      </c>
      <c r="F646" t="str">
        <f ca="1">IFERROR(__xludf.DUMMYFUNCTION("""COMPUTED_VALUE"""),"Pathanamthitta")</f>
        <v>Pathanamthitta</v>
      </c>
      <c r="G646" t="str">
        <f ca="1">IFERROR(__xludf.DUMMYFUNCTION("""COMPUTED_VALUE"""),"renergy Systems India Pvt Ltd")</f>
        <v>renergy Systems India Pvt Ltd</v>
      </c>
      <c r="H646">
        <f ca="1">IFERROR(__xludf.DUMMYFUNCTION("""COMPUTED_VALUE"""),38)</f>
        <v>38</v>
      </c>
      <c r="I646" s="4">
        <f ca="1">IFERROR(__xludf.DUMMYFUNCTION("""COMPUTED_VALUE"""),43229)</f>
        <v>43229</v>
      </c>
      <c r="J646">
        <f ca="1">IFERROR(__xludf.DUMMYFUNCTION("""COMPUTED_VALUE"""),2)</f>
        <v>2</v>
      </c>
      <c r="K646">
        <f ca="1">IFERROR(__xludf.DUMMYFUNCTION("""COMPUTED_VALUE"""),1146213002838)</f>
        <v>1146213002838</v>
      </c>
      <c r="L646" t="str">
        <f ca="1">IFERROR(__xludf.DUMMYFUNCTION("""COMPUTED_VALUE"""),"1146213002838")</f>
        <v>1146213002838</v>
      </c>
      <c r="M646" t="str">
        <f ca="1">IFERROR(__xludf.DUMMYFUNCTION("""COMPUTED_VALUE"""),"I Accept")</f>
        <v>I Accept</v>
      </c>
      <c r="N646" s="4">
        <f ca="1">IFERROR(__xludf.DUMMYFUNCTION("""COMPUTED_VALUE"""),43187)</f>
        <v>43187</v>
      </c>
      <c r="O646" s="4">
        <f ca="1">IFERROR(__xludf.DUMMYFUNCTION("""COMPUTED_VALUE"""),43187)</f>
        <v>43187</v>
      </c>
      <c r="P646">
        <f ca="1">IFERROR(__xludf.DUMMYFUNCTION("""COMPUTED_VALUE"""),2)</f>
        <v>2</v>
      </c>
      <c r="Q646" t="str">
        <f ca="1">IFERROR(__xludf.DUMMYFUNCTION("""COMPUTED_VALUE"""),"prasadthomas@hotmail.com")</f>
        <v>prasadthomas@hotmail.com</v>
      </c>
      <c r="R646" s="2" t="s">
        <v>3060</v>
      </c>
    </row>
    <row r="647" spans="1:18" ht="13" x14ac:dyDescent="0.15">
      <c r="A647" s="3">
        <f ca="1">IFERROR(__xludf.DUMMYFUNCTION("""COMPUTED_VALUE"""),43242.4867050925)</f>
        <v>43242.486705092502</v>
      </c>
      <c r="B647" t="str">
        <f ca="1">IFERROR(__xludf.DUMMYFUNCTION("""COMPUTED_VALUE"""),"solarconnect2018@gmail.com")</f>
        <v>solarconnect2018@gmail.com</v>
      </c>
      <c r="C647">
        <f ca="1">IFERROR(__xludf.DUMMYFUNCTION("""COMPUTED_VALUE"""),1076)</f>
        <v>1076</v>
      </c>
      <c r="D647" t="str">
        <f ca="1">IFERROR(__xludf.DUMMYFUNCTION("""COMPUTED_VALUE"""),"VENU P N")</f>
        <v>VENU P N</v>
      </c>
      <c r="E647">
        <f ca="1">IFERROR(__xludf.DUMMYFUNCTION("""COMPUTED_VALUE"""),7356833424)</f>
        <v>7356833424</v>
      </c>
      <c r="F647" t="str">
        <f ca="1">IFERROR(__xludf.DUMMYFUNCTION("""COMPUTED_VALUE"""),"Ernakulam")</f>
        <v>Ernakulam</v>
      </c>
      <c r="G647" t="str">
        <f ca="1">IFERROR(__xludf.DUMMYFUNCTION("""COMPUTED_VALUE"""),"SPECTRUM TECHNO PRODUCTS")</f>
        <v>SPECTRUM TECHNO PRODUCTS</v>
      </c>
      <c r="H647">
        <f ca="1">IFERROR(__xludf.DUMMYFUNCTION("""COMPUTED_VALUE"""),66)</f>
        <v>66</v>
      </c>
      <c r="I647" s="4">
        <f ca="1">IFERROR(__xludf.DUMMYFUNCTION("""COMPUTED_VALUE"""),43241)</f>
        <v>43241</v>
      </c>
      <c r="J647">
        <f ca="1">IFERROR(__xludf.DUMMYFUNCTION("""COMPUTED_VALUE"""),3)</f>
        <v>3</v>
      </c>
      <c r="K647">
        <f ca="1">IFERROR(__xludf.DUMMYFUNCTION("""COMPUTED_VALUE"""),1155474026495)</f>
        <v>1155474026495</v>
      </c>
      <c r="L647" t="str">
        <f ca="1">IFERROR(__xludf.DUMMYFUNCTION("""COMPUTED_VALUE"""),"VADUTHALA")</f>
        <v>VADUTHALA</v>
      </c>
      <c r="M647" t="str">
        <f ca="1">IFERROR(__xludf.DUMMYFUNCTION("""COMPUTED_VALUE"""),"I Accept")</f>
        <v>I Accept</v>
      </c>
      <c r="N647" s="4">
        <f ca="1">IFERROR(__xludf.DUMMYFUNCTION("""COMPUTED_VALUE"""),43228)</f>
        <v>43228</v>
      </c>
      <c r="O647" s="4">
        <f ca="1">IFERROR(__xludf.DUMMYFUNCTION("""COMPUTED_VALUE"""),43228)</f>
        <v>43228</v>
      </c>
      <c r="P647">
        <f ca="1">IFERROR(__xludf.DUMMYFUNCTION("""COMPUTED_VALUE"""),3)</f>
        <v>3</v>
      </c>
      <c r="Q647" t="str">
        <f ca="1">IFERROR(__xludf.DUMMYFUNCTION("""COMPUTED_VALUE"""),"solarconnect2018@gmail.com")</f>
        <v>solarconnect2018@gmail.com</v>
      </c>
      <c r="R647" s="2" t="s">
        <v>3061</v>
      </c>
    </row>
    <row r="648" spans="1:18" ht="13" x14ac:dyDescent="0.15">
      <c r="A648" s="3">
        <f ca="1">IFERROR(__xludf.DUMMYFUNCTION("""COMPUTED_VALUE"""),43242.5839533333)</f>
        <v>43242.583953333298</v>
      </c>
      <c r="B648" t="str">
        <f ca="1">IFERROR(__xludf.DUMMYFUNCTION("""COMPUTED_VALUE"""),"justinvevukatt@gmail.com")</f>
        <v>justinvevukatt@gmail.com</v>
      </c>
      <c r="C648">
        <f ca="1">IFERROR(__xludf.DUMMYFUNCTION("""COMPUTED_VALUE"""),934)</f>
        <v>934</v>
      </c>
      <c r="D648" t="str">
        <f ca="1">IFERROR(__xludf.DUMMYFUNCTION("""COMPUTED_VALUE"""),"Margret augustian")</f>
        <v>Margret augustian</v>
      </c>
      <c r="E648">
        <f ca="1">IFERROR(__xludf.DUMMYFUNCTION("""COMPUTED_VALUE"""),9895353903)</f>
        <v>9895353903</v>
      </c>
      <c r="F648" t="str">
        <f ca="1">IFERROR(__xludf.DUMMYFUNCTION("""COMPUTED_VALUE"""),"Ernakulam")</f>
        <v>Ernakulam</v>
      </c>
      <c r="G648" t="str">
        <f ca="1">IFERROR(__xludf.DUMMYFUNCTION("""COMPUTED_VALUE"""),"Power one microsystems pvt ltd")</f>
        <v>Power one microsystems pvt ltd</v>
      </c>
      <c r="H648">
        <f ca="1">IFERROR(__xludf.DUMMYFUNCTION("""COMPUTED_VALUE"""),7)</f>
        <v>7</v>
      </c>
      <c r="I648" s="4">
        <f ca="1">IFERROR(__xludf.DUMMYFUNCTION("""COMPUTED_VALUE"""),43235)</f>
        <v>43235</v>
      </c>
      <c r="J648">
        <f ca="1">IFERROR(__xludf.DUMMYFUNCTION("""COMPUTED_VALUE"""),3)</f>
        <v>3</v>
      </c>
      <c r="K648">
        <f ca="1">IFERROR(__xludf.DUMMYFUNCTION("""COMPUTED_VALUE"""),1155655021803)</f>
        <v>1155655021803</v>
      </c>
      <c r="L648" t="str">
        <f ca="1">IFERROR(__xludf.DUMMYFUNCTION("""COMPUTED_VALUE"""),"Vypin")</f>
        <v>Vypin</v>
      </c>
      <c r="M648" t="str">
        <f ca="1">IFERROR(__xludf.DUMMYFUNCTION("""COMPUTED_VALUE"""),"I Accept")</f>
        <v>I Accept</v>
      </c>
      <c r="N648" s="4">
        <f ca="1">IFERROR(__xludf.DUMMYFUNCTION("""COMPUTED_VALUE"""),43211)</f>
        <v>43211</v>
      </c>
      <c r="O648" s="4">
        <f ca="1">IFERROR(__xludf.DUMMYFUNCTION("""COMPUTED_VALUE"""),43211)</f>
        <v>43211</v>
      </c>
      <c r="P648">
        <f ca="1">IFERROR(__xludf.DUMMYFUNCTION("""COMPUTED_VALUE"""),3)</f>
        <v>3</v>
      </c>
      <c r="Q648" t="str">
        <f ca="1">IFERROR(__xludf.DUMMYFUNCTION("""COMPUTED_VALUE"""),"justinvevukatt@gmail.com")</f>
        <v>justinvevukatt@gmail.com</v>
      </c>
      <c r="R648" s="2" t="s">
        <v>3062</v>
      </c>
    </row>
    <row r="649" spans="1:18" ht="13" x14ac:dyDescent="0.15">
      <c r="A649" s="3">
        <f ca="1">IFERROR(__xludf.DUMMYFUNCTION("""COMPUTED_VALUE"""),43242.592168993)</f>
        <v>43242.592168992996</v>
      </c>
      <c r="B649" t="str">
        <f ca="1">IFERROR(__xludf.DUMMYFUNCTION("""COMPUTED_VALUE"""),"bindumarymanoj1969@gmail.com")</f>
        <v>bindumarymanoj1969@gmail.com</v>
      </c>
      <c r="C649">
        <f ca="1">IFERROR(__xludf.DUMMYFUNCTION("""COMPUTED_VALUE"""),1213)</f>
        <v>1213</v>
      </c>
      <c r="D649" t="str">
        <f ca="1">IFERROR(__xludf.DUMMYFUNCTION("""COMPUTED_VALUE"""),"BINDU MARY MANOJ")</f>
        <v>BINDU MARY MANOJ</v>
      </c>
      <c r="E649">
        <f ca="1">IFERROR(__xludf.DUMMYFUNCTION("""COMPUTED_VALUE"""),9446033416)</f>
        <v>9446033416</v>
      </c>
      <c r="F649" t="str">
        <f ca="1">IFERROR(__xludf.DUMMYFUNCTION("""COMPUTED_VALUE"""),"Kottayam")</f>
        <v>Kottayam</v>
      </c>
      <c r="G649" t="str">
        <f ca="1">IFERROR(__xludf.DUMMYFUNCTION("""COMPUTED_VALUE"""),"Reecco Energy India Pvt Ltd")</f>
        <v>Reecco Energy India Pvt Ltd</v>
      </c>
      <c r="H649">
        <f ca="1">IFERROR(__xludf.DUMMYFUNCTION("""COMPUTED_VALUE"""),47)</f>
        <v>47</v>
      </c>
      <c r="I649" s="4">
        <f ca="1">IFERROR(__xludf.DUMMYFUNCTION("""COMPUTED_VALUE"""),43241)</f>
        <v>43241</v>
      </c>
      <c r="J649">
        <f ca="1">IFERROR(__xludf.DUMMYFUNCTION("""COMPUTED_VALUE"""),3)</f>
        <v>3</v>
      </c>
      <c r="K649">
        <f ca="1">IFERROR(__xludf.DUMMYFUNCTION("""COMPUTED_VALUE"""),1146348019366)</f>
        <v>1146348019366</v>
      </c>
      <c r="L649" t="str">
        <f ca="1">IFERROR(__xludf.DUMMYFUNCTION("""COMPUTED_VALUE"""),"Kottayam Central")</f>
        <v>Kottayam Central</v>
      </c>
      <c r="M649" t="str">
        <f ca="1">IFERROR(__xludf.DUMMYFUNCTION("""COMPUTED_VALUE"""),"I Accept")</f>
        <v>I Accept</v>
      </c>
      <c r="N649" s="4">
        <f ca="1">IFERROR(__xludf.DUMMYFUNCTION("""COMPUTED_VALUE"""),43242)</f>
        <v>43242</v>
      </c>
      <c r="O649" s="4">
        <f ca="1">IFERROR(__xludf.DUMMYFUNCTION("""COMPUTED_VALUE"""),43242)</f>
        <v>43242</v>
      </c>
      <c r="P649">
        <f ca="1">IFERROR(__xludf.DUMMYFUNCTION("""COMPUTED_VALUE"""),3)</f>
        <v>3</v>
      </c>
      <c r="Q649" t="str">
        <f ca="1">IFERROR(__xludf.DUMMYFUNCTION("""COMPUTED_VALUE"""),"bindumarymanoj1969@gmail.com")</f>
        <v>bindumarymanoj1969@gmail.com</v>
      </c>
      <c r="R649" s="2" t="s">
        <v>3063</v>
      </c>
    </row>
    <row r="650" spans="1:18" ht="13" x14ac:dyDescent="0.15">
      <c r="A650" s="3">
        <f ca="1">IFERROR(__xludf.DUMMYFUNCTION("""COMPUTED_VALUE"""),43242.6847615625)</f>
        <v>43242.684761562501</v>
      </c>
      <c r="B650" t="str">
        <f ca="1">IFERROR(__xludf.DUMMYFUNCTION("""COMPUTED_VALUE"""),"solarconnect2018@gmail.com")</f>
        <v>solarconnect2018@gmail.com</v>
      </c>
      <c r="C650">
        <f ca="1">IFERROR(__xludf.DUMMYFUNCTION("""COMPUTED_VALUE"""),1096)</f>
        <v>1096</v>
      </c>
      <c r="D650" t="str">
        <f ca="1">IFERROR(__xludf.DUMMYFUNCTION("""COMPUTED_VALUE"""),"HUSSAIN")</f>
        <v>HUSSAIN</v>
      </c>
      <c r="E650">
        <f ca="1">IFERROR(__xludf.DUMMYFUNCTION("""COMPUTED_VALUE"""),9744335524)</f>
        <v>9744335524</v>
      </c>
      <c r="F650" t="str">
        <f ca="1">IFERROR(__xludf.DUMMYFUNCTION("""COMPUTED_VALUE"""),"Malappuram")</f>
        <v>Malappuram</v>
      </c>
      <c r="G650" t="str">
        <f ca="1">IFERROR(__xludf.DUMMYFUNCTION("""COMPUTED_VALUE"""),"SPECTRUM TECHNO PRODUCTS")</f>
        <v>SPECTRUM TECHNO PRODUCTS</v>
      </c>
      <c r="H650">
        <f ca="1">IFERROR(__xludf.DUMMYFUNCTION("""COMPUTED_VALUE"""),66)</f>
        <v>66</v>
      </c>
      <c r="I650" s="4">
        <f ca="1">IFERROR(__xludf.DUMMYFUNCTION("""COMPUTED_VALUE"""),43224)</f>
        <v>43224</v>
      </c>
      <c r="J650">
        <f ca="1">IFERROR(__xludf.DUMMYFUNCTION("""COMPUTED_VALUE"""),3)</f>
        <v>3</v>
      </c>
      <c r="K650">
        <f ca="1">IFERROR(__xludf.DUMMYFUNCTION("""COMPUTED_VALUE"""),1168035008411)</f>
        <v>1168035008411</v>
      </c>
      <c r="L650" t="str">
        <f ca="1">IFERROR(__xludf.DUMMYFUNCTION("""COMPUTED_VALUE"""),"PERUMPADAPPU")</f>
        <v>PERUMPADAPPU</v>
      </c>
      <c r="M650" t="str">
        <f ca="1">IFERROR(__xludf.DUMMYFUNCTION("""COMPUTED_VALUE"""),"I Accept")</f>
        <v>I Accept</v>
      </c>
      <c r="N650" s="4">
        <f ca="1">IFERROR(__xludf.DUMMYFUNCTION("""COMPUTED_VALUE"""),43209)</f>
        <v>43209</v>
      </c>
      <c r="O650" s="4">
        <f ca="1">IFERROR(__xludf.DUMMYFUNCTION("""COMPUTED_VALUE"""),43209)</f>
        <v>43209</v>
      </c>
      <c r="P650">
        <f ca="1">IFERROR(__xludf.DUMMYFUNCTION("""COMPUTED_VALUE"""),3)</f>
        <v>3</v>
      </c>
      <c r="Q650" t="str">
        <f ca="1">IFERROR(__xludf.DUMMYFUNCTION("""COMPUTED_VALUE"""),"solarconnect2018@gmail.com")</f>
        <v>solarconnect2018@gmail.com</v>
      </c>
      <c r="R650" s="2" t="s">
        <v>3064</v>
      </c>
    </row>
    <row r="651" spans="1:18" ht="13" x14ac:dyDescent="0.15">
      <c r="A651" s="3">
        <f ca="1">IFERROR(__xludf.DUMMYFUNCTION("""COMPUTED_VALUE"""),43242.8813511458)</f>
        <v>43242.881351145799</v>
      </c>
      <c r="B651" t="str">
        <f ca="1">IFERROR(__xludf.DUMMYFUNCTION("""COMPUTED_VALUE"""),"georgekv2@gmail.com")</f>
        <v>georgekv2@gmail.com</v>
      </c>
      <c r="C651">
        <f ca="1">IFERROR(__xludf.DUMMYFUNCTION("""COMPUTED_VALUE"""),614)</f>
        <v>614</v>
      </c>
      <c r="D651" t="str">
        <f ca="1">IFERROR(__xludf.DUMMYFUNCTION("""COMPUTED_VALUE"""),"CONCERT O CASTLE FLAT OWNERS ASSOCIATION")</f>
        <v>CONCERT O CASTLE FLAT OWNERS ASSOCIATION</v>
      </c>
      <c r="E651">
        <f ca="1">IFERROR(__xludf.DUMMYFUNCTION("""COMPUTED_VALUE"""),8129419470)</f>
        <v>8129419470</v>
      </c>
      <c r="F651" t="str">
        <f ca="1">IFERROR(__xludf.DUMMYFUNCTION("""COMPUTED_VALUE"""),"Ernakulam")</f>
        <v>Ernakulam</v>
      </c>
      <c r="G651" t="str">
        <f ca="1">IFERROR(__xludf.DUMMYFUNCTION("""COMPUTED_VALUE"""),"SPECTRUMTECHNOPRODUCTS")</f>
        <v>SPECTRUMTECHNOPRODUCTS</v>
      </c>
      <c r="H651">
        <f ca="1">IFERROR(__xludf.DUMMYFUNCTION("""COMPUTED_VALUE"""),66)</f>
        <v>66</v>
      </c>
      <c r="I651" s="4">
        <f ca="1">IFERROR(__xludf.DUMMYFUNCTION("""COMPUTED_VALUE"""),43242)</f>
        <v>43242</v>
      </c>
      <c r="J651">
        <f ca="1">IFERROR(__xludf.DUMMYFUNCTION("""COMPUTED_VALUE"""),10)</f>
        <v>10</v>
      </c>
      <c r="K651">
        <f ca="1">IFERROR(__xludf.DUMMYFUNCTION("""COMPUTED_VALUE"""),1155422012563)</f>
        <v>1155422012563</v>
      </c>
      <c r="L651" t="str">
        <f ca="1">IFERROR(__xludf.DUMMYFUNCTION("""COMPUTED_VALUE"""),"GIRINAGAR")</f>
        <v>GIRINAGAR</v>
      </c>
      <c r="M651" t="str">
        <f ca="1">IFERROR(__xludf.DUMMYFUNCTION("""COMPUTED_VALUE"""),"I Accept")</f>
        <v>I Accept</v>
      </c>
      <c r="N651" s="4">
        <f ca="1">IFERROR(__xludf.DUMMYFUNCTION("""COMPUTED_VALUE"""),43185)</f>
        <v>43185</v>
      </c>
      <c r="O651" s="4">
        <f ca="1">IFERROR(__xludf.DUMMYFUNCTION("""COMPUTED_VALUE"""),43185)</f>
        <v>43185</v>
      </c>
      <c r="P651">
        <f ca="1">IFERROR(__xludf.DUMMYFUNCTION("""COMPUTED_VALUE"""),10)</f>
        <v>10</v>
      </c>
      <c r="Q651" t="str">
        <f ca="1">IFERROR(__xludf.DUMMYFUNCTION("""COMPUTED_VALUE"""),"georgekv2@gmail.com")</f>
        <v>georgekv2@gmail.com</v>
      </c>
      <c r="R651" s="2" t="s">
        <v>3065</v>
      </c>
    </row>
    <row r="652" spans="1:18" ht="13" x14ac:dyDescent="0.15">
      <c r="A652" s="3">
        <f ca="1">IFERROR(__xludf.DUMMYFUNCTION("""COMPUTED_VALUE"""),43243.3988918055)</f>
        <v>43243.398891805497</v>
      </c>
      <c r="B652" t="str">
        <f ca="1">IFERROR(__xludf.DUMMYFUNCTION("""COMPUTED_VALUE"""),"solarconnect2018@gmail.com")</f>
        <v>solarconnect2018@gmail.com</v>
      </c>
      <c r="C652">
        <f ca="1">IFERROR(__xludf.DUMMYFUNCTION("""COMPUTED_VALUE"""),1077)</f>
        <v>1077</v>
      </c>
      <c r="D652" t="str">
        <f ca="1">IFERROR(__xludf.DUMMYFUNCTION("""COMPUTED_VALUE"""),"MOIDUNNI K V")</f>
        <v>MOIDUNNI K V</v>
      </c>
      <c r="E652">
        <f ca="1">IFERROR(__xludf.DUMMYFUNCTION("""COMPUTED_VALUE"""),9946291932)</f>
        <v>9946291932</v>
      </c>
      <c r="F652" t="str">
        <f ca="1">IFERROR(__xludf.DUMMYFUNCTION("""COMPUTED_VALUE"""),"Malappuram")</f>
        <v>Malappuram</v>
      </c>
      <c r="G652" t="str">
        <f ca="1">IFERROR(__xludf.DUMMYFUNCTION("""COMPUTED_VALUE"""),"SPECTRUM TECHNO PRODUCTS")</f>
        <v>SPECTRUM TECHNO PRODUCTS</v>
      </c>
      <c r="H652">
        <f ca="1">IFERROR(__xludf.DUMMYFUNCTION("""COMPUTED_VALUE"""),66)</f>
        <v>66</v>
      </c>
      <c r="I652" s="4">
        <f ca="1">IFERROR(__xludf.DUMMYFUNCTION("""COMPUTED_VALUE"""),43242)</f>
        <v>43242</v>
      </c>
      <c r="J652">
        <f ca="1">IFERROR(__xludf.DUMMYFUNCTION("""COMPUTED_VALUE"""),3)</f>
        <v>3</v>
      </c>
      <c r="K652">
        <f ca="1">IFERROR(__xludf.DUMMYFUNCTION("""COMPUTED_VALUE"""),1165852003574)</f>
        <v>1165852003574</v>
      </c>
      <c r="L652" t="str">
        <f ca="1">IFERROR(__xludf.DUMMYFUNCTION("""COMPUTED_VALUE"""),"CHANGARAMKULAM")</f>
        <v>CHANGARAMKULAM</v>
      </c>
      <c r="M652" t="str">
        <f ca="1">IFERROR(__xludf.DUMMYFUNCTION("""COMPUTED_VALUE"""),"I Accept")</f>
        <v>I Accept</v>
      </c>
      <c r="N652" s="4">
        <f ca="1">IFERROR(__xludf.DUMMYFUNCTION("""COMPUTED_VALUE"""),43237)</f>
        <v>43237</v>
      </c>
      <c r="O652" s="4">
        <f ca="1">IFERROR(__xludf.DUMMYFUNCTION("""COMPUTED_VALUE"""),43237)</f>
        <v>43237</v>
      </c>
      <c r="P652">
        <f ca="1">IFERROR(__xludf.DUMMYFUNCTION("""COMPUTED_VALUE"""),3)</f>
        <v>3</v>
      </c>
      <c r="Q652" t="str">
        <f ca="1">IFERROR(__xludf.DUMMYFUNCTION("""COMPUTED_VALUE"""),"solarconnect2018@gmail.com")</f>
        <v>solarconnect2018@gmail.com</v>
      </c>
      <c r="R652" s="2" t="s">
        <v>3066</v>
      </c>
    </row>
    <row r="653" spans="1:18" ht="13" x14ac:dyDescent="0.15">
      <c r="A653" s="3">
        <f ca="1">IFERROR(__xludf.DUMMYFUNCTION("""COMPUTED_VALUE"""),43243.4081074652)</f>
        <v>43243.408107465199</v>
      </c>
      <c r="B653" t="str">
        <f ca="1">IFERROR(__xludf.DUMMYFUNCTION("""COMPUTED_VALUE"""),"solarconnect2018@gmail.com")</f>
        <v>solarconnect2018@gmail.com</v>
      </c>
      <c r="C653">
        <f ca="1">IFERROR(__xludf.DUMMYFUNCTION("""COMPUTED_VALUE"""),917)</f>
        <v>917</v>
      </c>
      <c r="D653" t="str">
        <f ca="1">IFERROR(__xludf.DUMMYFUNCTION("""COMPUTED_VALUE"""),"PRASAD T  P")</f>
        <v>PRASAD T  P</v>
      </c>
      <c r="E653">
        <f ca="1">IFERROR(__xludf.DUMMYFUNCTION("""COMPUTED_VALUE"""),9400926539)</f>
        <v>9400926539</v>
      </c>
      <c r="F653" t="str">
        <f ca="1">IFERROR(__xludf.DUMMYFUNCTION("""COMPUTED_VALUE"""),"Thiruvananthapuram")</f>
        <v>Thiruvananthapuram</v>
      </c>
      <c r="G653" t="str">
        <f ca="1">IFERROR(__xludf.DUMMYFUNCTION("""COMPUTED_VALUE"""),"SPECTRUM TECHNO PRODUCTS")</f>
        <v>SPECTRUM TECHNO PRODUCTS</v>
      </c>
      <c r="H653">
        <f ca="1">IFERROR(__xludf.DUMMYFUNCTION("""COMPUTED_VALUE"""),66)</f>
        <v>66</v>
      </c>
      <c r="I653" s="4">
        <f ca="1">IFERROR(__xludf.DUMMYFUNCTION("""COMPUTED_VALUE"""),43218)</f>
        <v>43218</v>
      </c>
      <c r="J653">
        <f ca="1">IFERROR(__xludf.DUMMYFUNCTION("""COMPUTED_VALUE"""),3)</f>
        <v>3</v>
      </c>
      <c r="K653">
        <f ca="1">IFERROR(__xludf.DUMMYFUNCTION("""COMPUTED_VALUE"""),1145158016475)</f>
        <v>1145158016475</v>
      </c>
      <c r="L653" t="str">
        <f ca="1">IFERROR(__xludf.DUMMYFUNCTION("""COMPUTED_VALUE"""),"SREEVARAHAM")</f>
        <v>SREEVARAHAM</v>
      </c>
      <c r="M653" t="str">
        <f ca="1">IFERROR(__xludf.DUMMYFUNCTION("""COMPUTED_VALUE"""),"I Accept")</f>
        <v>I Accept</v>
      </c>
      <c r="N653" s="4">
        <f ca="1">IFERROR(__xludf.DUMMYFUNCTION("""COMPUTED_VALUE"""),43190)</f>
        <v>43190</v>
      </c>
      <c r="O653" s="4">
        <f ca="1">IFERROR(__xludf.DUMMYFUNCTION("""COMPUTED_VALUE"""),43190)</f>
        <v>43190</v>
      </c>
      <c r="P653">
        <f ca="1">IFERROR(__xludf.DUMMYFUNCTION("""COMPUTED_VALUE"""),3)</f>
        <v>3</v>
      </c>
      <c r="Q653" t="str">
        <f ca="1">IFERROR(__xludf.DUMMYFUNCTION("""COMPUTED_VALUE"""),"solarconnect2018@gmail.com")</f>
        <v>solarconnect2018@gmail.com</v>
      </c>
      <c r="R653" s="2" t="s">
        <v>3067</v>
      </c>
    </row>
    <row r="654" spans="1:18" ht="13" x14ac:dyDescent="0.15">
      <c r="A654" s="3">
        <f ca="1">IFERROR(__xludf.DUMMYFUNCTION("""COMPUTED_VALUE"""),43243.4115734259)</f>
        <v>43243.411573425903</v>
      </c>
      <c r="B654" t="str">
        <f ca="1">IFERROR(__xludf.DUMMYFUNCTION("""COMPUTED_VALUE"""),"technoguardes@gmail.com")</f>
        <v>technoguardes@gmail.com</v>
      </c>
      <c r="C654">
        <f ca="1">IFERROR(__xludf.DUMMYFUNCTION("""COMPUTED_VALUE"""),1162)</f>
        <v>1162</v>
      </c>
      <c r="D654" t="str">
        <f ca="1">IFERROR(__xludf.DUMMYFUNCTION("""COMPUTED_VALUE"""),"PRAJITH V P")</f>
        <v>PRAJITH V P</v>
      </c>
      <c r="E654">
        <f ca="1">IFERROR(__xludf.DUMMYFUNCTION("""COMPUTED_VALUE"""),9448953095)</f>
        <v>9448953095</v>
      </c>
      <c r="F654" t="str">
        <f ca="1">IFERROR(__xludf.DUMMYFUNCTION("""COMPUTED_VALUE"""),"Ernakulam")</f>
        <v>Ernakulam</v>
      </c>
      <c r="G654" t="str">
        <f ca="1">IFERROR(__xludf.DUMMYFUNCTION("""COMPUTED_VALUE"""),"TECHNO GUARD INDUSTRIES")</f>
        <v>TECHNO GUARD INDUSTRIES</v>
      </c>
      <c r="H654">
        <f ca="1">IFERROR(__xludf.DUMMYFUNCTION("""COMPUTED_VALUE"""),56)</f>
        <v>56</v>
      </c>
      <c r="I654" s="4">
        <f ca="1">IFERROR(__xludf.DUMMYFUNCTION("""COMPUTED_VALUE"""),43242)</f>
        <v>43242</v>
      </c>
      <c r="J654">
        <f ca="1">IFERROR(__xludf.DUMMYFUNCTION("""COMPUTED_VALUE"""),5)</f>
        <v>5</v>
      </c>
      <c r="K654">
        <f ca="1">IFERROR(__xludf.DUMMYFUNCTION("""COMPUTED_VALUE"""),1156057021653)</f>
        <v>1156057021653</v>
      </c>
      <c r="L654" t="str">
        <f ca="1">IFERROR(__xludf.DUMMYFUNCTION("""COMPUTED_VALUE"""),"CHERAI")</f>
        <v>CHERAI</v>
      </c>
      <c r="M654" t="str">
        <f ca="1">IFERROR(__xludf.DUMMYFUNCTION("""COMPUTED_VALUE"""),"I Accept")</f>
        <v>I Accept</v>
      </c>
      <c r="N654" s="4">
        <f ca="1">IFERROR(__xludf.DUMMYFUNCTION("""COMPUTED_VALUE"""),43223)</f>
        <v>43223</v>
      </c>
      <c r="O654" s="4">
        <f ca="1">IFERROR(__xludf.DUMMYFUNCTION("""COMPUTED_VALUE"""),43223)</f>
        <v>43223</v>
      </c>
      <c r="P654">
        <f ca="1">IFERROR(__xludf.DUMMYFUNCTION("""COMPUTED_VALUE"""),5)</f>
        <v>5</v>
      </c>
      <c r="Q654" t="str">
        <f ca="1">IFERROR(__xludf.DUMMYFUNCTION("""COMPUTED_VALUE"""),"technoguardes@gmail.com")</f>
        <v>technoguardes@gmail.com</v>
      </c>
      <c r="R654" s="2" t="s">
        <v>3068</v>
      </c>
    </row>
    <row r="655" spans="1:18" ht="13" x14ac:dyDescent="0.15">
      <c r="A655" s="3">
        <f ca="1">IFERROR(__xludf.DUMMYFUNCTION("""COMPUTED_VALUE"""),43243.4174796875)</f>
        <v>43243.417479687501</v>
      </c>
      <c r="B655" t="str">
        <f ca="1">IFERROR(__xludf.DUMMYFUNCTION("""COMPUTED_VALUE"""),"technoguardes@gmail.com")</f>
        <v>technoguardes@gmail.com</v>
      </c>
      <c r="C655">
        <f ca="1">IFERROR(__xludf.DUMMYFUNCTION("""COMPUTED_VALUE"""),1167)</f>
        <v>1167</v>
      </c>
      <c r="D655" t="str">
        <f ca="1">IFERROR(__xludf.DUMMYFUNCTION("""COMPUTED_VALUE"""),"SHIBU P.V")</f>
        <v>SHIBU P.V</v>
      </c>
      <c r="E655">
        <f ca="1">IFERROR(__xludf.DUMMYFUNCTION("""COMPUTED_VALUE"""),9447379663)</f>
        <v>9447379663</v>
      </c>
      <c r="F655" t="str">
        <f ca="1">IFERROR(__xludf.DUMMYFUNCTION("""COMPUTED_VALUE"""),"Ernakulam")</f>
        <v>Ernakulam</v>
      </c>
      <c r="G655" t="str">
        <f ca="1">IFERROR(__xludf.DUMMYFUNCTION("""COMPUTED_VALUE"""),"TECHNO GUARD INDUSTRIES")</f>
        <v>TECHNO GUARD INDUSTRIES</v>
      </c>
      <c r="H655">
        <f ca="1">IFERROR(__xludf.DUMMYFUNCTION("""COMPUTED_VALUE"""),56)</f>
        <v>56</v>
      </c>
      <c r="I655" s="4">
        <f ca="1">IFERROR(__xludf.DUMMYFUNCTION("""COMPUTED_VALUE"""),43242)</f>
        <v>43242</v>
      </c>
      <c r="J655">
        <f ca="1">IFERROR(__xludf.DUMMYFUNCTION("""COMPUTED_VALUE"""),3)</f>
        <v>3</v>
      </c>
      <c r="K655">
        <f ca="1">IFERROR(__xludf.DUMMYFUNCTION("""COMPUTED_VALUE"""),1155664010449)</f>
        <v>1155664010449</v>
      </c>
      <c r="L655" t="str">
        <f ca="1">IFERROR(__xludf.DUMMYFUNCTION("""COMPUTED_VALUE"""),"NJARAKKAL")</f>
        <v>NJARAKKAL</v>
      </c>
      <c r="M655" t="str">
        <f ca="1">IFERROR(__xludf.DUMMYFUNCTION("""COMPUTED_VALUE"""),"I Accept")</f>
        <v>I Accept</v>
      </c>
      <c r="N655" s="4">
        <f ca="1">IFERROR(__xludf.DUMMYFUNCTION("""COMPUTED_VALUE"""),43238)</f>
        <v>43238</v>
      </c>
      <c r="O655" s="4">
        <f ca="1">IFERROR(__xludf.DUMMYFUNCTION("""COMPUTED_VALUE"""),43238)</f>
        <v>43238</v>
      </c>
      <c r="P655">
        <f ca="1">IFERROR(__xludf.DUMMYFUNCTION("""COMPUTED_VALUE"""),3)</f>
        <v>3</v>
      </c>
      <c r="Q655" t="str">
        <f ca="1">IFERROR(__xludf.DUMMYFUNCTION("""COMPUTED_VALUE"""),"technoguardes@gmail.com")</f>
        <v>technoguardes@gmail.com</v>
      </c>
      <c r="R655" s="2" t="s">
        <v>3069</v>
      </c>
    </row>
    <row r="656" spans="1:18" ht="13" x14ac:dyDescent="0.15">
      <c r="A656" s="3">
        <f ca="1">IFERROR(__xludf.DUMMYFUNCTION("""COMPUTED_VALUE"""),43243.4176564699)</f>
        <v>43243.417656469901</v>
      </c>
      <c r="B656" t="str">
        <f ca="1">IFERROR(__xludf.DUMMYFUNCTION("""COMPUTED_VALUE"""),"solarconnect2018@gmail.com")</f>
        <v>solarconnect2018@gmail.com</v>
      </c>
      <c r="C656">
        <f ca="1">IFERROR(__xludf.DUMMYFUNCTION("""COMPUTED_VALUE"""),1174)</f>
        <v>1174</v>
      </c>
      <c r="D656" t="str">
        <f ca="1">IFERROR(__xludf.DUMMYFUNCTION("""COMPUTED_VALUE"""),"RASHEED")</f>
        <v>RASHEED</v>
      </c>
      <c r="E656">
        <f ca="1">IFERROR(__xludf.DUMMYFUNCTION("""COMPUTED_VALUE"""),7994110707)</f>
        <v>7994110707</v>
      </c>
      <c r="F656" t="str">
        <f ca="1">IFERROR(__xludf.DUMMYFUNCTION("""COMPUTED_VALUE"""),"Malappuram")</f>
        <v>Malappuram</v>
      </c>
      <c r="G656" t="str">
        <f ca="1">IFERROR(__xludf.DUMMYFUNCTION("""COMPUTED_VALUE"""),"SPECTRUM TECHNO PRODUCTS")</f>
        <v>SPECTRUM TECHNO PRODUCTS</v>
      </c>
      <c r="H656">
        <f ca="1">IFERROR(__xludf.DUMMYFUNCTION("""COMPUTED_VALUE"""),66)</f>
        <v>66</v>
      </c>
      <c r="I656" s="4">
        <f ca="1">IFERROR(__xludf.DUMMYFUNCTION("""COMPUTED_VALUE"""),43242)</f>
        <v>43242</v>
      </c>
      <c r="J656">
        <f ca="1">IFERROR(__xludf.DUMMYFUNCTION("""COMPUTED_VALUE"""),3)</f>
        <v>3</v>
      </c>
      <c r="K656">
        <f ca="1">IFERROR(__xludf.DUMMYFUNCTION("""COMPUTED_VALUE"""),1165854001056)</f>
        <v>1165854001056</v>
      </c>
      <c r="L656" t="str">
        <f ca="1">IFERROR(__xludf.DUMMYFUNCTION("""COMPUTED_VALUE"""),"CHANGARAMKULAM")</f>
        <v>CHANGARAMKULAM</v>
      </c>
      <c r="M656" t="str">
        <f ca="1">IFERROR(__xludf.DUMMYFUNCTION("""COMPUTED_VALUE"""),"I Accept")</f>
        <v>I Accept</v>
      </c>
      <c r="N656" s="4">
        <f ca="1">IFERROR(__xludf.DUMMYFUNCTION("""COMPUTED_VALUE"""),43237)</f>
        <v>43237</v>
      </c>
      <c r="O656" s="4">
        <f ca="1">IFERROR(__xludf.DUMMYFUNCTION("""COMPUTED_VALUE"""),43237)</f>
        <v>43237</v>
      </c>
      <c r="P656">
        <f ca="1">IFERROR(__xludf.DUMMYFUNCTION("""COMPUTED_VALUE"""),3)</f>
        <v>3</v>
      </c>
      <c r="Q656" t="str">
        <f ca="1">IFERROR(__xludf.DUMMYFUNCTION("""COMPUTED_VALUE"""),"solarconnect2018@gmail.com")</f>
        <v>solarconnect2018@gmail.com</v>
      </c>
      <c r="R656" s="2" t="s">
        <v>3070</v>
      </c>
    </row>
    <row r="657" spans="1:18" ht="13" x14ac:dyDescent="0.15">
      <c r="A657" s="3">
        <f ca="1">IFERROR(__xludf.DUMMYFUNCTION("""COMPUTED_VALUE"""),43243.4217884722)</f>
        <v>43243.421788472202</v>
      </c>
      <c r="B657" t="str">
        <f ca="1">IFERROR(__xludf.DUMMYFUNCTION("""COMPUTED_VALUE"""),"technoguardes@gmail.com")</f>
        <v>technoguardes@gmail.com</v>
      </c>
      <c r="C657">
        <f ca="1">IFERROR(__xludf.DUMMYFUNCTION("""COMPUTED_VALUE"""),1164)</f>
        <v>1164</v>
      </c>
      <c r="D657" t="str">
        <f ca="1">IFERROR(__xludf.DUMMYFUNCTION("""COMPUTED_VALUE"""),"VINCENT P.D")</f>
        <v>VINCENT P.D</v>
      </c>
      <c r="E657">
        <f ca="1">IFERROR(__xludf.DUMMYFUNCTION("""COMPUTED_VALUE"""),9446217437)</f>
        <v>9446217437</v>
      </c>
      <c r="F657" t="str">
        <f ca="1">IFERROR(__xludf.DUMMYFUNCTION("""COMPUTED_VALUE"""),"Ernakulam")</f>
        <v>Ernakulam</v>
      </c>
      <c r="G657" t="str">
        <f ca="1">IFERROR(__xludf.DUMMYFUNCTION("""COMPUTED_VALUE"""),"TECHNO GUARD INDUSTRIES")</f>
        <v>TECHNO GUARD INDUSTRIES</v>
      </c>
      <c r="H657">
        <f ca="1">IFERROR(__xludf.DUMMYFUNCTION("""COMPUTED_VALUE"""),56)</f>
        <v>56</v>
      </c>
      <c r="I657" s="4">
        <f ca="1">IFERROR(__xludf.DUMMYFUNCTION("""COMPUTED_VALUE"""),43243)</f>
        <v>43243</v>
      </c>
      <c r="J657">
        <f ca="1">IFERROR(__xludf.DUMMYFUNCTION("""COMPUTED_VALUE"""),3)</f>
        <v>3</v>
      </c>
      <c r="K657">
        <f ca="1">IFERROR(__xludf.DUMMYFUNCTION("""COMPUTED_VALUE"""),1156596000239)</f>
        <v>1156596000239</v>
      </c>
      <c r="L657" t="str">
        <f ca="1">IFERROR(__xludf.DUMMYFUNCTION("""COMPUTED_VALUE"""),"PUTHENVELIKKARA")</f>
        <v>PUTHENVELIKKARA</v>
      </c>
      <c r="M657" t="str">
        <f ca="1">IFERROR(__xludf.DUMMYFUNCTION("""COMPUTED_VALUE"""),"I Accept")</f>
        <v>I Accept</v>
      </c>
      <c r="N657" s="4">
        <f ca="1">IFERROR(__xludf.DUMMYFUNCTION("""COMPUTED_VALUE"""),43236)</f>
        <v>43236</v>
      </c>
      <c r="O657" s="4">
        <f ca="1">IFERROR(__xludf.DUMMYFUNCTION("""COMPUTED_VALUE"""),43236)</f>
        <v>43236</v>
      </c>
      <c r="P657">
        <f ca="1">IFERROR(__xludf.DUMMYFUNCTION("""COMPUTED_VALUE"""),3)</f>
        <v>3</v>
      </c>
      <c r="Q657" t="str">
        <f ca="1">IFERROR(__xludf.DUMMYFUNCTION("""COMPUTED_VALUE"""),"technoguardes@gmail.com")</f>
        <v>technoguardes@gmail.com</v>
      </c>
      <c r="R657" s="2" t="s">
        <v>3071</v>
      </c>
    </row>
    <row r="658" spans="1:18" ht="13" x14ac:dyDescent="0.15">
      <c r="A658" s="3">
        <f ca="1">IFERROR(__xludf.DUMMYFUNCTION("""COMPUTED_VALUE"""),43243.4307833101)</f>
        <v>43243.430783310097</v>
      </c>
      <c r="B658" t="str">
        <f ca="1">IFERROR(__xludf.DUMMYFUNCTION("""COMPUTED_VALUE"""),"technoguardes@gmail.com")</f>
        <v>technoguardes@gmail.com</v>
      </c>
      <c r="C658">
        <f ca="1">IFERROR(__xludf.DUMMYFUNCTION("""COMPUTED_VALUE"""),1171)</f>
        <v>1171</v>
      </c>
      <c r="D658" t="str">
        <f ca="1">IFERROR(__xludf.DUMMYFUNCTION("""COMPUTED_VALUE"""),"RAJAN PANDAKASALA GEORGE")</f>
        <v>RAJAN PANDAKASALA GEORGE</v>
      </c>
      <c r="E658">
        <f ca="1">IFERROR(__xludf.DUMMYFUNCTION("""COMPUTED_VALUE"""),8078340000)</f>
        <v>8078340000</v>
      </c>
      <c r="F658" t="str">
        <f ca="1">IFERROR(__xludf.DUMMYFUNCTION("""COMPUTED_VALUE"""),"Kollam")</f>
        <v>Kollam</v>
      </c>
      <c r="G658" t="str">
        <f ca="1">IFERROR(__xludf.DUMMYFUNCTION("""COMPUTED_VALUE"""),"TECHNO GUARD INDUSTRIES")</f>
        <v>TECHNO GUARD INDUSTRIES</v>
      </c>
      <c r="H658">
        <f ca="1">IFERROR(__xludf.DUMMYFUNCTION("""COMPUTED_VALUE"""),56)</f>
        <v>56</v>
      </c>
      <c r="I658" s="4">
        <f ca="1">IFERROR(__xludf.DUMMYFUNCTION("""COMPUTED_VALUE"""),43243)</f>
        <v>43243</v>
      </c>
      <c r="J658">
        <f ca="1">IFERROR(__xludf.DUMMYFUNCTION("""COMPUTED_VALUE"""),10)</f>
        <v>10</v>
      </c>
      <c r="K658">
        <f ca="1">IFERROR(__xludf.DUMMYFUNCTION("""COMPUTED_VALUE"""),1145594007198)</f>
        <v>1145594007198</v>
      </c>
      <c r="L658" t="str">
        <f ca="1">IFERROR(__xludf.DUMMYFUNCTION("""COMPUTED_VALUE"""),"KADAPPAKKADA")</f>
        <v>KADAPPAKKADA</v>
      </c>
      <c r="M658" t="str">
        <f ca="1">IFERROR(__xludf.DUMMYFUNCTION("""COMPUTED_VALUE"""),"I Accept")</f>
        <v>I Accept</v>
      </c>
      <c r="N658" s="4">
        <f ca="1">IFERROR(__xludf.DUMMYFUNCTION("""COMPUTED_VALUE"""),43234)</f>
        <v>43234</v>
      </c>
      <c r="O658" s="4">
        <f ca="1">IFERROR(__xludf.DUMMYFUNCTION("""COMPUTED_VALUE"""),43234)</f>
        <v>43234</v>
      </c>
      <c r="P658">
        <f ca="1">IFERROR(__xludf.DUMMYFUNCTION("""COMPUTED_VALUE"""),10)</f>
        <v>10</v>
      </c>
      <c r="Q658" t="str">
        <f ca="1">IFERROR(__xludf.DUMMYFUNCTION("""COMPUTED_VALUE"""),"technoguardes@gmail.com")</f>
        <v>technoguardes@gmail.com</v>
      </c>
      <c r="R658" s="2" t="s">
        <v>3072</v>
      </c>
    </row>
    <row r="659" spans="1:18" ht="13" x14ac:dyDescent="0.15">
      <c r="A659" s="3">
        <f ca="1">IFERROR(__xludf.DUMMYFUNCTION("""COMPUTED_VALUE"""),43243.4530103356)</f>
        <v>43243.453010335601</v>
      </c>
      <c r="B659" t="str">
        <f ca="1">IFERROR(__xludf.DUMMYFUNCTION("""COMPUTED_VALUE"""),"solarconnect2018@gmail.com")</f>
        <v>solarconnect2018@gmail.com</v>
      </c>
      <c r="C659">
        <f ca="1">IFERROR(__xludf.DUMMYFUNCTION("""COMPUTED_VALUE"""),993)</f>
        <v>993</v>
      </c>
      <c r="D659" t="str">
        <f ca="1">IFERROR(__xludf.DUMMYFUNCTION("""COMPUTED_VALUE"""),"C G  NAMBIAR")</f>
        <v>C G  NAMBIAR</v>
      </c>
      <c r="E659">
        <f ca="1">IFERROR(__xludf.DUMMYFUNCTION("""COMPUTED_VALUE"""),9847124117)</f>
        <v>9847124117</v>
      </c>
      <c r="F659" t="str">
        <f ca="1">IFERROR(__xludf.DUMMYFUNCTION("""COMPUTED_VALUE"""),"Ernakulam")</f>
        <v>Ernakulam</v>
      </c>
      <c r="G659" t="str">
        <f ca="1">IFERROR(__xludf.DUMMYFUNCTION("""COMPUTED_VALUE"""),"SPECTRUM TECHNO PRODUCTS")</f>
        <v>SPECTRUM TECHNO PRODUCTS</v>
      </c>
      <c r="H659">
        <f ca="1">IFERROR(__xludf.DUMMYFUNCTION("""COMPUTED_VALUE"""),66)</f>
        <v>66</v>
      </c>
      <c r="I659" s="4">
        <f ca="1">IFERROR(__xludf.DUMMYFUNCTION("""COMPUTED_VALUE"""),43242)</f>
        <v>43242</v>
      </c>
      <c r="J659">
        <f ca="1">IFERROR(__xludf.DUMMYFUNCTION("""COMPUTED_VALUE"""),5)</f>
        <v>5</v>
      </c>
      <c r="K659">
        <f ca="1">IFERROR(__xludf.DUMMYFUNCTION("""COMPUTED_VALUE"""),1157330002349)</f>
        <v>1157330002349</v>
      </c>
      <c r="L659" t="str">
        <f ca="1">IFERROR(__xludf.DUMMYFUNCTION("""COMPUTED_VALUE"""),"EROOR")</f>
        <v>EROOR</v>
      </c>
      <c r="M659" t="str">
        <f ca="1">IFERROR(__xludf.DUMMYFUNCTION("""COMPUTED_VALUE"""),"I Accept")</f>
        <v>I Accept</v>
      </c>
      <c r="N659" s="4">
        <f ca="1">IFERROR(__xludf.DUMMYFUNCTION("""COMPUTED_VALUE"""),43216)</f>
        <v>43216</v>
      </c>
      <c r="O659" s="4">
        <f ca="1">IFERROR(__xludf.DUMMYFUNCTION("""COMPUTED_VALUE"""),43216)</f>
        <v>43216</v>
      </c>
      <c r="P659">
        <f ca="1">IFERROR(__xludf.DUMMYFUNCTION("""COMPUTED_VALUE"""),5)</f>
        <v>5</v>
      </c>
      <c r="Q659" t="str">
        <f ca="1">IFERROR(__xludf.DUMMYFUNCTION("""COMPUTED_VALUE"""),"solarconnect2018@gmail.com")</f>
        <v>solarconnect2018@gmail.com</v>
      </c>
      <c r="R659" s="2" t="s">
        <v>3073</v>
      </c>
    </row>
    <row r="660" spans="1:18" ht="13" x14ac:dyDescent="0.15">
      <c r="A660" s="3">
        <f ca="1">IFERROR(__xludf.DUMMYFUNCTION("""COMPUTED_VALUE"""),43243.4640187384)</f>
        <v>43243.464018738399</v>
      </c>
      <c r="B660" t="str">
        <f ca="1">IFERROR(__xludf.DUMMYFUNCTION("""COMPUTED_VALUE"""),"solarconnect2018@gmail.com")</f>
        <v>solarconnect2018@gmail.com</v>
      </c>
      <c r="C660">
        <f ca="1">IFERROR(__xludf.DUMMYFUNCTION("""COMPUTED_VALUE"""),1028)</f>
        <v>1028</v>
      </c>
      <c r="D660" t="str">
        <f ca="1">IFERROR(__xludf.DUMMYFUNCTION("""COMPUTED_VALUE"""),"ABDUL  RAZACK")</f>
        <v>ABDUL  RAZACK</v>
      </c>
      <c r="E660">
        <f ca="1">IFERROR(__xludf.DUMMYFUNCTION("""COMPUTED_VALUE"""),9447026162)</f>
        <v>9447026162</v>
      </c>
      <c r="F660" t="str">
        <f ca="1">IFERROR(__xludf.DUMMYFUNCTION("""COMPUTED_VALUE"""),"Ernakulam")</f>
        <v>Ernakulam</v>
      </c>
      <c r="G660" t="str">
        <f ca="1">IFERROR(__xludf.DUMMYFUNCTION("""COMPUTED_VALUE"""),"SPECTRUM TECHNO PRODUCTS")</f>
        <v>SPECTRUM TECHNO PRODUCTS</v>
      </c>
      <c r="H660">
        <f ca="1">IFERROR(__xludf.DUMMYFUNCTION("""COMPUTED_VALUE"""),66)</f>
        <v>66</v>
      </c>
      <c r="I660" s="4">
        <f ca="1">IFERROR(__xludf.DUMMYFUNCTION("""COMPUTED_VALUE"""),43242)</f>
        <v>43242</v>
      </c>
      <c r="J660">
        <f ca="1">IFERROR(__xludf.DUMMYFUNCTION("""COMPUTED_VALUE"""),5)</f>
        <v>5</v>
      </c>
      <c r="K660">
        <f ca="1">IFERROR(__xludf.DUMMYFUNCTION("""COMPUTED_VALUE"""),1155854011175)</f>
        <v>1155854011175</v>
      </c>
      <c r="L660" t="str">
        <f ca="1">IFERROR(__xludf.DUMMYFUNCTION("""COMPUTED_VALUE"""),"VENGOLA")</f>
        <v>VENGOLA</v>
      </c>
      <c r="M660" t="str">
        <f ca="1">IFERROR(__xludf.DUMMYFUNCTION("""COMPUTED_VALUE"""),"I Accept")</f>
        <v>I Accept</v>
      </c>
      <c r="N660" s="4">
        <f ca="1">IFERROR(__xludf.DUMMYFUNCTION("""COMPUTED_VALUE"""),43230)</f>
        <v>43230</v>
      </c>
      <c r="O660" s="4">
        <f ca="1">IFERROR(__xludf.DUMMYFUNCTION("""COMPUTED_VALUE"""),43230)</f>
        <v>43230</v>
      </c>
      <c r="P660">
        <f ca="1">IFERROR(__xludf.DUMMYFUNCTION("""COMPUTED_VALUE"""),5)</f>
        <v>5</v>
      </c>
      <c r="Q660" t="str">
        <f ca="1">IFERROR(__xludf.DUMMYFUNCTION("""COMPUTED_VALUE"""),"solarconnect2018@gmail.com")</f>
        <v>solarconnect2018@gmail.com</v>
      </c>
      <c r="R660" s="2" t="s">
        <v>3074</v>
      </c>
    </row>
    <row r="661" spans="1:18" ht="13" x14ac:dyDescent="0.15">
      <c r="A661" s="3">
        <f ca="1">IFERROR(__xludf.DUMMYFUNCTION("""COMPUTED_VALUE"""),43243.5392312615)</f>
        <v>43243.5392312615</v>
      </c>
      <c r="B661" t="str">
        <f ca="1">IFERROR(__xludf.DUMMYFUNCTION("""COMPUTED_VALUE"""),"noorakshaya@gmail.com")</f>
        <v>noorakshaya@gmail.com</v>
      </c>
      <c r="C661">
        <f ca="1">IFERROR(__xludf.DUMMYFUNCTION("""COMPUTED_VALUE"""),524)</f>
        <v>524</v>
      </c>
      <c r="D661" t="str">
        <f ca="1">IFERROR(__xludf.DUMMYFUNCTION("""COMPUTED_VALUE"""),"Renlee Thottathil Raju")</f>
        <v>Renlee Thottathil Raju</v>
      </c>
      <c r="E661">
        <f ca="1">IFERROR(__xludf.DUMMYFUNCTION("""COMPUTED_VALUE"""),9605322221)</f>
        <v>9605322221</v>
      </c>
      <c r="F661" t="str">
        <f ca="1">IFERROR(__xludf.DUMMYFUNCTION("""COMPUTED_VALUE"""),"Thiruvananthapuram")</f>
        <v>Thiruvananthapuram</v>
      </c>
      <c r="G661" t="str">
        <f ca="1">IFERROR(__xludf.DUMMYFUNCTION("""COMPUTED_VALUE"""),"Renergy Systems India Pvt Ltd")</f>
        <v>Renergy Systems India Pvt Ltd</v>
      </c>
      <c r="H661">
        <f ca="1">IFERROR(__xludf.DUMMYFUNCTION("""COMPUTED_VALUE"""),38)</f>
        <v>38</v>
      </c>
      <c r="I661" s="4">
        <f ca="1">IFERROR(__xludf.DUMMYFUNCTION("""COMPUTED_VALUE"""),43197)</f>
        <v>43197</v>
      </c>
      <c r="J661">
        <f ca="1">IFERROR(__xludf.DUMMYFUNCTION("""COMPUTED_VALUE"""),3)</f>
        <v>3</v>
      </c>
      <c r="K661">
        <f ca="1">IFERROR(__xludf.DUMMYFUNCTION("""COMPUTED_VALUE"""),1145196019610)</f>
        <v>1145196019610</v>
      </c>
      <c r="L661" t="str">
        <f ca="1">IFERROR(__xludf.DUMMYFUNCTION("""COMPUTED_VALUE"""),"Sreekariyam")</f>
        <v>Sreekariyam</v>
      </c>
      <c r="M661" t="str">
        <f ca="1">IFERROR(__xludf.DUMMYFUNCTION("""COMPUTED_VALUE"""),"I Accept")</f>
        <v>I Accept</v>
      </c>
      <c r="N661" s="4">
        <f ca="1">IFERROR(__xludf.DUMMYFUNCTION("""COMPUTED_VALUE"""),43197)</f>
        <v>43197</v>
      </c>
      <c r="O661" s="4">
        <f ca="1">IFERROR(__xludf.DUMMYFUNCTION("""COMPUTED_VALUE"""),43197)</f>
        <v>43197</v>
      </c>
      <c r="P661">
        <f ca="1">IFERROR(__xludf.DUMMYFUNCTION("""COMPUTED_VALUE"""),3)</f>
        <v>3</v>
      </c>
      <c r="Q661" t="str">
        <f ca="1">IFERROR(__xludf.DUMMYFUNCTION("""COMPUTED_VALUE"""),"noorakshaya@gmail.com")</f>
        <v>noorakshaya@gmail.com</v>
      </c>
      <c r="R661" s="2" t="s">
        <v>3075</v>
      </c>
    </row>
    <row r="662" spans="1:18" ht="13" x14ac:dyDescent="0.15">
      <c r="A662" s="3">
        <f ca="1">IFERROR(__xludf.DUMMYFUNCTION("""COMPUTED_VALUE"""),43243.5482491319)</f>
        <v>43243.548249131898</v>
      </c>
      <c r="B662" t="str">
        <f ca="1">IFERROR(__xludf.DUMMYFUNCTION("""COMPUTED_VALUE"""),"solarconnect2018@gmail.com")</f>
        <v>solarconnect2018@gmail.com</v>
      </c>
      <c r="C662">
        <f ca="1">IFERROR(__xludf.DUMMYFUNCTION("""COMPUTED_VALUE"""),943)</f>
        <v>943</v>
      </c>
      <c r="D662" t="str">
        <f ca="1">IFERROR(__xludf.DUMMYFUNCTION("""COMPUTED_VALUE"""),"ALOYSIA FRANCIS")</f>
        <v>ALOYSIA FRANCIS</v>
      </c>
      <c r="E662">
        <f ca="1">IFERROR(__xludf.DUMMYFUNCTION("""COMPUTED_VALUE"""),9446702689)</f>
        <v>9446702689</v>
      </c>
      <c r="F662" t="str">
        <f ca="1">IFERROR(__xludf.DUMMYFUNCTION("""COMPUTED_VALUE"""),"Thiruvananthapuram")</f>
        <v>Thiruvananthapuram</v>
      </c>
      <c r="G662" t="str">
        <f ca="1">IFERROR(__xludf.DUMMYFUNCTION("""COMPUTED_VALUE"""),"SPECTRUM TECHNO PRODUCTS")</f>
        <v>SPECTRUM TECHNO PRODUCTS</v>
      </c>
      <c r="H662">
        <f ca="1">IFERROR(__xludf.DUMMYFUNCTION("""COMPUTED_VALUE"""),66)</f>
        <v>66</v>
      </c>
      <c r="I662" s="4">
        <f ca="1">IFERROR(__xludf.DUMMYFUNCTION("""COMPUTED_VALUE"""),43217)</f>
        <v>43217</v>
      </c>
      <c r="J662">
        <f ca="1">IFERROR(__xludf.DUMMYFUNCTION("""COMPUTED_VALUE"""),2)</f>
        <v>2</v>
      </c>
      <c r="K662">
        <f ca="1">IFERROR(__xludf.DUMMYFUNCTION("""COMPUTED_VALUE"""),1145228003552)</f>
        <v>1145228003552</v>
      </c>
      <c r="L662" t="str">
        <f ca="1">IFERROR(__xludf.DUMMYFUNCTION("""COMPUTED_VALUE"""),"KANIYAPURAM")</f>
        <v>KANIYAPURAM</v>
      </c>
      <c r="M662" t="str">
        <f ca="1">IFERROR(__xludf.DUMMYFUNCTION("""COMPUTED_VALUE"""),"I Accept")</f>
        <v>I Accept</v>
      </c>
      <c r="N662" s="4">
        <f ca="1">IFERROR(__xludf.DUMMYFUNCTION("""COMPUTED_VALUE"""),43242)</f>
        <v>43242</v>
      </c>
      <c r="O662" s="4">
        <f ca="1">IFERROR(__xludf.DUMMYFUNCTION("""COMPUTED_VALUE"""),43242)</f>
        <v>43242</v>
      </c>
      <c r="P662">
        <f ca="1">IFERROR(__xludf.DUMMYFUNCTION("""COMPUTED_VALUE"""),2)</f>
        <v>2</v>
      </c>
      <c r="Q662" t="str">
        <f ca="1">IFERROR(__xludf.DUMMYFUNCTION("""COMPUTED_VALUE"""),"solarconnect2018@gmail.com")</f>
        <v>solarconnect2018@gmail.com</v>
      </c>
      <c r="R662" s="2" t="s">
        <v>3076</v>
      </c>
    </row>
    <row r="663" spans="1:18" ht="13" x14ac:dyDescent="0.15">
      <c r="A663" s="3">
        <f ca="1">IFERROR(__xludf.DUMMYFUNCTION("""COMPUTED_VALUE"""),43243.5542348726)</f>
        <v>43243.554234872601</v>
      </c>
      <c r="B663" t="str">
        <f ca="1">IFERROR(__xludf.DUMMYFUNCTION("""COMPUTED_VALUE"""),"solarconnect2018@gmail.com")</f>
        <v>solarconnect2018@gmail.com</v>
      </c>
      <c r="C663">
        <f ca="1">IFERROR(__xludf.DUMMYFUNCTION("""COMPUTED_VALUE"""),1118)</f>
        <v>1118</v>
      </c>
      <c r="D663" t="str">
        <f ca="1">IFERROR(__xludf.DUMMYFUNCTION("""COMPUTED_VALUE"""),"SURESH D S")</f>
        <v>SURESH D S</v>
      </c>
      <c r="E663">
        <f ca="1">IFERROR(__xludf.DUMMYFUNCTION("""COMPUTED_VALUE"""),9447090773)</f>
        <v>9447090773</v>
      </c>
      <c r="F663" t="str">
        <f ca="1">IFERROR(__xludf.DUMMYFUNCTION("""COMPUTED_VALUE"""),"Alappuzha")</f>
        <v>Alappuzha</v>
      </c>
      <c r="G663" t="str">
        <f ca="1">IFERROR(__xludf.DUMMYFUNCTION("""COMPUTED_VALUE"""),"SPECTRUM TECHNO PRODUCTS")</f>
        <v>SPECTRUM TECHNO PRODUCTS</v>
      </c>
      <c r="H663">
        <f ca="1">IFERROR(__xludf.DUMMYFUNCTION("""COMPUTED_VALUE"""),66)</f>
        <v>66</v>
      </c>
      <c r="I663" s="4">
        <f ca="1">IFERROR(__xludf.DUMMYFUNCTION("""COMPUTED_VALUE"""),43241)</f>
        <v>43241</v>
      </c>
      <c r="J663">
        <f ca="1">IFERROR(__xludf.DUMMYFUNCTION("""COMPUTED_VALUE"""),2)</f>
        <v>2</v>
      </c>
      <c r="K663">
        <f ca="1">IFERROR(__xludf.DUMMYFUNCTION("""COMPUTED_VALUE"""),11456754008227)</f>
        <v>11456754008227</v>
      </c>
      <c r="L663" t="str">
        <f ca="1">IFERROR(__xludf.DUMMYFUNCTION("""COMPUTED_VALUE"""),"OACHIRA")</f>
        <v>OACHIRA</v>
      </c>
      <c r="M663" t="str">
        <f ca="1">IFERROR(__xludf.DUMMYFUNCTION("""COMPUTED_VALUE"""),"I Accept")</f>
        <v>I Accept</v>
      </c>
      <c r="N663" s="4">
        <f ca="1">IFERROR(__xludf.DUMMYFUNCTION("""COMPUTED_VALUE"""),43231)</f>
        <v>43231</v>
      </c>
      <c r="O663" s="4">
        <f ca="1">IFERROR(__xludf.DUMMYFUNCTION("""COMPUTED_VALUE"""),43231)</f>
        <v>43231</v>
      </c>
      <c r="P663">
        <f ca="1">IFERROR(__xludf.DUMMYFUNCTION("""COMPUTED_VALUE"""),5)</f>
        <v>5</v>
      </c>
      <c r="Q663" t="str">
        <f ca="1">IFERROR(__xludf.DUMMYFUNCTION("""COMPUTED_VALUE"""),"solarconnect2018@gmail.com")</f>
        <v>solarconnect2018@gmail.com</v>
      </c>
      <c r="R663" s="2" t="s">
        <v>3077</v>
      </c>
    </row>
    <row r="664" spans="1:18" ht="13" x14ac:dyDescent="0.15">
      <c r="A664" s="3">
        <f ca="1">IFERROR(__xludf.DUMMYFUNCTION("""COMPUTED_VALUE"""),43243.5796563657)</f>
        <v>43243.579656365699</v>
      </c>
      <c r="B664" t="str">
        <f ca="1">IFERROR(__xludf.DUMMYFUNCTION("""COMPUTED_VALUE"""),"solarconect2018@gmail.com")</f>
        <v>solarconect2018@gmail.com</v>
      </c>
      <c r="C664">
        <f ca="1">IFERROR(__xludf.DUMMYFUNCTION("""COMPUTED_VALUE"""),667)</f>
        <v>667</v>
      </c>
      <c r="D664" t="str">
        <f ca="1">IFERROR(__xludf.DUMMYFUNCTION("""COMPUTED_VALUE"""),"VIPIN PARAMBATH")</f>
        <v>VIPIN PARAMBATH</v>
      </c>
      <c r="E664">
        <f ca="1">IFERROR(__xludf.DUMMYFUNCTION("""COMPUTED_VALUE"""),8075709830)</f>
        <v>8075709830</v>
      </c>
      <c r="F664" t="str">
        <f ca="1">IFERROR(__xludf.DUMMYFUNCTION("""COMPUTED_VALUE"""),"Kannur")</f>
        <v>Kannur</v>
      </c>
      <c r="G664" t="str">
        <f ca="1">IFERROR(__xludf.DUMMYFUNCTION("""COMPUTED_VALUE"""),"SPECTRUM TECHNO PRODUCTS")</f>
        <v>SPECTRUM TECHNO PRODUCTS</v>
      </c>
      <c r="H664">
        <f ca="1">IFERROR(__xludf.DUMMYFUNCTION("""COMPUTED_VALUE"""),66)</f>
        <v>66</v>
      </c>
      <c r="I664" s="4">
        <f ca="1">IFERROR(__xludf.DUMMYFUNCTION("""COMPUTED_VALUE"""),43242)</f>
        <v>43242</v>
      </c>
      <c r="J664">
        <f ca="1">IFERROR(__xludf.DUMMYFUNCTION("""COMPUTED_VALUE"""),5)</f>
        <v>5</v>
      </c>
      <c r="K664">
        <f ca="1">IFERROR(__xludf.DUMMYFUNCTION("""COMPUTED_VALUE"""),1166722031783)</f>
        <v>1166722031783</v>
      </c>
      <c r="L664" t="str">
        <f ca="1">IFERROR(__xludf.DUMMYFUNCTION("""COMPUTED_VALUE"""),"PANOOR")</f>
        <v>PANOOR</v>
      </c>
      <c r="M664" t="str">
        <f ca="1">IFERROR(__xludf.DUMMYFUNCTION("""COMPUTED_VALUE"""),"I Accept")</f>
        <v>I Accept</v>
      </c>
      <c r="N664" s="4">
        <f ca="1">IFERROR(__xludf.DUMMYFUNCTION("""COMPUTED_VALUE"""),43194)</f>
        <v>43194</v>
      </c>
      <c r="O664" s="4">
        <f ca="1">IFERROR(__xludf.DUMMYFUNCTION("""COMPUTED_VALUE"""),43194)</f>
        <v>43194</v>
      </c>
      <c r="P664">
        <f ca="1">IFERROR(__xludf.DUMMYFUNCTION("""COMPUTED_VALUE"""),5)</f>
        <v>5</v>
      </c>
      <c r="Q664" t="str">
        <f ca="1">IFERROR(__xludf.DUMMYFUNCTION("""COMPUTED_VALUE"""),"solarconnect2018@gmail.com")</f>
        <v>solarconnect2018@gmail.com</v>
      </c>
      <c r="R664" s="2" t="s">
        <v>3078</v>
      </c>
    </row>
    <row r="665" spans="1:18" ht="13" x14ac:dyDescent="0.15">
      <c r="A665" s="3">
        <f ca="1">IFERROR(__xludf.DUMMYFUNCTION("""COMPUTED_VALUE"""),43243.6254960069)</f>
        <v>43243.625496006898</v>
      </c>
      <c r="B665" t="str">
        <f ca="1">IFERROR(__xludf.DUMMYFUNCTION("""COMPUTED_VALUE"""),"warmncoolplr@gmail.com")</f>
        <v>warmncoolplr@gmail.com</v>
      </c>
      <c r="C665">
        <f ca="1">IFERROR(__xludf.DUMMYFUNCTION("""COMPUTED_VALUE"""),554)</f>
        <v>554</v>
      </c>
      <c r="D665" t="str">
        <f ca="1">IFERROR(__xludf.DUMMYFUNCTION("""COMPUTED_VALUE"""),"Manoj Lal.B.")</f>
        <v>Manoj Lal.B.</v>
      </c>
      <c r="E665">
        <f ca="1">IFERROR(__xludf.DUMMYFUNCTION("""COMPUTED_VALUE"""),9946901109)</f>
        <v>9946901109</v>
      </c>
      <c r="F665" t="str">
        <f ca="1">IFERROR(__xludf.DUMMYFUNCTION("""COMPUTED_VALUE"""),"Kollam")</f>
        <v>Kollam</v>
      </c>
      <c r="G665" t="str">
        <f ca="1">IFERROR(__xludf.DUMMYFUNCTION("""COMPUTED_VALUE"""),"Solgen Energy Pvt Ltd.")</f>
        <v>Solgen Energy Pvt Ltd.</v>
      </c>
      <c r="H665">
        <f ca="1">IFERROR(__xludf.DUMMYFUNCTION("""COMPUTED_VALUE"""),42)</f>
        <v>42</v>
      </c>
      <c r="I665" s="4">
        <f ca="1">IFERROR(__xludf.DUMMYFUNCTION("""COMPUTED_VALUE"""),43243)</f>
        <v>43243</v>
      </c>
      <c r="J665">
        <f ca="1">IFERROR(__xludf.DUMMYFUNCTION("""COMPUTED_VALUE"""),3)</f>
        <v>3</v>
      </c>
      <c r="K665">
        <f ca="1">IFERROR(__xludf.DUMMYFUNCTION("""COMPUTED_VALUE"""),1146779005971)</f>
        <v>1146779005971</v>
      </c>
      <c r="L665" t="str">
        <f ca="1">IFERROR(__xludf.DUMMYFUNCTION("""COMPUTED_VALUE"""),"Karavaloor")</f>
        <v>Karavaloor</v>
      </c>
      <c r="M665" t="str">
        <f ca="1">IFERROR(__xludf.DUMMYFUNCTION("""COMPUTED_VALUE"""),"I Accept")</f>
        <v>I Accept</v>
      </c>
      <c r="N665" s="4">
        <f ca="1">IFERROR(__xludf.DUMMYFUNCTION("""COMPUTED_VALUE"""),43241)</f>
        <v>43241</v>
      </c>
      <c r="O665" s="4">
        <f ca="1">IFERROR(__xludf.DUMMYFUNCTION("""COMPUTED_VALUE"""),43241)</f>
        <v>43241</v>
      </c>
      <c r="P665">
        <f ca="1">IFERROR(__xludf.DUMMYFUNCTION("""COMPUTED_VALUE"""),3)</f>
        <v>3</v>
      </c>
      <c r="Q665" t="str">
        <f ca="1">IFERROR(__xludf.DUMMYFUNCTION("""COMPUTED_VALUE"""),"warmncoolplr@gmail.com")</f>
        <v>warmncoolplr@gmail.com</v>
      </c>
      <c r="R665" s="2" t="s">
        <v>3079</v>
      </c>
    </row>
    <row r="666" spans="1:18" ht="13" x14ac:dyDescent="0.15">
      <c r="A666" s="3">
        <f ca="1">IFERROR(__xludf.DUMMYFUNCTION("""COMPUTED_VALUE"""),43243.6330966088)</f>
        <v>43243.633096608799</v>
      </c>
      <c r="B666" t="str">
        <f ca="1">IFERROR(__xludf.DUMMYFUNCTION("""COMPUTED_VALUE"""),"smitha.soura@gmail.com")</f>
        <v>smitha.soura@gmail.com</v>
      </c>
      <c r="C666">
        <f ca="1">IFERROR(__xludf.DUMMYFUNCTION("""COMPUTED_VALUE"""),1170)</f>
        <v>1170</v>
      </c>
      <c r="D666" t="str">
        <f ca="1">IFERROR(__xludf.DUMMYFUNCTION("""COMPUTED_VALUE"""),"T A Mohamed Sageer")</f>
        <v>T A Mohamed Sageer</v>
      </c>
      <c r="E666">
        <f ca="1">IFERROR(__xludf.DUMMYFUNCTION("""COMPUTED_VALUE"""),9072626009)</f>
        <v>9072626009</v>
      </c>
      <c r="F666" t="str">
        <f ca="1">IFERROR(__xludf.DUMMYFUNCTION("""COMPUTED_VALUE"""),"Thrissur")</f>
        <v>Thrissur</v>
      </c>
      <c r="G666" t="str">
        <f ca="1">IFERROR(__xludf.DUMMYFUNCTION("""COMPUTED_VALUE"""),"Soura Natural Energy Solutions India pvt LTD")</f>
        <v>Soura Natural Energy Solutions India pvt LTD</v>
      </c>
      <c r="H666">
        <f ca="1">IFERROR(__xludf.DUMMYFUNCTION("""COMPUTED_VALUE"""),11)</f>
        <v>11</v>
      </c>
      <c r="I666" s="4">
        <f ca="1">IFERROR(__xludf.DUMMYFUNCTION("""COMPUTED_VALUE"""),43243)</f>
        <v>43243</v>
      </c>
      <c r="J666">
        <f ca="1">IFERROR(__xludf.DUMMYFUNCTION("""COMPUTED_VALUE"""),5)</f>
        <v>5</v>
      </c>
      <c r="K666">
        <f ca="1">IFERROR(__xludf.DUMMYFUNCTION("""COMPUTED_VALUE"""),1156627019261)</f>
        <v>1156627019261</v>
      </c>
      <c r="L666" t="str">
        <f ca="1">IFERROR(__xludf.DUMMYFUNCTION("""COMPUTED_VALUE"""),"Perinjanam")</f>
        <v>Perinjanam</v>
      </c>
      <c r="M666" t="str">
        <f ca="1">IFERROR(__xludf.DUMMYFUNCTION("""COMPUTED_VALUE"""),"I Accept")</f>
        <v>I Accept</v>
      </c>
      <c r="N666" s="4">
        <f ca="1">IFERROR(__xludf.DUMMYFUNCTION("""COMPUTED_VALUE"""),43231)</f>
        <v>43231</v>
      </c>
      <c r="O666" s="4">
        <f ca="1">IFERROR(__xludf.DUMMYFUNCTION("""COMPUTED_VALUE"""),43231)</f>
        <v>43231</v>
      </c>
      <c r="P666">
        <f ca="1">IFERROR(__xludf.DUMMYFUNCTION("""COMPUTED_VALUE"""),5)</f>
        <v>5</v>
      </c>
      <c r="Q666" t="str">
        <f ca="1">IFERROR(__xludf.DUMMYFUNCTION("""COMPUTED_VALUE"""),"kudildsignz@gmail.com")</f>
        <v>kudildsignz@gmail.com</v>
      </c>
      <c r="R666" s="2" t="s">
        <v>3080</v>
      </c>
    </row>
    <row r="667" spans="1:18" ht="13" x14ac:dyDescent="0.15">
      <c r="A667" s="3">
        <f ca="1">IFERROR(__xludf.DUMMYFUNCTION("""COMPUTED_VALUE"""),43243.6391558564)</f>
        <v>43243.639155856399</v>
      </c>
      <c r="B667" t="str">
        <f ca="1">IFERROR(__xludf.DUMMYFUNCTION("""COMPUTED_VALUE"""),"solarconnect2018@gmail.com")</f>
        <v>solarconnect2018@gmail.com</v>
      </c>
      <c r="C667">
        <f ca="1">IFERROR(__xludf.DUMMYFUNCTION("""COMPUTED_VALUE"""),942)</f>
        <v>942</v>
      </c>
      <c r="D667" t="str">
        <f ca="1">IFERROR(__xludf.DUMMYFUNCTION("""COMPUTED_VALUE"""),"SHIRLY DENNIS")</f>
        <v>SHIRLY DENNIS</v>
      </c>
      <c r="E667">
        <f ca="1">IFERROR(__xludf.DUMMYFUNCTION("""COMPUTED_VALUE"""),9884441927)</f>
        <v>9884441927</v>
      </c>
      <c r="F667" t="str">
        <f ca="1">IFERROR(__xludf.DUMMYFUNCTION("""COMPUTED_VALUE"""),"Thiruvananthapuram")</f>
        <v>Thiruvananthapuram</v>
      </c>
      <c r="G667" t="str">
        <f ca="1">IFERROR(__xludf.DUMMYFUNCTION("""COMPUTED_VALUE"""),"SPECTRUM TECHNO PRODUCTS")</f>
        <v>SPECTRUM TECHNO PRODUCTS</v>
      </c>
      <c r="H667">
        <f ca="1">IFERROR(__xludf.DUMMYFUNCTION("""COMPUTED_VALUE"""),66)</f>
        <v>66</v>
      </c>
      <c r="I667" s="4">
        <f ca="1">IFERROR(__xludf.DUMMYFUNCTION("""COMPUTED_VALUE"""),43242)</f>
        <v>43242</v>
      </c>
      <c r="J667">
        <f ca="1">IFERROR(__xludf.DUMMYFUNCTION("""COMPUTED_VALUE"""),3)</f>
        <v>3</v>
      </c>
      <c r="K667">
        <f ca="1">IFERROR(__xludf.DUMMYFUNCTION("""COMPUTED_VALUE"""),1145216005503)</f>
        <v>1145216005503</v>
      </c>
      <c r="L667" t="str">
        <f ca="1">IFERROR(__xludf.DUMMYFUNCTION("""COMPUTED_VALUE"""),"KAZHAKUTTAM")</f>
        <v>KAZHAKUTTAM</v>
      </c>
      <c r="M667" t="str">
        <f ca="1">IFERROR(__xludf.DUMMYFUNCTION("""COMPUTED_VALUE"""),"I Accept")</f>
        <v>I Accept</v>
      </c>
      <c r="N667" s="4">
        <f ca="1">IFERROR(__xludf.DUMMYFUNCTION("""COMPUTED_VALUE"""),43243)</f>
        <v>43243</v>
      </c>
      <c r="O667" s="4">
        <f ca="1">IFERROR(__xludf.DUMMYFUNCTION("""COMPUTED_VALUE"""),43243)</f>
        <v>43243</v>
      </c>
      <c r="P667">
        <f ca="1">IFERROR(__xludf.DUMMYFUNCTION("""COMPUTED_VALUE"""),3)</f>
        <v>3</v>
      </c>
      <c r="Q667" t="str">
        <f ca="1">IFERROR(__xludf.DUMMYFUNCTION("""COMPUTED_VALUE"""),"solarconnect2018@gmail.com")</f>
        <v>solarconnect2018@gmail.com</v>
      </c>
      <c r="R667" s="2" t="s">
        <v>3081</v>
      </c>
    </row>
    <row r="668" spans="1:18" ht="13" x14ac:dyDescent="0.15">
      <c r="A668" s="3">
        <f ca="1">IFERROR(__xludf.DUMMYFUNCTION("""COMPUTED_VALUE"""),43243.6434424074)</f>
        <v>43243.643442407403</v>
      </c>
      <c r="B668" t="str">
        <f ca="1">IFERROR(__xludf.DUMMYFUNCTION("""COMPUTED_VALUE"""),"solarconnect2018@gmail.com")</f>
        <v>solarconnect2018@gmail.com</v>
      </c>
      <c r="C668">
        <f ca="1">IFERROR(__xludf.DUMMYFUNCTION("""COMPUTED_VALUE"""),1078)</f>
        <v>1078</v>
      </c>
      <c r="D668" t="str">
        <f ca="1">IFERROR(__xludf.DUMMYFUNCTION("""COMPUTED_VALUE"""),"C J ABRAHAM")</f>
        <v>C J ABRAHAM</v>
      </c>
      <c r="E668">
        <f ca="1">IFERROR(__xludf.DUMMYFUNCTION("""COMPUTED_VALUE"""),9846027650)</f>
        <v>9846027650</v>
      </c>
      <c r="F668" t="str">
        <f ca="1">IFERROR(__xludf.DUMMYFUNCTION("""COMPUTED_VALUE"""),"Thiruvananthapuram")</f>
        <v>Thiruvananthapuram</v>
      </c>
      <c r="G668" t="str">
        <f ca="1">IFERROR(__xludf.DUMMYFUNCTION("""COMPUTED_VALUE"""),"SPECTRUM TECHNO PRODUCTS")</f>
        <v>SPECTRUM TECHNO PRODUCTS</v>
      </c>
      <c r="H668">
        <f ca="1">IFERROR(__xludf.DUMMYFUNCTION("""COMPUTED_VALUE"""),66)</f>
        <v>66</v>
      </c>
      <c r="I668" s="4">
        <f ca="1">IFERROR(__xludf.DUMMYFUNCTION("""COMPUTED_VALUE"""),43241)</f>
        <v>43241</v>
      </c>
      <c r="J668">
        <f ca="1">IFERROR(__xludf.DUMMYFUNCTION("""COMPUTED_VALUE"""),5)</f>
        <v>5</v>
      </c>
      <c r="K668">
        <f ca="1">IFERROR(__xludf.DUMMYFUNCTION("""COMPUTED_VALUE"""),1145056005114)</f>
        <v>1145056005114</v>
      </c>
      <c r="L668" t="str">
        <f ca="1">IFERROR(__xludf.DUMMYFUNCTION("""COMPUTED_VALUE"""),"THYCAUD")</f>
        <v>THYCAUD</v>
      </c>
      <c r="M668" t="str">
        <f ca="1">IFERROR(__xludf.DUMMYFUNCTION("""COMPUTED_VALUE"""),"I Accept")</f>
        <v>I Accept</v>
      </c>
      <c r="N668" s="4">
        <f ca="1">IFERROR(__xludf.DUMMYFUNCTION("""COMPUTED_VALUE"""),43243)</f>
        <v>43243</v>
      </c>
      <c r="O668" s="4">
        <f ca="1">IFERROR(__xludf.DUMMYFUNCTION("""COMPUTED_VALUE"""),43243)</f>
        <v>43243</v>
      </c>
      <c r="P668">
        <f ca="1">IFERROR(__xludf.DUMMYFUNCTION("""COMPUTED_VALUE"""),5)</f>
        <v>5</v>
      </c>
      <c r="Q668" t="str">
        <f ca="1">IFERROR(__xludf.DUMMYFUNCTION("""COMPUTED_VALUE"""),"solarconnect2018@gmail.com")</f>
        <v>solarconnect2018@gmail.com</v>
      </c>
      <c r="R668" s="2" t="s">
        <v>3082</v>
      </c>
    </row>
    <row r="669" spans="1:18" ht="13" x14ac:dyDescent="0.15">
      <c r="A669" s="3">
        <f ca="1">IFERROR(__xludf.DUMMYFUNCTION("""COMPUTED_VALUE"""),43243.6563804976)</f>
        <v>43243.656380497603</v>
      </c>
      <c r="B669" t="str">
        <f ca="1">IFERROR(__xludf.DUMMYFUNCTION("""COMPUTED_VALUE"""),"solarconnect2018@gmail.com")</f>
        <v>solarconnect2018@gmail.com</v>
      </c>
      <c r="C669">
        <f ca="1">IFERROR(__xludf.DUMMYFUNCTION("""COMPUTED_VALUE"""),357)</f>
        <v>357</v>
      </c>
      <c r="D669" t="str">
        <f ca="1">IFERROR(__xludf.DUMMYFUNCTION("""COMPUTED_VALUE"""),"CLARA HELEN ")</f>
        <v xml:space="preserve">CLARA HELEN </v>
      </c>
      <c r="E669">
        <f ca="1">IFERROR(__xludf.DUMMYFUNCTION("""COMPUTED_VALUE"""),9447220278)</f>
        <v>9447220278</v>
      </c>
      <c r="F669" t="str">
        <f ca="1">IFERROR(__xludf.DUMMYFUNCTION("""COMPUTED_VALUE"""),"Thiruvananthapuram")</f>
        <v>Thiruvananthapuram</v>
      </c>
      <c r="G669" t="str">
        <f ca="1">IFERROR(__xludf.DUMMYFUNCTION("""COMPUTED_VALUE"""),"SPECTRUM TECHNO PRODUCTS")</f>
        <v>SPECTRUM TECHNO PRODUCTS</v>
      </c>
      <c r="H669">
        <f ca="1">IFERROR(__xludf.DUMMYFUNCTION("""COMPUTED_VALUE"""),66)</f>
        <v>66</v>
      </c>
      <c r="I669" s="4">
        <f ca="1">IFERROR(__xludf.DUMMYFUNCTION("""COMPUTED_VALUE"""),43243)</f>
        <v>43243</v>
      </c>
      <c r="J669">
        <f ca="1">IFERROR(__xludf.DUMMYFUNCTION("""COMPUTED_VALUE"""),5)</f>
        <v>5</v>
      </c>
      <c r="K669">
        <f ca="1">IFERROR(__xludf.DUMMYFUNCTION("""COMPUTED_VALUE"""),1145185027039)</f>
        <v>1145185027039</v>
      </c>
      <c r="L669" t="str">
        <f ca="1">IFERROR(__xludf.DUMMYFUNCTION("""COMPUTED_VALUE"""),"NALANCHIRA")</f>
        <v>NALANCHIRA</v>
      </c>
      <c r="M669" t="str">
        <f ca="1">IFERROR(__xludf.DUMMYFUNCTION("""COMPUTED_VALUE"""),"I Accept")</f>
        <v>I Accept</v>
      </c>
      <c r="N669" s="4">
        <f ca="1">IFERROR(__xludf.DUMMYFUNCTION("""COMPUTED_VALUE"""),43242)</f>
        <v>43242</v>
      </c>
      <c r="O669" s="4">
        <f ca="1">IFERROR(__xludf.DUMMYFUNCTION("""COMPUTED_VALUE"""),43242)</f>
        <v>43242</v>
      </c>
      <c r="P669">
        <f ca="1">IFERROR(__xludf.DUMMYFUNCTION("""COMPUTED_VALUE"""),5)</f>
        <v>5</v>
      </c>
      <c r="Q669" t="str">
        <f ca="1">IFERROR(__xludf.DUMMYFUNCTION("""COMPUTED_VALUE"""),"solarconnect2018@gmail.com")</f>
        <v>solarconnect2018@gmail.com</v>
      </c>
      <c r="R669" s="2" t="s">
        <v>3083</v>
      </c>
    </row>
    <row r="670" spans="1:18" ht="13" x14ac:dyDescent="0.15">
      <c r="A670" s="3">
        <f ca="1">IFERROR(__xludf.DUMMYFUNCTION("""COMPUTED_VALUE"""),43243.6565211805)</f>
        <v>43243.656521180499</v>
      </c>
      <c r="B670" t="str">
        <f ca="1">IFERROR(__xludf.DUMMYFUNCTION("""COMPUTED_VALUE"""),"nestromarketing@gmail.com")</f>
        <v>nestromarketing@gmail.com</v>
      </c>
      <c r="C670">
        <f ca="1">IFERROR(__xludf.DUMMYFUNCTION("""COMPUTED_VALUE"""),1016)</f>
        <v>1016</v>
      </c>
      <c r="D670" t="str">
        <f ca="1">IFERROR(__xludf.DUMMYFUNCTION("""COMPUTED_VALUE"""),"MOHAMEDALI KK")</f>
        <v>MOHAMEDALI KK</v>
      </c>
      <c r="E670">
        <f ca="1">IFERROR(__xludf.DUMMYFUNCTION("""COMPUTED_VALUE"""),9142099977)</f>
        <v>9142099977</v>
      </c>
      <c r="F670" t="str">
        <f ca="1">IFERROR(__xludf.DUMMYFUNCTION("""COMPUTED_VALUE"""),"Malappuram")</f>
        <v>Malappuram</v>
      </c>
      <c r="G670" t="str">
        <f ca="1">IFERROR(__xludf.DUMMYFUNCTION("""COMPUTED_VALUE"""),"NESTRO MARKETING LLP")</f>
        <v>NESTRO MARKETING LLP</v>
      </c>
      <c r="H670">
        <f ca="1">IFERROR(__xludf.DUMMYFUNCTION("""COMPUTED_VALUE"""),14)</f>
        <v>14</v>
      </c>
      <c r="I670" s="4">
        <f ca="1">IFERROR(__xludf.DUMMYFUNCTION("""COMPUTED_VALUE"""),43243)</f>
        <v>43243</v>
      </c>
      <c r="J670">
        <f ca="1">IFERROR(__xludf.DUMMYFUNCTION("""COMPUTED_VALUE"""),3)</f>
        <v>3</v>
      </c>
      <c r="K670">
        <f ca="1">IFERROR(__xludf.DUMMYFUNCTION("""COMPUTED_VALUE"""),1165570015047)</f>
        <v>1165570015047</v>
      </c>
      <c r="L670" t="str">
        <f ca="1">IFERROR(__xludf.DUMMYFUNCTION("""COMPUTED_VALUE"""),"KOTTAKKAL(6557)")</f>
        <v>KOTTAKKAL(6557)</v>
      </c>
      <c r="M670" t="str">
        <f ca="1">IFERROR(__xludf.DUMMYFUNCTION("""COMPUTED_VALUE"""),"I Accept")</f>
        <v>I Accept</v>
      </c>
      <c r="N670" s="4">
        <f ca="1">IFERROR(__xludf.DUMMYFUNCTION("""COMPUTED_VALUE"""),43241)</f>
        <v>43241</v>
      </c>
      <c r="O670" s="4">
        <f ca="1">IFERROR(__xludf.DUMMYFUNCTION("""COMPUTED_VALUE"""),43241)</f>
        <v>43241</v>
      </c>
      <c r="P670">
        <f ca="1">IFERROR(__xludf.DUMMYFUNCTION("""COMPUTED_VALUE"""),3)</f>
        <v>3</v>
      </c>
      <c r="Q670" t="str">
        <f ca="1">IFERROR(__xludf.DUMMYFUNCTION("""COMPUTED_VALUE"""),"nestromarketing@gmail.com")</f>
        <v>nestromarketing@gmail.com</v>
      </c>
      <c r="R670" s="2" t="s">
        <v>3084</v>
      </c>
    </row>
    <row r="671" spans="1:18" ht="13" x14ac:dyDescent="0.15">
      <c r="A671" s="3">
        <f ca="1">IFERROR(__xludf.DUMMYFUNCTION("""COMPUTED_VALUE"""),43243.6678891782)</f>
        <v>43243.667889178199</v>
      </c>
      <c r="B671" t="str">
        <f ca="1">IFERROR(__xludf.DUMMYFUNCTION("""COMPUTED_VALUE"""),"solarconnect2018@gmail.com")</f>
        <v>solarconnect2018@gmail.com</v>
      </c>
      <c r="C671">
        <f ca="1">IFERROR(__xludf.DUMMYFUNCTION("""COMPUTED_VALUE"""),843)</f>
        <v>843</v>
      </c>
      <c r="D671" t="str">
        <f ca="1">IFERROR(__xludf.DUMMYFUNCTION("""COMPUTED_VALUE"""),"K VARGHESE PAUL")</f>
        <v>K VARGHESE PAUL</v>
      </c>
      <c r="E671">
        <f ca="1">IFERROR(__xludf.DUMMYFUNCTION("""COMPUTED_VALUE"""),9249917549)</f>
        <v>9249917549</v>
      </c>
      <c r="F671" t="str">
        <f ca="1">IFERROR(__xludf.DUMMYFUNCTION("""COMPUTED_VALUE"""),"Ernakulam")</f>
        <v>Ernakulam</v>
      </c>
      <c r="G671" t="str">
        <f ca="1">IFERROR(__xludf.DUMMYFUNCTION("""COMPUTED_VALUE"""),"SPECTRUM TECHNO PRODUCTS")</f>
        <v>SPECTRUM TECHNO PRODUCTS</v>
      </c>
      <c r="H671">
        <f ca="1">IFERROR(__xludf.DUMMYFUNCTION("""COMPUTED_VALUE"""),66)</f>
        <v>66</v>
      </c>
      <c r="I671" s="4">
        <f ca="1">IFERROR(__xludf.DUMMYFUNCTION("""COMPUTED_VALUE"""),43243)</f>
        <v>43243</v>
      </c>
      <c r="J671">
        <f ca="1">IFERROR(__xludf.DUMMYFUNCTION("""COMPUTED_VALUE"""),3)</f>
        <v>3</v>
      </c>
      <c r="K671">
        <f ca="1">IFERROR(__xludf.DUMMYFUNCTION("""COMPUTED_VALUE"""),1155659002332)</f>
        <v>1155659002332</v>
      </c>
      <c r="L671" t="str">
        <f ca="1">IFERROR(__xludf.DUMMYFUNCTION("""COMPUTED_VALUE"""),"VYPIN")</f>
        <v>VYPIN</v>
      </c>
      <c r="M671" t="str">
        <f ca="1">IFERROR(__xludf.DUMMYFUNCTION("""COMPUTED_VALUE"""),"I Accept")</f>
        <v>I Accept</v>
      </c>
      <c r="N671" s="4">
        <f ca="1">IFERROR(__xludf.DUMMYFUNCTION("""COMPUTED_VALUE"""),43228)</f>
        <v>43228</v>
      </c>
      <c r="O671" s="4">
        <f ca="1">IFERROR(__xludf.DUMMYFUNCTION("""COMPUTED_VALUE"""),43228)</f>
        <v>43228</v>
      </c>
      <c r="P671">
        <f ca="1">IFERROR(__xludf.DUMMYFUNCTION("""COMPUTED_VALUE"""),3)</f>
        <v>3</v>
      </c>
      <c r="Q671" t="str">
        <f ca="1">IFERROR(__xludf.DUMMYFUNCTION("""COMPUTED_VALUE"""),"solarconnect2018@gmail.com")</f>
        <v>solarconnect2018@gmail.com</v>
      </c>
      <c r="R671" s="2" t="s">
        <v>3085</v>
      </c>
    </row>
    <row r="672" spans="1:18" ht="13" x14ac:dyDescent="0.15">
      <c r="A672" s="3">
        <f ca="1">IFERROR(__xludf.DUMMYFUNCTION("""COMPUTED_VALUE"""),43243.6880450578)</f>
        <v>43243.688045057803</v>
      </c>
      <c r="B672" t="str">
        <f ca="1">IFERROR(__xludf.DUMMYFUNCTION("""COMPUTED_VALUE"""),"solarconnect2018@gmail.com")</f>
        <v>solarconnect2018@gmail.com</v>
      </c>
      <c r="C672">
        <f ca="1">IFERROR(__xludf.DUMMYFUNCTION("""COMPUTED_VALUE"""),1029)</f>
        <v>1029</v>
      </c>
      <c r="D672" t="str">
        <f ca="1">IFERROR(__xludf.DUMMYFUNCTION("""COMPUTED_VALUE"""),"BALAKRISHNAN P")</f>
        <v>BALAKRISHNAN P</v>
      </c>
      <c r="E672">
        <f ca="1">IFERROR(__xludf.DUMMYFUNCTION("""COMPUTED_VALUE"""),9446548623)</f>
        <v>9446548623</v>
      </c>
      <c r="F672" t="str">
        <f ca="1">IFERROR(__xludf.DUMMYFUNCTION("""COMPUTED_VALUE"""),"Ernakulam")</f>
        <v>Ernakulam</v>
      </c>
      <c r="G672" t="str">
        <f ca="1">IFERROR(__xludf.DUMMYFUNCTION("""COMPUTED_VALUE"""),"SPECTRUM TECHNO PRODUCTS")</f>
        <v>SPECTRUM TECHNO PRODUCTS</v>
      </c>
      <c r="H672">
        <f ca="1">IFERROR(__xludf.DUMMYFUNCTION("""COMPUTED_VALUE"""),66)</f>
        <v>66</v>
      </c>
      <c r="I672" s="4">
        <f ca="1">IFERROR(__xludf.DUMMYFUNCTION("""COMPUTED_VALUE"""),43243)</f>
        <v>43243</v>
      </c>
      <c r="J672">
        <f ca="1">IFERROR(__xludf.DUMMYFUNCTION("""COMPUTED_VALUE"""),3)</f>
        <v>3</v>
      </c>
      <c r="K672">
        <f ca="1">IFERROR(__xludf.DUMMYFUNCTION("""COMPUTED_VALUE"""),1157316003963)</f>
        <v>1157316003963</v>
      </c>
      <c r="L672" t="str">
        <f ca="1">IFERROR(__xludf.DUMMYFUNCTION("""COMPUTED_VALUE"""),"THRIKKAKKARA WEST")</f>
        <v>THRIKKAKKARA WEST</v>
      </c>
      <c r="M672" t="str">
        <f ca="1">IFERROR(__xludf.DUMMYFUNCTION("""COMPUTED_VALUE"""),"I Accept")</f>
        <v>I Accept</v>
      </c>
      <c r="N672" s="4">
        <f ca="1">IFERROR(__xludf.DUMMYFUNCTION("""COMPUTED_VALUE"""),43242)</f>
        <v>43242</v>
      </c>
      <c r="O672" s="4">
        <f ca="1">IFERROR(__xludf.DUMMYFUNCTION("""COMPUTED_VALUE"""),43242)</f>
        <v>43242</v>
      </c>
      <c r="P672">
        <f ca="1">IFERROR(__xludf.DUMMYFUNCTION("""COMPUTED_VALUE"""),3)</f>
        <v>3</v>
      </c>
      <c r="Q672" t="str">
        <f ca="1">IFERROR(__xludf.DUMMYFUNCTION("""COMPUTED_VALUE"""),"solarconnect2018@gmail.com")</f>
        <v>solarconnect2018@gmail.com</v>
      </c>
      <c r="R672" s="2" t="s">
        <v>3086</v>
      </c>
    </row>
    <row r="673" spans="1:18" ht="13" x14ac:dyDescent="0.15">
      <c r="A673" s="3">
        <f ca="1">IFERROR(__xludf.DUMMYFUNCTION("""COMPUTED_VALUE"""),43243.7160712962)</f>
        <v>43243.7160712962</v>
      </c>
      <c r="B673" t="str">
        <f ca="1">IFERROR(__xludf.DUMMYFUNCTION("""COMPUTED_VALUE"""),"mdverghese@yahoo.com")</f>
        <v>mdverghese@yahoo.com</v>
      </c>
      <c r="C673">
        <f ca="1">IFERROR(__xludf.DUMMYFUNCTION("""COMPUTED_VALUE"""),805)</f>
        <v>805</v>
      </c>
      <c r="D673" t="str">
        <f ca="1">IFERROR(__xludf.DUMMYFUNCTION("""COMPUTED_VALUE"""),"Maybel Antony")</f>
        <v>Maybel Antony</v>
      </c>
      <c r="E673">
        <f ca="1">IFERROR(__xludf.DUMMYFUNCTION("""COMPUTED_VALUE"""),9895172273)</f>
        <v>9895172273</v>
      </c>
      <c r="F673" t="str">
        <f ca="1">IFERROR(__xludf.DUMMYFUNCTION("""COMPUTED_VALUE"""),"Ernakulam")</f>
        <v>Ernakulam</v>
      </c>
      <c r="G673" t="str">
        <f ca="1">IFERROR(__xludf.DUMMYFUNCTION("""COMPUTED_VALUE"""),"ALTERNATE ENERGY CORPORATION")</f>
        <v>ALTERNATE ENERGY CORPORATION</v>
      </c>
      <c r="H673">
        <f ca="1">IFERROR(__xludf.DUMMYFUNCTION("""COMPUTED_VALUE"""),22)</f>
        <v>22</v>
      </c>
      <c r="I673" s="4">
        <f ca="1">IFERROR(__xludf.DUMMYFUNCTION("""COMPUTED_VALUE"""),43242)</f>
        <v>43242</v>
      </c>
      <c r="J673">
        <f ca="1">IFERROR(__xludf.DUMMYFUNCTION("""COMPUTED_VALUE"""),2)</f>
        <v>2</v>
      </c>
      <c r="K673">
        <f ca="1">IFERROR(__xludf.DUMMYFUNCTION("""COMPUTED_VALUE"""),1155444014230)</f>
        <v>1155444014230</v>
      </c>
      <c r="L673" t="str">
        <f ca="1">IFERROR(__xludf.DUMMYFUNCTION("""COMPUTED_VALUE"""),"5544")</f>
        <v>5544</v>
      </c>
      <c r="M673" t="str">
        <f ca="1">IFERROR(__xludf.DUMMYFUNCTION("""COMPUTED_VALUE"""),"I Accept")</f>
        <v>I Accept</v>
      </c>
      <c r="N673" s="4">
        <f ca="1">IFERROR(__xludf.DUMMYFUNCTION("""COMPUTED_VALUE"""),43213)</f>
        <v>43213</v>
      </c>
      <c r="O673" s="4">
        <f ca="1">IFERROR(__xludf.DUMMYFUNCTION("""COMPUTED_VALUE"""),43213)</f>
        <v>43213</v>
      </c>
      <c r="P673">
        <f ca="1">IFERROR(__xludf.DUMMYFUNCTION("""COMPUTED_VALUE"""),2)</f>
        <v>2</v>
      </c>
      <c r="Q673" t="str">
        <f ca="1">IFERROR(__xludf.DUMMYFUNCTION("""COMPUTED_VALUE"""),"mdverghese@yahoo.com")</f>
        <v>mdverghese@yahoo.com</v>
      </c>
      <c r="R673" s="2" t="s">
        <v>3087</v>
      </c>
    </row>
    <row r="674" spans="1:18" ht="13" x14ac:dyDescent="0.15">
      <c r="A674" s="3">
        <f ca="1">IFERROR(__xludf.DUMMYFUNCTION("""COMPUTED_VALUE"""),43245.5503692708)</f>
        <v>43245.550369270801</v>
      </c>
      <c r="B674" t="str">
        <f ca="1">IFERROR(__xludf.DUMMYFUNCTION("""COMPUTED_VALUE"""),"nestromarketing@gmail.com")</f>
        <v>nestromarketing@gmail.com</v>
      </c>
      <c r="C674">
        <f ca="1">IFERROR(__xludf.DUMMYFUNCTION("""COMPUTED_VALUE"""),136)</f>
        <v>136</v>
      </c>
      <c r="D674" t="str">
        <f ca="1">IFERROR(__xludf.DUMMYFUNCTION("""COMPUTED_VALUE"""),"Mohamed Fazalul Haque")</f>
        <v>Mohamed Fazalul Haque</v>
      </c>
      <c r="E674">
        <f ca="1">IFERROR(__xludf.DUMMYFUNCTION("""COMPUTED_VALUE"""),9142099977)</f>
        <v>9142099977</v>
      </c>
      <c r="F674" t="str">
        <f ca="1">IFERROR(__xludf.DUMMYFUNCTION("""COMPUTED_VALUE"""),"Malappuram")</f>
        <v>Malappuram</v>
      </c>
      <c r="G674" t="str">
        <f ca="1">IFERROR(__xludf.DUMMYFUNCTION("""COMPUTED_VALUE"""),"NESTRO MARKETING LLP")</f>
        <v>NESTRO MARKETING LLP</v>
      </c>
      <c r="H674">
        <f ca="1">IFERROR(__xludf.DUMMYFUNCTION("""COMPUTED_VALUE"""),14)</f>
        <v>14</v>
      </c>
      <c r="I674" s="4">
        <f ca="1">IFERROR(__xludf.DUMMYFUNCTION("""COMPUTED_VALUE"""),43244)</f>
        <v>43244</v>
      </c>
      <c r="J674">
        <f ca="1">IFERROR(__xludf.DUMMYFUNCTION("""COMPUTED_VALUE"""),10)</f>
        <v>10</v>
      </c>
      <c r="K674">
        <f ca="1">IFERROR(__xludf.DUMMYFUNCTION("""COMPUTED_VALUE"""),1165528030883)</f>
        <v>1165528030883</v>
      </c>
      <c r="L674" t="str">
        <f ca="1">IFERROR(__xludf.DUMMYFUNCTION("""COMPUTED_VALUE"""),"KONDOTTY(6552)")</f>
        <v>KONDOTTY(6552)</v>
      </c>
      <c r="M674" t="str">
        <f ca="1">IFERROR(__xludf.DUMMYFUNCTION("""COMPUTED_VALUE"""),"I Accept")</f>
        <v>I Accept</v>
      </c>
      <c r="N674" s="4">
        <f ca="1">IFERROR(__xludf.DUMMYFUNCTION("""COMPUTED_VALUE"""),43244)</f>
        <v>43244</v>
      </c>
      <c r="O674" s="4">
        <f ca="1">IFERROR(__xludf.DUMMYFUNCTION("""COMPUTED_VALUE"""),43244)</f>
        <v>43244</v>
      </c>
      <c r="P674">
        <f ca="1">IFERROR(__xludf.DUMMYFUNCTION("""COMPUTED_VALUE"""),10)</f>
        <v>10</v>
      </c>
      <c r="Q674" t="str">
        <f ca="1">IFERROR(__xludf.DUMMYFUNCTION("""COMPUTED_VALUE"""),"nestromarketing@gmail.com")</f>
        <v>nestromarketing@gmail.com</v>
      </c>
      <c r="R674" s="2" t="s">
        <v>3088</v>
      </c>
    </row>
    <row r="675" spans="1:18" ht="13" x14ac:dyDescent="0.15">
      <c r="A675" s="3">
        <f ca="1">IFERROR(__xludf.DUMMYFUNCTION("""COMPUTED_VALUE"""),43245.5826825925)</f>
        <v>43245.582682592503</v>
      </c>
      <c r="B675" t="str">
        <f ca="1">IFERROR(__xludf.DUMMYFUNCTION("""COMPUTED_VALUE"""),"info@wattsun.in")</f>
        <v>info@wattsun.in</v>
      </c>
      <c r="C675">
        <f ca="1">IFERROR(__xludf.DUMMYFUNCTION("""COMPUTED_VALUE"""),950)</f>
        <v>950</v>
      </c>
      <c r="D675" t="str">
        <f ca="1">IFERROR(__xludf.DUMMYFUNCTION("""COMPUTED_VALUE"""),"Dr.George Peter")</f>
        <v>Dr.George Peter</v>
      </c>
      <c r="E675">
        <f ca="1">IFERROR(__xludf.DUMMYFUNCTION("""COMPUTED_VALUE"""),9072666513)</f>
        <v>9072666513</v>
      </c>
      <c r="F675" t="str">
        <f ca="1">IFERROR(__xludf.DUMMYFUNCTION("""COMPUTED_VALUE"""),"Thiruvananthapuram")</f>
        <v>Thiruvananthapuram</v>
      </c>
      <c r="G675" t="str">
        <f ca="1">IFERROR(__xludf.DUMMYFUNCTION("""COMPUTED_VALUE"""),"M/S Wattsun Energy India Private Limited")</f>
        <v>M/S Wattsun Energy India Private Limited</v>
      </c>
      <c r="H675">
        <f ca="1">IFERROR(__xludf.DUMMYFUNCTION("""COMPUTED_VALUE"""),54)</f>
        <v>54</v>
      </c>
      <c r="I675" s="4">
        <f ca="1">IFERROR(__xludf.DUMMYFUNCTION("""COMPUTED_VALUE"""),43210)</f>
        <v>43210</v>
      </c>
      <c r="J675">
        <f ca="1">IFERROR(__xludf.DUMMYFUNCTION("""COMPUTED_VALUE"""),5)</f>
        <v>5</v>
      </c>
      <c r="K675">
        <f ca="1">IFERROR(__xludf.DUMMYFUNCTION("""COMPUTED_VALUE"""),1145078007857)</f>
        <v>1145078007857</v>
      </c>
      <c r="L675" t="str">
        <f ca="1">IFERROR(__xludf.DUMMYFUNCTION("""COMPUTED_VALUE"""),"Vellayambalam ")</f>
        <v xml:space="preserve">Vellayambalam </v>
      </c>
      <c r="M675" t="str">
        <f ca="1">IFERROR(__xludf.DUMMYFUNCTION("""COMPUTED_VALUE"""),"I Accept")</f>
        <v>I Accept</v>
      </c>
      <c r="N675" s="4">
        <f ca="1">IFERROR(__xludf.DUMMYFUNCTION("""COMPUTED_VALUE"""),43242)</f>
        <v>43242</v>
      </c>
      <c r="O675" s="4">
        <f ca="1">IFERROR(__xludf.DUMMYFUNCTION("""COMPUTED_VALUE"""),43242)</f>
        <v>43242</v>
      </c>
      <c r="P675">
        <f ca="1">IFERROR(__xludf.DUMMYFUNCTION("""COMPUTED_VALUE"""),5)</f>
        <v>5</v>
      </c>
      <c r="Q675" t="str">
        <f ca="1">IFERROR(__xludf.DUMMYFUNCTION("""COMPUTED_VALUE"""),"info@wattsun.in")</f>
        <v>info@wattsun.in</v>
      </c>
      <c r="R675" s="2" t="s">
        <v>3089</v>
      </c>
    </row>
    <row r="676" spans="1:18" ht="13" x14ac:dyDescent="0.15">
      <c r="A676" s="3">
        <f ca="1">IFERROR(__xludf.DUMMYFUNCTION("""COMPUTED_VALUE"""),43245.5896076273)</f>
        <v>43245.589607627298</v>
      </c>
      <c r="B676" t="str">
        <f ca="1">IFERROR(__xludf.DUMMYFUNCTION("""COMPUTED_VALUE"""),"info@wattsun.in")</f>
        <v>info@wattsun.in</v>
      </c>
      <c r="C676">
        <f ca="1">IFERROR(__xludf.DUMMYFUNCTION("""COMPUTED_VALUE"""),1178)</f>
        <v>1178</v>
      </c>
      <c r="D676" t="str">
        <f ca="1">IFERROR(__xludf.DUMMYFUNCTION("""COMPUTED_VALUE"""),"RABI A")</f>
        <v>RABI A</v>
      </c>
      <c r="E676">
        <f ca="1">IFERROR(__xludf.DUMMYFUNCTION("""COMPUTED_VALUE"""),9072666513)</f>
        <v>9072666513</v>
      </c>
      <c r="F676" t="str">
        <f ca="1">IFERROR(__xludf.DUMMYFUNCTION("""COMPUTED_VALUE"""),"Thiruvananthapuram")</f>
        <v>Thiruvananthapuram</v>
      </c>
      <c r="G676" t="str">
        <f ca="1">IFERROR(__xludf.DUMMYFUNCTION("""COMPUTED_VALUE"""),"M/S Wattsun Energy India Private Limited")</f>
        <v>M/S Wattsun Energy India Private Limited</v>
      </c>
      <c r="H676">
        <f ca="1">IFERROR(__xludf.DUMMYFUNCTION("""COMPUTED_VALUE"""),54)</f>
        <v>54</v>
      </c>
      <c r="I676" s="4">
        <f ca="1">IFERROR(__xludf.DUMMYFUNCTION("""COMPUTED_VALUE"""),43235)</f>
        <v>43235</v>
      </c>
      <c r="J676">
        <f ca="1">IFERROR(__xludf.DUMMYFUNCTION("""COMPUTED_VALUE"""),10)</f>
        <v>10</v>
      </c>
      <c r="K676">
        <f ca="1">IFERROR(__xludf.DUMMYFUNCTION("""COMPUTED_VALUE"""),1145451021212)</f>
        <v>1145451021212</v>
      </c>
      <c r="L676" t="str">
        <f ca="1">IFERROR(__xludf.DUMMYFUNCTION("""COMPUTED_VALUE"""),"Poovar")</f>
        <v>Poovar</v>
      </c>
      <c r="M676" t="str">
        <f ca="1">IFERROR(__xludf.DUMMYFUNCTION("""COMPUTED_VALUE"""),"I Accept")</f>
        <v>I Accept</v>
      </c>
      <c r="N676" s="4">
        <f ca="1">IFERROR(__xludf.DUMMYFUNCTION("""COMPUTED_VALUE"""),43243)</f>
        <v>43243</v>
      </c>
      <c r="O676" s="4">
        <f ca="1">IFERROR(__xludf.DUMMYFUNCTION("""COMPUTED_VALUE"""),43243)</f>
        <v>43243</v>
      </c>
      <c r="P676">
        <f ca="1">IFERROR(__xludf.DUMMYFUNCTION("""COMPUTED_VALUE"""),10)</f>
        <v>10</v>
      </c>
      <c r="Q676" t="str">
        <f ca="1">IFERROR(__xludf.DUMMYFUNCTION("""COMPUTED_VALUE"""),"info@wattsun.in")</f>
        <v>info@wattsun.in</v>
      </c>
      <c r="R676" s="2" t="s">
        <v>3090</v>
      </c>
    </row>
    <row r="677" spans="1:18" ht="13" x14ac:dyDescent="0.15">
      <c r="A677" s="3">
        <f ca="1">IFERROR(__xludf.DUMMYFUNCTION("""COMPUTED_VALUE"""),43245.6011165509)</f>
        <v>43245.601116550897</v>
      </c>
      <c r="B677" t="str">
        <f ca="1">IFERROR(__xludf.DUMMYFUNCTION("""COMPUTED_VALUE"""),"info@wattsun.in")</f>
        <v>info@wattsun.in</v>
      </c>
      <c r="C677">
        <f ca="1">IFERROR(__xludf.DUMMYFUNCTION("""COMPUTED_VALUE"""),824)</f>
        <v>824</v>
      </c>
      <c r="D677" t="str">
        <f ca="1">IFERROR(__xludf.DUMMYFUNCTION("""COMPUTED_VALUE"""),"Udaya Kumar A")</f>
        <v>Udaya Kumar A</v>
      </c>
      <c r="E677">
        <f ca="1">IFERROR(__xludf.DUMMYFUNCTION("""COMPUTED_VALUE"""),9072666513)</f>
        <v>9072666513</v>
      </c>
      <c r="F677" t="str">
        <f ca="1">IFERROR(__xludf.DUMMYFUNCTION("""COMPUTED_VALUE"""),"Thiruvananthapuram")</f>
        <v>Thiruvananthapuram</v>
      </c>
      <c r="G677" t="str">
        <f ca="1">IFERROR(__xludf.DUMMYFUNCTION("""COMPUTED_VALUE"""),"M/S Wattsun Energy India Private Limited")</f>
        <v>M/S Wattsun Energy India Private Limited</v>
      </c>
      <c r="H677">
        <f ca="1">IFERROR(__xludf.DUMMYFUNCTION("""COMPUTED_VALUE"""),54)</f>
        <v>54</v>
      </c>
      <c r="I677" s="4">
        <f ca="1">IFERROR(__xludf.DUMMYFUNCTION("""COMPUTED_VALUE"""),43240)</f>
        <v>43240</v>
      </c>
      <c r="J677">
        <f ca="1">IFERROR(__xludf.DUMMYFUNCTION("""COMPUTED_VALUE"""),3)</f>
        <v>3</v>
      </c>
      <c r="K677">
        <f ca="1">IFERROR(__xludf.DUMMYFUNCTION("""COMPUTED_VALUE"""),1145069006281)</f>
        <v>1145069006281</v>
      </c>
      <c r="L677" t="str">
        <f ca="1">IFERROR(__xludf.DUMMYFUNCTION("""COMPUTED_VALUE""")," Cantonment,TVM ")</f>
        <v xml:space="preserve"> Cantonment,TVM </v>
      </c>
      <c r="M677" t="str">
        <f ca="1">IFERROR(__xludf.DUMMYFUNCTION("""COMPUTED_VALUE"""),"I Accept")</f>
        <v>I Accept</v>
      </c>
      <c r="N677" s="4">
        <f ca="1">IFERROR(__xludf.DUMMYFUNCTION("""COMPUTED_VALUE"""),43244)</f>
        <v>43244</v>
      </c>
      <c r="O677" s="4">
        <f ca="1">IFERROR(__xludf.DUMMYFUNCTION("""COMPUTED_VALUE"""),43244)</f>
        <v>43244</v>
      </c>
      <c r="P677">
        <f ca="1">IFERROR(__xludf.DUMMYFUNCTION("""COMPUTED_VALUE"""),3)</f>
        <v>3</v>
      </c>
      <c r="Q677" t="str">
        <f ca="1">IFERROR(__xludf.DUMMYFUNCTION("""COMPUTED_VALUE"""),"info@wattsun.in")</f>
        <v>info@wattsun.in</v>
      </c>
      <c r="R677" s="2" t="s">
        <v>3091</v>
      </c>
    </row>
    <row r="678" spans="1:18" ht="13" x14ac:dyDescent="0.15">
      <c r="A678" s="3">
        <f ca="1">IFERROR(__xludf.DUMMYFUNCTION("""COMPUTED_VALUE"""),43245.6078387037)</f>
        <v>43245.607838703698</v>
      </c>
      <c r="B678" t="str">
        <f ca="1">IFERROR(__xludf.DUMMYFUNCTION("""COMPUTED_VALUE"""),"babu.sheena@gmail.com")</f>
        <v>babu.sheena@gmail.com</v>
      </c>
      <c r="C678">
        <f ca="1">IFERROR(__xludf.DUMMYFUNCTION("""COMPUTED_VALUE"""),1116)</f>
        <v>1116</v>
      </c>
      <c r="D678" t="str">
        <f ca="1">IFERROR(__xludf.DUMMYFUNCTION("""COMPUTED_VALUE"""),"JACOB MATHEW")</f>
        <v>JACOB MATHEW</v>
      </c>
      <c r="E678">
        <f ca="1">IFERROR(__xludf.DUMMYFUNCTION("""COMPUTED_VALUE"""),8547270304)</f>
        <v>8547270304</v>
      </c>
      <c r="F678" t="str">
        <f ca="1">IFERROR(__xludf.DUMMYFUNCTION("""COMPUTED_VALUE"""),"Alappuzha")</f>
        <v>Alappuzha</v>
      </c>
      <c r="G678" t="str">
        <f ca="1">IFERROR(__xludf.DUMMYFUNCTION("""COMPUTED_VALUE"""),"KRISHNA ELECTRONICS SYSTEMS SERVICES")</f>
        <v>KRISHNA ELECTRONICS SYSTEMS SERVICES</v>
      </c>
      <c r="H678">
        <f ca="1">IFERROR(__xludf.DUMMYFUNCTION("""COMPUTED_VALUE"""),70)</f>
        <v>70</v>
      </c>
      <c r="I678" s="4">
        <f ca="1">IFERROR(__xludf.DUMMYFUNCTION("""COMPUTED_VALUE"""),43244)</f>
        <v>43244</v>
      </c>
      <c r="J678">
        <f ca="1">IFERROR(__xludf.DUMMYFUNCTION("""COMPUTED_VALUE"""),5)</f>
        <v>5</v>
      </c>
      <c r="K678">
        <f ca="1">IFERROR(__xludf.DUMMYFUNCTION("""COMPUTED_VALUE"""),1155374010841)</f>
        <v>1155374010841</v>
      </c>
      <c r="L678" t="str">
        <f ca="1">IFERROR(__xludf.DUMMYFUNCTION("""COMPUTED_VALUE"""),"Kollakadavu")</f>
        <v>Kollakadavu</v>
      </c>
      <c r="M678" t="str">
        <f ca="1">IFERROR(__xludf.DUMMYFUNCTION("""COMPUTED_VALUE"""),"I Accept")</f>
        <v>I Accept</v>
      </c>
      <c r="N678" s="4">
        <f ca="1">IFERROR(__xludf.DUMMYFUNCTION("""COMPUTED_VALUE"""),43242)</f>
        <v>43242</v>
      </c>
      <c r="O678" s="4">
        <f ca="1">IFERROR(__xludf.DUMMYFUNCTION("""COMPUTED_VALUE"""),43242)</f>
        <v>43242</v>
      </c>
      <c r="P678">
        <f ca="1">IFERROR(__xludf.DUMMYFUNCTION("""COMPUTED_VALUE"""),15)</f>
        <v>15</v>
      </c>
      <c r="Q678" t="str">
        <f ca="1">IFERROR(__xludf.DUMMYFUNCTION("""COMPUTED_VALUE"""),"babu.sheena@gmail.com")</f>
        <v>babu.sheena@gmail.com</v>
      </c>
      <c r="R678" s="2" t="s">
        <v>3092</v>
      </c>
    </row>
    <row r="679" spans="1:18" ht="13" x14ac:dyDescent="0.15">
      <c r="A679" s="3">
        <f ca="1">IFERROR(__xludf.DUMMYFUNCTION("""COMPUTED_VALUE"""),43245.6179032754)</f>
        <v>43245.617903275401</v>
      </c>
      <c r="B679" t="str">
        <f ca="1">IFERROR(__xludf.DUMMYFUNCTION("""COMPUTED_VALUE"""),"noorakshaya@gmail.com")</f>
        <v>noorakshaya@gmail.com</v>
      </c>
      <c r="C679">
        <f ca="1">IFERROR(__xludf.DUMMYFUNCTION("""COMPUTED_VALUE"""),1094)</f>
        <v>1094</v>
      </c>
      <c r="D679" t="str">
        <f ca="1">IFERROR(__xludf.DUMMYFUNCTION("""COMPUTED_VALUE"""),"K Sasikumar")</f>
        <v>K Sasikumar</v>
      </c>
      <c r="E679">
        <f ca="1">IFERROR(__xludf.DUMMYFUNCTION("""COMPUTED_VALUE"""),7034322221)</f>
        <v>7034322221</v>
      </c>
      <c r="F679" t="str">
        <f ca="1">IFERROR(__xludf.DUMMYFUNCTION("""COMPUTED_VALUE"""),"Thrissur")</f>
        <v>Thrissur</v>
      </c>
      <c r="G679" t="str">
        <f ca="1">IFERROR(__xludf.DUMMYFUNCTION("""COMPUTED_VALUE"""),"Renergy Systems India Pvt Ltd")</f>
        <v>Renergy Systems India Pvt Ltd</v>
      </c>
      <c r="H679">
        <f ca="1">IFERROR(__xludf.DUMMYFUNCTION("""COMPUTED_VALUE"""),38)</f>
        <v>38</v>
      </c>
      <c r="I679" s="4">
        <f ca="1">IFERROR(__xludf.DUMMYFUNCTION("""COMPUTED_VALUE"""),43213)</f>
        <v>43213</v>
      </c>
      <c r="J679">
        <f ca="1">IFERROR(__xludf.DUMMYFUNCTION("""COMPUTED_VALUE"""),3)</f>
        <v>3</v>
      </c>
      <c r="K679">
        <f ca="1">IFERROR(__xludf.DUMMYFUNCTION("""COMPUTED_VALUE"""),1156616011237)</f>
        <v>1156616011237</v>
      </c>
      <c r="L679" t="str">
        <f ca="1">IFERROR(__xludf.DUMMYFUNCTION("""COMPUTED_VALUE"""),"Mathilakom")</f>
        <v>Mathilakom</v>
      </c>
      <c r="M679" t="str">
        <f ca="1">IFERROR(__xludf.DUMMYFUNCTION("""COMPUTED_VALUE"""),"I Accept")</f>
        <v>I Accept</v>
      </c>
      <c r="N679" s="4">
        <f ca="1">IFERROR(__xludf.DUMMYFUNCTION("""COMPUTED_VALUE"""),43213)</f>
        <v>43213</v>
      </c>
      <c r="O679" s="4">
        <f ca="1">IFERROR(__xludf.DUMMYFUNCTION("""COMPUTED_VALUE"""),43213)</f>
        <v>43213</v>
      </c>
      <c r="P679">
        <f ca="1">IFERROR(__xludf.DUMMYFUNCTION("""COMPUTED_VALUE"""),3)</f>
        <v>3</v>
      </c>
      <c r="Q679" t="str">
        <f ca="1">IFERROR(__xludf.DUMMYFUNCTION("""COMPUTED_VALUE"""),"noorakshaya@gmail.com")</f>
        <v>noorakshaya@gmail.com</v>
      </c>
      <c r="R679" s="2" t="s">
        <v>3093</v>
      </c>
    </row>
    <row r="680" spans="1:18" ht="13" x14ac:dyDescent="0.15">
      <c r="A680" s="3">
        <f ca="1">IFERROR(__xludf.DUMMYFUNCTION("""COMPUTED_VALUE"""),43245.6248838078)</f>
        <v>43245.624883807803</v>
      </c>
      <c r="B680" t="str">
        <f ca="1">IFERROR(__xludf.DUMMYFUNCTION("""COMPUTED_VALUE"""),"noorakshaya@gmail.com")</f>
        <v>noorakshaya@gmail.com</v>
      </c>
      <c r="C680">
        <f ca="1">IFERROR(__xludf.DUMMYFUNCTION("""COMPUTED_VALUE"""),1057)</f>
        <v>1057</v>
      </c>
      <c r="D680" t="str">
        <f ca="1">IFERROR(__xludf.DUMMYFUNCTION("""COMPUTED_VALUE"""),"Paul")</f>
        <v>Paul</v>
      </c>
      <c r="E680">
        <f ca="1">IFERROR(__xludf.DUMMYFUNCTION("""COMPUTED_VALUE"""),9037655903)</f>
        <v>9037655903</v>
      </c>
      <c r="F680" t="str">
        <f ca="1">IFERROR(__xludf.DUMMYFUNCTION("""COMPUTED_VALUE"""),"Thrissur")</f>
        <v>Thrissur</v>
      </c>
      <c r="G680" t="str">
        <f ca="1">IFERROR(__xludf.DUMMYFUNCTION("""COMPUTED_VALUE"""),"Renergy Systems India Pvt Ltd")</f>
        <v>Renergy Systems India Pvt Ltd</v>
      </c>
      <c r="H680">
        <f ca="1">IFERROR(__xludf.DUMMYFUNCTION("""COMPUTED_VALUE"""),38)</f>
        <v>38</v>
      </c>
      <c r="I680" s="4">
        <f ca="1">IFERROR(__xludf.DUMMYFUNCTION("""COMPUTED_VALUE"""),43215)</f>
        <v>43215</v>
      </c>
      <c r="J680">
        <f ca="1">IFERROR(__xludf.DUMMYFUNCTION("""COMPUTED_VALUE"""),3)</f>
        <v>3</v>
      </c>
      <c r="K680">
        <f ca="1">IFERROR(__xludf.DUMMYFUNCTION("""COMPUTED_VALUE"""),1156466012133)</f>
        <v>1156466012133</v>
      </c>
      <c r="L680" t="str">
        <f ca="1">IFERROR(__xludf.DUMMYFUNCTION("""COMPUTED_VALUE"""),"Vellangallur")</f>
        <v>Vellangallur</v>
      </c>
      <c r="M680" t="str">
        <f ca="1">IFERROR(__xludf.DUMMYFUNCTION("""COMPUTED_VALUE"""),"I Accept")</f>
        <v>I Accept</v>
      </c>
      <c r="N680" s="4">
        <f ca="1">IFERROR(__xludf.DUMMYFUNCTION("""COMPUTED_VALUE"""),43215)</f>
        <v>43215</v>
      </c>
      <c r="O680" s="4">
        <f ca="1">IFERROR(__xludf.DUMMYFUNCTION("""COMPUTED_VALUE"""),43215)</f>
        <v>43215</v>
      </c>
      <c r="P680">
        <f ca="1">IFERROR(__xludf.DUMMYFUNCTION("""COMPUTED_VALUE"""),3)</f>
        <v>3</v>
      </c>
      <c r="Q680" t="str">
        <f ca="1">IFERROR(__xludf.DUMMYFUNCTION("""COMPUTED_VALUE"""),"noorakshaya@gmail.com")</f>
        <v>noorakshaya@gmail.com</v>
      </c>
      <c r="R680" s="2" t="s">
        <v>3094</v>
      </c>
    </row>
    <row r="681" spans="1:18" ht="13" x14ac:dyDescent="0.15">
      <c r="A681" s="3">
        <f ca="1">IFERROR(__xludf.DUMMYFUNCTION("""COMPUTED_VALUE"""),43245.6524535648)</f>
        <v>43245.652453564799</v>
      </c>
      <c r="B681" t="str">
        <f ca="1">IFERROR(__xludf.DUMMYFUNCTION("""COMPUTED_VALUE"""),"sales@dyuthirenewables.in")</f>
        <v>sales@dyuthirenewables.in</v>
      </c>
      <c r="C681">
        <f ca="1">IFERROR(__xludf.DUMMYFUNCTION("""COMPUTED_VALUE"""),827)</f>
        <v>827</v>
      </c>
      <c r="D681" t="str">
        <f ca="1">IFERROR(__xludf.DUMMYFUNCTION("""COMPUTED_VALUE"""),"Shaji K Kurian")</f>
        <v>Shaji K Kurian</v>
      </c>
      <c r="E681">
        <f ca="1">IFERROR(__xludf.DUMMYFUNCTION("""COMPUTED_VALUE"""),9497320615)</f>
        <v>9497320615</v>
      </c>
      <c r="F681" t="str">
        <f ca="1">IFERROR(__xludf.DUMMYFUNCTION("""COMPUTED_VALUE"""),"Ernakulam")</f>
        <v>Ernakulam</v>
      </c>
      <c r="G681" t="str">
        <f ca="1">IFERROR(__xludf.DUMMYFUNCTION("""COMPUTED_VALUE"""),"Renewable Energy Solutions P Ltd")</f>
        <v>Renewable Energy Solutions P Ltd</v>
      </c>
      <c r="H681">
        <f ca="1">IFERROR(__xludf.DUMMYFUNCTION("""COMPUTED_VALUE"""),64)</f>
        <v>64</v>
      </c>
      <c r="I681" s="4">
        <f ca="1">IFERROR(__xludf.DUMMYFUNCTION("""COMPUTED_VALUE"""),43201)</f>
        <v>43201</v>
      </c>
      <c r="J681">
        <f ca="1">IFERROR(__xludf.DUMMYFUNCTION("""COMPUTED_VALUE"""),3)</f>
        <v>3</v>
      </c>
      <c r="K681">
        <f ca="1">IFERROR(__xludf.DUMMYFUNCTION("""COMPUTED_VALUE"""),1155570017416)</f>
        <v>1155570017416</v>
      </c>
      <c r="L681" t="str">
        <f ca="1">IFERROR(__xludf.DUMMYFUNCTION("""COMPUTED_VALUE"""),"THRIKKAKKARA")</f>
        <v>THRIKKAKKARA</v>
      </c>
      <c r="M681" t="str">
        <f ca="1">IFERROR(__xludf.DUMMYFUNCTION("""COMPUTED_VALUE"""),"I Accept")</f>
        <v>I Accept</v>
      </c>
      <c r="N681" s="4">
        <f ca="1">IFERROR(__xludf.DUMMYFUNCTION("""COMPUTED_VALUE"""),43234)</f>
        <v>43234</v>
      </c>
      <c r="O681" s="4">
        <f ca="1">IFERROR(__xludf.DUMMYFUNCTION("""COMPUTED_VALUE"""),43234)</f>
        <v>43234</v>
      </c>
      <c r="P681">
        <f ca="1">IFERROR(__xludf.DUMMYFUNCTION("""COMPUTED_VALUE"""),3)</f>
        <v>3</v>
      </c>
      <c r="Q681" t="str">
        <f ca="1">IFERROR(__xludf.DUMMYFUNCTION("""COMPUTED_VALUE"""),"shaji.kurian@yahoo.co.in")</f>
        <v>shaji.kurian@yahoo.co.in</v>
      </c>
      <c r="R681" s="2" t="s">
        <v>3095</v>
      </c>
    </row>
    <row r="682" spans="1:18" ht="13" x14ac:dyDescent="0.15">
      <c r="A682" s="3">
        <f ca="1">IFERROR(__xludf.DUMMYFUNCTION("""COMPUTED_VALUE"""),43245.6714171759)</f>
        <v>43245.671417175901</v>
      </c>
      <c r="B682" t="str">
        <f ca="1">IFERROR(__xludf.DUMMYFUNCTION("""COMPUTED_VALUE"""),"saji_iype@hotmail.com")</f>
        <v>saji_iype@hotmail.com</v>
      </c>
      <c r="C682">
        <f ca="1">IFERROR(__xludf.DUMMYFUNCTION("""COMPUTED_VALUE"""),432)</f>
        <v>432</v>
      </c>
      <c r="D682" t="str">
        <f ca="1">IFERROR(__xludf.DUMMYFUNCTION("""COMPUTED_VALUE"""),"Saji Thekkedathu Iype ")</f>
        <v xml:space="preserve">Saji Thekkedathu Iype </v>
      </c>
      <c r="E682">
        <f ca="1">IFERROR(__xludf.DUMMYFUNCTION("""COMPUTED_VALUE"""),9846395555)</f>
        <v>9846395555</v>
      </c>
      <c r="F682" t="str">
        <f ca="1">IFERROR(__xludf.DUMMYFUNCTION("""COMPUTED_VALUE"""),"Ernakulam")</f>
        <v>Ernakulam</v>
      </c>
      <c r="G682" t="str">
        <f ca="1">IFERROR(__xludf.DUMMYFUNCTION("""COMPUTED_VALUE"""),"Renewable Energy Solutions P Ltd")</f>
        <v>Renewable Energy Solutions P Ltd</v>
      </c>
      <c r="H682">
        <f ca="1">IFERROR(__xludf.DUMMYFUNCTION("""COMPUTED_VALUE"""),64)</f>
        <v>64</v>
      </c>
      <c r="I682" s="4">
        <f ca="1">IFERROR(__xludf.DUMMYFUNCTION("""COMPUTED_VALUE"""),43169)</f>
        <v>43169</v>
      </c>
      <c r="J682">
        <f ca="1">IFERROR(__xludf.DUMMYFUNCTION("""COMPUTED_VALUE"""),5)</f>
        <v>5</v>
      </c>
      <c r="K682">
        <f ca="1">IFERROR(__xludf.DUMMYFUNCTION("""COMPUTED_VALUE"""),1155552028208)</f>
        <v>1155552028208</v>
      </c>
      <c r="L682" t="str">
        <f ca="1">IFERROR(__xludf.DUMMYFUNCTION("""COMPUTED_VALUE"""),"PUTHENCRUZ")</f>
        <v>PUTHENCRUZ</v>
      </c>
      <c r="M682" t="str">
        <f ca="1">IFERROR(__xludf.DUMMYFUNCTION("""COMPUTED_VALUE"""),"I Accept")</f>
        <v>I Accept</v>
      </c>
      <c r="N682" s="4">
        <f ca="1">IFERROR(__xludf.DUMMYFUNCTION("""COMPUTED_VALUE"""),43175)</f>
        <v>43175</v>
      </c>
      <c r="O682" s="4">
        <f ca="1">IFERROR(__xludf.DUMMYFUNCTION("""COMPUTED_VALUE"""),43175)</f>
        <v>43175</v>
      </c>
      <c r="P682">
        <f ca="1">IFERROR(__xludf.DUMMYFUNCTION("""COMPUTED_VALUE"""),5)</f>
        <v>5</v>
      </c>
      <c r="Q682" t="str">
        <f ca="1">IFERROR(__xludf.DUMMYFUNCTION("""COMPUTED_VALUE"""),"saji_iype@hotmail.com")</f>
        <v>saji_iype@hotmail.com</v>
      </c>
      <c r="R682" s="2" t="s">
        <v>3096</v>
      </c>
    </row>
    <row r="683" spans="1:18" ht="13" x14ac:dyDescent="0.15">
      <c r="A683" s="3">
        <f ca="1">IFERROR(__xludf.DUMMYFUNCTION("""COMPUTED_VALUE"""),43245.7006449768)</f>
        <v>43245.700644976801</v>
      </c>
      <c r="B683" t="str">
        <f ca="1">IFERROR(__xludf.DUMMYFUNCTION("""COMPUTED_VALUE"""),"piousnseden@yahoo.co.in")</f>
        <v>piousnseden@yahoo.co.in</v>
      </c>
      <c r="C683">
        <f ca="1">IFERROR(__xludf.DUMMYFUNCTION("""COMPUTED_VALUE"""),820)</f>
        <v>820</v>
      </c>
      <c r="D683" t="str">
        <f ca="1">IFERROR(__xludf.DUMMYFUNCTION("""COMPUTED_VALUE"""),"Pious N S ")</f>
        <v xml:space="preserve">Pious N S </v>
      </c>
      <c r="E683">
        <f ca="1">IFERROR(__xludf.DUMMYFUNCTION("""COMPUTED_VALUE"""),9846395555)</f>
        <v>9846395555</v>
      </c>
      <c r="F683" t="str">
        <f ca="1">IFERROR(__xludf.DUMMYFUNCTION("""COMPUTED_VALUE"""),"Ernakulam")</f>
        <v>Ernakulam</v>
      </c>
      <c r="G683" t="str">
        <f ca="1">IFERROR(__xludf.DUMMYFUNCTION("""COMPUTED_VALUE"""),"Renewable Energy Solutions P Ltd")</f>
        <v>Renewable Energy Solutions P Ltd</v>
      </c>
      <c r="H683">
        <f ca="1">IFERROR(__xludf.DUMMYFUNCTION("""COMPUTED_VALUE"""),64)</f>
        <v>64</v>
      </c>
      <c r="I683" s="4">
        <f ca="1">IFERROR(__xludf.DUMMYFUNCTION("""COMPUTED_VALUE"""),43201)</f>
        <v>43201</v>
      </c>
      <c r="J683">
        <f ca="1">IFERROR(__xludf.DUMMYFUNCTION("""COMPUTED_VALUE"""),3)</f>
        <v>3</v>
      </c>
      <c r="K683">
        <f ca="1">IFERROR(__xludf.DUMMYFUNCTION("""COMPUTED_VALUE"""),1155516009210)</f>
        <v>1155516009210</v>
      </c>
      <c r="L683" t="str">
        <f ca="1">IFERROR(__xludf.DUMMYFUNCTION("""COMPUTED_VALUE"""),"CHOTTANIKKARA")</f>
        <v>CHOTTANIKKARA</v>
      </c>
      <c r="M683" t="str">
        <f ca="1">IFERROR(__xludf.DUMMYFUNCTION("""COMPUTED_VALUE"""),"I Accept")</f>
        <v>I Accept</v>
      </c>
      <c r="N683" s="4">
        <f ca="1">IFERROR(__xludf.DUMMYFUNCTION("""COMPUTED_VALUE"""),43202)</f>
        <v>43202</v>
      </c>
      <c r="O683" s="4">
        <f ca="1">IFERROR(__xludf.DUMMYFUNCTION("""COMPUTED_VALUE"""),43202)</f>
        <v>43202</v>
      </c>
      <c r="P683">
        <f ca="1">IFERROR(__xludf.DUMMYFUNCTION("""COMPUTED_VALUE"""),3)</f>
        <v>3</v>
      </c>
      <c r="Q683" t="str">
        <f ca="1">IFERROR(__xludf.DUMMYFUNCTION("""COMPUTED_VALUE"""),"piousnseden@yahoo.co.in")</f>
        <v>piousnseden@yahoo.co.in</v>
      </c>
      <c r="R683" s="2" t="s">
        <v>3097</v>
      </c>
    </row>
    <row r="684" spans="1:18" ht="13" x14ac:dyDescent="0.15">
      <c r="A684" s="3">
        <f ca="1">IFERROR(__xludf.DUMMYFUNCTION("""COMPUTED_VALUE"""),43245.7038934143)</f>
        <v>43245.703893414298</v>
      </c>
      <c r="B684" t="str">
        <f ca="1">IFERROR(__xludf.DUMMYFUNCTION("""COMPUTED_VALUE"""),"bijukgeorge32@gmail.com")</f>
        <v>bijukgeorge32@gmail.com</v>
      </c>
      <c r="C684">
        <f ca="1">IFERROR(__xludf.DUMMYFUNCTION("""COMPUTED_VALUE"""),852)</f>
        <v>852</v>
      </c>
      <c r="D684" t="str">
        <f ca="1">IFERROR(__xludf.DUMMYFUNCTION("""COMPUTED_VALUE"""),"Biju K George")</f>
        <v>Biju K George</v>
      </c>
      <c r="E684">
        <f ca="1">IFERROR(__xludf.DUMMYFUNCTION("""COMPUTED_VALUE"""),9846395555)</f>
        <v>9846395555</v>
      </c>
      <c r="F684" t="str">
        <f ca="1">IFERROR(__xludf.DUMMYFUNCTION("""COMPUTED_VALUE"""),"Ernakulam")</f>
        <v>Ernakulam</v>
      </c>
      <c r="G684" t="str">
        <f ca="1">IFERROR(__xludf.DUMMYFUNCTION("""COMPUTED_VALUE"""),"Renewable Energy Solutions P Ltd")</f>
        <v>Renewable Energy Solutions P Ltd</v>
      </c>
      <c r="H684">
        <f ca="1">IFERROR(__xludf.DUMMYFUNCTION("""COMPUTED_VALUE"""),64)</f>
        <v>64</v>
      </c>
      <c r="I684" s="4">
        <f ca="1">IFERROR(__xludf.DUMMYFUNCTION("""COMPUTED_VALUE"""),43201)</f>
        <v>43201</v>
      </c>
      <c r="J684">
        <f ca="1">IFERROR(__xludf.DUMMYFUNCTION("""COMPUTED_VALUE"""),3)</f>
        <v>3</v>
      </c>
      <c r="K684">
        <f ca="1">IFERROR(__xludf.DUMMYFUNCTION("""COMPUTED_VALUE"""),1155512013415)</f>
        <v>1155512013415</v>
      </c>
      <c r="L684" t="str">
        <f ca="1">IFERROR(__xludf.DUMMYFUNCTION("""COMPUTED_VALUE"""),"CHOTTANIKKARA")</f>
        <v>CHOTTANIKKARA</v>
      </c>
      <c r="M684" t="str">
        <f ca="1">IFERROR(__xludf.DUMMYFUNCTION("""COMPUTED_VALUE"""),"I Accept")</f>
        <v>I Accept</v>
      </c>
      <c r="N684" s="4">
        <f ca="1">IFERROR(__xludf.DUMMYFUNCTION("""COMPUTED_VALUE"""),43230)</f>
        <v>43230</v>
      </c>
      <c r="O684" s="4">
        <f ca="1">IFERROR(__xludf.DUMMYFUNCTION("""COMPUTED_VALUE"""),43230)</f>
        <v>43230</v>
      </c>
      <c r="P684">
        <f ca="1">IFERROR(__xludf.DUMMYFUNCTION("""COMPUTED_VALUE"""),3)</f>
        <v>3</v>
      </c>
      <c r="Q684" t="str">
        <f ca="1">IFERROR(__xludf.DUMMYFUNCTION("""COMPUTED_VALUE"""),"bijukgeorge32@gmail.com")</f>
        <v>bijukgeorge32@gmail.com</v>
      </c>
      <c r="R684" s="2" t="s">
        <v>3098</v>
      </c>
    </row>
    <row r="685" spans="1:18" ht="13" x14ac:dyDescent="0.15">
      <c r="A685" s="3">
        <f ca="1">IFERROR(__xludf.DUMMYFUNCTION("""COMPUTED_VALUE"""),43245.7427143981)</f>
        <v>43245.742714398097</v>
      </c>
      <c r="B685" t="str">
        <f ca="1">IFERROR(__xludf.DUMMYFUNCTION("""COMPUTED_VALUE"""),"info@watsun.in")</f>
        <v>info@watsun.in</v>
      </c>
      <c r="C685">
        <f ca="1">IFERROR(__xludf.DUMMYFUNCTION("""COMPUTED_VALUE"""),633)</f>
        <v>633</v>
      </c>
      <c r="D685" t="str">
        <f ca="1">IFERROR(__xludf.DUMMYFUNCTION("""COMPUTED_VALUE"""),"Selicks Cheriyan")</f>
        <v>Selicks Cheriyan</v>
      </c>
      <c r="E685">
        <f ca="1">IFERROR(__xludf.DUMMYFUNCTION("""COMPUTED_VALUE"""),9072666513)</f>
        <v>9072666513</v>
      </c>
      <c r="F685" t="str">
        <f ca="1">IFERROR(__xludf.DUMMYFUNCTION("""COMPUTED_VALUE"""),"Pathanamthitta")</f>
        <v>Pathanamthitta</v>
      </c>
      <c r="G685" t="str">
        <f ca="1">IFERROR(__xludf.DUMMYFUNCTION("""COMPUTED_VALUE"""),"M/S Wattsun Energy India Private Limited")</f>
        <v>M/S Wattsun Energy India Private Limited</v>
      </c>
      <c r="H685">
        <f ca="1">IFERROR(__xludf.DUMMYFUNCTION("""COMPUTED_VALUE"""),54)</f>
        <v>54</v>
      </c>
      <c r="I685" s="4">
        <f ca="1">IFERROR(__xludf.DUMMYFUNCTION("""COMPUTED_VALUE"""),43245)</f>
        <v>43245</v>
      </c>
      <c r="J685">
        <f ca="1">IFERROR(__xludf.DUMMYFUNCTION("""COMPUTED_VALUE"""),5)</f>
        <v>5</v>
      </c>
      <c r="K685">
        <f ca="1">IFERROR(__xludf.DUMMYFUNCTION("""COMPUTED_VALUE"""),1146232023160)</f>
        <v>1146232023160</v>
      </c>
      <c r="L685" t="str">
        <f ca="1">IFERROR(__xludf.DUMMYFUNCTION("""COMPUTED_VALUE"""),"Nallappally")</f>
        <v>Nallappally</v>
      </c>
      <c r="M685" t="str">
        <f ca="1">IFERROR(__xludf.DUMMYFUNCTION("""COMPUTED_VALUE"""),"I Accept")</f>
        <v>I Accept</v>
      </c>
      <c r="N685" s="4">
        <f ca="1">IFERROR(__xludf.DUMMYFUNCTION("""COMPUTED_VALUE"""),43153)</f>
        <v>43153</v>
      </c>
      <c r="O685" s="4">
        <f ca="1">IFERROR(__xludf.DUMMYFUNCTION("""COMPUTED_VALUE"""),43153)</f>
        <v>43153</v>
      </c>
      <c r="P685">
        <f ca="1">IFERROR(__xludf.DUMMYFUNCTION("""COMPUTED_VALUE"""),5)</f>
        <v>5</v>
      </c>
      <c r="Q685" t="str">
        <f ca="1">IFERROR(__xludf.DUMMYFUNCTION("""COMPUTED_VALUE"""),"info@wattsun.in")</f>
        <v>info@wattsun.in</v>
      </c>
      <c r="R685" s="2" t="s">
        <v>3099</v>
      </c>
    </row>
    <row r="686" spans="1:18" ht="13" x14ac:dyDescent="0.15">
      <c r="A686" s="3">
        <f ca="1">IFERROR(__xludf.DUMMYFUNCTION("""COMPUTED_VALUE"""),43245.8309572106)</f>
        <v>43245.830957210601</v>
      </c>
      <c r="B686" t="str">
        <f ca="1">IFERROR(__xludf.DUMMYFUNCTION("""COMPUTED_VALUE"""),"connectdsk@gmail.com")</f>
        <v>connectdsk@gmail.com</v>
      </c>
      <c r="C686">
        <f ca="1">IFERROR(__xludf.DUMMYFUNCTION("""COMPUTED_VALUE"""),670)</f>
        <v>670</v>
      </c>
      <c r="D686" t="str">
        <f ca="1">IFERROR(__xludf.DUMMYFUNCTION("""COMPUTED_VALUE"""),"VIMALA")</f>
        <v>VIMALA</v>
      </c>
      <c r="E686">
        <f ca="1">IFERROR(__xludf.DUMMYFUNCTION("""COMPUTED_VALUE"""),8547564126)</f>
        <v>8547564126</v>
      </c>
      <c r="F686" t="str">
        <f ca="1">IFERROR(__xludf.DUMMYFUNCTION("""COMPUTED_VALUE"""),"Thrissur")</f>
        <v>Thrissur</v>
      </c>
      <c r="G686" t="str">
        <f ca="1">IFERROR(__xludf.DUMMYFUNCTION("""COMPUTED_VALUE"""),"FERT")</f>
        <v>FERT</v>
      </c>
      <c r="H686">
        <f ca="1">IFERROR(__xludf.DUMMYFUNCTION("""COMPUTED_VALUE"""),27)</f>
        <v>27</v>
      </c>
      <c r="I686" s="4">
        <f ca="1">IFERROR(__xludf.DUMMYFUNCTION("""COMPUTED_VALUE"""),43230)</f>
        <v>43230</v>
      </c>
      <c r="J686">
        <f ca="1">IFERROR(__xludf.DUMMYFUNCTION("""COMPUTED_VALUE"""),3)</f>
        <v>3</v>
      </c>
      <c r="K686">
        <f ca="1">IFERROR(__xludf.DUMMYFUNCTION("""COMPUTED_VALUE"""),1156628016871)</f>
        <v>1156628016871</v>
      </c>
      <c r="L686" t="str">
        <f ca="1">IFERROR(__xludf.DUMMYFUNCTION("""COMPUTED_VALUE"""),"PERINJANAM")</f>
        <v>PERINJANAM</v>
      </c>
      <c r="M686" t="str">
        <f ca="1">IFERROR(__xludf.DUMMYFUNCTION("""COMPUTED_VALUE"""),"I Accept")</f>
        <v>I Accept</v>
      </c>
      <c r="N686" s="4">
        <f ca="1">IFERROR(__xludf.DUMMYFUNCTION("""COMPUTED_VALUE"""),43237)</f>
        <v>43237</v>
      </c>
      <c r="O686" s="4">
        <f ca="1">IFERROR(__xludf.DUMMYFUNCTION("""COMPUTED_VALUE"""),43237)</f>
        <v>43237</v>
      </c>
      <c r="P686">
        <f ca="1">IFERROR(__xludf.DUMMYFUNCTION("""COMPUTED_VALUE"""),3)</f>
        <v>3</v>
      </c>
      <c r="Q686" t="str">
        <f ca="1">IFERROR(__xludf.DUMMYFUNCTION("""COMPUTED_VALUE"""),"connectdsk@gmail.com")</f>
        <v>connectdsk@gmail.com</v>
      </c>
      <c r="R686" s="2" t="s">
        <v>3100</v>
      </c>
    </row>
    <row r="687" spans="1:18" ht="13" x14ac:dyDescent="0.15">
      <c r="A687" s="3">
        <f ca="1">IFERROR(__xludf.DUMMYFUNCTION("""COMPUTED_VALUE"""),43246.4360559027)</f>
        <v>43246.436055902697</v>
      </c>
      <c r="B687" t="str">
        <f ca="1">IFERROR(__xludf.DUMMYFUNCTION("""COMPUTED_VALUE"""),"smitha.soura@gmail.com")</f>
        <v>smitha.soura@gmail.com</v>
      </c>
      <c r="C687">
        <f ca="1">IFERROR(__xludf.DUMMYFUNCTION("""COMPUTED_VALUE"""),1170)</f>
        <v>1170</v>
      </c>
      <c r="D687" t="str">
        <f ca="1">IFERROR(__xludf.DUMMYFUNCTION("""COMPUTED_VALUE"""),"Muhammad sageer")</f>
        <v>Muhammad sageer</v>
      </c>
      <c r="E687">
        <f ca="1">IFERROR(__xludf.DUMMYFUNCTION("""COMPUTED_VALUE"""),9072626009)</f>
        <v>9072626009</v>
      </c>
      <c r="F687" t="str">
        <f ca="1">IFERROR(__xludf.DUMMYFUNCTION("""COMPUTED_VALUE"""),"Thrissur")</f>
        <v>Thrissur</v>
      </c>
      <c r="G687" t="str">
        <f ca="1">IFERROR(__xludf.DUMMYFUNCTION("""COMPUTED_VALUE"""),"soura natural energy solutions india pvt ltd")</f>
        <v>soura natural energy solutions india pvt ltd</v>
      </c>
      <c r="H687">
        <f ca="1">IFERROR(__xludf.DUMMYFUNCTION("""COMPUTED_VALUE"""),11)</f>
        <v>11</v>
      </c>
      <c r="I687" s="4">
        <f ca="1">IFERROR(__xludf.DUMMYFUNCTION("""COMPUTED_VALUE"""),43246)</f>
        <v>43246</v>
      </c>
      <c r="J687">
        <f ca="1">IFERROR(__xludf.DUMMYFUNCTION("""COMPUTED_VALUE"""),5)</f>
        <v>5</v>
      </c>
      <c r="K687">
        <f ca="1">IFERROR(__xludf.DUMMYFUNCTION("""COMPUTED_VALUE"""),1156627019261)</f>
        <v>1156627019261</v>
      </c>
      <c r="L687" t="str">
        <f ca="1">IFERROR(__xludf.DUMMYFUNCTION("""COMPUTED_VALUE"""),"perinjanam")</f>
        <v>perinjanam</v>
      </c>
      <c r="M687" t="str">
        <f ca="1">IFERROR(__xludf.DUMMYFUNCTION("""COMPUTED_VALUE"""),"I Accept")</f>
        <v>I Accept</v>
      </c>
      <c r="N687" s="4">
        <f ca="1">IFERROR(__xludf.DUMMYFUNCTION("""COMPUTED_VALUE"""),43231)</f>
        <v>43231</v>
      </c>
      <c r="O687" s="4">
        <f ca="1">IFERROR(__xludf.DUMMYFUNCTION("""COMPUTED_VALUE"""),43231)</f>
        <v>43231</v>
      </c>
      <c r="P687">
        <f ca="1">IFERROR(__xludf.DUMMYFUNCTION("""COMPUTED_VALUE"""),5)</f>
        <v>5</v>
      </c>
      <c r="Q687" t="str">
        <f ca="1">IFERROR(__xludf.DUMMYFUNCTION("""COMPUTED_VALUE"""),"smitha.soura@gmail.com")</f>
        <v>smitha.soura@gmail.com</v>
      </c>
      <c r="R687" s="2" t="s">
        <v>3101</v>
      </c>
    </row>
    <row r="688" spans="1:18" ht="13" x14ac:dyDescent="0.15">
      <c r="A688" s="3">
        <f ca="1">IFERROR(__xludf.DUMMYFUNCTION("""COMPUTED_VALUE"""),43246.4809340972)</f>
        <v>43246.480934097199</v>
      </c>
      <c r="B688" t="str">
        <f ca="1">IFERROR(__xludf.DUMMYFUNCTION("""COMPUTED_VALUE"""),"managerhssvhss@gmail.com")</f>
        <v>managerhssvhss@gmail.com</v>
      </c>
      <c r="C688">
        <f ca="1">IFERROR(__xludf.DUMMYFUNCTION("""COMPUTED_VALUE"""),1172)</f>
        <v>1172</v>
      </c>
      <c r="D688" t="str">
        <f ca="1">IFERROR(__xludf.DUMMYFUNCTION("""COMPUTED_VALUE"""),"MANAGER ,HSS&amp;VHSS BRAHMAMANGALAM")</f>
        <v>MANAGER ,HSS&amp;VHSS BRAHMAMANGALAM</v>
      </c>
      <c r="E688">
        <f ca="1">IFERROR(__xludf.DUMMYFUNCTION("""COMPUTED_VALUE"""),9447773478)</f>
        <v>9447773478</v>
      </c>
      <c r="F688" t="str">
        <f ca="1">IFERROR(__xludf.DUMMYFUNCTION("""COMPUTED_VALUE"""),"Kottayam")</f>
        <v>Kottayam</v>
      </c>
      <c r="G688" t="str">
        <f ca="1">IFERROR(__xludf.DUMMYFUNCTION("""COMPUTED_VALUE"""),"KRISHNA ELECTRONICS SYSTEMS AND SERVICES")</f>
        <v>KRISHNA ELECTRONICS SYSTEMS AND SERVICES</v>
      </c>
      <c r="H688">
        <f ca="1">IFERROR(__xludf.DUMMYFUNCTION("""COMPUTED_VALUE"""),70)</f>
        <v>70</v>
      </c>
      <c r="I688" s="4">
        <f ca="1">IFERROR(__xludf.DUMMYFUNCTION("""COMPUTED_VALUE"""),43246)</f>
        <v>43246</v>
      </c>
      <c r="J688">
        <f ca="1">IFERROR(__xludf.DUMMYFUNCTION("""COMPUTED_VALUE"""),10)</f>
        <v>10</v>
      </c>
      <c r="K688">
        <f ca="1">IFERROR(__xludf.DUMMYFUNCTION("""COMPUTED_VALUE"""),1146447000200)</f>
        <v>1146447000200</v>
      </c>
      <c r="L688" t="str">
        <f ca="1">IFERROR(__xludf.DUMMYFUNCTION("""COMPUTED_VALUE"""),"CHEMPU")</f>
        <v>CHEMPU</v>
      </c>
      <c r="M688" t="str">
        <f ca="1">IFERROR(__xludf.DUMMYFUNCTION("""COMPUTED_VALUE"""),"I Accept")</f>
        <v>I Accept</v>
      </c>
      <c r="N688" s="4">
        <f ca="1">IFERROR(__xludf.DUMMYFUNCTION("""COMPUTED_VALUE"""),43239)</f>
        <v>43239</v>
      </c>
      <c r="O688" s="4">
        <f ca="1">IFERROR(__xludf.DUMMYFUNCTION("""COMPUTED_VALUE"""),43239)</f>
        <v>43239</v>
      </c>
      <c r="P688">
        <f ca="1">IFERROR(__xludf.DUMMYFUNCTION("""COMPUTED_VALUE"""),20)</f>
        <v>20</v>
      </c>
      <c r="Q688" t="str">
        <f ca="1">IFERROR(__xludf.DUMMYFUNCTION("""COMPUTED_VALUE"""),"managerhssvhss@gmail.com")</f>
        <v>managerhssvhss@gmail.com</v>
      </c>
      <c r="R688" s="2" t="s">
        <v>3102</v>
      </c>
    </row>
    <row r="689" spans="1:18" ht="13" x14ac:dyDescent="0.15">
      <c r="A689" s="3">
        <f ca="1">IFERROR(__xludf.DUMMYFUNCTION("""COMPUTED_VALUE"""),43246.4919545717)</f>
        <v>43246.491954571698</v>
      </c>
      <c r="B689" t="str">
        <f ca="1">IFERROR(__xludf.DUMMYFUNCTION("""COMPUTED_VALUE"""),"smitha.soura@gmail.com")</f>
        <v>smitha.soura@gmail.com</v>
      </c>
      <c r="C689">
        <f ca="1">IFERROR(__xludf.DUMMYFUNCTION("""COMPUTED_VALUE"""),1204)</f>
        <v>1204</v>
      </c>
      <c r="D689" t="str">
        <f ca="1">IFERROR(__xludf.DUMMYFUNCTION("""COMPUTED_VALUE"""),"Soura Natural Energy solutions india pvt ltd")</f>
        <v>Soura Natural Energy solutions india pvt ltd</v>
      </c>
      <c r="E689">
        <f ca="1">IFERROR(__xludf.DUMMYFUNCTION("""COMPUTED_VALUE"""),9072626009)</f>
        <v>9072626009</v>
      </c>
      <c r="F689" t="str">
        <f ca="1">IFERROR(__xludf.DUMMYFUNCTION("""COMPUTED_VALUE"""),"Thrissur")</f>
        <v>Thrissur</v>
      </c>
      <c r="G689" t="str">
        <f ca="1">IFERROR(__xludf.DUMMYFUNCTION("""COMPUTED_VALUE"""),"soura Natural Energy solutions india pvt ltd")</f>
        <v>soura Natural Energy solutions india pvt ltd</v>
      </c>
      <c r="H689">
        <f ca="1">IFERROR(__xludf.DUMMYFUNCTION("""COMPUTED_VALUE"""),11)</f>
        <v>11</v>
      </c>
      <c r="I689" s="4">
        <f ca="1">IFERROR(__xludf.DUMMYFUNCTION("""COMPUTED_VALUE"""),43246)</f>
        <v>43246</v>
      </c>
      <c r="J689">
        <f ca="1">IFERROR(__xludf.DUMMYFUNCTION("""COMPUTED_VALUE"""),3)</f>
        <v>3</v>
      </c>
      <c r="K689">
        <f ca="1">IFERROR(__xludf.DUMMYFUNCTION("""COMPUTED_VALUE"""),1156754017658)</f>
        <v>1156754017658</v>
      </c>
      <c r="L689" t="str">
        <f ca="1">IFERROR(__xludf.DUMMYFUNCTION("""COMPUTED_VALUE"""),"mannuthy")</f>
        <v>mannuthy</v>
      </c>
      <c r="M689" t="str">
        <f ca="1">IFERROR(__xludf.DUMMYFUNCTION("""COMPUTED_VALUE"""),"I Accept")</f>
        <v>I Accept</v>
      </c>
      <c r="N689" s="4">
        <f ca="1">IFERROR(__xludf.DUMMYFUNCTION("""COMPUTED_VALUE"""),43246)</f>
        <v>43246</v>
      </c>
      <c r="O689" s="4">
        <f ca="1">IFERROR(__xludf.DUMMYFUNCTION("""COMPUTED_VALUE"""),43246)</f>
        <v>43246</v>
      </c>
      <c r="P689">
        <f ca="1">IFERROR(__xludf.DUMMYFUNCTION("""COMPUTED_VALUE"""),3)</f>
        <v>3</v>
      </c>
      <c r="Q689" t="str">
        <f ca="1">IFERROR(__xludf.DUMMYFUNCTION("""COMPUTED_VALUE"""),"smitha.soura@gmail.com")</f>
        <v>smitha.soura@gmail.com</v>
      </c>
      <c r="R689" s="2" t="s">
        <v>3103</v>
      </c>
    </row>
    <row r="690" spans="1:18" ht="13" x14ac:dyDescent="0.15">
      <c r="A690" s="3">
        <f ca="1">IFERROR(__xludf.DUMMYFUNCTION("""COMPUTED_VALUE"""),43246.6725603819)</f>
        <v>43246.6725603819</v>
      </c>
      <c r="B690" t="str">
        <f ca="1">IFERROR(__xludf.DUMMYFUNCTION("""COMPUTED_VALUE"""),"solarconnect2018@gmail.com")</f>
        <v>solarconnect2018@gmail.com</v>
      </c>
      <c r="C690">
        <f ca="1">IFERROR(__xludf.DUMMYFUNCTION("""COMPUTED_VALUE"""),889)</f>
        <v>889</v>
      </c>
      <c r="D690" t="str">
        <f ca="1">IFERROR(__xludf.DUMMYFUNCTION("""COMPUTED_VALUE"""),"ABDUL SALAM")</f>
        <v>ABDUL SALAM</v>
      </c>
      <c r="E690">
        <f ca="1">IFERROR(__xludf.DUMMYFUNCTION("""COMPUTED_VALUE"""),8921114904)</f>
        <v>8921114904</v>
      </c>
      <c r="F690" t="str">
        <f ca="1">IFERROR(__xludf.DUMMYFUNCTION("""COMPUTED_VALUE"""),"Kollam")</f>
        <v>Kollam</v>
      </c>
      <c r="G690" t="str">
        <f ca="1">IFERROR(__xludf.DUMMYFUNCTION("""COMPUTED_VALUE"""),"SPECTRUM TECHNO PRODUCTS")</f>
        <v>SPECTRUM TECHNO PRODUCTS</v>
      </c>
      <c r="H690">
        <f ca="1">IFERROR(__xludf.DUMMYFUNCTION("""COMPUTED_VALUE"""),66)</f>
        <v>66</v>
      </c>
      <c r="I690" s="4">
        <f ca="1">IFERROR(__xludf.DUMMYFUNCTION("""COMPUTED_VALUE"""),43241)</f>
        <v>43241</v>
      </c>
      <c r="J690">
        <f ca="1">IFERROR(__xludf.DUMMYFUNCTION("""COMPUTED_VALUE"""),10)</f>
        <v>10</v>
      </c>
      <c r="K690">
        <f ca="1">IFERROR(__xludf.DUMMYFUNCTION("""COMPUTED_VALUE"""),1145679011540)</f>
        <v>1145679011540</v>
      </c>
      <c r="L690" t="str">
        <f ca="1">IFERROR(__xludf.DUMMYFUNCTION("""COMPUTED_VALUE"""),"OACHIRA")</f>
        <v>OACHIRA</v>
      </c>
      <c r="M690" t="str">
        <f ca="1">IFERROR(__xludf.DUMMYFUNCTION("""COMPUTED_VALUE"""),"I Accept")</f>
        <v>I Accept</v>
      </c>
      <c r="N690" s="4">
        <f ca="1">IFERROR(__xludf.DUMMYFUNCTION("""COMPUTED_VALUE"""),43210)</f>
        <v>43210</v>
      </c>
      <c r="O690" s="4">
        <f ca="1">IFERROR(__xludf.DUMMYFUNCTION("""COMPUTED_VALUE"""),43210)</f>
        <v>43210</v>
      </c>
      <c r="P690">
        <f ca="1">IFERROR(__xludf.DUMMYFUNCTION("""COMPUTED_VALUE"""),10)</f>
        <v>10</v>
      </c>
      <c r="Q690" t="str">
        <f ca="1">IFERROR(__xludf.DUMMYFUNCTION("""COMPUTED_VALUE"""),"solarconnect2018@gmail.com")</f>
        <v>solarconnect2018@gmail.com</v>
      </c>
      <c r="R690" s="2" t="s">
        <v>3104</v>
      </c>
    </row>
    <row r="691" spans="1:18" ht="13" x14ac:dyDescent="0.15">
      <c r="A691" s="3">
        <f ca="1">IFERROR(__xludf.DUMMYFUNCTION("""COMPUTED_VALUE"""),43246.6758730787)</f>
        <v>43246.675873078697</v>
      </c>
      <c r="B691" t="str">
        <f ca="1">IFERROR(__xludf.DUMMYFUNCTION("""COMPUTED_VALUE"""),"solarconnect2018@gmail.com")</f>
        <v>solarconnect2018@gmail.com</v>
      </c>
      <c r="C691">
        <f ca="1">IFERROR(__xludf.DUMMYFUNCTION("""COMPUTED_VALUE"""),1120)</f>
        <v>1120</v>
      </c>
      <c r="D691" t="str">
        <f ca="1">IFERROR(__xludf.DUMMYFUNCTION("""COMPUTED_VALUE"""),"VIJAYARAJAN")</f>
        <v>VIJAYARAJAN</v>
      </c>
      <c r="E691">
        <f ca="1">IFERROR(__xludf.DUMMYFUNCTION("""COMPUTED_VALUE"""),9745416314)</f>
        <v>9745416314</v>
      </c>
      <c r="F691" t="str">
        <f ca="1">IFERROR(__xludf.DUMMYFUNCTION("""COMPUTED_VALUE"""),"Kollam")</f>
        <v>Kollam</v>
      </c>
      <c r="G691" t="str">
        <f ca="1">IFERROR(__xludf.DUMMYFUNCTION("""COMPUTED_VALUE"""),"SPECTRUM TECHNO PRODUCTS")</f>
        <v>SPECTRUM TECHNO PRODUCTS</v>
      </c>
      <c r="H691">
        <f ca="1">IFERROR(__xludf.DUMMYFUNCTION("""COMPUTED_VALUE"""),66)</f>
        <v>66</v>
      </c>
      <c r="I691" s="4">
        <f ca="1">IFERROR(__xludf.DUMMYFUNCTION("""COMPUTED_VALUE"""),43241)</f>
        <v>43241</v>
      </c>
      <c r="J691">
        <f ca="1">IFERROR(__xludf.DUMMYFUNCTION("""COMPUTED_VALUE"""),5)</f>
        <v>5</v>
      </c>
      <c r="K691">
        <f ca="1">IFERROR(__xludf.DUMMYFUNCTION("""COMPUTED_VALUE"""),1145674008184)</f>
        <v>1145674008184</v>
      </c>
      <c r="L691" t="str">
        <f ca="1">IFERROR(__xludf.DUMMYFUNCTION("""COMPUTED_VALUE"""),"OACHIRA")</f>
        <v>OACHIRA</v>
      </c>
      <c r="M691" t="str">
        <f ca="1">IFERROR(__xludf.DUMMYFUNCTION("""COMPUTED_VALUE"""),"I Accept")</f>
        <v>I Accept</v>
      </c>
      <c r="N691" s="4">
        <f ca="1">IFERROR(__xludf.DUMMYFUNCTION("""COMPUTED_VALUE"""),43239)</f>
        <v>43239</v>
      </c>
      <c r="O691" s="4">
        <f ca="1">IFERROR(__xludf.DUMMYFUNCTION("""COMPUTED_VALUE"""),43239)</f>
        <v>43239</v>
      </c>
      <c r="P691">
        <f ca="1">IFERROR(__xludf.DUMMYFUNCTION("""COMPUTED_VALUE"""),5)</f>
        <v>5</v>
      </c>
      <c r="Q691" t="str">
        <f ca="1">IFERROR(__xludf.DUMMYFUNCTION("""COMPUTED_VALUE"""),"solarconnect2018@gmail.com")</f>
        <v>solarconnect2018@gmail.com</v>
      </c>
      <c r="R691" s="2" t="s">
        <v>3105</v>
      </c>
    </row>
    <row r="692" spans="1:18" ht="13" x14ac:dyDescent="0.15">
      <c r="A692" s="3">
        <f ca="1">IFERROR(__xludf.DUMMYFUNCTION("""COMPUTED_VALUE"""),43246.6804897222)</f>
        <v>43246.680489722203</v>
      </c>
      <c r="B692" t="str">
        <f ca="1">IFERROR(__xludf.DUMMYFUNCTION("""COMPUTED_VALUE"""),"solarconnect2018@gmail.com")</f>
        <v>solarconnect2018@gmail.com</v>
      </c>
      <c r="C692">
        <f ca="1">IFERROR(__xludf.DUMMYFUNCTION("""COMPUTED_VALUE"""),1055)</f>
        <v>1055</v>
      </c>
      <c r="D692" t="str">
        <f ca="1">IFERROR(__xludf.DUMMYFUNCTION("""COMPUTED_VALUE"""),"ABDUL SATHAR")</f>
        <v>ABDUL SATHAR</v>
      </c>
      <c r="E692">
        <f ca="1">IFERROR(__xludf.DUMMYFUNCTION("""COMPUTED_VALUE"""),9388627640)</f>
        <v>9388627640</v>
      </c>
      <c r="F692" t="str">
        <f ca="1">IFERROR(__xludf.DUMMYFUNCTION("""COMPUTED_VALUE"""),"Kollam")</f>
        <v>Kollam</v>
      </c>
      <c r="G692" t="str">
        <f ca="1">IFERROR(__xludf.DUMMYFUNCTION("""COMPUTED_VALUE"""),"SPECTRUM TECHNO PRODUCTS")</f>
        <v>SPECTRUM TECHNO PRODUCTS</v>
      </c>
      <c r="H692">
        <f ca="1">IFERROR(__xludf.DUMMYFUNCTION("""COMPUTED_VALUE"""),66)</f>
        <v>66</v>
      </c>
      <c r="I692" s="4">
        <f ca="1">IFERROR(__xludf.DUMMYFUNCTION("""COMPUTED_VALUE"""),43241)</f>
        <v>43241</v>
      </c>
      <c r="J692">
        <f ca="1">IFERROR(__xludf.DUMMYFUNCTION("""COMPUTED_VALUE"""),3)</f>
        <v>3</v>
      </c>
      <c r="K692">
        <f ca="1">IFERROR(__xludf.DUMMYFUNCTION("""COMPUTED_VALUE"""),1145671001149)</f>
        <v>1145671001149</v>
      </c>
      <c r="L692" t="str">
        <f ca="1">IFERROR(__xludf.DUMMYFUNCTION("""COMPUTED_VALUE"""),"OACHIRA")</f>
        <v>OACHIRA</v>
      </c>
      <c r="M692" t="str">
        <f ca="1">IFERROR(__xludf.DUMMYFUNCTION("""COMPUTED_VALUE"""),"I Accept")</f>
        <v>I Accept</v>
      </c>
      <c r="N692" s="4">
        <f ca="1">IFERROR(__xludf.DUMMYFUNCTION("""COMPUTED_VALUE"""),43231)</f>
        <v>43231</v>
      </c>
      <c r="O692" s="4">
        <f ca="1">IFERROR(__xludf.DUMMYFUNCTION("""COMPUTED_VALUE"""),43231)</f>
        <v>43231</v>
      </c>
      <c r="P692">
        <f ca="1">IFERROR(__xludf.DUMMYFUNCTION("""COMPUTED_VALUE"""),3)</f>
        <v>3</v>
      </c>
      <c r="Q692" t="str">
        <f ca="1">IFERROR(__xludf.DUMMYFUNCTION("""COMPUTED_VALUE"""),"solarconnect2018@gmail.com")</f>
        <v>solarconnect2018@gmail.com</v>
      </c>
      <c r="R692" s="2" t="s">
        <v>3106</v>
      </c>
    </row>
    <row r="693" spans="1:18" ht="13" x14ac:dyDescent="0.15">
      <c r="A693" s="3">
        <f ca="1">IFERROR(__xludf.DUMMYFUNCTION("""COMPUTED_VALUE"""),43246.7257162847)</f>
        <v>43246.725716284702</v>
      </c>
      <c r="B693" t="str">
        <f ca="1">IFERROR(__xludf.DUMMYFUNCTION("""COMPUTED_VALUE"""),"nestromarketing@gmail.com")</f>
        <v>nestromarketing@gmail.com</v>
      </c>
      <c r="C693">
        <f ca="1">IFERROR(__xludf.DUMMYFUNCTION("""COMPUTED_VALUE"""),173)</f>
        <v>173</v>
      </c>
      <c r="D693" t="str">
        <f ca="1">IFERROR(__xludf.DUMMYFUNCTION("""COMPUTED_VALUE"""),"Laila Pulichiramveedu Moideen")</f>
        <v>Laila Pulichiramveedu Moideen</v>
      </c>
      <c r="E693">
        <f ca="1">IFERROR(__xludf.DUMMYFUNCTION("""COMPUTED_VALUE"""),9142099977)</f>
        <v>9142099977</v>
      </c>
      <c r="F693" t="str">
        <f ca="1">IFERROR(__xludf.DUMMYFUNCTION("""COMPUTED_VALUE"""),"Malappuram")</f>
        <v>Malappuram</v>
      </c>
      <c r="G693" t="str">
        <f ca="1">IFERROR(__xludf.DUMMYFUNCTION("""COMPUTED_VALUE"""),"NESTRO MARKETING LLP")</f>
        <v>NESTRO MARKETING LLP</v>
      </c>
      <c r="H693">
        <f ca="1">IFERROR(__xludf.DUMMYFUNCTION("""COMPUTED_VALUE"""),14)</f>
        <v>14</v>
      </c>
      <c r="I693" s="4">
        <f ca="1">IFERROR(__xludf.DUMMYFUNCTION("""COMPUTED_VALUE"""),43246)</f>
        <v>43246</v>
      </c>
      <c r="J693">
        <f ca="1">IFERROR(__xludf.DUMMYFUNCTION("""COMPUTED_VALUE"""),5)</f>
        <v>5</v>
      </c>
      <c r="K693">
        <f ca="1">IFERROR(__xludf.DUMMYFUNCTION("""COMPUTED_VALUE"""),1165401024941)</f>
        <v>1165401024941</v>
      </c>
      <c r="L693" t="str">
        <f ca="1">IFERROR(__xludf.DUMMYFUNCTION("""COMPUTED_VALUE"""),"PADINJARANGADI(6540)")</f>
        <v>PADINJARANGADI(6540)</v>
      </c>
      <c r="M693" t="str">
        <f ca="1">IFERROR(__xludf.DUMMYFUNCTION("""COMPUTED_VALUE"""),"I Accept")</f>
        <v>I Accept</v>
      </c>
      <c r="N693" s="4">
        <f ca="1">IFERROR(__xludf.DUMMYFUNCTION("""COMPUTED_VALUE"""),43246)</f>
        <v>43246</v>
      </c>
      <c r="O693" s="4">
        <f ca="1">IFERROR(__xludf.DUMMYFUNCTION("""COMPUTED_VALUE"""),43246)</f>
        <v>43246</v>
      </c>
      <c r="P693">
        <f ca="1">IFERROR(__xludf.DUMMYFUNCTION("""COMPUTED_VALUE"""),5)</f>
        <v>5</v>
      </c>
      <c r="Q693" t="str">
        <f ca="1">IFERROR(__xludf.DUMMYFUNCTION("""COMPUTED_VALUE"""),"nestromarketing@gmail.com")</f>
        <v>nestromarketing@gmail.com</v>
      </c>
      <c r="R693" s="2" t="s">
        <v>3107</v>
      </c>
    </row>
    <row r="694" spans="1:18" ht="13" x14ac:dyDescent="0.15">
      <c r="A694" s="3">
        <f ca="1">IFERROR(__xludf.DUMMYFUNCTION("""COMPUTED_VALUE"""),43248.4478286111)</f>
        <v>43248.447828611097</v>
      </c>
      <c r="B694" t="str">
        <f ca="1">IFERROR(__xludf.DUMMYFUNCTION("""COMPUTED_VALUE"""),"solarconnect2018@gmail.com")</f>
        <v>solarconnect2018@gmail.com</v>
      </c>
      <c r="C694">
        <f ca="1">IFERROR(__xludf.DUMMYFUNCTION("""COMPUTED_VALUE"""),674)</f>
        <v>674</v>
      </c>
      <c r="D694" t="str">
        <f ca="1">IFERROR(__xludf.DUMMYFUNCTION("""COMPUTED_VALUE"""),"RAMANI")</f>
        <v>RAMANI</v>
      </c>
      <c r="E694">
        <f ca="1">IFERROR(__xludf.DUMMYFUNCTION("""COMPUTED_VALUE"""),9447247489)</f>
        <v>9447247489</v>
      </c>
      <c r="F694" t="str">
        <f ca="1">IFERROR(__xludf.DUMMYFUNCTION("""COMPUTED_VALUE"""),"Ernakulam")</f>
        <v>Ernakulam</v>
      </c>
      <c r="G694" t="str">
        <f ca="1">IFERROR(__xludf.DUMMYFUNCTION("""COMPUTED_VALUE"""),"SPECTRUM TECHNO PRODUCTS")</f>
        <v>SPECTRUM TECHNO PRODUCTS</v>
      </c>
      <c r="H694">
        <f ca="1">IFERROR(__xludf.DUMMYFUNCTION("""COMPUTED_VALUE"""),66)</f>
        <v>66</v>
      </c>
      <c r="I694" s="4">
        <f ca="1">IFERROR(__xludf.DUMMYFUNCTION("""COMPUTED_VALUE"""),43243)</f>
        <v>43243</v>
      </c>
      <c r="J694">
        <f ca="1">IFERROR(__xludf.DUMMYFUNCTION("""COMPUTED_VALUE"""),3)</f>
        <v>3</v>
      </c>
      <c r="K694">
        <f ca="1">IFERROR(__xludf.DUMMYFUNCTION("""COMPUTED_VALUE"""),1155889008179)</f>
        <v>1155889008179</v>
      </c>
      <c r="L694" t="str">
        <f ca="1">IFERROR(__xludf.DUMMYFUNCTION("""COMPUTED_VALUE"""),"KURUPAMPADY")</f>
        <v>KURUPAMPADY</v>
      </c>
      <c r="M694" t="str">
        <f ca="1">IFERROR(__xludf.DUMMYFUNCTION("""COMPUTED_VALUE"""),"I Accept")</f>
        <v>I Accept</v>
      </c>
      <c r="N694" s="4">
        <f ca="1">IFERROR(__xludf.DUMMYFUNCTION("""COMPUTED_VALUE"""),43196)</f>
        <v>43196</v>
      </c>
      <c r="O694" s="4">
        <f ca="1">IFERROR(__xludf.DUMMYFUNCTION("""COMPUTED_VALUE"""),43196)</f>
        <v>43196</v>
      </c>
      <c r="P694">
        <f ca="1">IFERROR(__xludf.DUMMYFUNCTION("""COMPUTED_VALUE"""),3)</f>
        <v>3</v>
      </c>
      <c r="Q694" t="str">
        <f ca="1">IFERROR(__xludf.DUMMYFUNCTION("""COMPUTED_VALUE"""),"solarconnect2018@gmail.com")</f>
        <v>solarconnect2018@gmail.com</v>
      </c>
      <c r="R694" s="2" t="s">
        <v>3108</v>
      </c>
    </row>
    <row r="695" spans="1:18" ht="13" x14ac:dyDescent="0.15">
      <c r="A695" s="3">
        <f ca="1">IFERROR(__xludf.DUMMYFUNCTION("""COMPUTED_VALUE"""),43248.4687308333)</f>
        <v>43248.468730833301</v>
      </c>
      <c r="B695" t="str">
        <f ca="1">IFERROR(__xludf.DUMMYFUNCTION("""COMPUTED_VALUE"""),"akhilalezz@gmail.com")</f>
        <v>akhilalezz@gmail.com</v>
      </c>
      <c r="C695">
        <f ca="1">IFERROR(__xludf.DUMMYFUNCTION("""COMPUTED_VALUE"""),865)</f>
        <v>865</v>
      </c>
      <c r="D695" t="str">
        <f ca="1">IFERROR(__xludf.DUMMYFUNCTION("""COMPUTED_VALUE"""),"Ramachandran")</f>
        <v>Ramachandran</v>
      </c>
      <c r="E695">
        <f ca="1">IFERROR(__xludf.DUMMYFUNCTION("""COMPUTED_VALUE"""),7907009190)</f>
        <v>7907009190</v>
      </c>
      <c r="F695" t="str">
        <f ca="1">IFERROR(__xludf.DUMMYFUNCTION("""COMPUTED_VALUE"""),"Alappuzha")</f>
        <v>Alappuzha</v>
      </c>
      <c r="G695" t="str">
        <f ca="1">IFERROR(__xludf.DUMMYFUNCTION("""COMPUTED_VALUE"""),"SOLGEN ENERGY PVT LTD")</f>
        <v>SOLGEN ENERGY PVT LTD</v>
      </c>
      <c r="H695">
        <f ca="1">IFERROR(__xludf.DUMMYFUNCTION("""COMPUTED_VALUE"""),42)</f>
        <v>42</v>
      </c>
      <c r="I695" s="4">
        <f ca="1">IFERROR(__xludf.DUMMYFUNCTION("""COMPUTED_VALUE"""),43242)</f>
        <v>43242</v>
      </c>
      <c r="J695">
        <f ca="1">IFERROR(__xludf.DUMMYFUNCTION("""COMPUTED_VALUE"""),3)</f>
        <v>3</v>
      </c>
      <c r="K695">
        <f ca="1">IFERROR(__xludf.DUMMYFUNCTION("""COMPUTED_VALUE"""),1155322001163)</f>
        <v>1155322001163</v>
      </c>
      <c r="L695" t="str">
        <f ca="1">IFERROR(__xludf.DUMMYFUNCTION("""COMPUTED_VALUE"""),"Kayankulam East")</f>
        <v>Kayankulam East</v>
      </c>
      <c r="M695" t="str">
        <f ca="1">IFERROR(__xludf.DUMMYFUNCTION("""COMPUTED_VALUE"""),"I Accept")</f>
        <v>I Accept</v>
      </c>
      <c r="N695" s="4">
        <f ca="1">IFERROR(__xludf.DUMMYFUNCTION("""COMPUTED_VALUE"""),43557)</f>
        <v>43557</v>
      </c>
      <c r="O695" s="4">
        <f ca="1">IFERROR(__xludf.DUMMYFUNCTION("""COMPUTED_VALUE"""),43212)</f>
        <v>43212</v>
      </c>
      <c r="P695">
        <f ca="1">IFERROR(__xludf.DUMMYFUNCTION("""COMPUTED_VALUE"""),3)</f>
        <v>3</v>
      </c>
      <c r="Q695" t="str">
        <f ca="1">IFERROR(__xludf.DUMMYFUNCTION("""COMPUTED_VALUE"""),"akhilalezz@gmail.com")</f>
        <v>akhilalezz@gmail.com</v>
      </c>
      <c r="R695" s="2" t="s">
        <v>3109</v>
      </c>
    </row>
    <row r="696" spans="1:18" ht="13" x14ac:dyDescent="0.15">
      <c r="A696" s="3">
        <f ca="1">IFERROR(__xludf.DUMMYFUNCTION("""COMPUTED_VALUE"""),43248.4815788773)</f>
        <v>43248.481578877298</v>
      </c>
      <c r="B696" t="str">
        <f ca="1">IFERROR(__xludf.DUMMYFUNCTION("""COMPUTED_VALUE"""),"solarconnect2018@gmail.com")</f>
        <v>solarconnect2018@gmail.com</v>
      </c>
      <c r="C696">
        <f ca="1">IFERROR(__xludf.DUMMYFUNCTION("""COMPUTED_VALUE"""),1075)</f>
        <v>1075</v>
      </c>
      <c r="D696" t="str">
        <f ca="1">IFERROR(__xludf.DUMMYFUNCTION("""COMPUTED_VALUE"""),"SALIHU KUNJU")</f>
        <v>SALIHU KUNJU</v>
      </c>
      <c r="E696">
        <f ca="1">IFERROR(__xludf.DUMMYFUNCTION("""COMPUTED_VALUE"""),9388627640)</f>
        <v>9388627640</v>
      </c>
      <c r="F696" t="str">
        <f ca="1">IFERROR(__xludf.DUMMYFUNCTION("""COMPUTED_VALUE"""),"Alappuzha")</f>
        <v>Alappuzha</v>
      </c>
      <c r="G696" t="str">
        <f ca="1">IFERROR(__xludf.DUMMYFUNCTION("""COMPUTED_VALUE"""),"SPECTRUM TECHNO PRODUCTS")</f>
        <v>SPECTRUM TECHNO PRODUCTS</v>
      </c>
      <c r="H696">
        <f ca="1">IFERROR(__xludf.DUMMYFUNCTION("""COMPUTED_VALUE"""),66)</f>
        <v>66</v>
      </c>
      <c r="I696" s="4">
        <f ca="1">IFERROR(__xludf.DUMMYFUNCTION("""COMPUTED_VALUE"""),43241)</f>
        <v>43241</v>
      </c>
      <c r="J696">
        <f ca="1">IFERROR(__xludf.DUMMYFUNCTION("""COMPUTED_VALUE"""),5)</f>
        <v>5</v>
      </c>
      <c r="K696">
        <f ca="1">IFERROR(__xludf.DUMMYFUNCTION("""COMPUTED_VALUE"""),1145677006164)</f>
        <v>1145677006164</v>
      </c>
      <c r="L696" t="str">
        <f ca="1">IFERROR(__xludf.DUMMYFUNCTION("""COMPUTED_VALUE"""),"OACHIRA")</f>
        <v>OACHIRA</v>
      </c>
      <c r="M696" t="str">
        <f ca="1">IFERROR(__xludf.DUMMYFUNCTION("""COMPUTED_VALUE"""),"I Accept")</f>
        <v>I Accept</v>
      </c>
      <c r="N696" s="4">
        <f ca="1">IFERROR(__xludf.DUMMYFUNCTION("""COMPUTED_VALUE"""),43231)</f>
        <v>43231</v>
      </c>
      <c r="O696" s="4">
        <f ca="1">IFERROR(__xludf.DUMMYFUNCTION("""COMPUTED_VALUE"""),43231)</f>
        <v>43231</v>
      </c>
      <c r="P696">
        <f ca="1">IFERROR(__xludf.DUMMYFUNCTION("""COMPUTED_VALUE"""),5)</f>
        <v>5</v>
      </c>
      <c r="Q696" t="str">
        <f ca="1">IFERROR(__xludf.DUMMYFUNCTION("""COMPUTED_VALUE"""),"solarconnect2018@gmail.com")</f>
        <v>solarconnect2018@gmail.com</v>
      </c>
      <c r="R696" s="2" t="s">
        <v>3110</v>
      </c>
    </row>
    <row r="697" spans="1:18" ht="13" x14ac:dyDescent="0.15">
      <c r="A697" s="3">
        <f ca="1">IFERROR(__xludf.DUMMYFUNCTION("""COMPUTED_VALUE"""),43248.5174190046)</f>
        <v>43248.517419004602</v>
      </c>
      <c r="B697" t="str">
        <f ca="1">IFERROR(__xludf.DUMMYFUNCTION("""COMPUTED_VALUE"""),"greensolar595@gmail.com")</f>
        <v>greensolar595@gmail.com</v>
      </c>
      <c r="C697">
        <f ca="1">IFERROR(__xludf.DUMMYFUNCTION("""COMPUTED_VALUE"""),649)</f>
        <v>649</v>
      </c>
      <c r="D697" t="str">
        <f ca="1">IFERROR(__xludf.DUMMYFUNCTION("""COMPUTED_VALUE"""),"Rajeev C")</f>
        <v>Rajeev C</v>
      </c>
      <c r="E697">
        <f ca="1">IFERROR(__xludf.DUMMYFUNCTION("""COMPUTED_VALUE"""),8589019035)</f>
        <v>8589019035</v>
      </c>
      <c r="F697" t="str">
        <f ca="1">IFERROR(__xludf.DUMMYFUNCTION("""COMPUTED_VALUE"""),"Ernakulam")</f>
        <v>Ernakulam</v>
      </c>
      <c r="G697" t="str">
        <f ca="1">IFERROR(__xludf.DUMMYFUNCTION("""COMPUTED_VALUE"""),"Greenroof Solar Pvt Ltd")</f>
        <v>Greenroof Solar Pvt Ltd</v>
      </c>
      <c r="H697">
        <f ca="1">IFERROR(__xludf.DUMMYFUNCTION("""COMPUTED_VALUE"""),24)</f>
        <v>24</v>
      </c>
      <c r="I697" s="4">
        <f ca="1">IFERROR(__xludf.DUMMYFUNCTION("""COMPUTED_VALUE"""),43208)</f>
        <v>43208</v>
      </c>
      <c r="J697">
        <f ca="1">IFERROR(__xludf.DUMMYFUNCTION("""COMPUTED_VALUE"""),5)</f>
        <v>5</v>
      </c>
      <c r="K697">
        <f ca="1">IFERROR(__xludf.DUMMYFUNCTION("""COMPUTED_VALUE"""),1155567011924)</f>
        <v>1155567011924</v>
      </c>
      <c r="L697" t="str">
        <f ca="1">IFERROR(__xludf.DUMMYFUNCTION("""COMPUTED_VALUE"""),"Vyttila")</f>
        <v>Vyttila</v>
      </c>
      <c r="M697" t="str">
        <f ca="1">IFERROR(__xludf.DUMMYFUNCTION("""COMPUTED_VALUE"""),"I Accept")</f>
        <v>I Accept</v>
      </c>
      <c r="N697" s="4">
        <f ca="1">IFERROR(__xludf.DUMMYFUNCTION("""COMPUTED_VALUE"""),43214)</f>
        <v>43214</v>
      </c>
      <c r="O697" s="4">
        <f ca="1">IFERROR(__xludf.DUMMYFUNCTION("""COMPUTED_VALUE"""),43214)</f>
        <v>43214</v>
      </c>
      <c r="P697">
        <f ca="1">IFERROR(__xludf.DUMMYFUNCTION("""COMPUTED_VALUE"""),5)</f>
        <v>5</v>
      </c>
      <c r="Q697" t="str">
        <f ca="1">IFERROR(__xludf.DUMMYFUNCTION("""COMPUTED_VALUE"""),"greensolar595@gmail.com")</f>
        <v>greensolar595@gmail.com</v>
      </c>
      <c r="R697" s="2" t="s">
        <v>3111</v>
      </c>
    </row>
    <row r="698" spans="1:18" ht="13" x14ac:dyDescent="0.15">
      <c r="A698" s="3">
        <f ca="1">IFERROR(__xludf.DUMMYFUNCTION("""COMPUTED_VALUE"""),43248.5250403356)</f>
        <v>43248.525040335597</v>
      </c>
      <c r="B698" t="str">
        <f ca="1">IFERROR(__xludf.DUMMYFUNCTION("""COMPUTED_VALUE"""),"anjaliramdas@yahoo.com")</f>
        <v>anjaliramdas@yahoo.com</v>
      </c>
      <c r="C698">
        <f ca="1">IFERROR(__xludf.DUMMYFUNCTION("""COMPUTED_VALUE"""),1059)</f>
        <v>1059</v>
      </c>
      <c r="D698" t="str">
        <f ca="1">IFERROR(__xludf.DUMMYFUNCTION("""COMPUTED_VALUE"""),"NIRMALA METHIL")</f>
        <v>NIRMALA METHIL</v>
      </c>
      <c r="E698">
        <f ca="1">IFERROR(__xludf.DUMMYFUNCTION("""COMPUTED_VALUE"""),9048175511)</f>
        <v>9048175511</v>
      </c>
      <c r="F698" t="str">
        <f ca="1">IFERROR(__xludf.DUMMYFUNCTION("""COMPUTED_VALUE"""),"Palakkad")</f>
        <v>Palakkad</v>
      </c>
      <c r="G698" t="str">
        <f ca="1">IFERROR(__xludf.DUMMYFUNCTION("""COMPUTED_VALUE"""),"TATA POWER SOLAR SYSTEMS LTD")</f>
        <v>TATA POWER SOLAR SYSTEMS LTD</v>
      </c>
      <c r="H698">
        <f ca="1">IFERROR(__xludf.DUMMYFUNCTION("""COMPUTED_VALUE"""),20)</f>
        <v>20</v>
      </c>
      <c r="I698" s="4">
        <f ca="1">IFERROR(__xludf.DUMMYFUNCTION("""COMPUTED_VALUE"""),43234)</f>
        <v>43234</v>
      </c>
      <c r="J698">
        <f ca="1">IFERROR(__xludf.DUMMYFUNCTION("""COMPUTED_VALUE"""),5)</f>
        <v>5</v>
      </c>
      <c r="K698">
        <f ca="1">IFERROR(__xludf.DUMMYFUNCTION("""COMPUTED_VALUE"""),1165310015859)</f>
        <v>1165310015859</v>
      </c>
      <c r="L698" t="str">
        <f ca="1">IFERROR(__xludf.DUMMYFUNCTION("""COMPUTED_VALUE"""),"KALPATHY")</f>
        <v>KALPATHY</v>
      </c>
      <c r="M698" t="str">
        <f ca="1">IFERROR(__xludf.DUMMYFUNCTION("""COMPUTED_VALUE"""),"I Accept")</f>
        <v>I Accept</v>
      </c>
      <c r="N698" s="4">
        <f ca="1">IFERROR(__xludf.DUMMYFUNCTION("""COMPUTED_VALUE"""),43247)</f>
        <v>43247</v>
      </c>
      <c r="O698" s="4">
        <f ca="1">IFERROR(__xludf.DUMMYFUNCTION("""COMPUTED_VALUE"""),43247)</f>
        <v>43247</v>
      </c>
      <c r="P698">
        <f ca="1">IFERROR(__xludf.DUMMYFUNCTION("""COMPUTED_VALUE"""),5)</f>
        <v>5</v>
      </c>
      <c r="Q698" t="str">
        <f ca="1">IFERROR(__xludf.DUMMYFUNCTION("""COMPUTED_VALUE"""),"anjaliramdas@yahoo.com")</f>
        <v>anjaliramdas@yahoo.com</v>
      </c>
      <c r="R698" s="2" t="s">
        <v>3112</v>
      </c>
    </row>
    <row r="699" spans="1:18" ht="13" x14ac:dyDescent="0.15">
      <c r="A699" s="3">
        <f ca="1">IFERROR(__xludf.DUMMYFUNCTION("""COMPUTED_VALUE"""),43248.527045)</f>
        <v>43248.527045000003</v>
      </c>
      <c r="B699" t="str">
        <f ca="1">IFERROR(__xludf.DUMMYFUNCTION("""COMPUTED_VALUE"""),"diviputhur@gmail.com")</f>
        <v>diviputhur@gmail.com</v>
      </c>
      <c r="C699">
        <f ca="1">IFERROR(__xludf.DUMMYFUNCTION("""COMPUTED_VALUE"""),1069)</f>
        <v>1069</v>
      </c>
      <c r="D699" t="str">
        <f ca="1">IFERROR(__xludf.DUMMYFUNCTION("""COMPUTED_VALUE"""),"DIVAKARAN.K.R")</f>
        <v>DIVAKARAN.K.R</v>
      </c>
      <c r="E699">
        <f ca="1">IFERROR(__xludf.DUMMYFUNCTION("""COMPUTED_VALUE"""),7736826201)</f>
        <v>7736826201</v>
      </c>
      <c r="F699" t="str">
        <f ca="1">IFERROR(__xludf.DUMMYFUNCTION("""COMPUTED_VALUE"""),"Palakkad")</f>
        <v>Palakkad</v>
      </c>
      <c r="G699" t="str">
        <f ca="1">IFERROR(__xludf.DUMMYFUNCTION("""COMPUTED_VALUE"""),"TATA POWER SOLAR SYSTEMS LTD")</f>
        <v>TATA POWER SOLAR SYSTEMS LTD</v>
      </c>
      <c r="H699">
        <f ca="1">IFERROR(__xludf.DUMMYFUNCTION("""COMPUTED_VALUE"""),20)</f>
        <v>20</v>
      </c>
      <c r="I699" s="4">
        <f ca="1">IFERROR(__xludf.DUMMYFUNCTION("""COMPUTED_VALUE"""),43243)</f>
        <v>43243</v>
      </c>
      <c r="J699">
        <f ca="1">IFERROR(__xludf.DUMMYFUNCTION("""COMPUTED_VALUE"""),3)</f>
        <v>3</v>
      </c>
      <c r="K699">
        <f ca="1">IFERROR(__xludf.DUMMYFUNCTION("""COMPUTED_VALUE"""),1165318014663)</f>
        <v>1165318014663</v>
      </c>
      <c r="L699" t="str">
        <f ca="1">IFERROR(__xludf.DUMMYFUNCTION("""COMPUTED_VALUE"""),"KALPATHY")</f>
        <v>KALPATHY</v>
      </c>
      <c r="M699" t="str">
        <f ca="1">IFERROR(__xludf.DUMMYFUNCTION("""COMPUTED_VALUE"""),"I Accept")</f>
        <v>I Accept</v>
      </c>
      <c r="N699" s="4">
        <f ca="1">IFERROR(__xludf.DUMMYFUNCTION("""COMPUTED_VALUE"""),43247)</f>
        <v>43247</v>
      </c>
      <c r="O699" s="4">
        <f ca="1">IFERROR(__xludf.DUMMYFUNCTION("""COMPUTED_VALUE"""),43247)</f>
        <v>43247</v>
      </c>
      <c r="P699">
        <f ca="1">IFERROR(__xludf.DUMMYFUNCTION("""COMPUTED_VALUE"""),3)</f>
        <v>3</v>
      </c>
      <c r="Q699" t="str">
        <f ca="1">IFERROR(__xludf.DUMMYFUNCTION("""COMPUTED_VALUE"""),"diviputhur@gmail.com")</f>
        <v>diviputhur@gmail.com</v>
      </c>
      <c r="R699" s="2" t="s">
        <v>3113</v>
      </c>
    </row>
    <row r="700" spans="1:18" ht="13" x14ac:dyDescent="0.15">
      <c r="A700" s="3">
        <f ca="1">IFERROR(__xludf.DUMMYFUNCTION("""COMPUTED_VALUE"""),43248.5283719444)</f>
        <v>43248.528371944398</v>
      </c>
      <c r="B700" t="str">
        <f ca="1">IFERROR(__xludf.DUMMYFUNCTION("""COMPUTED_VALUE"""),"meenaputhur@yahoo.com")</f>
        <v>meenaputhur@yahoo.com</v>
      </c>
      <c r="C700">
        <f ca="1">IFERROR(__xludf.DUMMYFUNCTION("""COMPUTED_VALUE"""),1067)</f>
        <v>1067</v>
      </c>
      <c r="D700" t="str">
        <f ca="1">IFERROR(__xludf.DUMMYFUNCTION("""COMPUTED_VALUE"""),"K.P. BALAKRISHNAN")</f>
        <v>K.P. BALAKRISHNAN</v>
      </c>
      <c r="E700">
        <f ca="1">IFERROR(__xludf.DUMMYFUNCTION("""COMPUTED_VALUE"""),8330053953)</f>
        <v>8330053953</v>
      </c>
      <c r="F700" t="str">
        <f ca="1">IFERROR(__xludf.DUMMYFUNCTION("""COMPUTED_VALUE"""),"Palakkad")</f>
        <v>Palakkad</v>
      </c>
      <c r="G700" t="str">
        <f ca="1">IFERROR(__xludf.DUMMYFUNCTION("""COMPUTED_VALUE"""),"TATA POWER SOLAR SYSYTEM LTD")</f>
        <v>TATA POWER SOLAR SYSYTEM LTD</v>
      </c>
      <c r="H700">
        <f ca="1">IFERROR(__xludf.DUMMYFUNCTION("""COMPUTED_VALUE"""),20)</f>
        <v>20</v>
      </c>
      <c r="I700" s="4">
        <f ca="1">IFERROR(__xludf.DUMMYFUNCTION("""COMPUTED_VALUE"""),43230)</f>
        <v>43230</v>
      </c>
      <c r="J700">
        <f ca="1">IFERROR(__xludf.DUMMYFUNCTION("""COMPUTED_VALUE"""),3)</f>
        <v>3</v>
      </c>
      <c r="K700">
        <f ca="1">IFERROR(__xludf.DUMMYFUNCTION("""COMPUTED_VALUE"""),1165311011278)</f>
        <v>1165311011278</v>
      </c>
      <c r="L700" t="str">
        <f ca="1">IFERROR(__xludf.DUMMYFUNCTION("""COMPUTED_VALUE"""),"KALPATHY")</f>
        <v>KALPATHY</v>
      </c>
      <c r="M700" t="str">
        <f ca="1">IFERROR(__xludf.DUMMYFUNCTION("""COMPUTED_VALUE"""),"I Accept")</f>
        <v>I Accept</v>
      </c>
      <c r="N700" s="4">
        <f ca="1">IFERROR(__xludf.DUMMYFUNCTION("""COMPUTED_VALUE"""),43247)</f>
        <v>43247</v>
      </c>
      <c r="O700" s="4">
        <f ca="1">IFERROR(__xludf.DUMMYFUNCTION("""COMPUTED_VALUE"""),43240)</f>
        <v>43240</v>
      </c>
      <c r="P700">
        <f ca="1">IFERROR(__xludf.DUMMYFUNCTION("""COMPUTED_VALUE"""),3)</f>
        <v>3</v>
      </c>
      <c r="Q700" t="str">
        <f ca="1">IFERROR(__xludf.DUMMYFUNCTION("""COMPUTED_VALUE"""),"meenaputhur@yahoo.com")</f>
        <v>meenaputhur@yahoo.com</v>
      </c>
      <c r="R700" s="2" t="s">
        <v>3114</v>
      </c>
    </row>
    <row r="701" spans="1:18" ht="13" x14ac:dyDescent="0.15">
      <c r="A701" s="3">
        <f ca="1">IFERROR(__xludf.DUMMYFUNCTION("""COMPUTED_VALUE"""),43248.740778993)</f>
        <v>43248.740778993</v>
      </c>
      <c r="B701" t="str">
        <f ca="1">IFERROR(__xludf.DUMMYFUNCTION("""COMPUTED_VALUE"""),"thonackadpalli@gmail.com")</f>
        <v>thonackadpalli@gmail.com</v>
      </c>
      <c r="C701">
        <f ca="1">IFERROR(__xludf.DUMMYFUNCTION("""COMPUTED_VALUE"""),351)</f>
        <v>351</v>
      </c>
      <c r="D701" t="str">
        <f ca="1">IFERROR(__xludf.DUMMYFUNCTION("""COMPUTED_VALUE"""),"The Trustee")</f>
        <v>The Trustee</v>
      </c>
      <c r="E701">
        <f ca="1">IFERROR(__xludf.DUMMYFUNCTION("""COMPUTED_VALUE"""),7558030765)</f>
        <v>7558030765</v>
      </c>
      <c r="F701" t="str">
        <f ca="1">IFERROR(__xludf.DUMMYFUNCTION("""COMPUTED_VALUE"""),"Alappuzha")</f>
        <v>Alappuzha</v>
      </c>
      <c r="G701" t="str">
        <f ca="1">IFERROR(__xludf.DUMMYFUNCTION("""COMPUTED_VALUE"""),"Powerone Microsystems Pvt  Ltd")</f>
        <v>Powerone Microsystems Pvt  Ltd</v>
      </c>
      <c r="H701">
        <f ca="1">IFERROR(__xludf.DUMMYFUNCTION("""COMPUTED_VALUE"""),7)</f>
        <v>7</v>
      </c>
      <c r="I701" s="4">
        <f ca="1">IFERROR(__xludf.DUMMYFUNCTION("""COMPUTED_VALUE"""),43176)</f>
        <v>43176</v>
      </c>
      <c r="J701">
        <f ca="1">IFERROR(__xludf.DUMMYFUNCTION("""COMPUTED_VALUE"""),10)</f>
        <v>10</v>
      </c>
      <c r="K701">
        <f ca="1">IFERROR(__xludf.DUMMYFUNCTION("""COMPUTED_VALUE"""),1155224022011)</f>
        <v>1155224022011</v>
      </c>
      <c r="L701" t="str">
        <f ca="1">IFERROR(__xludf.DUMMYFUNCTION("""COMPUTED_VALUE"""),"Mavelikkara")</f>
        <v>Mavelikkara</v>
      </c>
      <c r="M701" t="str">
        <f ca="1">IFERROR(__xludf.DUMMYFUNCTION("""COMPUTED_VALUE"""),"I Accept")</f>
        <v>I Accept</v>
      </c>
      <c r="N701" s="4">
        <f ca="1">IFERROR(__xludf.DUMMYFUNCTION("""COMPUTED_VALUE"""),43176)</f>
        <v>43176</v>
      </c>
      <c r="O701" s="4">
        <f ca="1">IFERROR(__xludf.DUMMYFUNCTION("""COMPUTED_VALUE"""),43176)</f>
        <v>43176</v>
      </c>
      <c r="P701">
        <f ca="1">IFERROR(__xludf.DUMMYFUNCTION("""COMPUTED_VALUE"""),10)</f>
        <v>10</v>
      </c>
      <c r="Q701" t="str">
        <f ca="1">IFERROR(__xludf.DUMMYFUNCTION("""COMPUTED_VALUE"""),"arun@poweroneups.com")</f>
        <v>arun@poweroneups.com</v>
      </c>
      <c r="R701" s="2" t="s">
        <v>3115</v>
      </c>
    </row>
    <row r="702" spans="1:18" ht="13" x14ac:dyDescent="0.15">
      <c r="A702" s="3">
        <f ca="1">IFERROR(__xludf.DUMMYFUNCTION("""COMPUTED_VALUE"""),43248.7554587152)</f>
        <v>43248.755458715197</v>
      </c>
      <c r="B702" t="str">
        <f ca="1">IFERROR(__xludf.DUMMYFUNCTION("""COMPUTED_VALUE"""),"trivandrum@@poweroneups.com")</f>
        <v>trivandrum@@poweroneups.com</v>
      </c>
      <c r="C702">
        <f ca="1">IFERROR(__xludf.DUMMYFUNCTION("""COMPUTED_VALUE"""),146)</f>
        <v>146</v>
      </c>
      <c r="D702" t="str">
        <f ca="1">IFERROR(__xludf.DUMMYFUNCTION("""COMPUTED_VALUE"""),"ASHA M")</f>
        <v>ASHA M</v>
      </c>
      <c r="E702">
        <f ca="1">IFERROR(__xludf.DUMMYFUNCTION("""COMPUTED_VALUE"""),9447163757)</f>
        <v>9447163757</v>
      </c>
      <c r="F702" t="str">
        <f ca="1">IFERROR(__xludf.DUMMYFUNCTION("""COMPUTED_VALUE"""),"Pathanamthitta")</f>
        <v>Pathanamthitta</v>
      </c>
      <c r="G702" t="str">
        <f ca="1">IFERROR(__xludf.DUMMYFUNCTION("""COMPUTED_VALUE"""),"POWERONE MICROSYSTEMS PVT LTD")</f>
        <v>POWERONE MICROSYSTEMS PVT LTD</v>
      </c>
      <c r="H702">
        <f ca="1">IFERROR(__xludf.DUMMYFUNCTION("""COMPUTED_VALUE"""),7)</f>
        <v>7</v>
      </c>
      <c r="I702" s="4">
        <f ca="1">IFERROR(__xludf.DUMMYFUNCTION("""COMPUTED_VALUE"""),43185)</f>
        <v>43185</v>
      </c>
      <c r="J702">
        <f ca="1">IFERROR(__xludf.DUMMYFUNCTION("""COMPUTED_VALUE"""),3)</f>
        <v>3</v>
      </c>
      <c r="K702">
        <f ca="1">IFERROR(__xludf.DUMMYFUNCTION("""COMPUTED_VALUE"""),10851)</f>
        <v>10851</v>
      </c>
      <c r="L702" t="str">
        <f ca="1">IFERROR(__xludf.DUMMYFUNCTION("""COMPUTED_VALUE"""),"Elavumthitta")</f>
        <v>Elavumthitta</v>
      </c>
      <c r="M702" t="str">
        <f ca="1">IFERROR(__xludf.DUMMYFUNCTION("""COMPUTED_VALUE"""),"I Accept")</f>
        <v>I Accept</v>
      </c>
      <c r="N702" s="4">
        <f ca="1">IFERROR(__xludf.DUMMYFUNCTION("""COMPUTED_VALUE"""),43162)</f>
        <v>43162</v>
      </c>
      <c r="O702" s="4">
        <f ca="1">IFERROR(__xludf.DUMMYFUNCTION("""COMPUTED_VALUE"""),43162)</f>
        <v>43162</v>
      </c>
      <c r="P702">
        <f ca="1">IFERROR(__xludf.DUMMYFUNCTION("""COMPUTED_VALUE"""),3)</f>
        <v>3</v>
      </c>
      <c r="Q702" t="str">
        <f ca="1">IFERROR(__xludf.DUMMYFUNCTION("""COMPUTED_VALUE"""),"arun@poweroneups.com")</f>
        <v>arun@poweroneups.com</v>
      </c>
      <c r="R702" s="2" t="s">
        <v>3116</v>
      </c>
    </row>
    <row r="703" spans="1:18" ht="13" x14ac:dyDescent="0.15">
      <c r="A703" s="3">
        <f ca="1">IFERROR(__xludf.DUMMYFUNCTION("""COMPUTED_VALUE"""),43248.7597257638)</f>
        <v>43248.759725763797</v>
      </c>
      <c r="B703" t="str">
        <f ca="1">IFERROR(__xludf.DUMMYFUNCTION("""COMPUTED_VALUE"""),"trivandrum@poweroneups.com")</f>
        <v>trivandrum@poweroneups.com</v>
      </c>
      <c r="C703">
        <f ca="1">IFERROR(__xludf.DUMMYFUNCTION("""COMPUTED_VALUE"""),262)</f>
        <v>262</v>
      </c>
      <c r="D703" t="str">
        <f ca="1">IFERROR(__xludf.DUMMYFUNCTION("""COMPUTED_VALUE"""),"G Rajasekaharan")</f>
        <v>G Rajasekaharan</v>
      </c>
      <c r="E703">
        <f ca="1">IFERROR(__xludf.DUMMYFUNCTION("""COMPUTED_VALUE"""),701236288)</f>
        <v>701236288</v>
      </c>
      <c r="F703" t="str">
        <f ca="1">IFERROR(__xludf.DUMMYFUNCTION("""COMPUTED_VALUE"""),"Thiruvananthapuram")</f>
        <v>Thiruvananthapuram</v>
      </c>
      <c r="G703" t="str">
        <f ca="1">IFERROR(__xludf.DUMMYFUNCTION("""COMPUTED_VALUE"""),"POWERONE MICROSYSTEMS PVT LTD")</f>
        <v>POWERONE MICROSYSTEMS PVT LTD</v>
      </c>
      <c r="H703">
        <f ca="1">IFERROR(__xludf.DUMMYFUNCTION("""COMPUTED_VALUE"""),7)</f>
        <v>7</v>
      </c>
      <c r="I703" s="4">
        <f ca="1">IFERROR(__xludf.DUMMYFUNCTION("""COMPUTED_VALUE"""),43168)</f>
        <v>43168</v>
      </c>
      <c r="J703">
        <f ca="1">IFERROR(__xludf.DUMMYFUNCTION("""COMPUTED_VALUE"""),2)</f>
        <v>2</v>
      </c>
      <c r="K703">
        <f ca="1">IFERROR(__xludf.DUMMYFUNCTION("""COMPUTED_VALUE"""),1145085007069)</f>
        <v>1145085007069</v>
      </c>
      <c r="L703" t="str">
        <f ca="1">IFERROR(__xludf.DUMMYFUNCTION("""COMPUTED_VALUE"""),"peroorkada")</f>
        <v>peroorkada</v>
      </c>
      <c r="M703" t="str">
        <f ca="1">IFERROR(__xludf.DUMMYFUNCTION("""COMPUTED_VALUE"""),"I Accept")</f>
        <v>I Accept</v>
      </c>
      <c r="N703" s="4">
        <f ca="1">IFERROR(__xludf.DUMMYFUNCTION("""COMPUTED_VALUE"""),43167)</f>
        <v>43167</v>
      </c>
      <c r="O703" s="4">
        <f ca="1">IFERROR(__xludf.DUMMYFUNCTION("""COMPUTED_VALUE"""),43167)</f>
        <v>43167</v>
      </c>
      <c r="P703">
        <f ca="1">IFERROR(__xludf.DUMMYFUNCTION("""COMPUTED_VALUE"""),2)</f>
        <v>2</v>
      </c>
      <c r="Q703" t="str">
        <f ca="1">IFERROR(__xludf.DUMMYFUNCTION("""COMPUTED_VALUE"""),"arun@poweroneups.com")</f>
        <v>arun@poweroneups.com</v>
      </c>
      <c r="R703" s="2" t="s">
        <v>3117</v>
      </c>
    </row>
    <row r="704" spans="1:18" ht="13" x14ac:dyDescent="0.15">
      <c r="A704" s="3">
        <f ca="1">IFERROR(__xludf.DUMMYFUNCTION("""COMPUTED_VALUE"""),43248.7747519097)</f>
        <v>43248.774751909703</v>
      </c>
      <c r="B704" t="str">
        <f ca="1">IFERROR(__xludf.DUMMYFUNCTION("""COMPUTED_VALUE"""),"girijarama@yahoo.co.in")</f>
        <v>girijarama@yahoo.co.in</v>
      </c>
      <c r="C704">
        <f ca="1">IFERROR(__xludf.DUMMYFUNCTION("""COMPUTED_VALUE"""),1007)</f>
        <v>1007</v>
      </c>
      <c r="D704" t="str">
        <f ca="1">IFERROR(__xludf.DUMMYFUNCTION("""COMPUTED_VALUE"""),"Dr. GIRIJA VARMA")</f>
        <v>Dr. GIRIJA VARMA</v>
      </c>
      <c r="E704">
        <f ca="1">IFERROR(__xludf.DUMMYFUNCTION("""COMPUTED_VALUE"""),9846111171)</f>
        <v>9846111171</v>
      </c>
      <c r="F704" t="str">
        <f ca="1">IFERROR(__xludf.DUMMYFUNCTION("""COMPUTED_VALUE"""),"Thiruvananthapuram")</f>
        <v>Thiruvananthapuram</v>
      </c>
      <c r="G704" t="str">
        <f ca="1">IFERROR(__xludf.DUMMYFUNCTION("""COMPUTED_VALUE"""),"POWERONE MICROSYSTEMS PVT LTD")</f>
        <v>POWERONE MICROSYSTEMS PVT LTD</v>
      </c>
      <c r="H704">
        <f ca="1">IFERROR(__xludf.DUMMYFUNCTION("""COMPUTED_VALUE"""),7)</f>
        <v>7</v>
      </c>
      <c r="I704" s="4">
        <f ca="1">IFERROR(__xludf.DUMMYFUNCTION("""COMPUTED_VALUE"""),43234)</f>
        <v>43234</v>
      </c>
      <c r="J704">
        <f ca="1">IFERROR(__xludf.DUMMYFUNCTION("""COMPUTED_VALUE"""),5)</f>
        <v>5</v>
      </c>
      <c r="K704">
        <f ca="1">IFERROR(__xludf.DUMMYFUNCTION("""COMPUTED_VALUE"""),1145529020701)</f>
        <v>1145529020701</v>
      </c>
      <c r="L704" t="str">
        <f ca="1">IFERROR(__xludf.DUMMYFUNCTION("""COMPUTED_VALUE"""),"kattakada")</f>
        <v>kattakada</v>
      </c>
      <c r="M704" t="str">
        <f ca="1">IFERROR(__xludf.DUMMYFUNCTION("""COMPUTED_VALUE"""),"I Accept")</f>
        <v>I Accept</v>
      </c>
      <c r="N704" s="4">
        <f ca="1">IFERROR(__xludf.DUMMYFUNCTION("""COMPUTED_VALUE"""),43231)</f>
        <v>43231</v>
      </c>
      <c r="O704" s="4">
        <f ca="1">IFERROR(__xludf.DUMMYFUNCTION("""COMPUTED_VALUE"""),43231)</f>
        <v>43231</v>
      </c>
      <c r="P704">
        <f ca="1">IFERROR(__xludf.DUMMYFUNCTION("""COMPUTED_VALUE"""),5)</f>
        <v>5</v>
      </c>
      <c r="Q704" t="str">
        <f ca="1">IFERROR(__xludf.DUMMYFUNCTION("""COMPUTED_VALUE"""),"arun@poweroneups.com")</f>
        <v>arun@poweroneups.com</v>
      </c>
      <c r="R704" s="2" t="s">
        <v>3118</v>
      </c>
    </row>
    <row r="705" spans="1:18" ht="13" x14ac:dyDescent="0.15">
      <c r="A705" s="3">
        <f ca="1">IFERROR(__xludf.DUMMYFUNCTION("""COMPUTED_VALUE"""),43249.4608227777)</f>
        <v>43249.460822777699</v>
      </c>
      <c r="B705" t="str">
        <f ca="1">IFERROR(__xludf.DUMMYFUNCTION("""COMPUTED_VALUE"""),"procuratorptvm@gmail.com")</f>
        <v>procuratorptvm@gmail.com</v>
      </c>
      <c r="C705">
        <f ca="1">IFERROR(__xludf.DUMMYFUNCTION("""COMPUTED_VALUE"""),1198)</f>
        <v>1198</v>
      </c>
      <c r="D705" t="str">
        <f ca="1">IFERROR(__xludf.DUMMYFUNCTION("""COMPUTED_VALUE"""),"Superior General")</f>
        <v>Superior General</v>
      </c>
      <c r="E705">
        <f ca="1">IFERROR(__xludf.DUMMYFUNCTION("""COMPUTED_VALUE"""),8304937814)</f>
        <v>8304937814</v>
      </c>
      <c r="F705" t="str">
        <f ca="1">IFERROR(__xludf.DUMMYFUNCTION("""COMPUTED_VALUE"""),"Kannur")</f>
        <v>Kannur</v>
      </c>
      <c r="G705" t="str">
        <f ca="1">IFERROR(__xludf.DUMMYFUNCTION("""COMPUTED_VALUE"""),"Alternate Energy Corporation, Angamaly")</f>
        <v>Alternate Energy Corporation, Angamaly</v>
      </c>
      <c r="H705">
        <f ca="1">IFERROR(__xludf.DUMMYFUNCTION("""COMPUTED_VALUE"""),22)</f>
        <v>22</v>
      </c>
      <c r="I705" s="4">
        <f ca="1">IFERROR(__xludf.DUMMYFUNCTION("""COMPUTED_VALUE"""),43239)</f>
        <v>43239</v>
      </c>
      <c r="J705">
        <f ca="1">IFERROR(__xludf.DUMMYFUNCTION("""COMPUTED_VALUE"""),15)</f>
        <v>15</v>
      </c>
      <c r="K705">
        <f ca="1">IFERROR(__xludf.DUMMYFUNCTION("""COMPUTED_VALUE"""),1166444028478)</f>
        <v>1166444028478</v>
      </c>
      <c r="L705" t="str">
        <f ca="1">IFERROR(__xludf.DUMMYFUNCTION("""COMPUTED_VALUE"""),"Thaliparamba")</f>
        <v>Thaliparamba</v>
      </c>
      <c r="M705" t="str">
        <f ca="1">IFERROR(__xludf.DUMMYFUNCTION("""COMPUTED_VALUE"""),"I Accept")</f>
        <v>I Accept</v>
      </c>
      <c r="N705" s="4">
        <f ca="1">IFERROR(__xludf.DUMMYFUNCTION("""COMPUTED_VALUE"""),43239)</f>
        <v>43239</v>
      </c>
      <c r="O705" s="4">
        <f ca="1">IFERROR(__xludf.DUMMYFUNCTION("""COMPUTED_VALUE"""),43239)</f>
        <v>43239</v>
      </c>
      <c r="P705">
        <f ca="1">IFERROR(__xludf.DUMMYFUNCTION("""COMPUTED_VALUE"""),15)</f>
        <v>15</v>
      </c>
      <c r="Q705" t="str">
        <f ca="1">IFERROR(__xludf.DUMMYFUNCTION("""COMPUTED_VALUE"""),"procuratorptvm@gmail.com")</f>
        <v>procuratorptvm@gmail.com</v>
      </c>
      <c r="R705" s="2" t="s">
        <v>3119</v>
      </c>
    </row>
    <row r="706" spans="1:18" ht="13" x14ac:dyDescent="0.15">
      <c r="A706" s="3">
        <f ca="1">IFERROR(__xludf.DUMMYFUNCTION("""COMPUTED_VALUE"""),43249.4832945601)</f>
        <v>43249.483294560101</v>
      </c>
      <c r="B706" t="str">
        <f ca="1">IFERROR(__xludf.DUMMYFUNCTION("""COMPUTED_VALUE"""),"silverwoodsekm@gmail.com")</f>
        <v>silverwoodsekm@gmail.com</v>
      </c>
      <c r="C706">
        <f ca="1">IFERROR(__xludf.DUMMYFUNCTION("""COMPUTED_VALUE"""),276)</f>
        <v>276</v>
      </c>
      <c r="D706" t="str">
        <f ca="1">IFERROR(__xludf.DUMMYFUNCTION("""COMPUTED_VALUE"""),"ABDUL LATHEEF K K")</f>
        <v>ABDUL LATHEEF K K</v>
      </c>
      <c r="E706">
        <f ca="1">IFERROR(__xludf.DUMMYFUNCTION("""COMPUTED_VALUE"""),9526991110)</f>
        <v>9526991110</v>
      </c>
      <c r="F706" t="str">
        <f ca="1">IFERROR(__xludf.DUMMYFUNCTION("""COMPUTED_VALUE"""),"Ernakulam")</f>
        <v>Ernakulam</v>
      </c>
      <c r="G706" t="str">
        <f ca="1">IFERROR(__xludf.DUMMYFUNCTION("""COMPUTED_VALUE"""),"TATA POWER SOLAR SYSTEMS LTD")</f>
        <v>TATA POWER SOLAR SYSTEMS LTD</v>
      </c>
      <c r="H706">
        <f ca="1">IFERROR(__xludf.DUMMYFUNCTION("""COMPUTED_VALUE"""),20)</f>
        <v>20</v>
      </c>
      <c r="I706" s="4">
        <f ca="1">IFERROR(__xludf.DUMMYFUNCTION("""COMPUTED_VALUE"""),43223)</f>
        <v>43223</v>
      </c>
      <c r="J706">
        <f ca="1">IFERROR(__xludf.DUMMYFUNCTION("""COMPUTED_VALUE"""),5)</f>
        <v>5</v>
      </c>
      <c r="K706">
        <f ca="1">IFERROR(__xludf.DUMMYFUNCTION("""COMPUTED_VALUE"""),1156029034185)</f>
        <v>1156029034185</v>
      </c>
      <c r="L706" t="str">
        <f ca="1">IFERROR(__xludf.DUMMYFUNCTION("""COMPUTED_VALUE"""),"VARAPPUZHA")</f>
        <v>VARAPPUZHA</v>
      </c>
      <c r="M706" t="str">
        <f ca="1">IFERROR(__xludf.DUMMYFUNCTION("""COMPUTED_VALUE"""),"I Accept")</f>
        <v>I Accept</v>
      </c>
      <c r="N706" s="4">
        <f ca="1">IFERROR(__xludf.DUMMYFUNCTION("""COMPUTED_VALUE"""),43180)</f>
        <v>43180</v>
      </c>
      <c r="O706" s="4">
        <f ca="1">IFERROR(__xludf.DUMMYFUNCTION("""COMPUTED_VALUE"""),43180)</f>
        <v>43180</v>
      </c>
      <c r="P706">
        <f ca="1">IFERROR(__xludf.DUMMYFUNCTION("""COMPUTED_VALUE"""),5)</f>
        <v>5</v>
      </c>
      <c r="Q706" t="str">
        <f ca="1">IFERROR(__xludf.DUMMYFUNCTION("""COMPUTED_VALUE"""),"silverwoodsekm@gmail.com")</f>
        <v>silverwoodsekm@gmail.com</v>
      </c>
      <c r="R706" s="2" t="s">
        <v>3120</v>
      </c>
    </row>
    <row r="707" spans="1:18" ht="13" x14ac:dyDescent="0.15">
      <c r="A707" s="3">
        <f ca="1">IFERROR(__xludf.DUMMYFUNCTION("""COMPUTED_VALUE"""),43249.4927870023)</f>
        <v>43249.492787002302</v>
      </c>
      <c r="B707" t="str">
        <f ca="1">IFERROR(__xludf.DUMMYFUNCTION("""COMPUTED_VALUE"""),"silverwoodsekm@gmail.com")</f>
        <v>silverwoodsekm@gmail.com</v>
      </c>
      <c r="C707">
        <f ca="1">IFERROR(__xludf.DUMMYFUNCTION("""COMPUTED_VALUE"""),94)</f>
        <v>94</v>
      </c>
      <c r="D707" t="str">
        <f ca="1">IFERROR(__xludf.DUMMYFUNCTION("""COMPUTED_VALUE"""),"T AMBIKA KUNJAMMA")</f>
        <v>T AMBIKA KUNJAMMA</v>
      </c>
      <c r="E707">
        <f ca="1">IFERROR(__xludf.DUMMYFUNCTION("""COMPUTED_VALUE"""),9526991110)</f>
        <v>9526991110</v>
      </c>
      <c r="F707" t="str">
        <f ca="1">IFERROR(__xludf.DUMMYFUNCTION("""COMPUTED_VALUE"""),"Ernakulam")</f>
        <v>Ernakulam</v>
      </c>
      <c r="G707" t="str">
        <f ca="1">IFERROR(__xludf.DUMMYFUNCTION("""COMPUTED_VALUE"""),"TATA POWER SOLAR SYSTEMS LTD")</f>
        <v>TATA POWER SOLAR SYSTEMS LTD</v>
      </c>
      <c r="H707">
        <f ca="1">IFERROR(__xludf.DUMMYFUNCTION("""COMPUTED_VALUE"""),20)</f>
        <v>20</v>
      </c>
      <c r="I707" s="4">
        <f ca="1">IFERROR(__xludf.DUMMYFUNCTION("""COMPUTED_VALUE"""),43237)</f>
        <v>43237</v>
      </c>
      <c r="J707">
        <f ca="1">IFERROR(__xludf.DUMMYFUNCTION("""COMPUTED_VALUE"""),3)</f>
        <v>3</v>
      </c>
      <c r="K707">
        <f ca="1">IFERROR(__xludf.DUMMYFUNCTION("""COMPUTED_VALUE"""),1157508002919)</f>
        <v>1157508002919</v>
      </c>
      <c r="L707" t="str">
        <f ca="1">IFERROR(__xludf.DUMMYFUNCTION("""COMPUTED_VALUE"""),"EDATHALA")</f>
        <v>EDATHALA</v>
      </c>
      <c r="M707" t="str">
        <f ca="1">IFERROR(__xludf.DUMMYFUNCTION("""COMPUTED_VALUE"""),"I Accept")</f>
        <v>I Accept</v>
      </c>
      <c r="N707" s="4">
        <f ca="1">IFERROR(__xludf.DUMMYFUNCTION("""COMPUTED_VALUE"""),43206)</f>
        <v>43206</v>
      </c>
      <c r="O707" s="4">
        <f ca="1">IFERROR(__xludf.DUMMYFUNCTION("""COMPUTED_VALUE"""),43206)</f>
        <v>43206</v>
      </c>
      <c r="P707">
        <f ca="1">IFERROR(__xludf.DUMMYFUNCTION("""COMPUTED_VALUE"""),3)</f>
        <v>3</v>
      </c>
      <c r="Q707" t="str">
        <f ca="1">IFERROR(__xludf.DUMMYFUNCTION("""COMPUTED_VALUE"""),"silverwoodsekm@gmail.com")</f>
        <v>silverwoodsekm@gmail.com</v>
      </c>
      <c r="R707" s="2" t="s">
        <v>3121</v>
      </c>
    </row>
    <row r="708" spans="1:18" ht="13" x14ac:dyDescent="0.15">
      <c r="A708" s="3">
        <f ca="1">IFERROR(__xludf.DUMMYFUNCTION("""COMPUTED_VALUE"""),43249.5082360995)</f>
        <v>43249.5082360995</v>
      </c>
      <c r="B708" t="str">
        <f ca="1">IFERROR(__xludf.DUMMYFUNCTION("""COMPUTED_VALUE"""),"info@aecosolar.com")</f>
        <v>info@aecosolar.com</v>
      </c>
      <c r="C708">
        <f ca="1">IFERROR(__xludf.DUMMYFUNCTION("""COMPUTED_VALUE"""),1106)</f>
        <v>1106</v>
      </c>
      <c r="D708" t="str">
        <f ca="1">IFERROR(__xludf.DUMMYFUNCTION("""COMPUTED_VALUE"""),"Eliakutty C A")</f>
        <v>Eliakutty C A</v>
      </c>
      <c r="E708">
        <f ca="1">IFERROR(__xludf.DUMMYFUNCTION("""COMPUTED_VALUE"""),9048147127)</f>
        <v>9048147127</v>
      </c>
      <c r="F708" t="str">
        <f ca="1">IFERROR(__xludf.DUMMYFUNCTION("""COMPUTED_VALUE"""),"Thrissur")</f>
        <v>Thrissur</v>
      </c>
      <c r="G708" t="str">
        <f ca="1">IFERROR(__xludf.DUMMYFUNCTION("""COMPUTED_VALUE"""),"ALTERNATE ENERGY CORPORATION")</f>
        <v>ALTERNATE ENERGY CORPORATION</v>
      </c>
      <c r="H708">
        <f ca="1">IFERROR(__xludf.DUMMYFUNCTION("""COMPUTED_VALUE"""),22)</f>
        <v>22</v>
      </c>
      <c r="I708" s="4">
        <f ca="1">IFERROR(__xludf.DUMMYFUNCTION("""COMPUTED_VALUE"""),43237)</f>
        <v>43237</v>
      </c>
      <c r="J708">
        <f ca="1">IFERROR(__xludf.DUMMYFUNCTION("""COMPUTED_VALUE"""),3)</f>
        <v>3</v>
      </c>
      <c r="K708">
        <f ca="1">IFERROR(__xludf.DUMMYFUNCTION("""COMPUTED_VALUE"""),1156714004556)</f>
        <v>1156714004556</v>
      </c>
      <c r="L708" t="str">
        <f ca="1">IFERROR(__xludf.DUMMYFUNCTION("""COMPUTED_VALUE"""),"Kuriachira [5671]")</f>
        <v>Kuriachira [5671]</v>
      </c>
      <c r="M708" t="str">
        <f ca="1">IFERROR(__xludf.DUMMYFUNCTION("""COMPUTED_VALUE"""),"I Accept")</f>
        <v>I Accept</v>
      </c>
      <c r="N708" s="4">
        <f ca="1">IFERROR(__xludf.DUMMYFUNCTION("""COMPUTED_VALUE"""),43236)</f>
        <v>43236</v>
      </c>
      <c r="O708" s="4">
        <f ca="1">IFERROR(__xludf.DUMMYFUNCTION("""COMPUTED_VALUE"""),43236)</f>
        <v>43236</v>
      </c>
      <c r="P708">
        <f ca="1">IFERROR(__xludf.DUMMYFUNCTION("""COMPUTED_VALUE"""),3)</f>
        <v>3</v>
      </c>
      <c r="Q708" t="str">
        <f ca="1">IFERROR(__xludf.DUMMYFUNCTION("""COMPUTED_VALUE"""),"info@aecosolar.com")</f>
        <v>info@aecosolar.com</v>
      </c>
      <c r="R708" s="2" t="s">
        <v>3122</v>
      </c>
    </row>
    <row r="709" spans="1:18" ht="13" x14ac:dyDescent="0.15">
      <c r="A709" s="3">
        <f ca="1">IFERROR(__xludf.DUMMYFUNCTION("""COMPUTED_VALUE"""),43249.5137753356)</f>
        <v>43249.513775335603</v>
      </c>
      <c r="B709" t="str">
        <f ca="1">IFERROR(__xludf.DUMMYFUNCTION("""COMPUTED_VALUE"""),"nidhin.valappila@gmail.com")</f>
        <v>nidhin.valappila@gmail.com</v>
      </c>
      <c r="C709">
        <f ca="1">IFERROR(__xludf.DUMMYFUNCTION("""COMPUTED_VALUE"""),1105)</f>
        <v>1105</v>
      </c>
      <c r="D709" t="str">
        <f ca="1">IFERROR(__xludf.DUMMYFUNCTION("""COMPUTED_VALUE"""),"Joy John")</f>
        <v>Joy John</v>
      </c>
      <c r="E709">
        <f ca="1">IFERROR(__xludf.DUMMYFUNCTION("""COMPUTED_VALUE"""),9249994220)</f>
        <v>9249994220</v>
      </c>
      <c r="F709" t="str">
        <f ca="1">IFERROR(__xludf.DUMMYFUNCTION("""COMPUTED_VALUE"""),"Thrissur")</f>
        <v>Thrissur</v>
      </c>
      <c r="G709" t="str">
        <f ca="1">IFERROR(__xludf.DUMMYFUNCTION("""COMPUTED_VALUE"""),"ALTERNATE ENERGY CORPORATION")</f>
        <v>ALTERNATE ENERGY CORPORATION</v>
      </c>
      <c r="H709">
        <f ca="1">IFERROR(__xludf.DUMMYFUNCTION("""COMPUTED_VALUE"""),22)</f>
        <v>22</v>
      </c>
      <c r="I709" s="4">
        <f ca="1">IFERROR(__xludf.DUMMYFUNCTION("""COMPUTED_VALUE"""),43237)</f>
        <v>43237</v>
      </c>
      <c r="J709">
        <f ca="1">IFERROR(__xludf.DUMMYFUNCTION("""COMPUTED_VALUE"""),3)</f>
        <v>3</v>
      </c>
      <c r="K709">
        <f ca="1">IFERROR(__xludf.DUMMYFUNCTION("""COMPUTED_VALUE"""),1156711005786)</f>
        <v>1156711005786</v>
      </c>
      <c r="L709" t="str">
        <f ca="1">IFERROR(__xludf.DUMMYFUNCTION("""COMPUTED_VALUE"""),"Kuriachira")</f>
        <v>Kuriachira</v>
      </c>
      <c r="M709" t="str">
        <f ca="1">IFERROR(__xludf.DUMMYFUNCTION("""COMPUTED_VALUE"""),"I Accept")</f>
        <v>I Accept</v>
      </c>
      <c r="N709" s="4">
        <f ca="1">IFERROR(__xludf.DUMMYFUNCTION("""COMPUTED_VALUE"""),43236)</f>
        <v>43236</v>
      </c>
      <c r="O709" s="4">
        <f ca="1">IFERROR(__xludf.DUMMYFUNCTION("""COMPUTED_VALUE"""),43236)</f>
        <v>43236</v>
      </c>
      <c r="P709">
        <f ca="1">IFERROR(__xludf.DUMMYFUNCTION("""COMPUTED_VALUE"""),3)</f>
        <v>3</v>
      </c>
      <c r="Q709" t="str">
        <f ca="1">IFERROR(__xludf.DUMMYFUNCTION("""COMPUTED_VALUE"""),"nidhin.valappila@gmail.com")</f>
        <v>nidhin.valappila@gmail.com</v>
      </c>
      <c r="R709" s="2" t="s">
        <v>3123</v>
      </c>
    </row>
    <row r="710" spans="1:18" ht="13" x14ac:dyDescent="0.15">
      <c r="A710" s="3">
        <f ca="1">IFERROR(__xludf.DUMMYFUNCTION("""COMPUTED_VALUE"""),43249.6211444328)</f>
        <v>43249.6211444328</v>
      </c>
      <c r="B710" t="str">
        <f ca="1">IFERROR(__xludf.DUMMYFUNCTION("""COMPUTED_VALUE"""),"nestromarketing@gmail.com")</f>
        <v>nestromarketing@gmail.com</v>
      </c>
      <c r="C710">
        <f ca="1">IFERROR(__xludf.DUMMYFUNCTION("""COMPUTED_VALUE"""),135)</f>
        <v>135</v>
      </c>
      <c r="D710" t="str">
        <f ca="1">IFERROR(__xludf.DUMMYFUNCTION("""COMPUTED_VALUE"""),"SALAM. K")</f>
        <v>SALAM. K</v>
      </c>
      <c r="E710">
        <f ca="1">IFERROR(__xludf.DUMMYFUNCTION("""COMPUTED_VALUE"""),9142099977)</f>
        <v>9142099977</v>
      </c>
      <c r="F710" t="str">
        <f ca="1">IFERROR(__xludf.DUMMYFUNCTION("""COMPUTED_VALUE"""),"Malappuram")</f>
        <v>Malappuram</v>
      </c>
      <c r="G710" t="str">
        <f ca="1">IFERROR(__xludf.DUMMYFUNCTION("""COMPUTED_VALUE"""),"NESTRO MARKETING LLP")</f>
        <v>NESTRO MARKETING LLP</v>
      </c>
      <c r="H710">
        <f ca="1">IFERROR(__xludf.DUMMYFUNCTION("""COMPUTED_VALUE"""),14)</f>
        <v>14</v>
      </c>
      <c r="I710" s="4">
        <f ca="1">IFERROR(__xludf.DUMMYFUNCTION("""COMPUTED_VALUE"""),43249)</f>
        <v>43249</v>
      </c>
      <c r="J710">
        <f ca="1">IFERROR(__xludf.DUMMYFUNCTION("""COMPUTED_VALUE"""),5)</f>
        <v>5</v>
      </c>
      <c r="K710">
        <f ca="1">IFERROR(__xludf.DUMMYFUNCTION("""COMPUTED_VALUE"""),1165701001481)</f>
        <v>1165701001481</v>
      </c>
      <c r="L710" t="str">
        <f ca="1">IFERROR(__xludf.DUMMYFUNCTION("""COMPUTED_VALUE"""),"PONMUNDAM(6570)")</f>
        <v>PONMUNDAM(6570)</v>
      </c>
      <c r="M710" t="str">
        <f ca="1">IFERROR(__xludf.DUMMYFUNCTION("""COMPUTED_VALUE"""),"I Accept")</f>
        <v>I Accept</v>
      </c>
      <c r="N710" s="4">
        <f ca="1">IFERROR(__xludf.DUMMYFUNCTION("""COMPUTED_VALUE"""),43245)</f>
        <v>43245</v>
      </c>
      <c r="O710" s="4">
        <f ca="1">IFERROR(__xludf.DUMMYFUNCTION("""COMPUTED_VALUE"""),43245)</f>
        <v>43245</v>
      </c>
      <c r="P710">
        <f ca="1">IFERROR(__xludf.DUMMYFUNCTION("""COMPUTED_VALUE"""),5)</f>
        <v>5</v>
      </c>
      <c r="Q710" t="str">
        <f ca="1">IFERROR(__xludf.DUMMYFUNCTION("""COMPUTED_VALUE"""),"nestromarketing@gmail.com")</f>
        <v>nestromarketing@gmail.com</v>
      </c>
      <c r="R710" s="2" t="s">
        <v>3124</v>
      </c>
    </row>
    <row r="711" spans="1:18" ht="13" x14ac:dyDescent="0.15">
      <c r="A711" s="3">
        <f ca="1">IFERROR(__xludf.DUMMYFUNCTION("""COMPUTED_VALUE"""),43249.6314085069)</f>
        <v>43249.631408506903</v>
      </c>
      <c r="B711" t="str">
        <f ca="1">IFERROR(__xludf.DUMMYFUNCTION("""COMPUTED_VALUE"""),"sudhirm.pgt@gmail.com")</f>
        <v>sudhirm.pgt@gmail.com</v>
      </c>
      <c r="C711">
        <f ca="1">IFERROR(__xludf.DUMMYFUNCTION("""COMPUTED_VALUE"""),1068)</f>
        <v>1068</v>
      </c>
      <c r="D711" t="str">
        <f ca="1">IFERROR(__xludf.DUMMYFUNCTION("""COMPUTED_VALUE"""),"M. SUDHIR ")</f>
        <v xml:space="preserve">M. SUDHIR </v>
      </c>
      <c r="E711">
        <f ca="1">IFERROR(__xludf.DUMMYFUNCTION("""COMPUTED_VALUE"""),9846087917)</f>
        <v>9846087917</v>
      </c>
      <c r="F711" t="str">
        <f ca="1">IFERROR(__xludf.DUMMYFUNCTION("""COMPUTED_VALUE"""),"Palakkad")</f>
        <v>Palakkad</v>
      </c>
      <c r="G711" t="str">
        <f ca="1">IFERROR(__xludf.DUMMYFUNCTION("""COMPUTED_VALUE"""),"TATA POIWER SOLAR SYSTEMS LTD")</f>
        <v>TATA POIWER SOLAR SYSTEMS LTD</v>
      </c>
      <c r="H711">
        <f ca="1">IFERROR(__xludf.DUMMYFUNCTION("""COMPUTED_VALUE"""),20)</f>
        <v>20</v>
      </c>
      <c r="I711" s="4">
        <f ca="1">IFERROR(__xludf.DUMMYFUNCTION("""COMPUTED_VALUE"""),43223)</f>
        <v>43223</v>
      </c>
      <c r="J711">
        <f ca="1">IFERROR(__xludf.DUMMYFUNCTION("""COMPUTED_VALUE"""),5)</f>
        <v>5</v>
      </c>
      <c r="K711">
        <f ca="1">IFERROR(__xludf.DUMMYFUNCTION("""COMPUTED_VALUE"""),1165176013290)</f>
        <v>1165176013290</v>
      </c>
      <c r="L711" t="str">
        <f ca="1">IFERROR(__xludf.DUMMYFUNCTION("""COMPUTED_VALUE"""),"SULTHANPET")</f>
        <v>SULTHANPET</v>
      </c>
      <c r="M711" t="str">
        <f ca="1">IFERROR(__xludf.DUMMYFUNCTION("""COMPUTED_VALUE"""),"I Accept")</f>
        <v>I Accept</v>
      </c>
      <c r="N711" s="4">
        <f ca="1">IFERROR(__xludf.DUMMYFUNCTION("""COMPUTED_VALUE"""),43237)</f>
        <v>43237</v>
      </c>
      <c r="O711" s="4">
        <f ca="1">IFERROR(__xludf.DUMMYFUNCTION("""COMPUTED_VALUE"""),43237)</f>
        <v>43237</v>
      </c>
      <c r="P711">
        <f ca="1">IFERROR(__xludf.DUMMYFUNCTION("""COMPUTED_VALUE"""),5)</f>
        <v>5</v>
      </c>
      <c r="Q711" t="str">
        <f ca="1">IFERROR(__xludf.DUMMYFUNCTION("""COMPUTED_VALUE"""),"sudhirm.pgt@gmail.com")</f>
        <v>sudhirm.pgt@gmail.com</v>
      </c>
      <c r="R711" s="2" t="s">
        <v>3125</v>
      </c>
    </row>
    <row r="712" spans="1:18" ht="13" x14ac:dyDescent="0.15">
      <c r="A712" s="3">
        <f ca="1">IFERROR(__xludf.DUMMYFUNCTION("""COMPUTED_VALUE"""),43249.6843066782)</f>
        <v>43249.684306678202</v>
      </c>
      <c r="B712" t="str">
        <f ca="1">IFERROR(__xludf.DUMMYFUNCTION("""COMPUTED_VALUE"""),"solarconnect2018@gmail.com")</f>
        <v>solarconnect2018@gmail.com</v>
      </c>
      <c r="C712">
        <f ca="1">IFERROR(__xludf.DUMMYFUNCTION("""COMPUTED_VALUE"""),675)</f>
        <v>675</v>
      </c>
      <c r="D712" t="str">
        <f ca="1">IFERROR(__xludf.DUMMYFUNCTION("""COMPUTED_VALUE"""),"GANGADEVI")</f>
        <v>GANGADEVI</v>
      </c>
      <c r="E712">
        <f ca="1">IFERROR(__xludf.DUMMYFUNCTION("""COMPUTED_VALUE"""),9961255974)</f>
        <v>9961255974</v>
      </c>
      <c r="F712" t="str">
        <f ca="1">IFERROR(__xludf.DUMMYFUNCTION("""COMPUTED_VALUE"""),"Ernakulam")</f>
        <v>Ernakulam</v>
      </c>
      <c r="G712" t="str">
        <f ca="1">IFERROR(__xludf.DUMMYFUNCTION("""COMPUTED_VALUE"""),"SPECTRUM TECHNO PRODUCTS")</f>
        <v>SPECTRUM TECHNO PRODUCTS</v>
      </c>
      <c r="H712">
        <f ca="1">IFERROR(__xludf.DUMMYFUNCTION("""COMPUTED_VALUE"""),66)</f>
        <v>66</v>
      </c>
      <c r="I712" s="4">
        <f ca="1">IFERROR(__xludf.DUMMYFUNCTION("""COMPUTED_VALUE"""),43243)</f>
        <v>43243</v>
      </c>
      <c r="J712">
        <f ca="1">IFERROR(__xludf.DUMMYFUNCTION("""COMPUTED_VALUE"""),5)</f>
        <v>5</v>
      </c>
      <c r="K712">
        <f ca="1">IFERROR(__xludf.DUMMYFUNCTION("""COMPUTED_VALUE"""),1157362009830)</f>
        <v>1157362009830</v>
      </c>
      <c r="L712" t="str">
        <f ca="1">IFERROR(__xludf.DUMMYFUNCTION("""COMPUTED_VALUE"""),"MANNAM")</f>
        <v>MANNAM</v>
      </c>
      <c r="M712" t="str">
        <f ca="1">IFERROR(__xludf.DUMMYFUNCTION("""COMPUTED_VALUE"""),"I Accept")</f>
        <v>I Accept</v>
      </c>
      <c r="N712" s="4">
        <f ca="1">IFERROR(__xludf.DUMMYFUNCTION("""COMPUTED_VALUE"""),43180)</f>
        <v>43180</v>
      </c>
      <c r="O712" s="4">
        <f ca="1">IFERROR(__xludf.DUMMYFUNCTION("""COMPUTED_VALUE"""),43180)</f>
        <v>43180</v>
      </c>
      <c r="P712">
        <f ca="1">IFERROR(__xludf.DUMMYFUNCTION("""COMPUTED_VALUE"""),5)</f>
        <v>5</v>
      </c>
      <c r="Q712" t="str">
        <f ca="1">IFERROR(__xludf.DUMMYFUNCTION("""COMPUTED_VALUE"""),"solarconnect2018@gmail.com")</f>
        <v>solarconnect2018@gmail.com</v>
      </c>
      <c r="R712" s="2" t="s">
        <v>3126</v>
      </c>
    </row>
    <row r="713" spans="1:18" ht="13" x14ac:dyDescent="0.15">
      <c r="A713" s="3">
        <f ca="1">IFERROR(__xludf.DUMMYFUNCTION("""COMPUTED_VALUE"""),43250.4723537037)</f>
        <v>43250.472353703699</v>
      </c>
      <c r="B713" t="str">
        <f ca="1">IFERROR(__xludf.DUMMYFUNCTION("""COMPUTED_VALUE"""),"johnwilsonk@yahoo.co.in")</f>
        <v>johnwilsonk@yahoo.co.in</v>
      </c>
      <c r="C713">
        <f ca="1">IFERROR(__xludf.DUMMYFUNCTION("""COMPUTED_VALUE"""),748)</f>
        <v>748</v>
      </c>
      <c r="D713" t="str">
        <f ca="1">IFERROR(__xludf.DUMMYFUNCTION("""COMPUTED_VALUE"""),"WILSON JOHN")</f>
        <v>WILSON JOHN</v>
      </c>
      <c r="E713">
        <f ca="1">IFERROR(__xludf.DUMMYFUNCTION("""COMPUTED_VALUE"""),9446911437)</f>
        <v>9446911437</v>
      </c>
      <c r="F713" t="str">
        <f ca="1">IFERROR(__xludf.DUMMYFUNCTION("""COMPUTED_VALUE"""),"Pathanamthitta")</f>
        <v>Pathanamthitta</v>
      </c>
      <c r="G713" t="str">
        <f ca="1">IFERROR(__xludf.DUMMYFUNCTION("""COMPUTED_VALUE"""),"SIRET SOLAR PVT LTD")</f>
        <v>SIRET SOLAR PVT LTD</v>
      </c>
      <c r="H713">
        <f ca="1">IFERROR(__xludf.DUMMYFUNCTION("""COMPUTED_VALUE"""),21)</f>
        <v>21</v>
      </c>
      <c r="I713" s="4">
        <f ca="1">IFERROR(__xludf.DUMMYFUNCTION("""COMPUTED_VALUE"""),43250)</f>
        <v>43250</v>
      </c>
      <c r="J713">
        <f ca="1">IFERROR(__xludf.DUMMYFUNCTION("""COMPUTED_VALUE"""),2)</f>
        <v>2</v>
      </c>
      <c r="K713">
        <f ca="1">IFERROR(__xludf.DUMMYFUNCTION("""COMPUTED_VALUE"""),1146081012946)</f>
        <v>1146081012946</v>
      </c>
      <c r="L713" t="str">
        <f ca="1">IFERROR(__xludf.DUMMYFUNCTION("""COMPUTED_VALUE"""),"AYIROOR")</f>
        <v>AYIROOR</v>
      </c>
      <c r="M713" t="str">
        <f ca="1">IFERROR(__xludf.DUMMYFUNCTION("""COMPUTED_VALUE"""),"I Accept")</f>
        <v>I Accept</v>
      </c>
      <c r="N713" s="4">
        <f ca="1">IFERROR(__xludf.DUMMYFUNCTION("""COMPUTED_VALUE"""),43228)</f>
        <v>43228</v>
      </c>
      <c r="O713" s="4">
        <f ca="1">IFERROR(__xludf.DUMMYFUNCTION("""COMPUTED_VALUE"""),43228)</f>
        <v>43228</v>
      </c>
      <c r="P713">
        <f ca="1">IFERROR(__xludf.DUMMYFUNCTION("""COMPUTED_VALUE"""),2)</f>
        <v>2</v>
      </c>
      <c r="Q713" t="str">
        <f ca="1">IFERROR(__xludf.DUMMYFUNCTION("""COMPUTED_VALUE"""),"johnwilsonk@yahoo.co.in")</f>
        <v>johnwilsonk@yahoo.co.in</v>
      </c>
      <c r="R713" s="2" t="s">
        <v>3127</v>
      </c>
    </row>
    <row r="714" spans="1:18" ht="13" x14ac:dyDescent="0.15">
      <c r="A714" s="3">
        <f ca="1">IFERROR(__xludf.DUMMYFUNCTION("""COMPUTED_VALUE"""),43250.4887494675)</f>
        <v>43250.488749467499</v>
      </c>
      <c r="B714" t="str">
        <f ca="1">IFERROR(__xludf.DUMMYFUNCTION("""COMPUTED_VALUE"""),"cmrajunlr@gmail.com")</f>
        <v>cmrajunlr@gmail.com</v>
      </c>
      <c r="C714">
        <f ca="1">IFERROR(__xludf.DUMMYFUNCTION("""COMPUTED_VALUE"""),837)</f>
        <v>837</v>
      </c>
      <c r="D714" t="str">
        <f ca="1">IFERROR(__xludf.DUMMYFUNCTION("""COMPUTED_VALUE"""),"Kallai Assainar")</f>
        <v>Kallai Assainar</v>
      </c>
      <c r="E714">
        <f ca="1">IFERROR(__xludf.DUMMYFUNCTION("""COMPUTED_VALUE"""),8921338388)</f>
        <v>8921338388</v>
      </c>
      <c r="F714" t="str">
        <f ca="1">IFERROR(__xludf.DUMMYFUNCTION("""COMPUTED_VALUE"""),"Kasaragod")</f>
        <v>Kasaragod</v>
      </c>
      <c r="G714" t="str">
        <f ca="1">IFERROR(__xludf.DUMMYFUNCTION("""COMPUTED_VALUE"""),"TATA POWER SOLAR SYSTEMS LTD")</f>
        <v>TATA POWER SOLAR SYSTEMS LTD</v>
      </c>
      <c r="H714">
        <f ca="1">IFERROR(__xludf.DUMMYFUNCTION("""COMPUTED_VALUE"""),20)</f>
        <v>20</v>
      </c>
      <c r="I714" s="4">
        <f ca="1">IFERROR(__xludf.DUMMYFUNCTION("""COMPUTED_VALUE"""),43239)</f>
        <v>43239</v>
      </c>
      <c r="J714">
        <f ca="1">IFERROR(__xludf.DUMMYFUNCTION("""COMPUTED_VALUE"""),10)</f>
        <v>10</v>
      </c>
      <c r="K714">
        <f ca="1">IFERROR(__xludf.DUMMYFUNCTION("""COMPUTED_VALUE"""),1166968008400)</f>
        <v>1166968008400</v>
      </c>
      <c r="L714" t="str">
        <f ca="1">IFERROR(__xludf.DUMMYFUNCTION("""COMPUTED_VALUE"""),"Nileshwar")</f>
        <v>Nileshwar</v>
      </c>
      <c r="M714" t="str">
        <f ca="1">IFERROR(__xludf.DUMMYFUNCTION("""COMPUTED_VALUE"""),"I Accept")</f>
        <v>I Accept</v>
      </c>
      <c r="N714" s="4">
        <f ca="1">IFERROR(__xludf.DUMMYFUNCTION("""COMPUTED_VALUE"""),43187)</f>
        <v>43187</v>
      </c>
      <c r="O714" s="4">
        <f ca="1">IFERROR(__xludf.DUMMYFUNCTION("""COMPUTED_VALUE"""),43187)</f>
        <v>43187</v>
      </c>
      <c r="P714">
        <f ca="1">IFERROR(__xludf.DUMMYFUNCTION("""COMPUTED_VALUE"""),15)</f>
        <v>15</v>
      </c>
      <c r="Q714" t="str">
        <f ca="1">IFERROR(__xludf.DUMMYFUNCTION("""COMPUTED_VALUE"""),"cmrajunlr@gmail.com")</f>
        <v>cmrajunlr@gmail.com</v>
      </c>
      <c r="R714" s="2" t="s">
        <v>3128</v>
      </c>
    </row>
    <row r="715" spans="1:18" ht="13" x14ac:dyDescent="0.15">
      <c r="A715" s="3">
        <f ca="1">IFERROR(__xludf.DUMMYFUNCTION("""COMPUTED_VALUE"""),43250.5076046412)</f>
        <v>43250.5076046412</v>
      </c>
      <c r="B715" t="str">
        <f ca="1">IFERROR(__xludf.DUMMYFUNCTION("""COMPUTED_VALUE"""),"radhakrishnannairm63@gmail.com")</f>
        <v>radhakrishnannairm63@gmail.com</v>
      </c>
      <c r="C715">
        <f ca="1">IFERROR(__xludf.DUMMYFUNCTION("""COMPUTED_VALUE"""),650)</f>
        <v>650</v>
      </c>
      <c r="D715" t="str">
        <f ca="1">IFERROR(__xludf.DUMMYFUNCTION("""COMPUTED_VALUE"""),"Radhakrishnan Nair.M")</f>
        <v>Radhakrishnan Nair.M</v>
      </c>
      <c r="E715">
        <f ca="1">IFERROR(__xludf.DUMMYFUNCTION("""COMPUTED_VALUE"""),9447692005)</f>
        <v>9447692005</v>
      </c>
      <c r="F715" t="str">
        <f ca="1">IFERROR(__xludf.DUMMYFUNCTION("""COMPUTED_VALUE"""),"Kasaragod")</f>
        <v>Kasaragod</v>
      </c>
      <c r="G715" t="str">
        <f ca="1">IFERROR(__xludf.DUMMYFUNCTION("""COMPUTED_VALUE"""),"TATA POWER SOLAR SYSTEMS LIMITED")</f>
        <v>TATA POWER SOLAR SYSTEMS LIMITED</v>
      </c>
      <c r="H715">
        <f ca="1">IFERROR(__xludf.DUMMYFUNCTION("""COMPUTED_VALUE"""),20)</f>
        <v>20</v>
      </c>
      <c r="I715" s="4">
        <f ca="1">IFERROR(__xludf.DUMMYFUNCTION("""COMPUTED_VALUE"""),43238)</f>
        <v>43238</v>
      </c>
      <c r="J715">
        <f ca="1">IFERROR(__xludf.DUMMYFUNCTION("""COMPUTED_VALUE"""),2)</f>
        <v>2</v>
      </c>
      <c r="K715">
        <f ca="1">IFERROR(__xludf.DUMMYFUNCTION("""COMPUTED_VALUE"""),1166961013390)</f>
        <v>1166961013390</v>
      </c>
      <c r="L715" t="str">
        <f ca="1">IFERROR(__xludf.DUMMYFUNCTION("""COMPUTED_VALUE"""),"NILESHWAR")</f>
        <v>NILESHWAR</v>
      </c>
      <c r="M715" t="str">
        <f ca="1">IFERROR(__xludf.DUMMYFUNCTION("""COMPUTED_VALUE"""),"I Accept")</f>
        <v>I Accept</v>
      </c>
      <c r="N715" s="4">
        <f ca="1">IFERROR(__xludf.DUMMYFUNCTION("""COMPUTED_VALUE"""),43187)</f>
        <v>43187</v>
      </c>
      <c r="O715" s="4">
        <f ca="1">IFERROR(__xludf.DUMMYFUNCTION("""COMPUTED_VALUE"""),43187)</f>
        <v>43187</v>
      </c>
      <c r="P715">
        <f ca="1">IFERROR(__xludf.DUMMYFUNCTION("""COMPUTED_VALUE"""),33.75)</f>
        <v>33.75</v>
      </c>
      <c r="Q715" t="str">
        <f ca="1">IFERROR(__xludf.DUMMYFUNCTION("""COMPUTED_VALUE"""),"radhakrishnannairm63@gmail.com")</f>
        <v>radhakrishnannairm63@gmail.com</v>
      </c>
      <c r="R715" s="2" t="s">
        <v>3129</v>
      </c>
    </row>
    <row r="716" spans="1:18" ht="13" x14ac:dyDescent="0.15">
      <c r="A716" s="3">
        <f ca="1">IFERROR(__xludf.DUMMYFUNCTION("""COMPUTED_VALUE"""),43250.5180235879)</f>
        <v>43250.518023587902</v>
      </c>
      <c r="B716" t="str">
        <f ca="1">IFERROR(__xludf.DUMMYFUNCTION("""COMPUTED_VALUE"""),"greeshmavijayan51@gmail.com")</f>
        <v>greeshmavijayan51@gmail.com</v>
      </c>
      <c r="C716">
        <f ca="1">IFERROR(__xludf.DUMMYFUNCTION("""COMPUTED_VALUE"""),184)</f>
        <v>184</v>
      </c>
      <c r="D716" t="str">
        <f ca="1">IFERROR(__xludf.DUMMYFUNCTION("""COMPUTED_VALUE"""),"P M Vijayan")</f>
        <v>P M Vijayan</v>
      </c>
      <c r="E716">
        <f ca="1">IFERROR(__xludf.DUMMYFUNCTION("""COMPUTED_VALUE"""),8281147331)</f>
        <v>8281147331</v>
      </c>
      <c r="F716" t="str">
        <f ca="1">IFERROR(__xludf.DUMMYFUNCTION("""COMPUTED_VALUE"""),"Ernakulam")</f>
        <v>Ernakulam</v>
      </c>
      <c r="G716" t="str">
        <f ca="1">IFERROR(__xludf.DUMMYFUNCTION("""COMPUTED_VALUE"""),"Renewable Energy Solutions P Ltd")</f>
        <v>Renewable Energy Solutions P Ltd</v>
      </c>
      <c r="H716">
        <f ca="1">IFERROR(__xludf.DUMMYFUNCTION("""COMPUTED_VALUE"""),64)</f>
        <v>64</v>
      </c>
      <c r="I716" s="4">
        <f ca="1">IFERROR(__xludf.DUMMYFUNCTION("""COMPUTED_VALUE"""),43220)</f>
        <v>43220</v>
      </c>
      <c r="J716">
        <f ca="1">IFERROR(__xludf.DUMMYFUNCTION("""COMPUTED_VALUE"""),3)</f>
        <v>3</v>
      </c>
      <c r="K716">
        <f ca="1">IFERROR(__xludf.DUMMYFUNCTION("""COMPUTED_VALUE"""),1155519020598)</f>
        <v>1155519020598</v>
      </c>
      <c r="L716" t="str">
        <f ca="1">IFERROR(__xludf.DUMMYFUNCTION("""COMPUTED_VALUE"""),"CHOTTANIKKARA")</f>
        <v>CHOTTANIKKARA</v>
      </c>
      <c r="M716" t="str">
        <f ca="1">IFERROR(__xludf.DUMMYFUNCTION("""COMPUTED_VALUE"""),"I Accept")</f>
        <v>I Accept</v>
      </c>
      <c r="N716" s="4">
        <f ca="1">IFERROR(__xludf.DUMMYFUNCTION("""COMPUTED_VALUE"""),43185)</f>
        <v>43185</v>
      </c>
      <c r="O716" s="4">
        <f ca="1">IFERROR(__xludf.DUMMYFUNCTION("""COMPUTED_VALUE"""),43185)</f>
        <v>43185</v>
      </c>
      <c r="P716">
        <f ca="1">IFERROR(__xludf.DUMMYFUNCTION("""COMPUTED_VALUE"""),3)</f>
        <v>3</v>
      </c>
      <c r="Q716" t="str">
        <f ca="1">IFERROR(__xludf.DUMMYFUNCTION("""COMPUTED_VALUE"""),"greeshmavijayan51@gmail.com")</f>
        <v>greeshmavijayan51@gmail.com</v>
      </c>
      <c r="R716" s="2" t="s">
        <v>3130</v>
      </c>
    </row>
    <row r="717" spans="1:18" ht="13" x14ac:dyDescent="0.15">
      <c r="A717" s="3">
        <f ca="1">IFERROR(__xludf.DUMMYFUNCTION("""COMPUTED_VALUE"""),43250.5262574421)</f>
        <v>43250.526257442099</v>
      </c>
      <c r="B717" t="str">
        <f ca="1">IFERROR(__xludf.DUMMYFUNCTION("""COMPUTED_VALUE"""),"seenabala1984@gmail.com")</f>
        <v>seenabala1984@gmail.com</v>
      </c>
      <c r="C717">
        <f ca="1">IFERROR(__xludf.DUMMYFUNCTION("""COMPUTED_VALUE"""),651)</f>
        <v>651</v>
      </c>
      <c r="D717" t="str">
        <f ca="1">IFERROR(__xludf.DUMMYFUNCTION("""COMPUTED_VALUE"""),"Seena Balakrishnan.B.P")</f>
        <v>Seena Balakrishnan.B.P</v>
      </c>
      <c r="E717">
        <f ca="1">IFERROR(__xludf.DUMMYFUNCTION("""COMPUTED_VALUE"""),9605925555)</f>
        <v>9605925555</v>
      </c>
      <c r="F717" t="str">
        <f ca="1">IFERROR(__xludf.DUMMYFUNCTION("""COMPUTED_VALUE"""),"Kasaragod")</f>
        <v>Kasaragod</v>
      </c>
      <c r="G717" t="str">
        <f ca="1">IFERROR(__xludf.DUMMYFUNCTION("""COMPUTED_VALUE"""),"TATA POWER SOLAR SYSTEMS LIMITED")</f>
        <v>TATA POWER SOLAR SYSTEMS LIMITED</v>
      </c>
      <c r="H717">
        <f ca="1">IFERROR(__xludf.DUMMYFUNCTION("""COMPUTED_VALUE"""),20)</f>
        <v>20</v>
      </c>
      <c r="I717" s="4">
        <f ca="1">IFERROR(__xludf.DUMMYFUNCTION("""COMPUTED_VALUE"""),43245)</f>
        <v>43245</v>
      </c>
      <c r="J717">
        <f ca="1">IFERROR(__xludf.DUMMYFUNCTION("""COMPUTED_VALUE"""),10)</f>
        <v>10</v>
      </c>
      <c r="K717">
        <f ca="1">IFERROR(__xludf.DUMMYFUNCTION("""COMPUTED_VALUE"""),1166943021459)</f>
        <v>1166943021459</v>
      </c>
      <c r="L717" t="str">
        <f ca="1">IFERROR(__xludf.DUMMYFUNCTION("""COMPUTED_VALUE"""),"KANHANGAD")</f>
        <v>KANHANGAD</v>
      </c>
      <c r="M717" t="str">
        <f ca="1">IFERROR(__xludf.DUMMYFUNCTION("""COMPUTED_VALUE"""),"I Accept")</f>
        <v>I Accept</v>
      </c>
      <c r="N717" s="4">
        <f ca="1">IFERROR(__xludf.DUMMYFUNCTION("""COMPUTED_VALUE"""),43185)</f>
        <v>43185</v>
      </c>
      <c r="O717" s="4">
        <f ca="1">IFERROR(__xludf.DUMMYFUNCTION("""COMPUTED_VALUE"""),43185)</f>
        <v>43185</v>
      </c>
      <c r="P717">
        <f ca="1">IFERROR(__xludf.DUMMYFUNCTION("""COMPUTED_VALUE"""),40)</f>
        <v>40</v>
      </c>
      <c r="Q717" t="str">
        <f ca="1">IFERROR(__xludf.DUMMYFUNCTION("""COMPUTED_VALUE"""),"seenabala1984@gmail.com")</f>
        <v>seenabala1984@gmail.com</v>
      </c>
      <c r="R717" s="2" t="s">
        <v>3131</v>
      </c>
    </row>
    <row r="718" spans="1:18" ht="13" x14ac:dyDescent="0.15">
      <c r="A718" s="3">
        <f ca="1">IFERROR(__xludf.DUMMYFUNCTION("""COMPUTED_VALUE"""),43250.5518570254)</f>
        <v>43250.551857025399</v>
      </c>
      <c r="B718" t="str">
        <f ca="1">IFERROR(__xludf.DUMMYFUNCTION("""COMPUTED_VALUE"""),"sales.ecomate@gmail.com")</f>
        <v>sales.ecomate@gmail.com</v>
      </c>
      <c r="C718">
        <f ca="1">IFERROR(__xludf.DUMMYFUNCTION("""COMPUTED_VALUE"""),1070)</f>
        <v>1070</v>
      </c>
      <c r="D718" t="str">
        <f ca="1">IFERROR(__xludf.DUMMYFUNCTION("""COMPUTED_VALUE"""),"MOYINKUTTY.N.K")</f>
        <v>MOYINKUTTY.N.K</v>
      </c>
      <c r="E718">
        <f ca="1">IFERROR(__xludf.DUMMYFUNCTION("""COMPUTED_VALUE"""),9496439148)</f>
        <v>9496439148</v>
      </c>
      <c r="F718" t="str">
        <f ca="1">IFERROR(__xludf.DUMMYFUNCTION("""COMPUTED_VALUE"""),"Kozhikode")</f>
        <v>Kozhikode</v>
      </c>
      <c r="G718" t="str">
        <f ca="1">IFERROR(__xludf.DUMMYFUNCTION("""COMPUTED_VALUE"""),"Ecomate Energy Solutions")</f>
        <v>Ecomate Energy Solutions</v>
      </c>
      <c r="H718">
        <f ca="1">IFERROR(__xludf.DUMMYFUNCTION("""COMPUTED_VALUE"""),33)</f>
        <v>33</v>
      </c>
      <c r="I718" s="4">
        <f ca="1">IFERROR(__xludf.DUMMYFUNCTION("""COMPUTED_VALUE"""),43235)</f>
        <v>43235</v>
      </c>
      <c r="J718">
        <f ca="1">IFERROR(__xludf.DUMMYFUNCTION("""COMPUTED_VALUE"""),3)</f>
        <v>3</v>
      </c>
      <c r="K718">
        <f ca="1">IFERROR(__xludf.DUMMYFUNCTION("""COMPUTED_VALUE"""),1166119022228)</f>
        <v>1166119022228</v>
      </c>
      <c r="L718" t="str">
        <f ca="1">IFERROR(__xludf.DUMMYFUNCTION("""COMPUTED_VALUE"""),"KODUVALLY")</f>
        <v>KODUVALLY</v>
      </c>
      <c r="M718" t="str">
        <f ca="1">IFERROR(__xludf.DUMMYFUNCTION("""COMPUTED_VALUE"""),"I Accept")</f>
        <v>I Accept</v>
      </c>
      <c r="N718" s="4">
        <f ca="1">IFERROR(__xludf.DUMMYFUNCTION("""COMPUTED_VALUE"""),43206)</f>
        <v>43206</v>
      </c>
      <c r="O718" s="4">
        <f ca="1">IFERROR(__xludf.DUMMYFUNCTION("""COMPUTED_VALUE"""),43206)</f>
        <v>43206</v>
      </c>
      <c r="P718">
        <f ca="1">IFERROR(__xludf.DUMMYFUNCTION("""COMPUTED_VALUE"""),3)</f>
        <v>3</v>
      </c>
      <c r="Q718" t="str">
        <f ca="1">IFERROR(__xludf.DUMMYFUNCTION("""COMPUTED_VALUE"""),"sales.ecomate@gmail.com")</f>
        <v>sales.ecomate@gmail.com</v>
      </c>
      <c r="R718" s="2" t="s">
        <v>3132</v>
      </c>
    </row>
    <row r="719" spans="1:18" ht="13" x14ac:dyDescent="0.15">
      <c r="A719" s="3">
        <f ca="1">IFERROR(__xludf.DUMMYFUNCTION("""COMPUTED_VALUE"""),43250.6465278819)</f>
        <v>43250.646527881901</v>
      </c>
      <c r="B719" t="str">
        <f ca="1">IFERROR(__xludf.DUMMYFUNCTION("""COMPUTED_VALUE"""),"akhilalezz@gmail.com")</f>
        <v>akhilalezz@gmail.com</v>
      </c>
      <c r="C719">
        <f ca="1">IFERROR(__xludf.DUMMYFUNCTION("""COMPUTED_VALUE"""),1143)</f>
        <v>1143</v>
      </c>
      <c r="D719" t="str">
        <f ca="1">IFERROR(__xludf.DUMMYFUNCTION("""COMPUTED_VALUE"""),"Andrews Joseph")</f>
        <v>Andrews Joseph</v>
      </c>
      <c r="E719">
        <f ca="1">IFERROR(__xludf.DUMMYFUNCTION("""COMPUTED_VALUE"""),7907009190)</f>
        <v>7907009190</v>
      </c>
      <c r="F719" t="str">
        <f ca="1">IFERROR(__xludf.DUMMYFUNCTION("""COMPUTED_VALUE"""),"Alappuzha")</f>
        <v>Alappuzha</v>
      </c>
      <c r="G719" t="str">
        <f ca="1">IFERROR(__xludf.DUMMYFUNCTION("""COMPUTED_VALUE"""),"SOLGEN ENERGY PVT LTD")</f>
        <v>SOLGEN ENERGY PVT LTD</v>
      </c>
      <c r="H719">
        <f ca="1">IFERROR(__xludf.DUMMYFUNCTION("""COMPUTED_VALUE"""),42)</f>
        <v>42</v>
      </c>
      <c r="I719" s="4">
        <f ca="1">IFERROR(__xludf.DUMMYFUNCTION("""COMPUTED_VALUE"""),43242)</f>
        <v>43242</v>
      </c>
      <c r="J719">
        <f ca="1">IFERROR(__xludf.DUMMYFUNCTION("""COMPUTED_VALUE"""),3)</f>
        <v>3</v>
      </c>
      <c r="K719">
        <f ca="1">IFERROR(__xludf.DUMMYFUNCTION("""COMPUTED_VALUE"""),1155010026051)</f>
        <v>1155010026051</v>
      </c>
      <c r="L719" t="str">
        <f ca="1">IFERROR(__xludf.DUMMYFUNCTION("""COMPUTED_VALUE"""),"ALAPPUZHA NORTH")</f>
        <v>ALAPPUZHA NORTH</v>
      </c>
      <c r="M719" t="str">
        <f ca="1">IFERROR(__xludf.DUMMYFUNCTION("""COMPUTED_VALUE"""),"I Accept")</f>
        <v>I Accept</v>
      </c>
      <c r="N719" s="4">
        <f ca="1">IFERROR(__xludf.DUMMYFUNCTION("""COMPUTED_VALUE"""),43115)</f>
        <v>43115</v>
      </c>
      <c r="O719" s="4">
        <f ca="1">IFERROR(__xludf.DUMMYFUNCTION("""COMPUTED_VALUE"""),43116)</f>
        <v>43116</v>
      </c>
      <c r="P719">
        <f ca="1">IFERROR(__xludf.DUMMYFUNCTION("""COMPUTED_VALUE"""),3)</f>
        <v>3</v>
      </c>
      <c r="Q719" t="str">
        <f ca="1">IFERROR(__xludf.DUMMYFUNCTION("""COMPUTED_VALUE"""),"akhilalezz@gmail.com")</f>
        <v>akhilalezz@gmail.com</v>
      </c>
      <c r="R719" s="2" t="s">
        <v>3133</v>
      </c>
    </row>
    <row r="720" spans="1:18" ht="13" x14ac:dyDescent="0.15">
      <c r="A720" s="3">
        <f ca="1">IFERROR(__xludf.DUMMYFUNCTION("""COMPUTED_VALUE"""),43250.6496963078)</f>
        <v>43250.649696307803</v>
      </c>
      <c r="B720" t="str">
        <f ca="1">IFERROR(__xludf.DUMMYFUNCTION("""COMPUTED_VALUE"""),"akhilalezz@gmail.com")</f>
        <v>akhilalezz@gmail.com</v>
      </c>
      <c r="C720">
        <f ca="1">IFERROR(__xludf.DUMMYFUNCTION("""COMPUTED_VALUE"""),1145)</f>
        <v>1145</v>
      </c>
      <c r="D720" t="str">
        <f ca="1">IFERROR(__xludf.DUMMYFUNCTION("""COMPUTED_VALUE"""),"Chandrika K")</f>
        <v>Chandrika K</v>
      </c>
      <c r="E720">
        <f ca="1">IFERROR(__xludf.DUMMYFUNCTION("""COMPUTED_VALUE"""),7907009190)</f>
        <v>7907009190</v>
      </c>
      <c r="F720" t="str">
        <f ca="1">IFERROR(__xludf.DUMMYFUNCTION("""COMPUTED_VALUE"""),"Alappuzha")</f>
        <v>Alappuzha</v>
      </c>
      <c r="G720" t="str">
        <f ca="1">IFERROR(__xludf.DUMMYFUNCTION("""COMPUTED_VALUE"""),"SOLGEN ENERGY PVT LTD")</f>
        <v>SOLGEN ENERGY PVT LTD</v>
      </c>
      <c r="H720">
        <f ca="1">IFERROR(__xludf.DUMMYFUNCTION("""COMPUTED_VALUE"""),42)</f>
        <v>42</v>
      </c>
      <c r="I720" s="4">
        <f ca="1">IFERROR(__xludf.DUMMYFUNCTION("""COMPUTED_VALUE"""),43242)</f>
        <v>43242</v>
      </c>
      <c r="J720">
        <f ca="1">IFERROR(__xludf.DUMMYFUNCTION("""COMPUTED_VALUE"""),5)</f>
        <v>5</v>
      </c>
      <c r="K720">
        <f ca="1">IFERROR(__xludf.DUMMYFUNCTION("""COMPUTED_VALUE"""),1155058001820)</f>
        <v>1155058001820</v>
      </c>
      <c r="L720" t="str">
        <f ca="1">IFERROR(__xludf.DUMMYFUNCTION("""COMPUTED_VALUE"""),"ambalappuzha")</f>
        <v>ambalappuzha</v>
      </c>
      <c r="M720" t="str">
        <f ca="1">IFERROR(__xludf.DUMMYFUNCTION("""COMPUTED_VALUE"""),"I Accept")</f>
        <v>I Accept</v>
      </c>
      <c r="N720" s="4">
        <f ca="1">IFERROR(__xludf.DUMMYFUNCTION("""COMPUTED_VALUE"""),43193)</f>
        <v>43193</v>
      </c>
      <c r="O720" s="4">
        <f ca="1">IFERROR(__xludf.DUMMYFUNCTION("""COMPUTED_VALUE"""),43202)</f>
        <v>43202</v>
      </c>
      <c r="P720">
        <f ca="1">IFERROR(__xludf.DUMMYFUNCTION("""COMPUTED_VALUE"""),5)</f>
        <v>5</v>
      </c>
      <c r="Q720" t="str">
        <f ca="1">IFERROR(__xludf.DUMMYFUNCTION("""COMPUTED_VALUE"""),"akhilalezz@gmail.com")</f>
        <v>akhilalezz@gmail.com</v>
      </c>
      <c r="R720" s="2" t="s">
        <v>3134</v>
      </c>
    </row>
    <row r="721" spans="1:18" ht="13" x14ac:dyDescent="0.15">
      <c r="A721" s="3">
        <f ca="1">IFERROR(__xludf.DUMMYFUNCTION("""COMPUTED_VALUE"""),43250.651651875)</f>
        <v>43250.651651875</v>
      </c>
      <c r="B721" t="str">
        <f ca="1">IFERROR(__xludf.DUMMYFUNCTION("""COMPUTED_VALUE"""),"akhilalezz@gmail.com")</f>
        <v>akhilalezz@gmail.com</v>
      </c>
      <c r="C721">
        <f ca="1">IFERROR(__xludf.DUMMYFUNCTION("""COMPUTED_VALUE"""),1146)</f>
        <v>1146</v>
      </c>
      <c r="D721" t="str">
        <f ca="1">IFERROR(__xludf.DUMMYFUNCTION("""COMPUTED_VALUE"""),"Viju Antony")</f>
        <v>Viju Antony</v>
      </c>
      <c r="E721">
        <f ca="1">IFERROR(__xludf.DUMMYFUNCTION("""COMPUTED_VALUE"""),7907009190)</f>
        <v>7907009190</v>
      </c>
      <c r="F721" t="str">
        <f ca="1">IFERROR(__xludf.DUMMYFUNCTION("""COMPUTED_VALUE"""),"Ernakulam")</f>
        <v>Ernakulam</v>
      </c>
      <c r="G721" t="str">
        <f ca="1">IFERROR(__xludf.DUMMYFUNCTION("""COMPUTED_VALUE"""),"SOLGEN ENERGY PVT LTD")</f>
        <v>SOLGEN ENERGY PVT LTD</v>
      </c>
      <c r="H721">
        <f ca="1">IFERROR(__xludf.DUMMYFUNCTION("""COMPUTED_VALUE"""),42)</f>
        <v>42</v>
      </c>
      <c r="I721" s="4">
        <f ca="1">IFERROR(__xludf.DUMMYFUNCTION("""COMPUTED_VALUE"""),43242)</f>
        <v>43242</v>
      </c>
      <c r="J721">
        <f ca="1">IFERROR(__xludf.DUMMYFUNCTION("""COMPUTED_VALUE"""),3)</f>
        <v>3</v>
      </c>
      <c r="K721">
        <f ca="1">IFERROR(__xludf.DUMMYFUNCTION("""COMPUTED_VALUE"""),1155466023867)</f>
        <v>1155466023867</v>
      </c>
      <c r="L721" t="str">
        <f ca="1">IFERROR(__xludf.DUMMYFUNCTION("""COMPUTED_VALUE"""),"ernakulam central")</f>
        <v>ernakulam central</v>
      </c>
      <c r="M721" t="str">
        <f ca="1">IFERROR(__xludf.DUMMYFUNCTION("""COMPUTED_VALUE"""),"I Accept")</f>
        <v>I Accept</v>
      </c>
      <c r="N721" s="4">
        <f ca="1">IFERROR(__xludf.DUMMYFUNCTION("""COMPUTED_VALUE"""),43222)</f>
        <v>43222</v>
      </c>
      <c r="O721" s="4">
        <f ca="1">IFERROR(__xludf.DUMMYFUNCTION("""COMPUTED_VALUE"""),43228)</f>
        <v>43228</v>
      </c>
      <c r="P721">
        <f ca="1">IFERROR(__xludf.DUMMYFUNCTION("""COMPUTED_VALUE"""),3)</f>
        <v>3</v>
      </c>
      <c r="Q721" t="str">
        <f ca="1">IFERROR(__xludf.DUMMYFUNCTION("""COMPUTED_VALUE"""),"akhilalezz@gmail.com")</f>
        <v>akhilalezz@gmail.com</v>
      </c>
      <c r="R721" s="2" t="s">
        <v>3135</v>
      </c>
    </row>
    <row r="722" spans="1:18" ht="13" x14ac:dyDescent="0.15">
      <c r="A722" s="3">
        <f ca="1">IFERROR(__xludf.DUMMYFUNCTION("""COMPUTED_VALUE"""),43250.6547631828)</f>
        <v>43250.6547631828</v>
      </c>
      <c r="B722" t="str">
        <f ca="1">IFERROR(__xludf.DUMMYFUNCTION("""COMPUTED_VALUE"""),"akhilalezz@gmail.com")</f>
        <v>akhilalezz@gmail.com</v>
      </c>
      <c r="C722">
        <f ca="1">IFERROR(__xludf.DUMMYFUNCTION("""COMPUTED_VALUE"""),1144)</f>
        <v>1144</v>
      </c>
      <c r="D722" t="str">
        <f ca="1">IFERROR(__xludf.DUMMYFUNCTION("""COMPUTED_VALUE"""),"Sanu S Unni")</f>
        <v>Sanu S Unni</v>
      </c>
      <c r="E722">
        <f ca="1">IFERROR(__xludf.DUMMYFUNCTION("""COMPUTED_VALUE"""),7907009190)</f>
        <v>7907009190</v>
      </c>
      <c r="F722" t="str">
        <f ca="1">IFERROR(__xludf.DUMMYFUNCTION("""COMPUTED_VALUE"""),"Alappuzha")</f>
        <v>Alappuzha</v>
      </c>
      <c r="G722" t="str">
        <f ca="1">IFERROR(__xludf.DUMMYFUNCTION("""COMPUTED_VALUE"""),"SOLGEN ENERGY PVT LTD")</f>
        <v>SOLGEN ENERGY PVT LTD</v>
      </c>
      <c r="H722">
        <f ca="1">IFERROR(__xludf.DUMMYFUNCTION("""COMPUTED_VALUE"""),42)</f>
        <v>42</v>
      </c>
      <c r="I722" s="4">
        <f ca="1">IFERROR(__xludf.DUMMYFUNCTION("""COMPUTED_VALUE"""),43242)</f>
        <v>43242</v>
      </c>
      <c r="J722">
        <f ca="1">IFERROR(__xludf.DUMMYFUNCTION("""COMPUTED_VALUE"""),3)</f>
        <v>3</v>
      </c>
      <c r="K722">
        <f ca="1">IFERROR(__xludf.DUMMYFUNCTION("""COMPUTED_VALUE"""),1157260005561)</f>
        <v>1157260005561</v>
      </c>
      <c r="L722" t="str">
        <f ca="1">IFERROR(__xludf.DUMMYFUNCTION("""COMPUTED_VALUE"""),"Kalavor")</f>
        <v>Kalavor</v>
      </c>
      <c r="M722" t="str">
        <f ca="1">IFERROR(__xludf.DUMMYFUNCTION("""COMPUTED_VALUE"""),"I Accept")</f>
        <v>I Accept</v>
      </c>
      <c r="N722" s="4">
        <f ca="1">IFERROR(__xludf.DUMMYFUNCTION("""COMPUTED_VALUE"""),43245)</f>
        <v>43245</v>
      </c>
      <c r="O722" s="4">
        <f ca="1">IFERROR(__xludf.DUMMYFUNCTION("""COMPUTED_VALUE"""),43246)</f>
        <v>43246</v>
      </c>
      <c r="P722">
        <f ca="1">IFERROR(__xludf.DUMMYFUNCTION("""COMPUTED_VALUE"""),3)</f>
        <v>3</v>
      </c>
      <c r="Q722" t="str">
        <f ca="1">IFERROR(__xludf.DUMMYFUNCTION("""COMPUTED_VALUE"""),"akhilalezz@gmail.com")</f>
        <v>akhilalezz@gmail.com</v>
      </c>
      <c r="R722" s="2" t="s">
        <v>3136</v>
      </c>
    </row>
    <row r="723" spans="1:18" ht="13" x14ac:dyDescent="0.15">
      <c r="A723" s="3">
        <f ca="1">IFERROR(__xludf.DUMMYFUNCTION("""COMPUTED_VALUE"""),43250.6625125462)</f>
        <v>43250.662512546201</v>
      </c>
      <c r="B723" t="str">
        <f ca="1">IFERROR(__xludf.DUMMYFUNCTION("""COMPUTED_VALUE"""),"akhilalezz@gmail.com")</f>
        <v>akhilalezz@gmail.com</v>
      </c>
      <c r="C723">
        <f ca="1">IFERROR(__xludf.DUMMYFUNCTION("""COMPUTED_VALUE"""),642)</f>
        <v>642</v>
      </c>
      <c r="D723" t="str">
        <f ca="1">IFERROR(__xludf.DUMMYFUNCTION("""COMPUTED_VALUE"""),"JERALD P A")</f>
        <v>JERALD P A</v>
      </c>
      <c r="E723">
        <f ca="1">IFERROR(__xludf.DUMMYFUNCTION("""COMPUTED_VALUE"""),7907009190)</f>
        <v>7907009190</v>
      </c>
      <c r="F723" t="str">
        <f ca="1">IFERROR(__xludf.DUMMYFUNCTION("""COMPUTED_VALUE"""),"Ernakulam")</f>
        <v>Ernakulam</v>
      </c>
      <c r="G723" t="str">
        <f ca="1">IFERROR(__xludf.DUMMYFUNCTION("""COMPUTED_VALUE"""),"SOLGEN ENERGY PVT LTD")</f>
        <v>SOLGEN ENERGY PVT LTD</v>
      </c>
      <c r="H723">
        <f ca="1">IFERROR(__xludf.DUMMYFUNCTION("""COMPUTED_VALUE"""),42)</f>
        <v>42</v>
      </c>
      <c r="I723" s="4">
        <f ca="1">IFERROR(__xludf.DUMMYFUNCTION("""COMPUTED_VALUE"""),43242)</f>
        <v>43242</v>
      </c>
      <c r="J723">
        <f ca="1">IFERROR(__xludf.DUMMYFUNCTION("""COMPUTED_VALUE"""),5)</f>
        <v>5</v>
      </c>
      <c r="K723">
        <f ca="1">IFERROR(__xludf.DUMMYFUNCTION("""COMPUTED_VALUE"""),1155644017004)</f>
        <v>1155644017004</v>
      </c>
      <c r="L723" t="str">
        <f ca="1">IFERROR(__xludf.DUMMYFUNCTION("""COMPUTED_VALUE"""),"FORTKOCHI")</f>
        <v>FORTKOCHI</v>
      </c>
      <c r="M723" t="str">
        <f ca="1">IFERROR(__xludf.DUMMYFUNCTION("""COMPUTED_VALUE"""),"I Accept")</f>
        <v>I Accept</v>
      </c>
      <c r="N723" s="4">
        <f ca="1">IFERROR(__xludf.DUMMYFUNCTION("""COMPUTED_VALUE"""),43210)</f>
        <v>43210</v>
      </c>
      <c r="O723" s="4">
        <f ca="1">IFERROR(__xludf.DUMMYFUNCTION("""COMPUTED_VALUE"""),43210)</f>
        <v>43210</v>
      </c>
      <c r="P723">
        <f ca="1">IFERROR(__xludf.DUMMYFUNCTION("""COMPUTED_VALUE"""),5)</f>
        <v>5</v>
      </c>
      <c r="Q723" t="str">
        <f ca="1">IFERROR(__xludf.DUMMYFUNCTION("""COMPUTED_VALUE"""),"akhilalezz@gmail.com")</f>
        <v>akhilalezz@gmail.com</v>
      </c>
      <c r="R723" s="2" t="s">
        <v>3137</v>
      </c>
    </row>
    <row r="724" spans="1:18" ht="13" x14ac:dyDescent="0.15">
      <c r="A724" s="3">
        <f ca="1">IFERROR(__xludf.DUMMYFUNCTION("""COMPUTED_VALUE"""),43250.9570645023)</f>
        <v>43250.957064502298</v>
      </c>
      <c r="B724" t="str">
        <f ca="1">IFERROR(__xludf.DUMMYFUNCTION("""COMPUTED_VALUE"""),"athira315@gmail.com ")</f>
        <v xml:space="preserve">athira315@gmail.com </v>
      </c>
      <c r="C724">
        <f ca="1">IFERROR(__xludf.DUMMYFUNCTION("""COMPUTED_VALUE"""),1117)</f>
        <v>1117</v>
      </c>
      <c r="D724" t="str">
        <f ca="1">IFERROR(__xludf.DUMMYFUNCTION("""COMPUTED_VALUE"""),"Radhakrishnan Nair B ")</f>
        <v xml:space="preserve">Radhakrishnan Nair B </v>
      </c>
      <c r="E724">
        <f ca="1">IFERROR(__xludf.DUMMYFUNCTION("""COMPUTED_VALUE"""),9048536921)</f>
        <v>9048536921</v>
      </c>
      <c r="F724" t="str">
        <f ca="1">IFERROR(__xludf.DUMMYFUNCTION("""COMPUTED_VALUE"""),"Kollam")</f>
        <v>Kollam</v>
      </c>
      <c r="G724" t="str">
        <f ca="1">IFERROR(__xludf.DUMMYFUNCTION("""COMPUTED_VALUE"""),"Tata power solar")</f>
        <v>Tata power solar</v>
      </c>
      <c r="H724">
        <f ca="1">IFERROR(__xludf.DUMMYFUNCTION("""COMPUTED_VALUE"""),20)</f>
        <v>20</v>
      </c>
      <c r="I724" s="4">
        <f ca="1">IFERROR(__xludf.DUMMYFUNCTION("""COMPUTED_VALUE"""),43236)</f>
        <v>43236</v>
      </c>
      <c r="J724">
        <f ca="1">IFERROR(__xludf.DUMMYFUNCTION("""COMPUTED_VALUE"""),3)</f>
        <v>3</v>
      </c>
      <c r="K724">
        <f ca="1">IFERROR(__xludf.DUMMYFUNCTION("""COMPUTED_VALUE"""),22649)</f>
        <v>22649</v>
      </c>
      <c r="L724" t="str">
        <f ca="1">IFERROR(__xludf.DUMMYFUNCTION("""COMPUTED_VALUE"""),"4587-kottarakara")</f>
        <v>4587-kottarakara</v>
      </c>
      <c r="M724" t="str">
        <f ca="1">IFERROR(__xludf.DUMMYFUNCTION("""COMPUTED_VALUE"""),"I Accept")</f>
        <v>I Accept</v>
      </c>
      <c r="N724" s="4">
        <f ca="1">IFERROR(__xludf.DUMMYFUNCTION("""COMPUTED_VALUE"""),43214)</f>
        <v>43214</v>
      </c>
      <c r="O724" s="4">
        <f ca="1">IFERROR(__xludf.DUMMYFUNCTION("""COMPUTED_VALUE"""),43214)</f>
        <v>43214</v>
      </c>
      <c r="P724">
        <f ca="1">IFERROR(__xludf.DUMMYFUNCTION("""COMPUTED_VALUE"""),3)</f>
        <v>3</v>
      </c>
      <c r="Q724" t="str">
        <f ca="1">IFERROR(__xludf.DUMMYFUNCTION("""COMPUTED_VALUE"""),"athira315@gmail.com")</f>
        <v>athira315@gmail.com</v>
      </c>
      <c r="R724" s="2" t="s">
        <v>3138</v>
      </c>
    </row>
    <row r="725" spans="1:18" ht="13" x14ac:dyDescent="0.15">
      <c r="A725" s="3">
        <f ca="1">IFERROR(__xludf.DUMMYFUNCTION("""COMPUTED_VALUE"""),43250.9651615856)</f>
        <v>43250.965161585598</v>
      </c>
      <c r="B725" t="str">
        <f ca="1">IFERROR(__xludf.DUMMYFUNCTION("""COMPUTED_VALUE"""),"sooraj4suresh@gmail.com")</f>
        <v>sooraj4suresh@gmail.com</v>
      </c>
      <c r="C725">
        <f ca="1">IFERROR(__xludf.DUMMYFUNCTION("""COMPUTED_VALUE"""),1248)</f>
        <v>1248</v>
      </c>
      <c r="D725" t="str">
        <f ca="1">IFERROR(__xludf.DUMMYFUNCTION("""COMPUTED_VALUE"""),"Joseph Sebastian")</f>
        <v>Joseph Sebastian</v>
      </c>
      <c r="E725">
        <f ca="1">IFERROR(__xludf.DUMMYFUNCTION("""COMPUTED_VALUE"""),8289938304)</f>
        <v>8289938304</v>
      </c>
      <c r="F725" t="str">
        <f ca="1">IFERROR(__xludf.DUMMYFUNCTION("""COMPUTED_VALUE"""),"Ernakulam")</f>
        <v>Ernakulam</v>
      </c>
      <c r="G725" t="str">
        <f ca="1">IFERROR(__xludf.DUMMYFUNCTION("""COMPUTED_VALUE"""),"SIRET SOLAR PVT.LTD ")</f>
        <v xml:space="preserve">SIRET SOLAR PVT.LTD </v>
      </c>
      <c r="H725">
        <f ca="1">IFERROR(__xludf.DUMMYFUNCTION("""COMPUTED_VALUE"""),21)</f>
        <v>21</v>
      </c>
      <c r="I725" s="4">
        <f ca="1">IFERROR(__xludf.DUMMYFUNCTION("""COMPUTED_VALUE"""),43252)</f>
        <v>43252</v>
      </c>
      <c r="J725">
        <f ca="1">IFERROR(__xludf.DUMMYFUNCTION("""COMPUTED_VALUE"""),3)</f>
        <v>3</v>
      </c>
      <c r="K725">
        <f ca="1">IFERROR(__xludf.DUMMYFUNCTION("""COMPUTED_VALUE"""),1155821002343)</f>
        <v>1155821002343</v>
      </c>
      <c r="L725" t="str">
        <f ca="1">IFERROR(__xludf.DUMMYFUNCTION("""COMPUTED_VALUE"""),"Mookannur")</f>
        <v>Mookannur</v>
      </c>
      <c r="M725" t="str">
        <f ca="1">IFERROR(__xludf.DUMMYFUNCTION("""COMPUTED_VALUE"""),"I Accept")</f>
        <v>I Accept</v>
      </c>
      <c r="N725" s="4">
        <f ca="1">IFERROR(__xludf.DUMMYFUNCTION("""COMPUTED_VALUE"""),43235)</f>
        <v>43235</v>
      </c>
      <c r="O725" s="4">
        <f ca="1">IFERROR(__xludf.DUMMYFUNCTION("""COMPUTED_VALUE"""),43235)</f>
        <v>43235</v>
      </c>
      <c r="P725">
        <f ca="1">IFERROR(__xludf.DUMMYFUNCTION("""COMPUTED_VALUE"""),3)</f>
        <v>3</v>
      </c>
      <c r="Q725" t="str">
        <f ca="1">IFERROR(__xludf.DUMMYFUNCTION("""COMPUTED_VALUE"""),"sooraj4suresh@gmail.com")</f>
        <v>sooraj4suresh@gmail.com</v>
      </c>
      <c r="R725" s="2" t="s">
        <v>3139</v>
      </c>
    </row>
    <row r="726" spans="1:18" ht="13" x14ac:dyDescent="0.15">
      <c r="A726" s="3">
        <f ca="1">IFERROR(__xludf.DUMMYFUNCTION("""COMPUTED_VALUE"""),43251.4180879976)</f>
        <v>43251.418087997597</v>
      </c>
      <c r="B726" t="str">
        <f ca="1">IFERROR(__xludf.DUMMYFUNCTION("""COMPUTED_VALUE"""),"connectdsk@gmail.com")</f>
        <v>connectdsk@gmail.com</v>
      </c>
      <c r="C726">
        <f ca="1">IFERROR(__xludf.DUMMYFUNCTION("""COMPUTED_VALUE"""),1072)</f>
        <v>1072</v>
      </c>
      <c r="D726" t="str">
        <f ca="1">IFERROR(__xludf.DUMMYFUNCTION("""COMPUTED_VALUE"""),"SULFIKHARALI THALIKA PARAMBIL")</f>
        <v>SULFIKHARALI THALIKA PARAMBIL</v>
      </c>
      <c r="E726">
        <f ca="1">IFERROR(__xludf.DUMMYFUNCTION("""COMPUTED_VALUE"""),8547564126)</f>
        <v>8547564126</v>
      </c>
      <c r="F726" t="str">
        <f ca="1">IFERROR(__xludf.DUMMYFUNCTION("""COMPUTED_VALUE"""),"Malappuram")</f>
        <v>Malappuram</v>
      </c>
      <c r="G726" t="str">
        <f ca="1">IFERROR(__xludf.DUMMYFUNCTION("""COMPUTED_VALUE"""),"FERT")</f>
        <v>FERT</v>
      </c>
      <c r="H726">
        <f ca="1">IFERROR(__xludf.DUMMYFUNCTION("""COMPUTED_VALUE"""),27)</f>
        <v>27</v>
      </c>
      <c r="I726" s="4">
        <f ca="1">IFERROR(__xludf.DUMMYFUNCTION("""COMPUTED_VALUE"""),43242)</f>
        <v>43242</v>
      </c>
      <c r="J726">
        <f ca="1">IFERROR(__xludf.DUMMYFUNCTION("""COMPUTED_VALUE"""),3)</f>
        <v>3</v>
      </c>
      <c r="K726">
        <f ca="1">IFERROR(__xludf.DUMMYFUNCTION("""COMPUTED_VALUE"""),1167126003799)</f>
        <v>1167126003799</v>
      </c>
      <c r="L726" t="str">
        <f ca="1">IFERROR(__xludf.DUMMYFUNCTION("""COMPUTED_VALUE"""),"KUTTIPURAM")</f>
        <v>KUTTIPURAM</v>
      </c>
      <c r="M726" t="str">
        <f ca="1">IFERROR(__xludf.DUMMYFUNCTION("""COMPUTED_VALUE"""),"I Accept")</f>
        <v>I Accept</v>
      </c>
      <c r="N726" s="4">
        <f ca="1">IFERROR(__xludf.DUMMYFUNCTION("""COMPUTED_VALUE"""),43242)</f>
        <v>43242</v>
      </c>
      <c r="O726" s="4">
        <f ca="1">IFERROR(__xludf.DUMMYFUNCTION("""COMPUTED_VALUE"""),43242)</f>
        <v>43242</v>
      </c>
      <c r="P726">
        <f ca="1">IFERROR(__xludf.DUMMYFUNCTION("""COMPUTED_VALUE"""),3)</f>
        <v>3</v>
      </c>
      <c r="Q726" t="str">
        <f ca="1">IFERROR(__xludf.DUMMYFUNCTION("""COMPUTED_VALUE"""),"connectdsk@gmail.com")</f>
        <v>connectdsk@gmail.com</v>
      </c>
      <c r="R726" s="2" t="s">
        <v>3140</v>
      </c>
    </row>
    <row r="727" spans="1:18" ht="13" x14ac:dyDescent="0.15">
      <c r="A727" s="3">
        <f ca="1">IFERROR(__xludf.DUMMYFUNCTION("""COMPUTED_VALUE"""),43251.4280305208)</f>
        <v>43251.428030520801</v>
      </c>
      <c r="B727" t="str">
        <f ca="1">IFERROR(__xludf.DUMMYFUNCTION("""COMPUTED_VALUE"""),"connectdsk@gmail.com")</f>
        <v>connectdsk@gmail.com</v>
      </c>
      <c r="C727">
        <f ca="1">IFERROR(__xludf.DUMMYFUNCTION("""COMPUTED_VALUE"""),1159)</f>
        <v>1159</v>
      </c>
      <c r="D727" t="str">
        <f ca="1">IFERROR(__xludf.DUMMYFUNCTION("""COMPUTED_VALUE"""),"SANJEEV")</f>
        <v>SANJEEV</v>
      </c>
      <c r="E727">
        <f ca="1">IFERROR(__xludf.DUMMYFUNCTION("""COMPUTED_VALUE"""),8547564126)</f>
        <v>8547564126</v>
      </c>
      <c r="F727" t="str">
        <f ca="1">IFERROR(__xludf.DUMMYFUNCTION("""COMPUTED_VALUE"""),"Kollam")</f>
        <v>Kollam</v>
      </c>
      <c r="G727" t="str">
        <f ca="1">IFERROR(__xludf.DUMMYFUNCTION("""COMPUTED_VALUE"""),"FERT")</f>
        <v>FERT</v>
      </c>
      <c r="H727">
        <f ca="1">IFERROR(__xludf.DUMMYFUNCTION("""COMPUTED_VALUE"""),27)</f>
        <v>27</v>
      </c>
      <c r="I727" s="4">
        <f ca="1">IFERROR(__xludf.DUMMYFUNCTION("""COMPUTED_VALUE"""),43250)</f>
        <v>43250</v>
      </c>
      <c r="J727">
        <f ca="1">IFERROR(__xludf.DUMMYFUNCTION("""COMPUTED_VALUE"""),3)</f>
        <v>3</v>
      </c>
      <c r="K727">
        <f ca="1">IFERROR(__xludf.DUMMYFUNCTION("""COMPUTED_VALUE"""),1145606007380)</f>
        <v>1145606007380</v>
      </c>
      <c r="L727" t="str">
        <f ca="1">IFERROR(__xludf.DUMMYFUNCTION("""COMPUTED_VALUE"""),"OLAI")</f>
        <v>OLAI</v>
      </c>
      <c r="M727" t="str">
        <f ca="1">IFERROR(__xludf.DUMMYFUNCTION("""COMPUTED_VALUE"""),"I Accept")</f>
        <v>I Accept</v>
      </c>
      <c r="N727" s="4">
        <f ca="1">IFERROR(__xludf.DUMMYFUNCTION("""COMPUTED_VALUE"""),43250)</f>
        <v>43250</v>
      </c>
      <c r="O727" s="4">
        <f ca="1">IFERROR(__xludf.DUMMYFUNCTION("""COMPUTED_VALUE"""),43250)</f>
        <v>43250</v>
      </c>
      <c r="P727">
        <f ca="1">IFERROR(__xludf.DUMMYFUNCTION("""COMPUTED_VALUE"""),3)</f>
        <v>3</v>
      </c>
      <c r="Q727" t="str">
        <f ca="1">IFERROR(__xludf.DUMMYFUNCTION("""COMPUTED_VALUE"""),"connectdsk@gmail.com")</f>
        <v>connectdsk@gmail.com</v>
      </c>
      <c r="R727" s="2" t="s">
        <v>3141</v>
      </c>
    </row>
    <row r="728" spans="1:18" ht="13" x14ac:dyDescent="0.15">
      <c r="A728" s="3">
        <f ca="1">IFERROR(__xludf.DUMMYFUNCTION("""COMPUTED_VALUE"""),43251.690985787)</f>
        <v>43251.690985786998</v>
      </c>
      <c r="B728" t="str">
        <f ca="1">IFERROR(__xludf.DUMMYFUNCTION("""COMPUTED_VALUE"""),"connectdsk@gmail.com")</f>
        <v>connectdsk@gmail.com</v>
      </c>
      <c r="C728">
        <f ca="1">IFERROR(__xludf.DUMMYFUNCTION("""COMPUTED_VALUE"""),1187)</f>
        <v>1187</v>
      </c>
      <c r="D728" t="str">
        <f ca="1">IFERROR(__xludf.DUMMYFUNCTION("""COMPUTED_VALUE"""),"ABDUL NAZAR N M")</f>
        <v>ABDUL NAZAR N M</v>
      </c>
      <c r="E728">
        <f ca="1">IFERROR(__xludf.DUMMYFUNCTION("""COMPUTED_VALUE"""),8547564126)</f>
        <v>8547564126</v>
      </c>
      <c r="F728" t="str">
        <f ca="1">IFERROR(__xludf.DUMMYFUNCTION("""COMPUTED_VALUE"""),"Kozhikode")</f>
        <v>Kozhikode</v>
      </c>
      <c r="G728" t="str">
        <f ca="1">IFERROR(__xludf.DUMMYFUNCTION("""COMPUTED_VALUE"""),"FERT")</f>
        <v>FERT</v>
      </c>
      <c r="H728">
        <f ca="1">IFERROR(__xludf.DUMMYFUNCTION("""COMPUTED_VALUE"""),27)</f>
        <v>27</v>
      </c>
      <c r="I728" s="4">
        <f ca="1">IFERROR(__xludf.DUMMYFUNCTION("""COMPUTED_VALUE"""),43246)</f>
        <v>43246</v>
      </c>
      <c r="J728">
        <f ca="1">IFERROR(__xludf.DUMMYFUNCTION("""COMPUTED_VALUE"""),3)</f>
        <v>3</v>
      </c>
      <c r="K728">
        <f ca="1">IFERROR(__xludf.DUMMYFUNCTION("""COMPUTED_VALUE"""),11660559020595)</f>
        <v>11660559020595</v>
      </c>
      <c r="L728" t="str">
        <f ca="1">IFERROR(__xludf.DUMMYFUNCTION("""COMPUTED_VALUE"""),"VELLIMADAKUNNU")</f>
        <v>VELLIMADAKUNNU</v>
      </c>
      <c r="M728" t="str">
        <f ca="1">IFERROR(__xludf.DUMMYFUNCTION("""COMPUTED_VALUE"""),"I Accept")</f>
        <v>I Accept</v>
      </c>
      <c r="N728" s="4">
        <f ca="1">IFERROR(__xludf.DUMMYFUNCTION("""COMPUTED_VALUE"""),43246)</f>
        <v>43246</v>
      </c>
      <c r="O728" s="4">
        <f ca="1">IFERROR(__xludf.DUMMYFUNCTION("""COMPUTED_VALUE"""),43246)</f>
        <v>43246</v>
      </c>
      <c r="P728">
        <f ca="1">IFERROR(__xludf.DUMMYFUNCTION("""COMPUTED_VALUE"""),3)</f>
        <v>3</v>
      </c>
      <c r="Q728" t="str">
        <f ca="1">IFERROR(__xludf.DUMMYFUNCTION("""COMPUTED_VALUE"""),"connectdsk@gmail.com")</f>
        <v>connectdsk@gmail.com</v>
      </c>
      <c r="R728" s="2" t="s">
        <v>3142</v>
      </c>
    </row>
    <row r="729" spans="1:18" ht="13" x14ac:dyDescent="0.15">
      <c r="A729" s="3">
        <f ca="1">IFERROR(__xludf.DUMMYFUNCTION("""COMPUTED_VALUE"""),43251.6931210185)</f>
        <v>43251.693121018499</v>
      </c>
      <c r="B729" t="str">
        <f ca="1">IFERROR(__xludf.DUMMYFUNCTION("""COMPUTED_VALUE"""),"connectdsk@gmail.com")</f>
        <v>connectdsk@gmail.com</v>
      </c>
      <c r="C729">
        <f ca="1">IFERROR(__xludf.DUMMYFUNCTION("""COMPUTED_VALUE"""),1168)</f>
        <v>1168</v>
      </c>
      <c r="D729" t="str">
        <f ca="1">IFERROR(__xludf.DUMMYFUNCTION("""COMPUTED_VALUE"""),"LAILA RASHEED")</f>
        <v>LAILA RASHEED</v>
      </c>
      <c r="E729">
        <f ca="1">IFERROR(__xludf.DUMMYFUNCTION("""COMPUTED_VALUE"""),8547564126)</f>
        <v>8547564126</v>
      </c>
      <c r="F729" t="str">
        <f ca="1">IFERROR(__xludf.DUMMYFUNCTION("""COMPUTED_VALUE"""),"Kozhikode")</f>
        <v>Kozhikode</v>
      </c>
      <c r="G729" t="str">
        <f ca="1">IFERROR(__xludf.DUMMYFUNCTION("""COMPUTED_VALUE"""),"FERT")</f>
        <v>FERT</v>
      </c>
      <c r="H729">
        <f ca="1">IFERROR(__xludf.DUMMYFUNCTION("""COMPUTED_VALUE"""),27)</f>
        <v>27</v>
      </c>
      <c r="I729" s="4">
        <f ca="1">IFERROR(__xludf.DUMMYFUNCTION("""COMPUTED_VALUE"""),43250)</f>
        <v>43250</v>
      </c>
      <c r="J729">
        <f ca="1">IFERROR(__xludf.DUMMYFUNCTION("""COMPUTED_VALUE"""),5)</f>
        <v>5</v>
      </c>
      <c r="K729">
        <f ca="1">IFERROR(__xludf.DUMMYFUNCTION("""COMPUTED_VALUE"""),1165978004180)</f>
        <v>1165978004180</v>
      </c>
      <c r="L729" t="str">
        <f ca="1">IFERROR(__xludf.DUMMYFUNCTION("""COMPUTED_VALUE"""),"POTTAMMAL")</f>
        <v>POTTAMMAL</v>
      </c>
      <c r="M729" t="str">
        <f ca="1">IFERROR(__xludf.DUMMYFUNCTION("""COMPUTED_VALUE"""),"I Accept")</f>
        <v>I Accept</v>
      </c>
      <c r="N729" s="4">
        <f ca="1">IFERROR(__xludf.DUMMYFUNCTION("""COMPUTED_VALUE"""),43250)</f>
        <v>43250</v>
      </c>
      <c r="O729" s="4">
        <f ca="1">IFERROR(__xludf.DUMMYFUNCTION("""COMPUTED_VALUE"""),43250)</f>
        <v>43250</v>
      </c>
      <c r="P729">
        <f ca="1">IFERROR(__xludf.DUMMYFUNCTION("""COMPUTED_VALUE"""),5)</f>
        <v>5</v>
      </c>
      <c r="Q729" t="str">
        <f ca="1">IFERROR(__xludf.DUMMYFUNCTION("""COMPUTED_VALUE"""),"connectdsk@gmail.com")</f>
        <v>connectdsk@gmail.com</v>
      </c>
      <c r="R729" s="2" t="s">
        <v>3143</v>
      </c>
    </row>
    <row r="730" spans="1:18" ht="13" x14ac:dyDescent="0.15">
      <c r="A730" s="3">
        <f ca="1">IFERROR(__xludf.DUMMYFUNCTION("""COMPUTED_VALUE"""),43251.7508677893)</f>
        <v>43251.750867789298</v>
      </c>
      <c r="B730" t="str">
        <f ca="1">IFERROR(__xludf.DUMMYFUNCTION("""COMPUTED_VALUE"""),"info@wattsun.in")</f>
        <v>info@wattsun.in</v>
      </c>
      <c r="C730">
        <f ca="1">IFERROR(__xludf.DUMMYFUNCTION("""COMPUTED_VALUE"""),762)</f>
        <v>762</v>
      </c>
      <c r="D730" t="str">
        <f ca="1">IFERROR(__xludf.DUMMYFUNCTION("""COMPUTED_VALUE"""),"Shahabudeen M")</f>
        <v>Shahabudeen M</v>
      </c>
      <c r="E730">
        <f ca="1">IFERROR(__xludf.DUMMYFUNCTION("""COMPUTED_VALUE"""),9072666513)</f>
        <v>9072666513</v>
      </c>
      <c r="F730" t="str">
        <f ca="1">IFERROR(__xludf.DUMMYFUNCTION("""COMPUTED_VALUE"""),"Thiruvananthapuram")</f>
        <v>Thiruvananthapuram</v>
      </c>
      <c r="G730" t="str">
        <f ca="1">IFERROR(__xludf.DUMMYFUNCTION("""COMPUTED_VALUE"""),"M/S Wattsun Energy India Private Limited")</f>
        <v>M/S Wattsun Energy India Private Limited</v>
      </c>
      <c r="H730">
        <f ca="1">IFERROR(__xludf.DUMMYFUNCTION("""COMPUTED_VALUE"""),54)</f>
        <v>54</v>
      </c>
      <c r="I730" s="4">
        <f ca="1">IFERROR(__xludf.DUMMYFUNCTION("""COMPUTED_VALUE"""),43246)</f>
        <v>43246</v>
      </c>
      <c r="J730">
        <f ca="1">IFERROR(__xludf.DUMMYFUNCTION("""COMPUTED_VALUE"""),3)</f>
        <v>3</v>
      </c>
      <c r="K730">
        <f ca="1">IFERROR(__xludf.DUMMYFUNCTION("""COMPUTED_VALUE"""),1145173000740)</f>
        <v>1145173000740</v>
      </c>
      <c r="L730" t="str">
        <f ca="1">IFERROR(__xludf.DUMMYFUNCTION("""COMPUTED_VALUE"""),"ulloor")</f>
        <v>ulloor</v>
      </c>
      <c r="M730" t="str">
        <f ca="1">IFERROR(__xludf.DUMMYFUNCTION("""COMPUTED_VALUE"""),"I Accept")</f>
        <v>I Accept</v>
      </c>
      <c r="N730" s="4">
        <f ca="1">IFERROR(__xludf.DUMMYFUNCTION("""COMPUTED_VALUE"""),43244)</f>
        <v>43244</v>
      </c>
      <c r="O730" s="4">
        <f ca="1">IFERROR(__xludf.DUMMYFUNCTION("""COMPUTED_VALUE"""),43244)</f>
        <v>43244</v>
      </c>
      <c r="P730">
        <f ca="1">IFERROR(__xludf.DUMMYFUNCTION("""COMPUTED_VALUE"""),3)</f>
        <v>3</v>
      </c>
      <c r="Q730" t="str">
        <f ca="1">IFERROR(__xludf.DUMMYFUNCTION("""COMPUTED_VALUE"""),"info@wattsun.in")</f>
        <v>info@wattsun.in</v>
      </c>
      <c r="R730" s="2" t="s">
        <v>3144</v>
      </c>
    </row>
    <row r="731" spans="1:18" ht="13" x14ac:dyDescent="0.15">
      <c r="A731" s="3">
        <f ca="1">IFERROR(__xludf.DUMMYFUNCTION("""COMPUTED_VALUE"""),43251.9077478819)</f>
        <v>43251.907747881902</v>
      </c>
      <c r="B731" t="str">
        <f ca="1">IFERROR(__xludf.DUMMYFUNCTION("""COMPUTED_VALUE"""),"binoysolgen@gmail.com")</f>
        <v>binoysolgen@gmail.com</v>
      </c>
      <c r="C731">
        <f ca="1">IFERROR(__xludf.DUMMYFUNCTION("""COMPUTED_VALUE"""),923)</f>
        <v>923</v>
      </c>
      <c r="D731" t="str">
        <f ca="1">IFERROR(__xludf.DUMMYFUNCTION("""COMPUTED_VALUE"""),"NAWAS.K.M")</f>
        <v>NAWAS.K.M</v>
      </c>
      <c r="E731">
        <f ca="1">IFERROR(__xludf.DUMMYFUNCTION("""COMPUTED_VALUE"""),9846542746)</f>
        <v>9846542746</v>
      </c>
      <c r="F731" t="str">
        <f ca="1">IFERROR(__xludf.DUMMYFUNCTION("""COMPUTED_VALUE"""),"Kasaragod")</f>
        <v>Kasaragod</v>
      </c>
      <c r="G731" t="str">
        <f ca="1">IFERROR(__xludf.DUMMYFUNCTION("""COMPUTED_VALUE"""),"SOLGEN ENERGY PVT LTD")</f>
        <v>SOLGEN ENERGY PVT LTD</v>
      </c>
      <c r="H731">
        <f ca="1">IFERROR(__xludf.DUMMYFUNCTION("""COMPUTED_VALUE"""),42)</f>
        <v>42</v>
      </c>
      <c r="I731" s="4">
        <f ca="1">IFERROR(__xludf.DUMMYFUNCTION("""COMPUTED_VALUE"""),43251)</f>
        <v>43251</v>
      </c>
      <c r="J731">
        <f ca="1">IFERROR(__xludf.DUMMYFUNCTION("""COMPUTED_VALUE"""),5)</f>
        <v>5</v>
      </c>
      <c r="K731">
        <f ca="1">IFERROR(__xludf.DUMMYFUNCTION("""COMPUTED_VALUE"""),1166888025169)</f>
        <v>1166888025169</v>
      </c>
      <c r="L731" t="str">
        <f ca="1">IFERROR(__xludf.DUMMYFUNCTION("""COMPUTED_VALUE"""),"KASARAGOD")</f>
        <v>KASARAGOD</v>
      </c>
      <c r="M731" t="str">
        <f ca="1">IFERROR(__xludf.DUMMYFUNCTION("""COMPUTED_VALUE"""),"I Accept")</f>
        <v>I Accept</v>
      </c>
      <c r="N731" s="4">
        <f ca="1">IFERROR(__xludf.DUMMYFUNCTION("""COMPUTED_VALUE"""),43251)</f>
        <v>43251</v>
      </c>
      <c r="O731" s="4">
        <f ca="1">IFERROR(__xludf.DUMMYFUNCTION("""COMPUTED_VALUE"""),43251)</f>
        <v>43251</v>
      </c>
      <c r="P731">
        <f ca="1">IFERROR(__xludf.DUMMYFUNCTION("""COMPUTED_VALUE"""),5)</f>
        <v>5</v>
      </c>
      <c r="Q731" t="str">
        <f ca="1">IFERROR(__xludf.DUMMYFUNCTION("""COMPUTED_VALUE"""),"binoysolgen@gmail.com")</f>
        <v>binoysolgen@gmail.com</v>
      </c>
      <c r="R731" s="2" t="s">
        <v>3145</v>
      </c>
    </row>
    <row r="732" spans="1:18" ht="13" x14ac:dyDescent="0.15">
      <c r="A732" s="3">
        <f ca="1">IFERROR(__xludf.DUMMYFUNCTION("""COMPUTED_VALUE"""),43252.4374317129)</f>
        <v>43252.437431712897</v>
      </c>
      <c r="B732" t="str">
        <f ca="1">IFERROR(__xludf.DUMMYFUNCTION("""COMPUTED_VALUE"""),"aniarangath@gmail.com")</f>
        <v>aniarangath@gmail.com</v>
      </c>
      <c r="C732">
        <f ca="1">IFERROR(__xludf.DUMMYFUNCTION("""COMPUTED_VALUE"""),1058)</f>
        <v>1058</v>
      </c>
      <c r="D732" t="str">
        <f ca="1">IFERROR(__xludf.DUMMYFUNCTION("""COMPUTED_VALUE"""),"purushothaman.m")</f>
        <v>purushothaman.m</v>
      </c>
      <c r="E732">
        <f ca="1">IFERROR(__xludf.DUMMYFUNCTION("""COMPUTED_VALUE"""),9447483823)</f>
        <v>9447483823</v>
      </c>
      <c r="F732" t="str">
        <f ca="1">IFERROR(__xludf.DUMMYFUNCTION("""COMPUTED_VALUE"""),"Palakkad")</f>
        <v>Palakkad</v>
      </c>
      <c r="G732" t="str">
        <f ca="1">IFERROR(__xludf.DUMMYFUNCTION("""COMPUTED_VALUE"""),"tata power solar system ltd")</f>
        <v>tata power solar system ltd</v>
      </c>
      <c r="H732">
        <f ca="1">IFERROR(__xludf.DUMMYFUNCTION("""COMPUTED_VALUE"""),20)</f>
        <v>20</v>
      </c>
      <c r="I732" s="4">
        <f ca="1">IFERROR(__xludf.DUMMYFUNCTION("""COMPUTED_VALUE"""),43229)</f>
        <v>43229</v>
      </c>
      <c r="J732">
        <f ca="1">IFERROR(__xludf.DUMMYFUNCTION("""COMPUTED_VALUE"""),5)</f>
        <v>5</v>
      </c>
      <c r="K732">
        <f ca="1">IFERROR(__xludf.DUMMYFUNCTION("""COMPUTED_VALUE"""),1165206000808)</f>
        <v>1165206000808</v>
      </c>
      <c r="L732" t="str">
        <f ca="1">IFERROR(__xludf.DUMMYFUNCTION("""COMPUTED_VALUE"""),"mannarkkad")</f>
        <v>mannarkkad</v>
      </c>
      <c r="M732" t="str">
        <f ca="1">IFERROR(__xludf.DUMMYFUNCTION("""COMPUTED_VALUE"""),"I Accept")</f>
        <v>I Accept</v>
      </c>
      <c r="N732" s="4">
        <f ca="1">IFERROR(__xludf.DUMMYFUNCTION("""COMPUTED_VALUE"""),43251)</f>
        <v>43251</v>
      </c>
      <c r="O732" s="4">
        <f ca="1">IFERROR(__xludf.DUMMYFUNCTION("""COMPUTED_VALUE"""),43251)</f>
        <v>43251</v>
      </c>
      <c r="P732">
        <f ca="1">IFERROR(__xludf.DUMMYFUNCTION("""COMPUTED_VALUE"""),5)</f>
        <v>5</v>
      </c>
      <c r="Q732" t="str">
        <f ca="1">IFERROR(__xludf.DUMMYFUNCTION("""COMPUTED_VALUE"""),"aniarangath@gmail.com")</f>
        <v>aniarangath@gmail.com</v>
      </c>
      <c r="R732" s="2" t="s">
        <v>3146</v>
      </c>
    </row>
    <row r="733" spans="1:18" ht="13" x14ac:dyDescent="0.15">
      <c r="A733" s="3">
        <f ca="1">IFERROR(__xludf.DUMMYFUNCTION("""COMPUTED_VALUE"""),43252.4394162384)</f>
        <v>43252.439416238398</v>
      </c>
      <c r="B733" s="22" t="str">
        <f ca="1">IFERROR(__xludf.DUMMYFUNCTION("""COMPUTED_VALUE"""),"arathivariyam2gmail.com")</f>
        <v>arathivariyam2gmail.com</v>
      </c>
      <c r="C733">
        <f ca="1">IFERROR(__xludf.DUMMYFUNCTION("""COMPUTED_VALUE"""),1157)</f>
        <v>1157</v>
      </c>
      <c r="D733" t="str">
        <f ca="1">IFERROR(__xludf.DUMMYFUNCTION("""COMPUTED_VALUE"""),"VIMALKUMAR A.V")</f>
        <v>VIMALKUMAR A.V</v>
      </c>
      <c r="E733">
        <f ca="1">IFERROR(__xludf.DUMMYFUNCTION("""COMPUTED_VALUE"""),9447624291)</f>
        <v>9447624291</v>
      </c>
      <c r="F733" t="str">
        <f ca="1">IFERROR(__xludf.DUMMYFUNCTION("""COMPUTED_VALUE"""),"Palakkad")</f>
        <v>Palakkad</v>
      </c>
      <c r="G733" t="str">
        <f ca="1">IFERROR(__xludf.DUMMYFUNCTION("""COMPUTED_VALUE"""),"KC Kopar Energy Solutions Pvt Ltd")</f>
        <v>KC Kopar Energy Solutions Pvt Ltd</v>
      </c>
      <c r="H733">
        <f ca="1">IFERROR(__xludf.DUMMYFUNCTION("""COMPUTED_VALUE"""),45)</f>
        <v>45</v>
      </c>
      <c r="I733" s="4">
        <f ca="1">IFERROR(__xludf.DUMMYFUNCTION("""COMPUTED_VALUE"""),43251)</f>
        <v>43251</v>
      </c>
      <c r="J733">
        <f ca="1">IFERROR(__xludf.DUMMYFUNCTION("""COMPUTED_VALUE"""),3)</f>
        <v>3</v>
      </c>
      <c r="K733">
        <f ca="1">IFERROR(__xludf.DUMMYFUNCTION("""COMPUTED_VALUE"""),1165277011095)</f>
        <v>1165277011095</v>
      </c>
      <c r="L733" t="str">
        <f ca="1">IFERROR(__xludf.DUMMYFUNCTION("""COMPUTED_VALUE"""),"Parali")</f>
        <v>Parali</v>
      </c>
      <c r="M733" t="str">
        <f ca="1">IFERROR(__xludf.DUMMYFUNCTION("""COMPUTED_VALUE"""),"I Accept")</f>
        <v>I Accept</v>
      </c>
      <c r="N733" s="4">
        <f ca="1">IFERROR(__xludf.DUMMYFUNCTION("""COMPUTED_VALUE"""),43227)</f>
        <v>43227</v>
      </c>
      <c r="O733" s="4">
        <f ca="1">IFERROR(__xludf.DUMMYFUNCTION("""COMPUTED_VALUE"""),43227)</f>
        <v>43227</v>
      </c>
      <c r="P733">
        <f ca="1">IFERROR(__xludf.DUMMYFUNCTION("""COMPUTED_VALUE"""),3)</f>
        <v>3</v>
      </c>
      <c r="Q733" t="str">
        <f ca="1">IFERROR(__xludf.DUMMYFUNCTION("""COMPUTED_VALUE"""),"arathivariyam@gmail.com")</f>
        <v>arathivariyam@gmail.com</v>
      </c>
      <c r="R733" s="2" t="s">
        <v>3147</v>
      </c>
    </row>
    <row r="734" spans="1:18" ht="13" x14ac:dyDescent="0.15">
      <c r="A734" s="3">
        <f ca="1">IFERROR(__xludf.DUMMYFUNCTION("""COMPUTED_VALUE"""),43252.5700212731)</f>
        <v>43252.570021273103</v>
      </c>
      <c r="B734" t="str">
        <f ca="1">IFERROR(__xludf.DUMMYFUNCTION("""COMPUTED_VALUE"""),"info@aecosolar.com")</f>
        <v>info@aecosolar.com</v>
      </c>
      <c r="C734">
        <f ca="1">IFERROR(__xludf.DUMMYFUNCTION("""COMPUTED_VALUE"""),875)</f>
        <v>875</v>
      </c>
      <c r="D734" t="str">
        <f ca="1">IFERROR(__xludf.DUMMYFUNCTION("""COMPUTED_VALUE"""),"Koshi N J")</f>
        <v>Koshi N J</v>
      </c>
      <c r="E734">
        <f ca="1">IFERROR(__xludf.DUMMYFUNCTION("""COMPUTED_VALUE"""),9946656961)</f>
        <v>9946656961</v>
      </c>
      <c r="F734" t="str">
        <f ca="1">IFERROR(__xludf.DUMMYFUNCTION("""COMPUTED_VALUE"""),"Kollam")</f>
        <v>Kollam</v>
      </c>
      <c r="G734" t="str">
        <f ca="1">IFERROR(__xludf.DUMMYFUNCTION("""COMPUTED_VALUE"""),"Alternate Energy Corporation")</f>
        <v>Alternate Energy Corporation</v>
      </c>
      <c r="H734">
        <f ca="1">IFERROR(__xludf.DUMMYFUNCTION("""COMPUTED_VALUE"""),22)</f>
        <v>22</v>
      </c>
      <c r="I734" s="4">
        <f ca="1">IFERROR(__xludf.DUMMYFUNCTION("""COMPUTED_VALUE"""),43243)</f>
        <v>43243</v>
      </c>
      <c r="J734">
        <f ca="1">IFERROR(__xludf.DUMMYFUNCTION("""COMPUTED_VALUE"""),15)</f>
        <v>15</v>
      </c>
      <c r="K734">
        <f ca="1">IFERROR(__xludf.DUMMYFUNCTION("""COMPUTED_VALUE"""),1146853002589)</f>
        <v>1146853002589</v>
      </c>
      <c r="L734" t="str">
        <f ca="1">IFERROR(__xludf.DUMMYFUNCTION("""COMPUTED_VALUE"""),"Pattazhy [4685]")</f>
        <v>Pattazhy [4685]</v>
      </c>
      <c r="M734" t="str">
        <f ca="1">IFERROR(__xludf.DUMMYFUNCTION("""COMPUTED_VALUE"""),"I Accept")</f>
        <v>I Accept</v>
      </c>
      <c r="N734" s="4">
        <f ca="1">IFERROR(__xludf.DUMMYFUNCTION("""COMPUTED_VALUE"""),43243)</f>
        <v>43243</v>
      </c>
      <c r="O734" s="4">
        <f ca="1">IFERROR(__xludf.DUMMYFUNCTION("""COMPUTED_VALUE"""),43243)</f>
        <v>43243</v>
      </c>
      <c r="P734">
        <f ca="1">IFERROR(__xludf.DUMMYFUNCTION("""COMPUTED_VALUE"""),15)</f>
        <v>15</v>
      </c>
      <c r="Q734" t="str">
        <f ca="1">IFERROR(__xludf.DUMMYFUNCTION("""COMPUTED_VALUE"""),"info@aecosolar.com")</f>
        <v>info@aecosolar.com</v>
      </c>
      <c r="R734" s="2" t="s">
        <v>3148</v>
      </c>
    </row>
    <row r="735" spans="1:18" ht="13" x14ac:dyDescent="0.15">
      <c r="A735" s="3">
        <f ca="1">IFERROR(__xludf.DUMMYFUNCTION("""COMPUTED_VALUE"""),43252.6654823032)</f>
        <v>43252.6654823032</v>
      </c>
      <c r="B735" t="str">
        <f ca="1">IFERROR(__xludf.DUMMYFUNCTION("""COMPUTED_VALUE"""),"childwelfarekerala@gmail.com")</f>
        <v>childwelfarekerala@gmail.com</v>
      </c>
      <c r="C735">
        <f ca="1">IFERROR(__xludf.DUMMYFUNCTION("""COMPUTED_VALUE"""),936)</f>
        <v>936</v>
      </c>
      <c r="D735" t="str">
        <f ca="1">IFERROR(__xludf.DUMMYFUNCTION("""COMPUTED_VALUE"""),"General Secretary")</f>
        <v>General Secretary</v>
      </c>
      <c r="E735">
        <f ca="1">IFERROR(__xludf.DUMMYFUNCTION("""COMPUTED_VALUE"""),9447795763)</f>
        <v>9447795763</v>
      </c>
      <c r="F735" t="str">
        <f ca="1">IFERROR(__xludf.DUMMYFUNCTION("""COMPUTED_VALUE"""),"Thiruvananthapuram")</f>
        <v>Thiruvananthapuram</v>
      </c>
      <c r="G735" t="str">
        <f ca="1">IFERROR(__xludf.DUMMYFUNCTION("""COMPUTED_VALUE"""),"KELTRON")</f>
        <v>KELTRON</v>
      </c>
      <c r="H735">
        <f ca="1">IFERROR(__xludf.DUMMYFUNCTION("""COMPUTED_VALUE"""),3)</f>
        <v>3</v>
      </c>
      <c r="I735" s="4">
        <f ca="1">IFERROR(__xludf.DUMMYFUNCTION("""COMPUTED_VALUE"""),43230)</f>
        <v>43230</v>
      </c>
      <c r="J735">
        <f ca="1">IFERROR(__xludf.DUMMYFUNCTION("""COMPUTED_VALUE"""),20)</f>
        <v>20</v>
      </c>
      <c r="K735">
        <f ca="1">IFERROR(__xludf.DUMMYFUNCTION("""COMPUTED_VALUE"""),1145054004715)</f>
        <v>1145054004715</v>
      </c>
      <c r="L735" t="str">
        <f ca="1">IFERROR(__xludf.DUMMYFUNCTION("""COMPUTED_VALUE"""),"THYCAUD")</f>
        <v>THYCAUD</v>
      </c>
      <c r="M735" t="str">
        <f ca="1">IFERROR(__xludf.DUMMYFUNCTION("""COMPUTED_VALUE"""),"I Accept")</f>
        <v>I Accept</v>
      </c>
      <c r="N735" s="4">
        <f ca="1">IFERROR(__xludf.DUMMYFUNCTION("""COMPUTED_VALUE"""),43244)</f>
        <v>43244</v>
      </c>
      <c r="O735" s="4">
        <f ca="1">IFERROR(__xludf.DUMMYFUNCTION("""COMPUTED_VALUE"""),43244)</f>
        <v>43244</v>
      </c>
      <c r="P735">
        <f ca="1">IFERROR(__xludf.DUMMYFUNCTION("""COMPUTED_VALUE"""),20)</f>
        <v>20</v>
      </c>
      <c r="Q735" t="str">
        <f ca="1">IFERROR(__xludf.DUMMYFUNCTION("""COMPUTED_VALUE"""),"kecsolar2017@gmail.com")</f>
        <v>kecsolar2017@gmail.com</v>
      </c>
      <c r="R735" s="2" t="s">
        <v>3149</v>
      </c>
    </row>
    <row r="736" spans="1:18" ht="13" x14ac:dyDescent="0.15">
      <c r="A736" s="3">
        <f ca="1">IFERROR(__xludf.DUMMYFUNCTION("""COMPUTED_VALUE"""),43253.4139612384)</f>
        <v>43253.413961238402</v>
      </c>
      <c r="B736" t="str">
        <f ca="1">IFERROR(__xludf.DUMMYFUNCTION("""COMPUTED_VALUE"""),"noorakshaya@gmail.com")</f>
        <v>noorakshaya@gmail.com</v>
      </c>
      <c r="C736">
        <f ca="1">IFERROR(__xludf.DUMMYFUNCTION("""COMPUTED_VALUE"""),1114)</f>
        <v>1114</v>
      </c>
      <c r="D736" t="str">
        <f ca="1">IFERROR(__xludf.DUMMYFUNCTION("""COMPUTED_VALUE"""),"Jayakumar S J")</f>
        <v>Jayakumar S J</v>
      </c>
      <c r="E736">
        <f ca="1">IFERROR(__xludf.DUMMYFUNCTION("""COMPUTED_VALUE"""),9645322221)</f>
        <v>9645322221</v>
      </c>
      <c r="F736" t="str">
        <f ca="1">IFERROR(__xludf.DUMMYFUNCTION("""COMPUTED_VALUE"""),"Thiruvananthapuram")</f>
        <v>Thiruvananthapuram</v>
      </c>
      <c r="G736" t="str">
        <f ca="1">IFERROR(__xludf.DUMMYFUNCTION("""COMPUTED_VALUE"""),"Renergy Systems India Pvt Ltd")</f>
        <v>Renergy Systems India Pvt Ltd</v>
      </c>
      <c r="H736">
        <f ca="1">IFERROR(__xludf.DUMMYFUNCTION("""COMPUTED_VALUE"""),38)</f>
        <v>38</v>
      </c>
      <c r="I736" s="4">
        <f ca="1">IFERROR(__xludf.DUMMYFUNCTION("""COMPUTED_VALUE"""),43252)</f>
        <v>43252</v>
      </c>
      <c r="J736">
        <f ca="1">IFERROR(__xludf.DUMMYFUNCTION("""COMPUTED_VALUE"""),3)</f>
        <v>3</v>
      </c>
      <c r="K736">
        <f ca="1">IFERROR(__xludf.DUMMYFUNCTION("""COMPUTED_VALUE"""),1145329017312)</f>
        <v>1145329017312</v>
      </c>
      <c r="L736" t="str">
        <f ca="1">IFERROR(__xludf.DUMMYFUNCTION("""COMPUTED_VALUE"""),"Avanavancherry")</f>
        <v>Avanavancherry</v>
      </c>
      <c r="M736" t="str">
        <f ca="1">IFERROR(__xludf.DUMMYFUNCTION("""COMPUTED_VALUE"""),"I Accept")</f>
        <v>I Accept</v>
      </c>
      <c r="N736" s="4">
        <f ca="1">IFERROR(__xludf.DUMMYFUNCTION("""COMPUTED_VALUE"""),43253)</f>
        <v>43253</v>
      </c>
      <c r="O736" s="4">
        <f ca="1">IFERROR(__xludf.DUMMYFUNCTION("""COMPUTED_VALUE"""),43253)</f>
        <v>43253</v>
      </c>
      <c r="P736">
        <f ca="1">IFERROR(__xludf.DUMMYFUNCTION("""COMPUTED_VALUE"""),3)</f>
        <v>3</v>
      </c>
      <c r="Q736" t="str">
        <f ca="1">IFERROR(__xludf.DUMMYFUNCTION("""COMPUTED_VALUE"""),"noorakshaya@gmail.com")</f>
        <v>noorakshaya@gmail.com</v>
      </c>
      <c r="R736" s="2" t="s">
        <v>3150</v>
      </c>
    </row>
    <row r="737" spans="1:18" ht="13" x14ac:dyDescent="0.15">
      <c r="A737" s="3">
        <f ca="1">IFERROR(__xludf.DUMMYFUNCTION("""COMPUTED_VALUE"""),43253.4175098842)</f>
        <v>43253.417509884202</v>
      </c>
      <c r="B737" t="str">
        <f ca="1">IFERROR(__xludf.DUMMYFUNCTION("""COMPUTED_VALUE"""),"xmaryland@yahoo.co.in")</f>
        <v>xmaryland@yahoo.co.in</v>
      </c>
      <c r="C737">
        <f ca="1">IFERROR(__xludf.DUMMYFUNCTION("""COMPUTED_VALUE"""),1244)</f>
        <v>1244</v>
      </c>
      <c r="D737" t="str">
        <f ca="1">IFERROR(__xludf.DUMMYFUNCTION("""COMPUTED_VALUE"""),"Kunjamma P V")</f>
        <v>Kunjamma P V</v>
      </c>
      <c r="E737">
        <f ca="1">IFERROR(__xludf.DUMMYFUNCTION("""COMPUTED_VALUE"""),9895701787)</f>
        <v>9895701787</v>
      </c>
      <c r="F737" t="str">
        <f ca="1">IFERROR(__xludf.DUMMYFUNCTION("""COMPUTED_VALUE"""),"Ernakulam")</f>
        <v>Ernakulam</v>
      </c>
      <c r="G737" t="str">
        <f ca="1">IFERROR(__xludf.DUMMYFUNCTION("""COMPUTED_VALUE"""),"KC Kopar Energy Solutions Pvt Ltd")</f>
        <v>KC Kopar Energy Solutions Pvt Ltd</v>
      </c>
      <c r="H737">
        <f ca="1">IFERROR(__xludf.DUMMYFUNCTION("""COMPUTED_VALUE"""),45)</f>
        <v>45</v>
      </c>
      <c r="I737" s="4">
        <f ca="1">IFERROR(__xludf.DUMMYFUNCTION("""COMPUTED_VALUE"""),43252)</f>
        <v>43252</v>
      </c>
      <c r="J737">
        <f ca="1">IFERROR(__xludf.DUMMYFUNCTION("""COMPUTED_VALUE"""),3)</f>
        <v>3</v>
      </c>
      <c r="K737">
        <f ca="1">IFERROR(__xludf.DUMMYFUNCTION("""COMPUTED_VALUE"""),1155674016084)</f>
        <v>1155674016084</v>
      </c>
      <c r="L737" t="str">
        <f ca="1">IFERROR(__xludf.DUMMYFUNCTION("""COMPUTED_VALUE"""),"Aluva Town")</f>
        <v>Aluva Town</v>
      </c>
      <c r="M737" t="str">
        <f ca="1">IFERROR(__xludf.DUMMYFUNCTION("""COMPUTED_VALUE"""),"I Accept")</f>
        <v>I Accept</v>
      </c>
      <c r="N737" s="4">
        <f ca="1">IFERROR(__xludf.DUMMYFUNCTION("""COMPUTED_VALUE"""),43230)</f>
        <v>43230</v>
      </c>
      <c r="O737" s="4">
        <f ca="1">IFERROR(__xludf.DUMMYFUNCTION("""COMPUTED_VALUE"""),43230)</f>
        <v>43230</v>
      </c>
      <c r="P737">
        <f ca="1">IFERROR(__xludf.DUMMYFUNCTION("""COMPUTED_VALUE"""),3)</f>
        <v>3</v>
      </c>
      <c r="Q737" t="str">
        <f ca="1">IFERROR(__xludf.DUMMYFUNCTION("""COMPUTED_VALUE"""),"xmaryland@yahoo.co.in")</f>
        <v>xmaryland@yahoo.co.in</v>
      </c>
      <c r="R737" s="2" t="s">
        <v>3151</v>
      </c>
    </row>
    <row r="738" spans="1:18" ht="13" x14ac:dyDescent="0.15">
      <c r="A738" s="3">
        <f ca="1">IFERROR(__xludf.DUMMYFUNCTION("""COMPUTED_VALUE"""),43253.460761412)</f>
        <v>43253.460761412003</v>
      </c>
      <c r="B738" t="str">
        <f ca="1">IFERROR(__xludf.DUMMYFUNCTION("""COMPUTED_VALUE"""),"elsolpowersolutions@gmail.com")</f>
        <v>elsolpowersolutions@gmail.com</v>
      </c>
      <c r="C738">
        <f ca="1">IFERROR(__xludf.DUMMYFUNCTION("""COMPUTED_VALUE"""),1080)</f>
        <v>1080</v>
      </c>
      <c r="D738" t="str">
        <f ca="1">IFERROR(__xludf.DUMMYFUNCTION("""COMPUTED_VALUE"""),"THRESIAMMA GIMMICHAN")</f>
        <v>THRESIAMMA GIMMICHAN</v>
      </c>
      <c r="E738">
        <f ca="1">IFERROR(__xludf.DUMMYFUNCTION("""COMPUTED_VALUE"""),8078213924)</f>
        <v>8078213924</v>
      </c>
      <c r="F738" t="str">
        <f ca="1">IFERROR(__xludf.DUMMYFUNCTION("""COMPUTED_VALUE"""),"Kottayam")</f>
        <v>Kottayam</v>
      </c>
      <c r="G738" t="str">
        <f ca="1">IFERROR(__xludf.DUMMYFUNCTION("""COMPUTED_VALUE"""),"renergy systems india pvt ltd")</f>
        <v>renergy systems india pvt ltd</v>
      </c>
      <c r="H738">
        <f ca="1">IFERROR(__xludf.DUMMYFUNCTION("""COMPUTED_VALUE"""),38)</f>
        <v>38</v>
      </c>
      <c r="I738" s="4">
        <f ca="1">IFERROR(__xludf.DUMMYFUNCTION("""COMPUTED_VALUE"""),43244)</f>
        <v>43244</v>
      </c>
      <c r="J738">
        <f ca="1">IFERROR(__xludf.DUMMYFUNCTION("""COMPUTED_VALUE"""),3)</f>
        <v>3</v>
      </c>
      <c r="K738">
        <f ca="1">IFERROR(__xludf.DUMMYFUNCTION("""COMPUTED_VALUE"""),1146644003388)</f>
        <v>1146644003388</v>
      </c>
      <c r="L738" t="str">
        <f ca="1">IFERROR(__xludf.DUMMYFUNCTION("""COMPUTED_VALUE"""),"ATHIRAMPUZHA")</f>
        <v>ATHIRAMPUZHA</v>
      </c>
      <c r="M738" t="str">
        <f ca="1">IFERROR(__xludf.DUMMYFUNCTION("""COMPUTED_VALUE"""),"I Accept")</f>
        <v>I Accept</v>
      </c>
      <c r="N738" s="4">
        <f ca="1">IFERROR(__xludf.DUMMYFUNCTION("""COMPUTED_VALUE"""),43253)</f>
        <v>43253</v>
      </c>
      <c r="O738" s="4">
        <f ca="1">IFERROR(__xludf.DUMMYFUNCTION("""COMPUTED_VALUE"""),43253)</f>
        <v>43253</v>
      </c>
      <c r="P738">
        <f ca="1">IFERROR(__xludf.DUMMYFUNCTION("""COMPUTED_VALUE"""),3)</f>
        <v>3</v>
      </c>
      <c r="Q738" t="str">
        <f ca="1">IFERROR(__xludf.DUMMYFUNCTION("""COMPUTED_VALUE"""),"elsolpowersolutions@gmail.com")</f>
        <v>elsolpowersolutions@gmail.com</v>
      </c>
      <c r="R738" s="2" t="s">
        <v>3152</v>
      </c>
    </row>
    <row r="739" spans="1:18" ht="13" x14ac:dyDescent="0.15">
      <c r="A739" s="3">
        <f ca="1">IFERROR(__xludf.DUMMYFUNCTION("""COMPUTED_VALUE"""),43253.4752811689)</f>
        <v>43253.475281168903</v>
      </c>
      <c r="B739" t="str">
        <f ca="1">IFERROR(__xludf.DUMMYFUNCTION("""COMPUTED_VALUE"""),"shakeskurian@gmail.com")</f>
        <v>shakeskurian@gmail.com</v>
      </c>
      <c r="C739">
        <f ca="1">IFERROR(__xludf.DUMMYFUNCTION("""COMPUTED_VALUE"""),1161)</f>
        <v>1161</v>
      </c>
      <c r="D739" t="str">
        <f ca="1">IFERROR(__xludf.DUMMYFUNCTION("""COMPUTED_VALUE"""),"PROVINCIAL SUPERIOR")</f>
        <v>PROVINCIAL SUPERIOR</v>
      </c>
      <c r="E739">
        <f ca="1">IFERROR(__xludf.DUMMYFUNCTION("""COMPUTED_VALUE"""),9526023144)</f>
        <v>9526023144</v>
      </c>
      <c r="F739" t="str">
        <f ca="1">IFERROR(__xludf.DUMMYFUNCTION("""COMPUTED_VALUE"""),"Kottayam")</f>
        <v>Kottayam</v>
      </c>
      <c r="G739" t="str">
        <f ca="1">IFERROR(__xludf.DUMMYFUNCTION("""COMPUTED_VALUE"""),"ECOMATE ENERGY SOLUTIONS")</f>
        <v>ECOMATE ENERGY SOLUTIONS</v>
      </c>
      <c r="H739">
        <f ca="1">IFERROR(__xludf.DUMMYFUNCTION("""COMPUTED_VALUE"""),33)</f>
        <v>33</v>
      </c>
      <c r="I739" s="4">
        <f ca="1">IFERROR(__xludf.DUMMYFUNCTION("""COMPUTED_VALUE"""),43245)</f>
        <v>43245</v>
      </c>
      <c r="J739">
        <f ca="1">IFERROR(__xludf.DUMMYFUNCTION("""COMPUTED_VALUE"""),3)</f>
        <v>3</v>
      </c>
      <c r="K739">
        <f ca="1">IFERROR(__xludf.DUMMYFUNCTION("""COMPUTED_VALUE"""),1156246003909)</f>
        <v>1156246003909</v>
      </c>
      <c r="L739" t="str">
        <f ca="1">IFERROR(__xludf.DUMMYFUNCTION("""COMPUTED_VALUE"""),"PALA")</f>
        <v>PALA</v>
      </c>
      <c r="M739" t="str">
        <f ca="1">IFERROR(__xludf.DUMMYFUNCTION("""COMPUTED_VALUE"""),"I Accept")</f>
        <v>I Accept</v>
      </c>
      <c r="N739" s="4">
        <f ca="1">IFERROR(__xludf.DUMMYFUNCTION("""COMPUTED_VALUE"""),43253)</f>
        <v>43253</v>
      </c>
      <c r="O739" s="4">
        <f ca="1">IFERROR(__xludf.DUMMYFUNCTION("""COMPUTED_VALUE"""),43253)</f>
        <v>43253</v>
      </c>
      <c r="P739">
        <f ca="1">IFERROR(__xludf.DUMMYFUNCTION("""COMPUTED_VALUE"""),3)</f>
        <v>3</v>
      </c>
      <c r="Q739" t="str">
        <f ca="1">IFERROR(__xludf.DUMMYFUNCTION("""COMPUTED_VALUE"""),"shakeskurian@gmail.com")</f>
        <v>shakeskurian@gmail.com</v>
      </c>
      <c r="R739" s="2" t="s">
        <v>3153</v>
      </c>
    </row>
    <row r="740" spans="1:18" ht="13" x14ac:dyDescent="0.15">
      <c r="A740" s="3">
        <f ca="1">IFERROR(__xludf.DUMMYFUNCTION("""COMPUTED_VALUE"""),43253.4776448958)</f>
        <v>43253.4776448958</v>
      </c>
      <c r="B740" t="str">
        <f ca="1">IFERROR(__xludf.DUMMYFUNCTION("""COMPUTED_VALUE"""),"smitha.soura@gmail.com")</f>
        <v>smitha.soura@gmail.com</v>
      </c>
      <c r="C740">
        <f ca="1">IFERROR(__xludf.DUMMYFUNCTION("""COMPUTED_VALUE"""),842)</f>
        <v>842</v>
      </c>
      <c r="D740" s="22" t="str">
        <f ca="1">IFERROR(__xludf.DUMMYFUNCTION("""COMPUTED_VALUE"""),"Sathian.CM")</f>
        <v>Sathian.CM</v>
      </c>
      <c r="E740">
        <f ca="1">IFERROR(__xludf.DUMMYFUNCTION("""COMPUTED_VALUE"""),7594933375)</f>
        <v>7594933375</v>
      </c>
      <c r="F740" t="str">
        <f ca="1">IFERROR(__xludf.DUMMYFUNCTION("""COMPUTED_VALUE"""),"Ernakulam")</f>
        <v>Ernakulam</v>
      </c>
      <c r="G740" t="str">
        <f ca="1">IFERROR(__xludf.DUMMYFUNCTION("""COMPUTED_VALUE"""),"soura natural energy solutions india ")</f>
        <v xml:space="preserve">soura natural energy solutions india </v>
      </c>
      <c r="H740">
        <f ca="1">IFERROR(__xludf.DUMMYFUNCTION("""COMPUTED_VALUE"""),11)</f>
        <v>11</v>
      </c>
      <c r="I740" s="4">
        <f ca="1">IFERROR(__xludf.DUMMYFUNCTION("""COMPUTED_VALUE"""),43253)</f>
        <v>43253</v>
      </c>
      <c r="J740">
        <f ca="1">IFERROR(__xludf.DUMMYFUNCTION("""COMPUTED_VALUE"""),3)</f>
        <v>3</v>
      </c>
      <c r="K740">
        <f ca="1">IFERROR(__xludf.DUMMYFUNCTION("""COMPUTED_VALUE"""),1155543006746)</f>
        <v>1155543006746</v>
      </c>
      <c r="L740" t="str">
        <f ca="1">IFERROR(__xludf.DUMMYFUNCTION("""COMPUTED_VALUE"""),"kolenchery")</f>
        <v>kolenchery</v>
      </c>
      <c r="M740" t="str">
        <f ca="1">IFERROR(__xludf.DUMMYFUNCTION("""COMPUTED_VALUE"""),"I Accept")</f>
        <v>I Accept</v>
      </c>
      <c r="N740" s="4">
        <f ca="1">IFERROR(__xludf.DUMMYFUNCTION("""COMPUTED_VALUE"""),43225)</f>
        <v>43225</v>
      </c>
      <c r="O740" s="4">
        <f ca="1">IFERROR(__xludf.DUMMYFUNCTION("""COMPUTED_VALUE"""),43225)</f>
        <v>43225</v>
      </c>
      <c r="P740">
        <f ca="1">IFERROR(__xludf.DUMMYFUNCTION("""COMPUTED_VALUE"""),3)</f>
        <v>3</v>
      </c>
      <c r="Q740" t="str">
        <f ca="1">IFERROR(__xludf.DUMMYFUNCTION("""COMPUTED_VALUE"""),"smitha.soura@gmail.com")</f>
        <v>smitha.soura@gmail.com</v>
      </c>
      <c r="R740" s="2" t="s">
        <v>3154</v>
      </c>
    </row>
    <row r="741" spans="1:18" ht="13" x14ac:dyDescent="0.15">
      <c r="A741" s="3">
        <f ca="1">IFERROR(__xludf.DUMMYFUNCTION("""COMPUTED_VALUE"""),43253.6997495138)</f>
        <v>43253.699749513798</v>
      </c>
      <c r="B741" t="str">
        <f ca="1">IFERROR(__xludf.DUMMYFUNCTION("""COMPUTED_VALUE"""),"ksfvoasso@gmail.com")</f>
        <v>ksfvoasso@gmail.com</v>
      </c>
      <c r="C741">
        <f ca="1">IFERROR(__xludf.DUMMYFUNCTION("""COMPUTED_VALUE"""),1210)</f>
        <v>1210</v>
      </c>
      <c r="D741" t="str">
        <f ca="1">IFERROR(__xludf.DUMMYFUNCTION("""COMPUTED_VALUE"""),"Ramachandran Subramanian")</f>
        <v>Ramachandran Subramanian</v>
      </c>
      <c r="E741">
        <f ca="1">IFERROR(__xludf.DUMMYFUNCTION("""COMPUTED_VALUE"""),9446070170)</f>
        <v>9446070170</v>
      </c>
      <c r="F741" t="str">
        <f ca="1">IFERROR(__xludf.DUMMYFUNCTION("""COMPUTED_VALUE"""),"Thrissur")</f>
        <v>Thrissur</v>
      </c>
      <c r="G741" t="str">
        <f ca="1">IFERROR(__xludf.DUMMYFUNCTION("""COMPUTED_VALUE"""),"INKEL Ltd ")</f>
        <v xml:space="preserve">INKEL Ltd </v>
      </c>
      <c r="H741">
        <f ca="1">IFERROR(__xludf.DUMMYFUNCTION("""COMPUTED_VALUE"""),58)</f>
        <v>58</v>
      </c>
      <c r="I741" s="4">
        <f ca="1">IFERROR(__xludf.DUMMYFUNCTION("""COMPUTED_VALUE"""),43253)</f>
        <v>43253</v>
      </c>
      <c r="J741">
        <f ca="1">IFERROR(__xludf.DUMMYFUNCTION("""COMPUTED_VALUE"""),10)</f>
        <v>10</v>
      </c>
      <c r="K741">
        <f ca="1">IFERROR(__xludf.DUMMYFUNCTION("""COMPUTED_VALUE"""),1156808017750)</f>
        <v>1156808017750</v>
      </c>
      <c r="L741" t="str">
        <f ca="1">IFERROR(__xludf.DUMMYFUNCTION("""COMPUTED_VALUE"""),"[5680]-Electrical Section Viyur")</f>
        <v>[5680]-Electrical Section Viyur</v>
      </c>
      <c r="M741" t="str">
        <f ca="1">IFERROR(__xludf.DUMMYFUNCTION("""COMPUTED_VALUE"""),"I Accept")</f>
        <v>I Accept</v>
      </c>
      <c r="N741" s="4">
        <f ca="1">IFERROR(__xludf.DUMMYFUNCTION("""COMPUTED_VALUE"""),43253)</f>
        <v>43253</v>
      </c>
      <c r="O741" s="4">
        <f ca="1">IFERROR(__xludf.DUMMYFUNCTION("""COMPUTED_VALUE"""),43253)</f>
        <v>43253</v>
      </c>
      <c r="P741">
        <f ca="1">IFERROR(__xludf.DUMMYFUNCTION("""COMPUTED_VALUE"""),10)</f>
        <v>10</v>
      </c>
      <c r="Q741" t="str">
        <f ca="1">IFERROR(__xludf.DUMMYFUNCTION("""COMPUTED_VALUE"""),"ksfvoasso@gmail.com")</f>
        <v>ksfvoasso@gmail.com</v>
      </c>
      <c r="R741" s="2" t="s">
        <v>3155</v>
      </c>
    </row>
    <row r="742" spans="1:18" ht="13" x14ac:dyDescent="0.15">
      <c r="A742" s="3">
        <f ca="1">IFERROR(__xludf.DUMMYFUNCTION("""COMPUTED_VALUE"""),43254.5673253935)</f>
        <v>43254.567325393502</v>
      </c>
      <c r="B742" t="str">
        <f ca="1">IFERROR(__xludf.DUMMYFUNCTION("""COMPUTED_VALUE"""),"hykonkollam@gmail.com")</f>
        <v>hykonkollam@gmail.com</v>
      </c>
      <c r="C742">
        <f ca="1">IFERROR(__xludf.DUMMYFUNCTION("""COMPUTED_VALUE"""),1063)</f>
        <v>1063</v>
      </c>
      <c r="D742" t="str">
        <f ca="1">IFERROR(__xludf.DUMMYFUNCTION("""COMPUTED_VALUE"""),"Abhilash Sudhesan Unni")</f>
        <v>Abhilash Sudhesan Unni</v>
      </c>
      <c r="E742">
        <f ca="1">IFERROR(__xludf.DUMMYFUNCTION("""COMPUTED_VALUE"""),9495336654)</f>
        <v>9495336654</v>
      </c>
      <c r="F742" t="str">
        <f ca="1">IFERROR(__xludf.DUMMYFUNCTION("""COMPUTED_VALUE"""),"Kollam")</f>
        <v>Kollam</v>
      </c>
      <c r="G742" t="str">
        <f ca="1">IFERROR(__xludf.DUMMYFUNCTION("""COMPUTED_VALUE"""),"Hykon India (Pvt) Ltd")</f>
        <v>Hykon India (Pvt) Ltd</v>
      </c>
      <c r="H742">
        <f ca="1">IFERROR(__xludf.DUMMYFUNCTION("""COMPUTED_VALUE"""),41)</f>
        <v>41</v>
      </c>
      <c r="I742" s="4">
        <f ca="1">IFERROR(__xludf.DUMMYFUNCTION("""COMPUTED_VALUE"""),43251)</f>
        <v>43251</v>
      </c>
      <c r="J742">
        <f ca="1">IFERROR(__xludf.DUMMYFUNCTION("""COMPUTED_VALUE"""),2)</f>
        <v>2</v>
      </c>
      <c r="K742">
        <f ca="1">IFERROR(__xludf.DUMMYFUNCTION("""COMPUTED_VALUE"""),1145804017021)</f>
        <v>1145804017021</v>
      </c>
      <c r="L742" t="str">
        <f ca="1">IFERROR(__xludf.DUMMYFUNCTION("""COMPUTED_VALUE"""),"Mayyanad")</f>
        <v>Mayyanad</v>
      </c>
      <c r="M742" t="str">
        <f ca="1">IFERROR(__xludf.DUMMYFUNCTION("""COMPUTED_VALUE"""),"I Accept")</f>
        <v>I Accept</v>
      </c>
      <c r="N742" s="4">
        <f ca="1">IFERROR(__xludf.DUMMYFUNCTION("""COMPUTED_VALUE"""),43235)</f>
        <v>43235</v>
      </c>
      <c r="O742" s="4">
        <f ca="1">IFERROR(__xludf.DUMMYFUNCTION("""COMPUTED_VALUE"""),43235)</f>
        <v>43235</v>
      </c>
      <c r="P742">
        <f ca="1">IFERROR(__xludf.DUMMYFUNCTION("""COMPUTED_VALUE"""),2)</f>
        <v>2</v>
      </c>
      <c r="Q742" t="str">
        <f ca="1">IFERROR(__xludf.DUMMYFUNCTION("""COMPUTED_VALUE"""),"hykonkollam@gmail.com")</f>
        <v>hykonkollam@gmail.com</v>
      </c>
      <c r="R742" s="2" t="s">
        <v>3156</v>
      </c>
    </row>
    <row r="743" spans="1:18" ht="13" x14ac:dyDescent="0.15">
      <c r="A743" s="3">
        <f ca="1">IFERROR(__xludf.DUMMYFUNCTION("""COMPUTED_VALUE"""),43254.5731839467)</f>
        <v>43254.573183946697</v>
      </c>
      <c r="B743" t="str">
        <f ca="1">IFERROR(__xludf.DUMMYFUNCTION("""COMPUTED_VALUE"""),"hykonkollam@gmail.com")</f>
        <v>hykonkollam@gmail.com</v>
      </c>
      <c r="C743">
        <f ca="1">IFERROR(__xludf.DUMMYFUNCTION("""COMPUTED_VALUE"""),1064)</f>
        <v>1064</v>
      </c>
      <c r="D743" t="str">
        <f ca="1">IFERROR(__xludf.DUMMYFUNCTION("""COMPUTED_VALUE"""),"Kalesh Kumar M")</f>
        <v>Kalesh Kumar M</v>
      </c>
      <c r="E743">
        <f ca="1">IFERROR(__xludf.DUMMYFUNCTION("""COMPUTED_VALUE"""),9495336654)</f>
        <v>9495336654</v>
      </c>
      <c r="F743" t="str">
        <f ca="1">IFERROR(__xludf.DUMMYFUNCTION("""COMPUTED_VALUE"""),"Kollam")</f>
        <v>Kollam</v>
      </c>
      <c r="G743" t="str">
        <f ca="1">IFERROR(__xludf.DUMMYFUNCTION("""COMPUTED_VALUE"""),"Hykon India (Pvt) Ltd")</f>
        <v>Hykon India (Pvt) Ltd</v>
      </c>
      <c r="H743">
        <f ca="1">IFERROR(__xludf.DUMMYFUNCTION("""COMPUTED_VALUE"""),41)</f>
        <v>41</v>
      </c>
      <c r="I743" s="4">
        <f ca="1">IFERROR(__xludf.DUMMYFUNCTION("""COMPUTED_VALUE"""),43251)</f>
        <v>43251</v>
      </c>
      <c r="J743">
        <f ca="1">IFERROR(__xludf.DUMMYFUNCTION("""COMPUTED_VALUE"""),2)</f>
        <v>2</v>
      </c>
      <c r="K743">
        <f ca="1">IFERROR(__xludf.DUMMYFUNCTION("""COMPUTED_VALUE"""),1145867008121)</f>
        <v>1145867008121</v>
      </c>
      <c r="L743" t="str">
        <f ca="1">IFERROR(__xludf.DUMMYFUNCTION("""COMPUTED_VALUE"""),"Nallila (4586)")</f>
        <v>Nallila (4586)</v>
      </c>
      <c r="M743" t="str">
        <f ca="1">IFERROR(__xludf.DUMMYFUNCTION("""COMPUTED_VALUE"""),"I Accept")</f>
        <v>I Accept</v>
      </c>
      <c r="N743" s="4">
        <f ca="1">IFERROR(__xludf.DUMMYFUNCTION("""COMPUTED_VALUE"""),43239)</f>
        <v>43239</v>
      </c>
      <c r="O743" s="4">
        <f ca="1">IFERROR(__xludf.DUMMYFUNCTION("""COMPUTED_VALUE"""),43239)</f>
        <v>43239</v>
      </c>
      <c r="P743">
        <f ca="1">IFERROR(__xludf.DUMMYFUNCTION("""COMPUTED_VALUE"""),2)</f>
        <v>2</v>
      </c>
      <c r="Q743" t="str">
        <f ca="1">IFERROR(__xludf.DUMMYFUNCTION("""COMPUTED_VALUE"""),"hykonkollam@gmail.com")</f>
        <v>hykonkollam@gmail.com</v>
      </c>
      <c r="R743" s="2" t="s">
        <v>3157</v>
      </c>
    </row>
    <row r="744" spans="1:18" ht="13" x14ac:dyDescent="0.15">
      <c r="A744" s="3">
        <f ca="1">IFERROR(__xludf.DUMMYFUNCTION("""COMPUTED_VALUE"""),43254.5764866203)</f>
        <v>43254.576486620303</v>
      </c>
      <c r="B744" t="str">
        <f ca="1">IFERROR(__xludf.DUMMYFUNCTION("""COMPUTED_VALUE"""),"hykonkollam@gmail.com")</f>
        <v>hykonkollam@gmail.com</v>
      </c>
      <c r="C744">
        <f ca="1">IFERROR(__xludf.DUMMYFUNCTION("""COMPUTED_VALUE"""),1010)</f>
        <v>1010</v>
      </c>
      <c r="D744" t="str">
        <f ca="1">IFERROR(__xludf.DUMMYFUNCTION("""COMPUTED_VALUE"""),"Neena Devi T")</f>
        <v>Neena Devi T</v>
      </c>
      <c r="E744">
        <f ca="1">IFERROR(__xludf.DUMMYFUNCTION("""COMPUTED_VALUE"""),9495336654)</f>
        <v>9495336654</v>
      </c>
      <c r="F744" t="str">
        <f ca="1">IFERROR(__xludf.DUMMYFUNCTION("""COMPUTED_VALUE"""),"Kollam")</f>
        <v>Kollam</v>
      </c>
      <c r="G744" t="str">
        <f ca="1">IFERROR(__xludf.DUMMYFUNCTION("""COMPUTED_VALUE"""),"Hykon India (Pvt) Ltd")</f>
        <v>Hykon India (Pvt) Ltd</v>
      </c>
      <c r="H744">
        <f ca="1">IFERROR(__xludf.DUMMYFUNCTION("""COMPUTED_VALUE"""),41)</f>
        <v>41</v>
      </c>
      <c r="I744" s="4">
        <f ca="1">IFERROR(__xludf.DUMMYFUNCTION("""COMPUTED_VALUE"""),43251)</f>
        <v>43251</v>
      </c>
      <c r="J744">
        <f ca="1">IFERROR(__xludf.DUMMYFUNCTION("""COMPUTED_VALUE"""),2)</f>
        <v>2</v>
      </c>
      <c r="K744">
        <f ca="1">IFERROR(__xludf.DUMMYFUNCTION("""COMPUTED_VALUE"""),1145695030704)</f>
        <v>1145695030704</v>
      </c>
      <c r="L744" t="str">
        <f ca="1">IFERROR(__xludf.DUMMYFUNCTION("""COMPUTED_VALUE"""),"Karunagapally North (4569)")</f>
        <v>Karunagapally North (4569)</v>
      </c>
      <c r="M744" t="str">
        <f ca="1">IFERROR(__xludf.DUMMYFUNCTION("""COMPUTED_VALUE"""),"I Accept")</f>
        <v>I Accept</v>
      </c>
      <c r="N744" s="4">
        <f ca="1">IFERROR(__xludf.DUMMYFUNCTION("""COMPUTED_VALUE"""),43238)</f>
        <v>43238</v>
      </c>
      <c r="O744" s="4">
        <f ca="1">IFERROR(__xludf.DUMMYFUNCTION("""COMPUTED_VALUE"""),43238)</f>
        <v>43238</v>
      </c>
      <c r="P744">
        <f ca="1">IFERROR(__xludf.DUMMYFUNCTION("""COMPUTED_VALUE"""),2)</f>
        <v>2</v>
      </c>
      <c r="Q744" t="str">
        <f ca="1">IFERROR(__xludf.DUMMYFUNCTION("""COMPUTED_VALUE"""),"hykonkollam@gmail.com")</f>
        <v>hykonkollam@gmail.com</v>
      </c>
      <c r="R744" s="2" t="s">
        <v>3158</v>
      </c>
    </row>
    <row r="745" spans="1:18" ht="13" x14ac:dyDescent="0.15">
      <c r="A745" s="3">
        <f ca="1">IFERROR(__xludf.DUMMYFUNCTION("""COMPUTED_VALUE"""),43254.5834911342)</f>
        <v>43254.583491134203</v>
      </c>
      <c r="B745" t="str">
        <f ca="1">IFERROR(__xludf.DUMMYFUNCTION("""COMPUTED_VALUE"""),"hykonkollam@gmail.com")</f>
        <v>hykonkollam@gmail.com</v>
      </c>
      <c r="C745">
        <f ca="1">IFERROR(__xludf.DUMMYFUNCTION("""COMPUTED_VALUE"""),1239)</f>
        <v>1239</v>
      </c>
      <c r="D745" t="str">
        <f ca="1">IFERROR(__xludf.DUMMYFUNCTION("""COMPUTED_VALUE"""),"Dr Manoharan S")</f>
        <v>Dr Manoharan S</v>
      </c>
      <c r="E745">
        <f ca="1">IFERROR(__xludf.DUMMYFUNCTION("""COMPUTED_VALUE"""),9495336654)</f>
        <v>9495336654</v>
      </c>
      <c r="F745" t="str">
        <f ca="1">IFERROR(__xludf.DUMMYFUNCTION("""COMPUTED_VALUE"""),"Kollam")</f>
        <v>Kollam</v>
      </c>
      <c r="G745" t="str">
        <f ca="1">IFERROR(__xludf.DUMMYFUNCTION("""COMPUTED_VALUE"""),"Hykon India (Pvt) Ltd")</f>
        <v>Hykon India (Pvt) Ltd</v>
      </c>
      <c r="H745">
        <f ca="1">IFERROR(__xludf.DUMMYFUNCTION("""COMPUTED_VALUE"""),41)</f>
        <v>41</v>
      </c>
      <c r="I745" s="4">
        <f ca="1">IFERROR(__xludf.DUMMYFUNCTION("""COMPUTED_VALUE"""),43253)</f>
        <v>43253</v>
      </c>
      <c r="J745">
        <f ca="1">IFERROR(__xludf.DUMMYFUNCTION("""COMPUTED_VALUE"""),3)</f>
        <v>3</v>
      </c>
      <c r="K745">
        <f ca="1">IFERROR(__xludf.DUMMYFUNCTION("""COMPUTED_VALUE"""),1145710033037)</f>
        <v>1145710033037</v>
      </c>
      <c r="L745" t="str">
        <f ca="1">IFERROR(__xludf.DUMMYFUNCTION("""COMPUTED_VALUE"""),"Chavara (4571)")</f>
        <v>Chavara (4571)</v>
      </c>
      <c r="M745" t="str">
        <f ca="1">IFERROR(__xludf.DUMMYFUNCTION("""COMPUTED_VALUE"""),"I Accept")</f>
        <v>I Accept</v>
      </c>
      <c r="N745" s="4">
        <f ca="1">IFERROR(__xludf.DUMMYFUNCTION("""COMPUTED_VALUE"""),43241)</f>
        <v>43241</v>
      </c>
      <c r="O745" s="4">
        <f ca="1">IFERROR(__xludf.DUMMYFUNCTION("""COMPUTED_VALUE"""),43241)</f>
        <v>43241</v>
      </c>
      <c r="P745">
        <f ca="1">IFERROR(__xludf.DUMMYFUNCTION("""COMPUTED_VALUE"""),3)</f>
        <v>3</v>
      </c>
      <c r="Q745" t="str">
        <f ca="1">IFERROR(__xludf.DUMMYFUNCTION("""COMPUTED_VALUE"""),"hykonkollam@gmail.com")</f>
        <v>hykonkollam@gmail.com</v>
      </c>
      <c r="R745" s="2" t="s">
        <v>3159</v>
      </c>
    </row>
    <row r="746" spans="1:18" ht="13" x14ac:dyDescent="0.15">
      <c r="A746" s="3">
        <f ca="1">IFERROR(__xludf.DUMMYFUNCTION("""COMPUTED_VALUE"""),43255.4198424421)</f>
        <v>43255.419842442097</v>
      </c>
      <c r="B746" t="str">
        <f ca="1">IFERROR(__xludf.DUMMYFUNCTION("""COMPUTED_VALUE"""),"sales.bbassociates@gmail.com")</f>
        <v>sales.bbassociates@gmail.com</v>
      </c>
      <c r="C746">
        <f ca="1">IFERROR(__xludf.DUMMYFUNCTION("""COMPUTED_VALUE"""),282)</f>
        <v>282</v>
      </c>
      <c r="D746" t="str">
        <f ca="1">IFERROR(__xludf.DUMMYFUNCTION("""COMPUTED_VALUE"""),"Sadanandan  K K			")</f>
        <v xml:space="preserve">Sadanandan  K K			</v>
      </c>
      <c r="E746">
        <f ca="1">IFERROR(__xludf.DUMMYFUNCTION("""COMPUTED_VALUE"""),9961718777)</f>
        <v>9961718777</v>
      </c>
      <c r="F746" t="str">
        <f ca="1">IFERROR(__xludf.DUMMYFUNCTION("""COMPUTED_VALUE"""),"Ernakulam")</f>
        <v>Ernakulam</v>
      </c>
      <c r="G746" t="str">
        <f ca="1">IFERROR(__xludf.DUMMYFUNCTION("""COMPUTED_VALUE"""),"Bosch Ltd")</f>
        <v>Bosch Ltd</v>
      </c>
      <c r="H746">
        <f ca="1">IFERROR(__xludf.DUMMYFUNCTION("""COMPUTED_VALUE"""),18)</f>
        <v>18</v>
      </c>
      <c r="I746" s="4">
        <f ca="1">IFERROR(__xludf.DUMMYFUNCTION("""COMPUTED_VALUE"""),43171)</f>
        <v>43171</v>
      </c>
      <c r="J746">
        <f ca="1">IFERROR(__xludf.DUMMYFUNCTION("""COMPUTED_VALUE"""),3)</f>
        <v>3</v>
      </c>
      <c r="K746">
        <f ca="1">IFERROR(__xludf.DUMMYFUNCTION("""COMPUTED_VALUE"""),1155512014138)</f>
        <v>1155512014138</v>
      </c>
      <c r="L746" t="str">
        <f ca="1">IFERROR(__xludf.DUMMYFUNCTION("""COMPUTED_VALUE"""),"Chottanikkara")</f>
        <v>Chottanikkara</v>
      </c>
      <c r="M746" t="str">
        <f ca="1">IFERROR(__xludf.DUMMYFUNCTION("""COMPUTED_VALUE"""),"I Accept")</f>
        <v>I Accept</v>
      </c>
      <c r="N746" s="4">
        <f ca="1">IFERROR(__xludf.DUMMYFUNCTION("""COMPUTED_VALUE"""),43178)</f>
        <v>43178</v>
      </c>
      <c r="O746" s="4">
        <f ca="1">IFERROR(__xludf.DUMMYFUNCTION("""COMPUTED_VALUE"""),43178)</f>
        <v>43178</v>
      </c>
      <c r="P746">
        <f ca="1">IFERROR(__xludf.DUMMYFUNCTION("""COMPUTED_VALUE"""),3)</f>
        <v>3</v>
      </c>
      <c r="Q746" t="str">
        <f ca="1">IFERROR(__xludf.DUMMYFUNCTION("""COMPUTED_VALUE"""),"sales.bbassociates@gmail.com")</f>
        <v>sales.bbassociates@gmail.com</v>
      </c>
      <c r="R746" s="2" t="s">
        <v>3160</v>
      </c>
    </row>
    <row r="747" spans="1:18" ht="13" x14ac:dyDescent="0.15">
      <c r="A747" s="3">
        <f ca="1">IFERROR(__xludf.DUMMYFUNCTION("""COMPUTED_VALUE"""),43255.4398803819)</f>
        <v>43255.439880381899</v>
      </c>
      <c r="B747" t="str">
        <f ca="1">IFERROR(__xludf.DUMMYFUNCTION("""COMPUTED_VALUE"""),"sales.bbassociates@gmail.com")</f>
        <v>sales.bbassociates@gmail.com</v>
      </c>
      <c r="C747">
        <f ca="1">IFERROR(__xludf.DUMMYFUNCTION("""COMPUTED_VALUE"""),704)</f>
        <v>704</v>
      </c>
      <c r="D747" t="str">
        <f ca="1">IFERROR(__xludf.DUMMYFUNCTION("""COMPUTED_VALUE"""),"Leelamma Mathew")</f>
        <v>Leelamma Mathew</v>
      </c>
      <c r="E747">
        <f ca="1">IFERROR(__xludf.DUMMYFUNCTION("""COMPUTED_VALUE"""),9961718777)</f>
        <v>9961718777</v>
      </c>
      <c r="F747" t="str">
        <f ca="1">IFERROR(__xludf.DUMMYFUNCTION("""COMPUTED_VALUE"""),"Thiruvananthapuram")</f>
        <v>Thiruvananthapuram</v>
      </c>
      <c r="G747" t="str">
        <f ca="1">IFERROR(__xludf.DUMMYFUNCTION("""COMPUTED_VALUE"""),"Bosch Ltd")</f>
        <v>Bosch Ltd</v>
      </c>
      <c r="H747">
        <f ca="1">IFERROR(__xludf.DUMMYFUNCTION("""COMPUTED_VALUE"""),18)</f>
        <v>18</v>
      </c>
      <c r="I747" s="4">
        <f ca="1">IFERROR(__xludf.DUMMYFUNCTION("""COMPUTED_VALUE"""),43194)</f>
        <v>43194</v>
      </c>
      <c r="J747">
        <f ca="1">IFERROR(__xludf.DUMMYFUNCTION("""COMPUTED_VALUE"""),3)</f>
        <v>3</v>
      </c>
      <c r="K747">
        <f ca="1">IFERROR(__xludf.DUMMYFUNCTION("""COMPUTED_VALUE"""),1145077013687)</f>
        <v>1145077013687</v>
      </c>
      <c r="L747" t="str">
        <f ca="1">IFERROR(__xludf.DUMMYFUNCTION("""COMPUTED_VALUE"""),"Vellayambalam")</f>
        <v>Vellayambalam</v>
      </c>
      <c r="M747" t="str">
        <f ca="1">IFERROR(__xludf.DUMMYFUNCTION("""COMPUTED_VALUE"""),"I Accept")</f>
        <v>I Accept</v>
      </c>
      <c r="N747" s="4">
        <f ca="1">IFERROR(__xludf.DUMMYFUNCTION("""COMPUTED_VALUE"""),43236)</f>
        <v>43236</v>
      </c>
      <c r="O747" s="4">
        <f ca="1">IFERROR(__xludf.DUMMYFUNCTION("""COMPUTED_VALUE"""),43236)</f>
        <v>43236</v>
      </c>
      <c r="P747">
        <f ca="1">IFERROR(__xludf.DUMMYFUNCTION("""COMPUTED_VALUE"""),3)</f>
        <v>3</v>
      </c>
      <c r="Q747" t="str">
        <f ca="1">IFERROR(__xludf.DUMMYFUNCTION("""COMPUTED_VALUE"""),"sales.bbassociates@gmail.com")</f>
        <v>sales.bbassociates@gmail.com</v>
      </c>
      <c r="R747" s="2" t="s">
        <v>3161</v>
      </c>
    </row>
    <row r="748" spans="1:18" ht="13" x14ac:dyDescent="0.15">
      <c r="A748" s="3">
        <f ca="1">IFERROR(__xludf.DUMMYFUNCTION("""COMPUTED_VALUE"""),43255.4477339236)</f>
        <v>43255.447733923596</v>
      </c>
      <c r="B748" t="str">
        <f ca="1">IFERROR(__xludf.DUMMYFUNCTION("""COMPUTED_VALUE"""),"sales.bbassociates@gmail.com")</f>
        <v>sales.bbassociates@gmail.com</v>
      </c>
      <c r="C748">
        <f ca="1">IFERROR(__xludf.DUMMYFUNCTION("""COMPUTED_VALUE"""),1202)</f>
        <v>1202</v>
      </c>
      <c r="D748" t="str">
        <f ca="1">IFERROR(__xludf.DUMMYFUNCTION("""COMPUTED_VALUE"""),"Leelamma Mathew")</f>
        <v>Leelamma Mathew</v>
      </c>
      <c r="E748">
        <f ca="1">IFERROR(__xludf.DUMMYFUNCTION("""COMPUTED_VALUE"""),9961718777)</f>
        <v>9961718777</v>
      </c>
      <c r="F748" t="str">
        <f ca="1">IFERROR(__xludf.DUMMYFUNCTION("""COMPUTED_VALUE"""),"Thiruvananthapuram")</f>
        <v>Thiruvananthapuram</v>
      </c>
      <c r="G748" t="str">
        <f ca="1">IFERROR(__xludf.DUMMYFUNCTION("""COMPUTED_VALUE"""),"Bosch Ltd")</f>
        <v>Bosch Ltd</v>
      </c>
      <c r="H748">
        <f ca="1">IFERROR(__xludf.DUMMYFUNCTION("""COMPUTED_VALUE"""),18)</f>
        <v>18</v>
      </c>
      <c r="I748" s="4">
        <f ca="1">IFERROR(__xludf.DUMMYFUNCTION("""COMPUTED_VALUE"""),43237)</f>
        <v>43237</v>
      </c>
      <c r="J748">
        <f ca="1">IFERROR(__xludf.DUMMYFUNCTION("""COMPUTED_VALUE"""),3)</f>
        <v>3</v>
      </c>
      <c r="K748">
        <f ca="1">IFERROR(__xludf.DUMMYFUNCTION("""COMPUTED_VALUE"""),1145073013688)</f>
        <v>1145073013688</v>
      </c>
      <c r="L748" t="str">
        <f ca="1">IFERROR(__xludf.DUMMYFUNCTION("""COMPUTED_VALUE"""),"Vellayambalam")</f>
        <v>Vellayambalam</v>
      </c>
      <c r="M748" t="str">
        <f ca="1">IFERROR(__xludf.DUMMYFUNCTION("""COMPUTED_VALUE"""),"I Accept")</f>
        <v>I Accept</v>
      </c>
      <c r="N748" s="4">
        <f ca="1">IFERROR(__xludf.DUMMYFUNCTION("""COMPUTED_VALUE"""),43236)</f>
        <v>43236</v>
      </c>
      <c r="O748" s="4">
        <f ca="1">IFERROR(__xludf.DUMMYFUNCTION("""COMPUTED_VALUE"""),43236)</f>
        <v>43236</v>
      </c>
      <c r="P748">
        <f ca="1">IFERROR(__xludf.DUMMYFUNCTION("""COMPUTED_VALUE"""),3)</f>
        <v>3</v>
      </c>
      <c r="Q748" t="str">
        <f ca="1">IFERROR(__xludf.DUMMYFUNCTION("""COMPUTED_VALUE"""),"sales.bbassociates@gmail.com")</f>
        <v>sales.bbassociates@gmail.com</v>
      </c>
      <c r="R748" s="2" t="s">
        <v>3162</v>
      </c>
    </row>
    <row r="749" spans="1:18" ht="13" x14ac:dyDescent="0.15">
      <c r="A749" s="3">
        <f ca="1">IFERROR(__xludf.DUMMYFUNCTION("""COMPUTED_VALUE"""),43255.489249618)</f>
        <v>43255.489249617996</v>
      </c>
      <c r="B749" t="str">
        <f ca="1">IFERROR(__xludf.DUMMYFUNCTION("""COMPUTED_VALUE"""),"MOHANDASPANAM@GMAIL.COM")</f>
        <v>MOHANDASPANAM@GMAIL.COM</v>
      </c>
      <c r="C749">
        <f ca="1">IFERROR(__xludf.DUMMYFUNCTION("""COMPUTED_VALUE"""),883)</f>
        <v>883</v>
      </c>
      <c r="D749" t="str">
        <f ca="1">IFERROR(__xludf.DUMMYFUNCTION("""COMPUTED_VALUE"""),"DrBeena Guhan")</f>
        <v>DrBeena Guhan</v>
      </c>
      <c r="E749">
        <f ca="1">IFERROR(__xludf.DUMMYFUNCTION("""COMPUTED_VALUE"""),9447159084)</f>
        <v>9447159084</v>
      </c>
      <c r="F749" t="str">
        <f ca="1">IFERROR(__xludf.DUMMYFUNCTION("""COMPUTED_VALUE"""),"Kozhikode")</f>
        <v>Kozhikode</v>
      </c>
      <c r="G749" t="str">
        <f ca="1">IFERROR(__xludf.DUMMYFUNCTION("""COMPUTED_VALUE"""),"POWER ONE MICRO SYSTEMS P LTD")</f>
        <v>POWER ONE MICRO SYSTEMS P LTD</v>
      </c>
      <c r="H749">
        <f ca="1">IFERROR(__xludf.DUMMYFUNCTION("""COMPUTED_VALUE"""),7)</f>
        <v>7</v>
      </c>
      <c r="I749" s="4">
        <f ca="1">IFERROR(__xludf.DUMMYFUNCTION("""COMPUTED_VALUE"""),43185)</f>
        <v>43185</v>
      </c>
      <c r="J749">
        <f ca="1">IFERROR(__xludf.DUMMYFUNCTION("""COMPUTED_VALUE"""),3)</f>
        <v>3</v>
      </c>
      <c r="K749">
        <f ca="1">IFERROR(__xludf.DUMMYFUNCTION("""COMPUTED_VALUE"""),1165955000017)</f>
        <v>1165955000017</v>
      </c>
      <c r="L749" t="str">
        <f ca="1">IFERROR(__xludf.DUMMYFUNCTION("""COMPUTED_VALUE"""),"KOVOOR")</f>
        <v>KOVOOR</v>
      </c>
      <c r="M749" t="str">
        <f ca="1">IFERROR(__xludf.DUMMYFUNCTION("""COMPUTED_VALUE"""),"I Accept")</f>
        <v>I Accept</v>
      </c>
      <c r="N749" s="4">
        <f ca="1">IFERROR(__xludf.DUMMYFUNCTION("""COMPUTED_VALUE"""),43190)</f>
        <v>43190</v>
      </c>
      <c r="O749" s="4">
        <f ca="1">IFERROR(__xludf.DUMMYFUNCTION("""COMPUTED_VALUE"""),43190)</f>
        <v>43190</v>
      </c>
      <c r="P749">
        <f ca="1">IFERROR(__xludf.DUMMYFUNCTION("""COMPUTED_VALUE"""),3)</f>
        <v>3</v>
      </c>
      <c r="Q749" t="str">
        <f ca="1">IFERROR(__xludf.DUMMYFUNCTION("""COMPUTED_VALUE"""),"arunpom@gmail.com")</f>
        <v>arunpom@gmail.com</v>
      </c>
      <c r="R749" s="2" t="s">
        <v>3163</v>
      </c>
    </row>
    <row r="750" spans="1:18" ht="13" x14ac:dyDescent="0.15">
      <c r="A750" s="3">
        <f ca="1">IFERROR(__xludf.DUMMYFUNCTION("""COMPUTED_VALUE"""),43255.4912966782)</f>
        <v>43255.491296678199</v>
      </c>
      <c r="B750" t="str">
        <f ca="1">IFERROR(__xludf.DUMMYFUNCTION("""COMPUTED_VALUE"""),"noorakshaya@gmail.com")</f>
        <v>noorakshaya@gmail.com</v>
      </c>
      <c r="C750">
        <f ca="1">IFERROR(__xludf.DUMMYFUNCTION("""COMPUTED_VALUE"""),305)</f>
        <v>305</v>
      </c>
      <c r="D750" t="str">
        <f ca="1">IFERROR(__xludf.DUMMYFUNCTION("""COMPUTED_VALUE"""),"CHANDRA BABU.J")</f>
        <v>CHANDRA BABU.J</v>
      </c>
      <c r="E750">
        <f ca="1">IFERROR(__xludf.DUMMYFUNCTION("""COMPUTED_VALUE"""),7736806968)</f>
        <v>7736806968</v>
      </c>
      <c r="F750" t="str">
        <f ca="1">IFERROR(__xludf.DUMMYFUNCTION("""COMPUTED_VALUE"""),"Thiruvananthapuram")</f>
        <v>Thiruvananthapuram</v>
      </c>
      <c r="G750" t="str">
        <f ca="1">IFERROR(__xludf.DUMMYFUNCTION("""COMPUTED_VALUE"""),"Renergy Systems India Pvt Ltd")</f>
        <v>Renergy Systems India Pvt Ltd</v>
      </c>
      <c r="H750">
        <f ca="1">IFERROR(__xludf.DUMMYFUNCTION("""COMPUTED_VALUE"""),38)</f>
        <v>38</v>
      </c>
      <c r="I750" s="4">
        <f ca="1">IFERROR(__xludf.DUMMYFUNCTION("""COMPUTED_VALUE"""),43253)</f>
        <v>43253</v>
      </c>
      <c r="J750">
        <f ca="1">IFERROR(__xludf.DUMMYFUNCTION("""COMPUTED_VALUE"""),2)</f>
        <v>2</v>
      </c>
      <c r="K750">
        <f ca="1">IFERROR(__xludf.DUMMYFUNCTION("""COMPUTED_VALUE"""),1146520004799)</f>
        <v>1146520004799</v>
      </c>
      <c r="L750" t="str">
        <f ca="1">IFERROR(__xludf.DUMMYFUNCTION("""COMPUTED_VALUE"""),"Aryanad")</f>
        <v>Aryanad</v>
      </c>
      <c r="M750" t="str">
        <f ca="1">IFERROR(__xludf.DUMMYFUNCTION("""COMPUTED_VALUE"""),"I Accept")</f>
        <v>I Accept</v>
      </c>
      <c r="N750" s="4">
        <f ca="1">IFERROR(__xludf.DUMMYFUNCTION("""COMPUTED_VALUE"""),43194)</f>
        <v>43194</v>
      </c>
      <c r="O750" s="4">
        <f ca="1">IFERROR(__xludf.DUMMYFUNCTION("""COMPUTED_VALUE"""),43194)</f>
        <v>43194</v>
      </c>
      <c r="P750">
        <f ca="1">IFERROR(__xludf.DUMMYFUNCTION("""COMPUTED_VALUE"""),2)</f>
        <v>2</v>
      </c>
      <c r="Q750" t="str">
        <f ca="1">IFERROR(__xludf.DUMMYFUNCTION("""COMPUTED_VALUE"""),"noorakshaya@gmail.com")</f>
        <v>noorakshaya@gmail.com</v>
      </c>
      <c r="R750" s="2" t="s">
        <v>3164</v>
      </c>
    </row>
    <row r="751" spans="1:18" ht="13" x14ac:dyDescent="0.15">
      <c r="A751" s="3">
        <f ca="1">IFERROR(__xludf.DUMMYFUNCTION("""COMPUTED_VALUE"""),43255.494576574)</f>
        <v>43255.494576573998</v>
      </c>
      <c r="B751" t="str">
        <f ca="1">IFERROR(__xludf.DUMMYFUNCTION("""COMPUTED_VALUE"""),"arunnair431@gmail.com")</f>
        <v>arunnair431@gmail.com</v>
      </c>
      <c r="C751">
        <f ca="1">IFERROR(__xludf.DUMMYFUNCTION("""COMPUTED_VALUE"""),1206)</f>
        <v>1206</v>
      </c>
      <c r="D751" t="str">
        <f ca="1">IFERROR(__xludf.DUMMYFUNCTION("""COMPUTED_VALUE"""),"V .A.THOMAS")</f>
        <v>V .A.THOMAS</v>
      </c>
      <c r="E751">
        <f ca="1">IFERROR(__xludf.DUMMYFUNCTION("""COMPUTED_VALUE"""),9037288907)</f>
        <v>9037288907</v>
      </c>
      <c r="F751" t="str">
        <f ca="1">IFERROR(__xludf.DUMMYFUNCTION("""COMPUTED_VALUE"""),"Kozhikode")</f>
        <v>Kozhikode</v>
      </c>
      <c r="G751" t="str">
        <f ca="1">IFERROR(__xludf.DUMMYFUNCTION("""COMPUTED_VALUE"""),"POWER ONE MICRO SYSTEMS P LTD ")</f>
        <v xml:space="preserve">POWER ONE MICRO SYSTEMS P LTD </v>
      </c>
      <c r="H751">
        <f ca="1">IFERROR(__xludf.DUMMYFUNCTION("""COMPUTED_VALUE"""),7)</f>
        <v>7</v>
      </c>
      <c r="I751" s="4">
        <f ca="1">IFERROR(__xludf.DUMMYFUNCTION("""COMPUTED_VALUE"""),43236)</f>
        <v>43236</v>
      </c>
      <c r="J751">
        <f ca="1">IFERROR(__xludf.DUMMYFUNCTION("""COMPUTED_VALUE"""),3)</f>
        <v>3</v>
      </c>
      <c r="K751">
        <f ca="1">IFERROR(__xludf.DUMMYFUNCTION("""COMPUTED_VALUE"""),1165956003130)</f>
        <v>1165956003130</v>
      </c>
      <c r="L751" t="str">
        <f ca="1">IFERROR(__xludf.DUMMYFUNCTION("""COMPUTED_VALUE"""),"KOVOOR")</f>
        <v>KOVOOR</v>
      </c>
      <c r="M751" t="str">
        <f ca="1">IFERROR(__xludf.DUMMYFUNCTION("""COMPUTED_VALUE"""),"I Accept")</f>
        <v>I Accept</v>
      </c>
      <c r="N751" s="4">
        <f ca="1">IFERROR(__xludf.DUMMYFUNCTION("""COMPUTED_VALUE"""),43195)</f>
        <v>43195</v>
      </c>
      <c r="O751" s="4">
        <f ca="1">IFERROR(__xludf.DUMMYFUNCTION("""COMPUTED_VALUE"""),43195)</f>
        <v>43195</v>
      </c>
      <c r="P751">
        <f ca="1">IFERROR(__xludf.DUMMYFUNCTION("""COMPUTED_VALUE"""),3)</f>
        <v>3</v>
      </c>
      <c r="Q751" t="str">
        <f ca="1">IFERROR(__xludf.DUMMYFUNCTION("""COMPUTED_VALUE"""),"arunpom@gmail.com")</f>
        <v>arunpom@gmail.com</v>
      </c>
      <c r="R751" s="2" t="s">
        <v>3165</v>
      </c>
    </row>
    <row r="752" spans="1:18" ht="13" x14ac:dyDescent="0.15">
      <c r="A752" s="3">
        <f ca="1">IFERROR(__xludf.DUMMYFUNCTION("""COMPUTED_VALUE"""),43255.4982627199)</f>
        <v>43255.498262719899</v>
      </c>
      <c r="B752" t="str">
        <f ca="1">IFERROR(__xludf.DUMMYFUNCTION("""COMPUTED_VALUE"""),"noorakshaya@gmail.com")</f>
        <v>noorakshaya@gmail.com</v>
      </c>
      <c r="C752">
        <f ca="1">IFERROR(__xludf.DUMMYFUNCTION("""COMPUTED_VALUE"""),83)</f>
        <v>83</v>
      </c>
      <c r="D752" t="str">
        <f ca="1">IFERROR(__xludf.DUMMYFUNCTION("""COMPUTED_VALUE"""),"Muhammed Kabeer")</f>
        <v>Muhammed Kabeer</v>
      </c>
      <c r="E752">
        <f ca="1">IFERROR(__xludf.DUMMYFUNCTION("""COMPUTED_VALUE"""),7034322221)</f>
        <v>7034322221</v>
      </c>
      <c r="F752" t="str">
        <f ca="1">IFERROR(__xludf.DUMMYFUNCTION("""COMPUTED_VALUE"""),"Thiruvananthapuram")</f>
        <v>Thiruvananthapuram</v>
      </c>
      <c r="G752" t="str">
        <f ca="1">IFERROR(__xludf.DUMMYFUNCTION("""COMPUTED_VALUE"""),"Renergy Systems India Pvt Ltd")</f>
        <v>Renergy Systems India Pvt Ltd</v>
      </c>
      <c r="H752">
        <f ca="1">IFERROR(__xludf.DUMMYFUNCTION("""COMPUTED_VALUE"""),38)</f>
        <v>38</v>
      </c>
      <c r="I752" s="4">
        <f ca="1">IFERROR(__xludf.DUMMYFUNCTION("""COMPUTED_VALUE"""),43253)</f>
        <v>43253</v>
      </c>
      <c r="J752">
        <f ca="1">IFERROR(__xludf.DUMMYFUNCTION("""COMPUTED_VALUE"""),2)</f>
        <v>2</v>
      </c>
      <c r="K752">
        <f ca="1">IFERROR(__xludf.DUMMYFUNCTION("""COMPUTED_VALUE"""),12988)</f>
        <v>12988</v>
      </c>
      <c r="L752" t="str">
        <f ca="1">IFERROR(__xludf.DUMMYFUNCTION("""COMPUTED_VALUE"""),"Vizhinjam")</f>
        <v>Vizhinjam</v>
      </c>
      <c r="M752" t="str">
        <f ca="1">IFERROR(__xludf.DUMMYFUNCTION("""COMPUTED_VALUE"""),"I Accept")</f>
        <v>I Accept</v>
      </c>
      <c r="N752" s="4">
        <f ca="1">IFERROR(__xludf.DUMMYFUNCTION("""COMPUTED_VALUE"""),43164)</f>
        <v>43164</v>
      </c>
      <c r="O752" s="4">
        <f ca="1">IFERROR(__xludf.DUMMYFUNCTION("""COMPUTED_VALUE"""),43164)</f>
        <v>43164</v>
      </c>
      <c r="P752">
        <f ca="1">IFERROR(__xludf.DUMMYFUNCTION("""COMPUTED_VALUE"""),2)</f>
        <v>2</v>
      </c>
      <c r="Q752" t="str">
        <f ca="1">IFERROR(__xludf.DUMMYFUNCTION("""COMPUTED_VALUE"""),"noorakshaya@gmail.com")</f>
        <v>noorakshaya@gmail.com</v>
      </c>
      <c r="R752" s="2" t="s">
        <v>3166</v>
      </c>
    </row>
    <row r="753" spans="1:18" ht="13" x14ac:dyDescent="0.15">
      <c r="A753" s="3">
        <f ca="1">IFERROR(__xludf.DUMMYFUNCTION("""COMPUTED_VALUE"""),43255.511647118)</f>
        <v>43255.511647118001</v>
      </c>
      <c r="B753" t="str">
        <f ca="1">IFERROR(__xludf.DUMMYFUNCTION("""COMPUTED_VALUE"""),"noorakshaya@gmail.com")</f>
        <v>noorakshaya@gmail.com</v>
      </c>
      <c r="C753">
        <f ca="1">IFERROR(__xludf.DUMMYFUNCTION("""COMPUTED_VALUE"""),734)</f>
        <v>734</v>
      </c>
      <c r="D753" t="str">
        <f ca="1">IFERROR(__xludf.DUMMYFUNCTION("""COMPUTED_VALUE"""),"Nirmala Medical Centre")</f>
        <v>Nirmala Medical Centre</v>
      </c>
      <c r="E753">
        <f ca="1">IFERROR(__xludf.DUMMYFUNCTION("""COMPUTED_VALUE"""),7034200099)</f>
        <v>7034200099</v>
      </c>
      <c r="F753" t="str">
        <f ca="1">IFERROR(__xludf.DUMMYFUNCTION("""COMPUTED_VALUE"""),"Ernakulam")</f>
        <v>Ernakulam</v>
      </c>
      <c r="G753" t="str">
        <f ca="1">IFERROR(__xludf.DUMMYFUNCTION("""COMPUTED_VALUE"""),"Renergy Systems India Pvt Ltd")</f>
        <v>Renergy Systems India Pvt Ltd</v>
      </c>
      <c r="H753">
        <f ca="1">IFERROR(__xludf.DUMMYFUNCTION("""COMPUTED_VALUE"""),38)</f>
        <v>38</v>
      </c>
      <c r="I753" s="4">
        <f ca="1">IFERROR(__xludf.DUMMYFUNCTION("""COMPUTED_VALUE"""),43185)</f>
        <v>43185</v>
      </c>
      <c r="J753">
        <f ca="1">IFERROR(__xludf.DUMMYFUNCTION("""COMPUTED_VALUE"""),30)</f>
        <v>30</v>
      </c>
      <c r="K753">
        <f ca="1">IFERROR(__xludf.DUMMYFUNCTION("""COMPUTED_VALUE"""),1355910003652)</f>
        <v>1355910003652</v>
      </c>
      <c r="L753" t="str">
        <f ca="1">IFERROR(__xludf.DUMMYFUNCTION("""COMPUTED_VALUE"""),"Muvattupuzha I")</f>
        <v>Muvattupuzha I</v>
      </c>
      <c r="M753" t="str">
        <f ca="1">IFERROR(__xludf.DUMMYFUNCTION("""COMPUTED_VALUE"""),"I Accept")</f>
        <v>I Accept</v>
      </c>
      <c r="N753" s="4">
        <f ca="1">IFERROR(__xludf.DUMMYFUNCTION("""COMPUTED_VALUE"""),43245)</f>
        <v>43245</v>
      </c>
      <c r="O753" s="4">
        <f ca="1">IFERROR(__xludf.DUMMYFUNCTION("""COMPUTED_VALUE"""),43245)</f>
        <v>43245</v>
      </c>
      <c r="P753">
        <f ca="1">IFERROR(__xludf.DUMMYFUNCTION("""COMPUTED_VALUE"""),30)</f>
        <v>30</v>
      </c>
      <c r="Q753" t="str">
        <f ca="1">IFERROR(__xludf.DUMMYFUNCTION("""COMPUTED_VALUE"""),"noorakshaya@gmail.com")</f>
        <v>noorakshaya@gmail.com</v>
      </c>
      <c r="R753" s="2" t="s">
        <v>3167</v>
      </c>
    </row>
    <row r="754" spans="1:18" ht="13" x14ac:dyDescent="0.15">
      <c r="A754" s="3">
        <f ca="1">IFERROR(__xludf.DUMMYFUNCTION("""COMPUTED_VALUE"""),43255.5191120138)</f>
        <v>43255.519112013797</v>
      </c>
      <c r="B754" t="str">
        <f ca="1">IFERROR(__xludf.DUMMYFUNCTION("""COMPUTED_VALUE"""),"noorakshaya@gmail.com")</f>
        <v>noorakshaya@gmail.com</v>
      </c>
      <c r="C754">
        <f ca="1">IFERROR(__xludf.DUMMYFUNCTION("""COMPUTED_VALUE"""),733)</f>
        <v>733</v>
      </c>
      <c r="D754" t="str">
        <f ca="1">IFERROR(__xludf.DUMMYFUNCTION("""COMPUTED_VALUE""")," Bonny Baiju")</f>
        <v> Bonny Baiju</v>
      </c>
      <c r="E754">
        <f ca="1">IFERROR(__xludf.DUMMYFUNCTION("""COMPUTED_VALUE"""),7034200099)</f>
        <v>7034200099</v>
      </c>
      <c r="F754" t="str">
        <f ca="1">IFERROR(__xludf.DUMMYFUNCTION("""COMPUTED_VALUE"""),"Idukki")</f>
        <v>Idukki</v>
      </c>
      <c r="G754" t="str">
        <f ca="1">IFERROR(__xludf.DUMMYFUNCTION("""COMPUTED_VALUE"""),"Renergy Systems India Pvt Ltd")</f>
        <v>Renergy Systems India Pvt Ltd</v>
      </c>
      <c r="H754">
        <f ca="1">IFERROR(__xludf.DUMMYFUNCTION("""COMPUTED_VALUE"""),38)</f>
        <v>38</v>
      </c>
      <c r="I754" s="4">
        <f ca="1">IFERROR(__xludf.DUMMYFUNCTION("""COMPUTED_VALUE"""),43187)</f>
        <v>43187</v>
      </c>
      <c r="J754">
        <f ca="1">IFERROR(__xludf.DUMMYFUNCTION("""COMPUTED_VALUE"""),5)</f>
        <v>5</v>
      </c>
      <c r="K754">
        <f ca="1">IFERROR(__xludf.DUMMYFUNCTION("""COMPUTED_VALUE"""),1156173005579)</f>
        <v>1156173005579</v>
      </c>
      <c r="L754" t="str">
        <f ca="1">IFERROR(__xludf.DUMMYFUNCTION("""COMPUTED_VALUE"""),"Adimali")</f>
        <v>Adimali</v>
      </c>
      <c r="M754" t="str">
        <f ca="1">IFERROR(__xludf.DUMMYFUNCTION("""COMPUTED_VALUE"""),"I Accept")</f>
        <v>I Accept</v>
      </c>
      <c r="N754" s="4">
        <f ca="1">IFERROR(__xludf.DUMMYFUNCTION("""COMPUTED_VALUE"""),43220)</f>
        <v>43220</v>
      </c>
      <c r="O754" s="4">
        <f ca="1">IFERROR(__xludf.DUMMYFUNCTION("""COMPUTED_VALUE"""),43220)</f>
        <v>43220</v>
      </c>
      <c r="P754">
        <f ca="1">IFERROR(__xludf.DUMMYFUNCTION("""COMPUTED_VALUE"""),5)</f>
        <v>5</v>
      </c>
      <c r="Q754" t="str">
        <f ca="1">IFERROR(__xludf.DUMMYFUNCTION("""COMPUTED_VALUE"""),"noorakshaya@gmail.com")</f>
        <v>noorakshaya@gmail.com</v>
      </c>
      <c r="R754" s="2" t="s">
        <v>3168</v>
      </c>
    </row>
    <row r="755" spans="1:18" ht="13" x14ac:dyDescent="0.15">
      <c r="A755" s="3">
        <f ca="1">IFERROR(__xludf.DUMMYFUNCTION("""COMPUTED_VALUE"""),43255.5237403819)</f>
        <v>43255.523740381897</v>
      </c>
      <c r="B755" t="str">
        <f ca="1">IFERROR(__xludf.DUMMYFUNCTION("""COMPUTED_VALUE"""),"noorakshaya@gmail.com")</f>
        <v>noorakshaya@gmail.com</v>
      </c>
      <c r="C755">
        <f ca="1">IFERROR(__xludf.DUMMYFUNCTION("""COMPUTED_VALUE"""),794)</f>
        <v>794</v>
      </c>
      <c r="D755" t="str">
        <f ca="1">IFERROR(__xludf.DUMMYFUNCTION("""COMPUTED_VALUE"""),"Riyad Kariyath")</f>
        <v>Riyad Kariyath</v>
      </c>
      <c r="E755">
        <f ca="1">IFERROR(__xludf.DUMMYFUNCTION("""COMPUTED_VALUE"""),7034200099)</f>
        <v>7034200099</v>
      </c>
      <c r="F755" t="str">
        <f ca="1">IFERROR(__xludf.DUMMYFUNCTION("""COMPUTED_VALUE"""),"Kannur")</f>
        <v>Kannur</v>
      </c>
      <c r="G755" t="str">
        <f ca="1">IFERROR(__xludf.DUMMYFUNCTION("""COMPUTED_VALUE"""),"Renergy Systems India Pvt Ltd")</f>
        <v>Renergy Systems India Pvt Ltd</v>
      </c>
      <c r="H755">
        <f ca="1">IFERROR(__xludf.DUMMYFUNCTION("""COMPUTED_VALUE"""),38)</f>
        <v>38</v>
      </c>
      <c r="I755" s="4">
        <f ca="1">IFERROR(__xludf.DUMMYFUNCTION("""COMPUTED_VALUE"""),43192)</f>
        <v>43192</v>
      </c>
      <c r="J755">
        <f ca="1">IFERROR(__xludf.DUMMYFUNCTION("""COMPUTED_VALUE"""),15)</f>
        <v>15</v>
      </c>
      <c r="K755">
        <f ca="1">IFERROR(__xludf.DUMMYFUNCTION("""COMPUTED_VALUE"""),1166742036648)</f>
        <v>1166742036648</v>
      </c>
      <c r="L755" t="str">
        <f ca="1">IFERROR(__xludf.DUMMYFUNCTION("""COMPUTED_VALUE"""),"Iritty")</f>
        <v>Iritty</v>
      </c>
      <c r="M755" t="str">
        <f ca="1">IFERROR(__xludf.DUMMYFUNCTION("""COMPUTED_VALUE"""),"I Accept")</f>
        <v>I Accept</v>
      </c>
      <c r="N755" s="4">
        <f ca="1">IFERROR(__xludf.DUMMYFUNCTION("""COMPUTED_VALUE"""),43235)</f>
        <v>43235</v>
      </c>
      <c r="O755" s="4">
        <f ca="1">IFERROR(__xludf.DUMMYFUNCTION("""COMPUTED_VALUE"""),43235)</f>
        <v>43235</v>
      </c>
      <c r="P755">
        <f ca="1">IFERROR(__xludf.DUMMYFUNCTION("""COMPUTED_VALUE"""),15)</f>
        <v>15</v>
      </c>
      <c r="Q755" t="str">
        <f ca="1">IFERROR(__xludf.DUMMYFUNCTION("""COMPUTED_VALUE"""),"noorakshaya@gmail.com")</f>
        <v>noorakshaya@gmail.com</v>
      </c>
      <c r="R755" s="2" t="s">
        <v>3169</v>
      </c>
    </row>
    <row r="756" spans="1:18" ht="13" x14ac:dyDescent="0.15">
      <c r="A756" s="3">
        <f ca="1">IFERROR(__xludf.DUMMYFUNCTION("""COMPUTED_VALUE"""),43255.5288695023)</f>
        <v>43255.528869502297</v>
      </c>
      <c r="B756" t="str">
        <f ca="1">IFERROR(__xludf.DUMMYFUNCTION("""COMPUTED_VALUE"""),"noorakshaya@gmail.com")</f>
        <v>noorakshaya@gmail.com</v>
      </c>
      <c r="C756">
        <f ca="1">IFERROR(__xludf.DUMMYFUNCTION("""COMPUTED_VALUE"""),796)</f>
        <v>796</v>
      </c>
      <c r="D756" t="str">
        <f ca="1">IFERROR(__xludf.DUMMYFUNCTION("""COMPUTED_VALUE"""),"Ganga G Kaimal")</f>
        <v>Ganga G Kaimal</v>
      </c>
      <c r="E756">
        <f ca="1">IFERROR(__xludf.DUMMYFUNCTION("""COMPUTED_VALUE"""),7034200099)</f>
        <v>7034200099</v>
      </c>
      <c r="F756" t="str">
        <f ca="1">IFERROR(__xludf.DUMMYFUNCTION("""COMPUTED_VALUE"""),"Alappuzha")</f>
        <v>Alappuzha</v>
      </c>
      <c r="G756" t="str">
        <f ca="1">IFERROR(__xludf.DUMMYFUNCTION("""COMPUTED_VALUE"""),"Renergy Systems India Pvt Ltd")</f>
        <v>Renergy Systems India Pvt Ltd</v>
      </c>
      <c r="H756">
        <f ca="1">IFERROR(__xludf.DUMMYFUNCTION("""COMPUTED_VALUE"""),38)</f>
        <v>38</v>
      </c>
      <c r="I756" s="4">
        <f ca="1">IFERROR(__xludf.DUMMYFUNCTION("""COMPUTED_VALUE"""),43192)</f>
        <v>43192</v>
      </c>
      <c r="J756">
        <f ca="1">IFERROR(__xludf.DUMMYFUNCTION("""COMPUTED_VALUE"""),5)</f>
        <v>5</v>
      </c>
      <c r="K756">
        <f ca="1">IFERROR(__xludf.DUMMYFUNCTION("""COMPUTED_VALUE"""),1146287015634)</f>
        <v>1146287015634</v>
      </c>
      <c r="L756" t="str">
        <f ca="1">IFERROR(__xludf.DUMMYFUNCTION("""COMPUTED_VALUE"""),"Gandhinagar")</f>
        <v>Gandhinagar</v>
      </c>
      <c r="M756" t="str">
        <f ca="1">IFERROR(__xludf.DUMMYFUNCTION("""COMPUTED_VALUE"""),"I Accept")</f>
        <v>I Accept</v>
      </c>
      <c r="N756" s="4">
        <f ca="1">IFERROR(__xludf.DUMMYFUNCTION("""COMPUTED_VALUE"""),43157)</f>
        <v>43157</v>
      </c>
      <c r="O756" s="4">
        <f ca="1">IFERROR(__xludf.DUMMYFUNCTION("""COMPUTED_VALUE"""),43157)</f>
        <v>43157</v>
      </c>
      <c r="P756">
        <f ca="1">IFERROR(__xludf.DUMMYFUNCTION("""COMPUTED_VALUE"""),5)</f>
        <v>5</v>
      </c>
      <c r="Q756" t="str">
        <f ca="1">IFERROR(__xludf.DUMMYFUNCTION("""COMPUTED_VALUE"""),"noorakshaya@gmail.com")</f>
        <v>noorakshaya@gmail.com</v>
      </c>
      <c r="R756" s="2" t="s">
        <v>3170</v>
      </c>
    </row>
    <row r="757" spans="1:18" ht="13" x14ac:dyDescent="0.15">
      <c r="A757" s="3">
        <f ca="1">IFERROR(__xludf.DUMMYFUNCTION("""COMPUTED_VALUE"""),43255.5357380324)</f>
        <v>43255.535738032399</v>
      </c>
      <c r="B757" t="str">
        <f ca="1">IFERROR(__xludf.DUMMYFUNCTION("""COMPUTED_VALUE"""),"noorakshaya@gmail.com")</f>
        <v>noorakshaya@gmail.com</v>
      </c>
      <c r="C757">
        <f ca="1">IFERROR(__xludf.DUMMYFUNCTION("""COMPUTED_VALUE"""),1019)</f>
        <v>1019</v>
      </c>
      <c r="D757" t="str">
        <f ca="1">IFERROR(__xludf.DUMMYFUNCTION("""COMPUTED_VALUE"""),"Mukunda Sreenivas M")</f>
        <v>Mukunda Sreenivas M</v>
      </c>
      <c r="E757">
        <f ca="1">IFERROR(__xludf.DUMMYFUNCTION("""COMPUTED_VALUE"""),9895686483)</f>
        <v>9895686483</v>
      </c>
      <c r="F757" t="str">
        <f ca="1">IFERROR(__xludf.DUMMYFUNCTION("""COMPUTED_VALUE"""),"Malappuram")</f>
        <v>Malappuram</v>
      </c>
      <c r="G757" t="str">
        <f ca="1">IFERROR(__xludf.DUMMYFUNCTION("""COMPUTED_VALUE"""),"Renergy Systems India Pvt Ltd")</f>
        <v>Renergy Systems India Pvt Ltd</v>
      </c>
      <c r="H757">
        <f ca="1">IFERROR(__xludf.DUMMYFUNCTION("""COMPUTED_VALUE"""),38)</f>
        <v>38</v>
      </c>
      <c r="I757" s="4">
        <f ca="1">IFERROR(__xludf.DUMMYFUNCTION("""COMPUTED_VALUE"""),43252)</f>
        <v>43252</v>
      </c>
      <c r="J757">
        <f ca="1">IFERROR(__xludf.DUMMYFUNCTION("""COMPUTED_VALUE"""),3)</f>
        <v>3</v>
      </c>
      <c r="K757">
        <f ca="1">IFERROR(__xludf.DUMMYFUNCTION("""COMPUTED_VALUE"""),1165827002437)</f>
        <v>1165827002437</v>
      </c>
      <c r="L757" t="str">
        <f ca="1">IFERROR(__xludf.DUMMYFUNCTION("""COMPUTED_VALUE"""),"Thavanur")</f>
        <v>Thavanur</v>
      </c>
      <c r="M757" t="str">
        <f ca="1">IFERROR(__xludf.DUMMYFUNCTION("""COMPUTED_VALUE"""),"I Accept")</f>
        <v>I Accept</v>
      </c>
      <c r="N757" s="4">
        <f ca="1">IFERROR(__xludf.DUMMYFUNCTION("""COMPUTED_VALUE"""),43253)</f>
        <v>43253</v>
      </c>
      <c r="O757" s="4">
        <f ca="1">IFERROR(__xludf.DUMMYFUNCTION("""COMPUTED_VALUE"""),43253)</f>
        <v>43253</v>
      </c>
      <c r="P757">
        <f ca="1">IFERROR(__xludf.DUMMYFUNCTION("""COMPUTED_VALUE"""),3)</f>
        <v>3</v>
      </c>
      <c r="Q757" t="str">
        <f ca="1">IFERROR(__xludf.DUMMYFUNCTION("""COMPUTED_VALUE"""),"noorakshaya@gmail.com")</f>
        <v>noorakshaya@gmail.com</v>
      </c>
      <c r="R757" s="2" t="s">
        <v>3171</v>
      </c>
    </row>
    <row r="758" spans="1:18" ht="13" x14ac:dyDescent="0.15">
      <c r="A758" s="3">
        <f ca="1">IFERROR(__xludf.DUMMYFUNCTION("""COMPUTED_VALUE"""),43255.540329618)</f>
        <v>43255.540329618001</v>
      </c>
      <c r="B758" t="str">
        <f ca="1">IFERROR(__xludf.DUMMYFUNCTION("""COMPUTED_VALUE"""),"noorakshaya@gmail.com")</f>
        <v>noorakshaya@gmail.com</v>
      </c>
      <c r="C758">
        <f ca="1">IFERROR(__xludf.DUMMYFUNCTION("""COMPUTED_VALUE"""),1018)</f>
        <v>1018</v>
      </c>
      <c r="D758" t="str">
        <f ca="1">IFERROR(__xludf.DUMMYFUNCTION("""COMPUTED_VALUE"""),"Raveendran Pillai K R")</f>
        <v>Raveendran Pillai K R</v>
      </c>
      <c r="E758">
        <f ca="1">IFERROR(__xludf.DUMMYFUNCTION("""COMPUTED_VALUE"""),9496852775)</f>
        <v>9496852775</v>
      </c>
      <c r="F758" t="str">
        <f ca="1">IFERROR(__xludf.DUMMYFUNCTION("""COMPUTED_VALUE"""),"Thiruvananthapuram")</f>
        <v>Thiruvananthapuram</v>
      </c>
      <c r="G758" t="str">
        <f ca="1">IFERROR(__xludf.DUMMYFUNCTION("""COMPUTED_VALUE"""),"Renergy Systems India Pvt Ltd")</f>
        <v>Renergy Systems India Pvt Ltd</v>
      </c>
      <c r="H758">
        <f ca="1">IFERROR(__xludf.DUMMYFUNCTION("""COMPUTED_VALUE"""),38)</f>
        <v>38</v>
      </c>
      <c r="I758" s="4">
        <f ca="1">IFERROR(__xludf.DUMMYFUNCTION("""COMPUTED_VALUE"""),43220)</f>
        <v>43220</v>
      </c>
      <c r="J758">
        <f ca="1">IFERROR(__xludf.DUMMYFUNCTION("""COMPUTED_VALUE"""),5)</f>
        <v>5</v>
      </c>
      <c r="K758">
        <f ca="1">IFERROR(__xludf.DUMMYFUNCTION("""COMPUTED_VALUE"""),1145578014250)</f>
        <v>1145578014250</v>
      </c>
      <c r="L758" t="str">
        <f ca="1">IFERROR(__xludf.DUMMYFUNCTION("""COMPUTED_VALUE"""),"Kallara")</f>
        <v>Kallara</v>
      </c>
      <c r="M758" t="str">
        <f ca="1">IFERROR(__xludf.DUMMYFUNCTION("""COMPUTED_VALUE"""),"I Accept")</f>
        <v>I Accept</v>
      </c>
      <c r="N758" s="4">
        <f ca="1">IFERROR(__xludf.DUMMYFUNCTION("""COMPUTED_VALUE"""),43222)</f>
        <v>43222</v>
      </c>
      <c r="O758" s="4">
        <f ca="1">IFERROR(__xludf.DUMMYFUNCTION("""COMPUTED_VALUE"""),43222)</f>
        <v>43222</v>
      </c>
      <c r="P758">
        <f ca="1">IFERROR(__xludf.DUMMYFUNCTION("""COMPUTED_VALUE"""),5)</f>
        <v>5</v>
      </c>
      <c r="Q758" t="str">
        <f ca="1">IFERROR(__xludf.DUMMYFUNCTION("""COMPUTED_VALUE"""),"noorakshaya@gmail.com")</f>
        <v>noorakshaya@gmail.com</v>
      </c>
      <c r="R758" s="2" t="s">
        <v>3172</v>
      </c>
    </row>
    <row r="759" spans="1:18" ht="13" x14ac:dyDescent="0.15">
      <c r="A759" s="3">
        <f ca="1">IFERROR(__xludf.DUMMYFUNCTION("""COMPUTED_VALUE"""),43255.5445528819)</f>
        <v>43255.544552881896</v>
      </c>
      <c r="B759" t="str">
        <f ca="1">IFERROR(__xludf.DUMMYFUNCTION("""COMPUTED_VALUE"""),"noorakshaya@gmail.com")</f>
        <v>noorakshaya@gmail.com</v>
      </c>
      <c r="C759">
        <f ca="1">IFERROR(__xludf.DUMMYFUNCTION("""COMPUTED_VALUE"""),1009)</f>
        <v>1009</v>
      </c>
      <c r="D759" t="str">
        <f ca="1">IFERROR(__xludf.DUMMYFUNCTION("""COMPUTED_VALUE"""),"N Gopakumar")</f>
        <v>N Gopakumar</v>
      </c>
      <c r="E759">
        <f ca="1">IFERROR(__xludf.DUMMYFUNCTION("""COMPUTED_VALUE"""),9496852775)</f>
        <v>9496852775</v>
      </c>
      <c r="F759" t="str">
        <f ca="1">IFERROR(__xludf.DUMMYFUNCTION("""COMPUTED_VALUE"""),"Thiruvananthapuram")</f>
        <v>Thiruvananthapuram</v>
      </c>
      <c r="G759" t="str">
        <f ca="1">IFERROR(__xludf.DUMMYFUNCTION("""COMPUTED_VALUE"""),"Renergy Systems India Pvt Ltd")</f>
        <v>Renergy Systems India Pvt Ltd</v>
      </c>
      <c r="H759">
        <f ca="1">IFERROR(__xludf.DUMMYFUNCTION("""COMPUTED_VALUE"""),38)</f>
        <v>38</v>
      </c>
      <c r="I759" s="4">
        <f ca="1">IFERROR(__xludf.DUMMYFUNCTION("""COMPUTED_VALUE"""),43223)</f>
        <v>43223</v>
      </c>
      <c r="J759">
        <f ca="1">IFERROR(__xludf.DUMMYFUNCTION("""COMPUTED_VALUE"""),5)</f>
        <v>5</v>
      </c>
      <c r="K759">
        <f ca="1">IFERROR(__xludf.DUMMYFUNCTION("""COMPUTED_VALUE"""),1145562009166)</f>
        <v>1145562009166</v>
      </c>
      <c r="L759" t="str">
        <f ca="1">IFERROR(__xludf.DUMMYFUNCTION("""COMPUTED_VALUE"""),"Kanyakulangara")</f>
        <v>Kanyakulangara</v>
      </c>
      <c r="M759" t="str">
        <f ca="1">IFERROR(__xludf.DUMMYFUNCTION("""COMPUTED_VALUE"""),"I Accept")</f>
        <v>I Accept</v>
      </c>
      <c r="N759" s="4">
        <f ca="1">IFERROR(__xludf.DUMMYFUNCTION("""COMPUTED_VALUE"""),43223)</f>
        <v>43223</v>
      </c>
      <c r="O759" s="4">
        <f ca="1">IFERROR(__xludf.DUMMYFUNCTION("""COMPUTED_VALUE"""),43223)</f>
        <v>43223</v>
      </c>
      <c r="P759">
        <f ca="1">IFERROR(__xludf.DUMMYFUNCTION("""COMPUTED_VALUE"""),5)</f>
        <v>5</v>
      </c>
      <c r="Q759" t="str">
        <f ca="1">IFERROR(__xludf.DUMMYFUNCTION("""COMPUTED_VALUE"""),"noorakshaya@gmail.com")</f>
        <v>noorakshaya@gmail.com</v>
      </c>
      <c r="R759" s="2" t="s">
        <v>3173</v>
      </c>
    </row>
    <row r="760" spans="1:18" ht="13" x14ac:dyDescent="0.15">
      <c r="A760" s="3">
        <f ca="1">IFERROR(__xludf.DUMMYFUNCTION("""COMPUTED_VALUE"""),43255.5531346527)</f>
        <v>43255.553134652699</v>
      </c>
      <c r="B760" t="str">
        <f ca="1">IFERROR(__xludf.DUMMYFUNCTION("""COMPUTED_VALUE"""),"glasshouse1988@gmail.com")</f>
        <v>glasshouse1988@gmail.com</v>
      </c>
      <c r="C760">
        <f ca="1">IFERROR(__xludf.DUMMYFUNCTION("""COMPUTED_VALUE"""),296)</f>
        <v>296</v>
      </c>
      <c r="D760" t="str">
        <f ca="1">IFERROR(__xludf.DUMMYFUNCTION("""COMPUTED_VALUE"""),"Mohammed Najeem")</f>
        <v>Mohammed Najeem</v>
      </c>
      <c r="E760">
        <f ca="1">IFERROR(__xludf.DUMMYFUNCTION("""COMPUTED_VALUE"""),9446850953)</f>
        <v>9446850953</v>
      </c>
      <c r="F760" t="str">
        <f ca="1">IFERROR(__xludf.DUMMYFUNCTION("""COMPUTED_VALUE"""),"Kollam")</f>
        <v>Kollam</v>
      </c>
      <c r="G760" t="str">
        <f ca="1">IFERROR(__xludf.DUMMYFUNCTION("""COMPUTED_VALUE"""),"M/s Tata Power Solar")</f>
        <v>M/s Tata Power Solar</v>
      </c>
      <c r="H760">
        <f ca="1">IFERROR(__xludf.DUMMYFUNCTION("""COMPUTED_VALUE"""),20)</f>
        <v>20</v>
      </c>
      <c r="I760" s="4">
        <f ca="1">IFERROR(__xludf.DUMMYFUNCTION("""COMPUTED_VALUE"""),43229)</f>
        <v>43229</v>
      </c>
      <c r="J760">
        <f ca="1">IFERROR(__xludf.DUMMYFUNCTION("""COMPUTED_VALUE"""),10)</f>
        <v>10</v>
      </c>
      <c r="K760">
        <f ca="1">IFERROR(__xludf.DUMMYFUNCTION("""COMPUTED_VALUE"""),32690)</f>
        <v>32690</v>
      </c>
      <c r="L760" t="str">
        <f ca="1">IFERROR(__xludf.DUMMYFUNCTION("""COMPUTED_VALUE"""),"Karunagappally South")</f>
        <v>Karunagappally South</v>
      </c>
      <c r="M760" t="str">
        <f ca="1">IFERROR(__xludf.DUMMYFUNCTION("""COMPUTED_VALUE"""),"I Accept")</f>
        <v>I Accept</v>
      </c>
      <c r="N760" s="4">
        <f ca="1">IFERROR(__xludf.DUMMYFUNCTION("""COMPUTED_VALUE"""),43227)</f>
        <v>43227</v>
      </c>
      <c r="O760" s="4">
        <f ca="1">IFERROR(__xludf.DUMMYFUNCTION("""COMPUTED_VALUE"""),43227)</f>
        <v>43227</v>
      </c>
      <c r="P760">
        <f ca="1">IFERROR(__xludf.DUMMYFUNCTION("""COMPUTED_VALUE"""),10)</f>
        <v>10</v>
      </c>
      <c r="Q760" t="str">
        <f ca="1">IFERROR(__xludf.DUMMYFUNCTION("""COMPUTED_VALUE"""),"glasshouse1988@gmail.com")</f>
        <v>glasshouse1988@gmail.com</v>
      </c>
      <c r="R760" s="2" t="s">
        <v>3174</v>
      </c>
    </row>
    <row r="761" spans="1:18" ht="13" x14ac:dyDescent="0.15">
      <c r="A761" s="3">
        <f ca="1">IFERROR(__xludf.DUMMYFUNCTION("""COMPUTED_VALUE"""),43255.5584993518)</f>
        <v>43255.558499351799</v>
      </c>
      <c r="B761" t="str">
        <f ca="1">IFERROR(__xludf.DUMMYFUNCTION("""COMPUTED_VALUE"""),"raghunathrnair@gmail.com")</f>
        <v>raghunathrnair@gmail.com</v>
      </c>
      <c r="C761">
        <f ca="1">IFERROR(__xludf.DUMMYFUNCTION("""COMPUTED_VALUE"""),478)</f>
        <v>478</v>
      </c>
      <c r="D761" t="str">
        <f ca="1">IFERROR(__xludf.DUMMYFUNCTION("""COMPUTED_VALUE"""),"SREELATHA.R")</f>
        <v>SREELATHA.R</v>
      </c>
      <c r="E761">
        <f ca="1">IFERROR(__xludf.DUMMYFUNCTION("""COMPUTED_VALUE"""),9447782894)</f>
        <v>9447782894</v>
      </c>
      <c r="F761" t="str">
        <f ca="1">IFERROR(__xludf.DUMMYFUNCTION("""COMPUTED_VALUE"""),"Kollam")</f>
        <v>Kollam</v>
      </c>
      <c r="G761" t="str">
        <f ca="1">IFERROR(__xludf.DUMMYFUNCTION("""COMPUTED_VALUE"""),"M/s Tata Power Solar")</f>
        <v>M/s Tata Power Solar</v>
      </c>
      <c r="H761">
        <f ca="1">IFERROR(__xludf.DUMMYFUNCTION("""COMPUTED_VALUE"""),20)</f>
        <v>20</v>
      </c>
      <c r="I761" s="4">
        <f ca="1">IFERROR(__xludf.DUMMYFUNCTION("""COMPUTED_VALUE"""),43242)</f>
        <v>43242</v>
      </c>
      <c r="J761">
        <f ca="1">IFERROR(__xludf.DUMMYFUNCTION("""COMPUTED_VALUE"""),3)</f>
        <v>3</v>
      </c>
      <c r="K761">
        <f ca="1">IFERROR(__xludf.DUMMYFUNCTION("""COMPUTED_VALUE"""),1145625011554)</f>
        <v>1145625011554</v>
      </c>
      <c r="L761" t="str">
        <f ca="1">IFERROR(__xludf.DUMMYFUNCTION("""COMPUTED_VALUE"""),"Thankassery")</f>
        <v>Thankassery</v>
      </c>
      <c r="M761" t="str">
        <f ca="1">IFERROR(__xludf.DUMMYFUNCTION("""COMPUTED_VALUE"""),"I Accept")</f>
        <v>I Accept</v>
      </c>
      <c r="N761" s="4">
        <f ca="1">IFERROR(__xludf.DUMMYFUNCTION("""COMPUTED_VALUE"""),43176)</f>
        <v>43176</v>
      </c>
      <c r="O761" s="4">
        <f ca="1">IFERROR(__xludf.DUMMYFUNCTION("""COMPUTED_VALUE"""),43176)</f>
        <v>43176</v>
      </c>
      <c r="P761">
        <f ca="1">IFERROR(__xludf.DUMMYFUNCTION("""COMPUTED_VALUE"""),3)</f>
        <v>3</v>
      </c>
      <c r="Q761" t="str">
        <f ca="1">IFERROR(__xludf.DUMMYFUNCTION("""COMPUTED_VALUE"""),"raghunathrnair@gmail.com")</f>
        <v>raghunathrnair@gmail.com</v>
      </c>
      <c r="R761" s="2" t="s">
        <v>3175</v>
      </c>
    </row>
    <row r="762" spans="1:18" ht="13" x14ac:dyDescent="0.15">
      <c r="A762" s="3">
        <f ca="1">IFERROR(__xludf.DUMMYFUNCTION("""COMPUTED_VALUE"""),43255.5643932754)</f>
        <v>43255.564393275403</v>
      </c>
      <c r="B762" t="str">
        <f ca="1">IFERROR(__xludf.DUMMYFUNCTION("""COMPUTED_VALUE"""),"mamathacharly11@gmail.com")</f>
        <v>mamathacharly11@gmail.com</v>
      </c>
      <c r="C762">
        <f ca="1">IFERROR(__xludf.DUMMYFUNCTION("""COMPUTED_VALUE"""),799)</f>
        <v>799</v>
      </c>
      <c r="D762" t="str">
        <f ca="1">IFERROR(__xludf.DUMMYFUNCTION("""COMPUTED_VALUE"""),"ANTHONY CHARLY")</f>
        <v>ANTHONY CHARLY</v>
      </c>
      <c r="E762">
        <f ca="1">IFERROR(__xludf.DUMMYFUNCTION("""COMPUTED_VALUE"""),9745082556)</f>
        <v>9745082556</v>
      </c>
      <c r="F762" t="str">
        <f ca="1">IFERROR(__xludf.DUMMYFUNCTION("""COMPUTED_VALUE"""),"Kollam")</f>
        <v>Kollam</v>
      </c>
      <c r="G762" t="str">
        <f ca="1">IFERROR(__xludf.DUMMYFUNCTION("""COMPUTED_VALUE"""),"M/s Tata Power Solar")</f>
        <v>M/s Tata Power Solar</v>
      </c>
      <c r="H762">
        <f ca="1">IFERROR(__xludf.DUMMYFUNCTION("""COMPUTED_VALUE"""),20)</f>
        <v>20</v>
      </c>
      <c r="I762" s="4">
        <f ca="1">IFERROR(__xludf.DUMMYFUNCTION("""COMPUTED_VALUE"""),43197)</f>
        <v>43197</v>
      </c>
      <c r="J762">
        <f ca="1">IFERROR(__xludf.DUMMYFUNCTION("""COMPUTED_VALUE"""),5)</f>
        <v>5</v>
      </c>
      <c r="K762">
        <f ca="1">IFERROR(__xludf.DUMMYFUNCTION("""COMPUTED_VALUE"""),1145812004870)</f>
        <v>1145812004870</v>
      </c>
      <c r="L762" t="str">
        <f ca="1">IFERROR(__xludf.DUMMYFUNCTION("""COMPUTED_VALUE"""),"Kundara")</f>
        <v>Kundara</v>
      </c>
      <c r="M762" t="str">
        <f ca="1">IFERROR(__xludf.DUMMYFUNCTION("""COMPUTED_VALUE"""),"I Accept")</f>
        <v>I Accept</v>
      </c>
      <c r="N762" s="4">
        <f ca="1">IFERROR(__xludf.DUMMYFUNCTION("""COMPUTED_VALUE"""),43208)</f>
        <v>43208</v>
      </c>
      <c r="O762" s="4">
        <f ca="1">IFERROR(__xludf.DUMMYFUNCTION("""COMPUTED_VALUE"""),43208)</f>
        <v>43208</v>
      </c>
      <c r="P762">
        <f ca="1">IFERROR(__xludf.DUMMYFUNCTION("""COMPUTED_VALUE"""),5)</f>
        <v>5</v>
      </c>
      <c r="Q762" t="str">
        <f ca="1">IFERROR(__xludf.DUMMYFUNCTION("""COMPUTED_VALUE"""),"mamathacharly11@gmail.com")</f>
        <v>mamathacharly11@gmail.com</v>
      </c>
      <c r="R762" s="2" t="s">
        <v>3176</v>
      </c>
    </row>
    <row r="763" spans="1:18" ht="13" x14ac:dyDescent="0.15">
      <c r="A763" s="3">
        <f ca="1">IFERROR(__xludf.DUMMYFUNCTION("""COMPUTED_VALUE"""),43255.5684205787)</f>
        <v>43255.568420578697</v>
      </c>
      <c r="B763" t="str">
        <f ca="1">IFERROR(__xludf.DUMMYFUNCTION("""COMPUTED_VALUE"""),"minisamuelporuvazhy@gmail.com")</f>
        <v>minisamuelporuvazhy@gmail.com</v>
      </c>
      <c r="C763">
        <f ca="1">IFERROR(__xludf.DUMMYFUNCTION("""COMPUTED_VALUE"""),830)</f>
        <v>830</v>
      </c>
      <c r="D763" t="str">
        <f ca="1">IFERROR(__xludf.DUMMYFUNCTION("""COMPUTED_VALUE"""),"SAMUEL VARGHESE")</f>
        <v>SAMUEL VARGHESE</v>
      </c>
      <c r="E763">
        <f ca="1">IFERROR(__xludf.DUMMYFUNCTION("""COMPUTED_VALUE"""),8078519493)</f>
        <v>8078519493</v>
      </c>
      <c r="F763" t="str">
        <f ca="1">IFERROR(__xludf.DUMMYFUNCTION("""COMPUTED_VALUE"""),"Kollam")</f>
        <v>Kollam</v>
      </c>
      <c r="G763" t="str">
        <f ca="1">IFERROR(__xludf.DUMMYFUNCTION("""COMPUTED_VALUE"""),"M/s Tata Power Solar")</f>
        <v>M/s Tata Power Solar</v>
      </c>
      <c r="H763">
        <f ca="1">IFERROR(__xludf.DUMMYFUNCTION("""COMPUTED_VALUE"""),20)</f>
        <v>20</v>
      </c>
      <c r="I763" s="4">
        <f ca="1">IFERROR(__xludf.DUMMYFUNCTION("""COMPUTED_VALUE"""),43193)</f>
        <v>43193</v>
      </c>
      <c r="J763">
        <f ca="1">IFERROR(__xludf.DUMMYFUNCTION("""COMPUTED_VALUE"""),5)</f>
        <v>5</v>
      </c>
      <c r="K763">
        <f ca="1">IFERROR(__xludf.DUMMYFUNCTION("""COMPUTED_VALUE"""),1145746003494)</f>
        <v>1145746003494</v>
      </c>
      <c r="L763" t="str">
        <f ca="1">IFERROR(__xludf.DUMMYFUNCTION("""COMPUTED_VALUE"""),"Sooranad")</f>
        <v>Sooranad</v>
      </c>
      <c r="M763" t="str">
        <f ca="1">IFERROR(__xludf.DUMMYFUNCTION("""COMPUTED_VALUE"""),"I Accept")</f>
        <v>I Accept</v>
      </c>
      <c r="N763" s="4">
        <f ca="1">IFERROR(__xludf.DUMMYFUNCTION("""COMPUTED_VALUE"""),43193)</f>
        <v>43193</v>
      </c>
      <c r="O763" s="4">
        <f ca="1">IFERROR(__xludf.DUMMYFUNCTION("""COMPUTED_VALUE"""),43193)</f>
        <v>43193</v>
      </c>
      <c r="P763">
        <f ca="1">IFERROR(__xludf.DUMMYFUNCTION("""COMPUTED_VALUE"""),5)</f>
        <v>5</v>
      </c>
      <c r="Q763" t="str">
        <f ca="1">IFERROR(__xludf.DUMMYFUNCTION("""COMPUTED_VALUE"""),"minisamuelporuvazhy@gmail.com")</f>
        <v>minisamuelporuvazhy@gmail.com</v>
      </c>
      <c r="R763" s="2" t="s">
        <v>3177</v>
      </c>
    </row>
    <row r="764" spans="1:18" ht="13" x14ac:dyDescent="0.15">
      <c r="A764" s="3">
        <f ca="1">IFERROR(__xludf.DUMMYFUNCTION("""COMPUTED_VALUE"""),43255.6116407638)</f>
        <v>43255.611640763796</v>
      </c>
      <c r="B764" t="str">
        <f ca="1">IFERROR(__xludf.DUMMYFUNCTION("""COMPUTED_VALUE"""),"noorakshaya@gmail.com")</f>
        <v>noorakshaya@gmail.com</v>
      </c>
      <c r="C764">
        <f ca="1">IFERROR(__xludf.DUMMYFUNCTION("""COMPUTED_VALUE"""),1022)</f>
        <v>1022</v>
      </c>
      <c r="D764" t="str">
        <f ca="1">IFERROR(__xludf.DUMMYFUNCTION("""COMPUTED_VALUE"""),"D Mohan Babu")</f>
        <v>D Mohan Babu</v>
      </c>
      <c r="E764">
        <f ca="1">IFERROR(__xludf.DUMMYFUNCTION("""COMPUTED_VALUE"""),9645322229)</f>
        <v>9645322229</v>
      </c>
      <c r="F764" t="str">
        <f ca="1">IFERROR(__xludf.DUMMYFUNCTION("""COMPUTED_VALUE"""),"Kottayam")</f>
        <v>Kottayam</v>
      </c>
      <c r="G764" t="str">
        <f ca="1">IFERROR(__xludf.DUMMYFUNCTION("""COMPUTED_VALUE"""),"Renergy Systems India Pvt Ltd")</f>
        <v>Renergy Systems India Pvt Ltd</v>
      </c>
      <c r="H764">
        <f ca="1">IFERROR(__xludf.DUMMYFUNCTION("""COMPUTED_VALUE"""),38)</f>
        <v>38</v>
      </c>
      <c r="I764" s="4">
        <f ca="1">IFERROR(__xludf.DUMMYFUNCTION("""COMPUTED_VALUE"""),43220)</f>
        <v>43220</v>
      </c>
      <c r="J764">
        <f ca="1">IFERROR(__xludf.DUMMYFUNCTION("""COMPUTED_VALUE"""),5)</f>
        <v>5</v>
      </c>
      <c r="K764">
        <f ca="1">IFERROR(__xludf.DUMMYFUNCTION("""COMPUTED_VALUE"""),1156386030436)</f>
        <v>1156386030436</v>
      </c>
      <c r="L764" t="str">
        <f ca="1">IFERROR(__xludf.DUMMYFUNCTION("""COMPUTED_VALUE"""),"Mundakkayam")</f>
        <v>Mundakkayam</v>
      </c>
      <c r="M764" t="str">
        <f ca="1">IFERROR(__xludf.DUMMYFUNCTION("""COMPUTED_VALUE"""),"I Accept")</f>
        <v>I Accept</v>
      </c>
      <c r="N764" s="4">
        <f ca="1">IFERROR(__xludf.DUMMYFUNCTION("""COMPUTED_VALUE"""),43220)</f>
        <v>43220</v>
      </c>
      <c r="O764" s="4">
        <f ca="1">IFERROR(__xludf.DUMMYFUNCTION("""COMPUTED_VALUE"""),43220)</f>
        <v>43220</v>
      </c>
      <c r="P764">
        <f ca="1">IFERROR(__xludf.DUMMYFUNCTION("""COMPUTED_VALUE"""),5)</f>
        <v>5</v>
      </c>
      <c r="Q764" t="str">
        <f ca="1">IFERROR(__xludf.DUMMYFUNCTION("""COMPUTED_VALUE"""),"noorakshaya@gmail.com")</f>
        <v>noorakshaya@gmail.com</v>
      </c>
      <c r="R764" s="2" t="s">
        <v>3178</v>
      </c>
    </row>
    <row r="765" spans="1:18" ht="13" x14ac:dyDescent="0.15">
      <c r="A765" s="3">
        <f ca="1">IFERROR(__xludf.DUMMYFUNCTION("""COMPUTED_VALUE"""),43255.6138134722)</f>
        <v>43255.613813472199</v>
      </c>
      <c r="B765" t="str">
        <f ca="1">IFERROR(__xludf.DUMMYFUNCTION("""COMPUTED_VALUE"""),"arunpom@gmail.com")</f>
        <v>arunpom@gmail.com</v>
      </c>
      <c r="C765">
        <f ca="1">IFERROR(__xludf.DUMMYFUNCTION("""COMPUTED_VALUE"""),1125)</f>
        <v>1125</v>
      </c>
      <c r="D765" t="str">
        <f ca="1">IFERROR(__xludf.DUMMYFUNCTION("""COMPUTED_VALUE"""),"K.G.MUHAMMED ASHRAF")</f>
        <v>K.G.MUHAMMED ASHRAF</v>
      </c>
      <c r="E765">
        <f ca="1">IFERROR(__xludf.DUMMYFUNCTION("""COMPUTED_VALUE"""),9496439148)</f>
        <v>9496439148</v>
      </c>
      <c r="F765" t="str">
        <f ca="1">IFERROR(__xludf.DUMMYFUNCTION("""COMPUTED_VALUE"""),"Kozhikode")</f>
        <v>Kozhikode</v>
      </c>
      <c r="G765" t="str">
        <f ca="1">IFERROR(__xludf.DUMMYFUNCTION("""COMPUTED_VALUE"""),"POWER ONE MICRO SYSTEMS P LTD")</f>
        <v>POWER ONE MICRO SYSTEMS P LTD</v>
      </c>
      <c r="H765">
        <f ca="1">IFERROR(__xludf.DUMMYFUNCTION("""COMPUTED_VALUE"""),7)</f>
        <v>7</v>
      </c>
      <c r="I765" s="4">
        <f ca="1">IFERROR(__xludf.DUMMYFUNCTION("""COMPUTED_VALUE"""),43236)</f>
        <v>43236</v>
      </c>
      <c r="J765">
        <f ca="1">IFERROR(__xludf.DUMMYFUNCTION("""COMPUTED_VALUE"""),3)</f>
        <v>3</v>
      </c>
      <c r="K765">
        <f ca="1">IFERROR(__xludf.DUMMYFUNCTION("""COMPUTED_VALUE"""),116777003858)</f>
        <v>116777003858</v>
      </c>
      <c r="L765" t="str">
        <f ca="1">IFERROR(__xludf.DUMMYFUNCTION("""COMPUTED_VALUE"""),"pannikde")</f>
        <v>pannikde</v>
      </c>
      <c r="M765" t="str">
        <f ca="1">IFERROR(__xludf.DUMMYFUNCTION("""COMPUTED_VALUE"""),"I Accept")</f>
        <v>I Accept</v>
      </c>
      <c r="N765" s="4">
        <f ca="1">IFERROR(__xludf.DUMMYFUNCTION("""COMPUTED_VALUE"""),43185)</f>
        <v>43185</v>
      </c>
      <c r="O765" s="4">
        <f ca="1">IFERROR(__xludf.DUMMYFUNCTION("""COMPUTED_VALUE"""),43185)</f>
        <v>43185</v>
      </c>
      <c r="P765">
        <f ca="1">IFERROR(__xludf.DUMMYFUNCTION("""COMPUTED_VALUE"""),2)</f>
        <v>2</v>
      </c>
      <c r="Q765" t="str">
        <f ca="1">IFERROR(__xludf.DUMMYFUNCTION("""COMPUTED_VALUE"""),"arunpom@gmail.com")</f>
        <v>arunpom@gmail.com</v>
      </c>
      <c r="R765" s="2" t="s">
        <v>3179</v>
      </c>
    </row>
    <row r="766" spans="1:18" ht="13" x14ac:dyDescent="0.15">
      <c r="A766" s="3">
        <f ca="1">IFERROR(__xludf.DUMMYFUNCTION("""COMPUTED_VALUE"""),43255.6161684143)</f>
        <v>43255.616168414301</v>
      </c>
      <c r="B766" t="str">
        <f ca="1">IFERROR(__xludf.DUMMYFUNCTION("""COMPUTED_VALUE"""),"noorakshaya@gmail.com")</f>
        <v>noorakshaya@gmail.com</v>
      </c>
      <c r="C766">
        <f ca="1">IFERROR(__xludf.DUMMYFUNCTION("""COMPUTED_VALUE"""),1021)</f>
        <v>1021</v>
      </c>
      <c r="D766" t="str">
        <f ca="1">IFERROR(__xludf.DUMMYFUNCTION("""COMPUTED_VALUE"""),"K G Anil Kumar")</f>
        <v>K G Anil Kumar</v>
      </c>
      <c r="E766">
        <f ca="1">IFERROR(__xludf.DUMMYFUNCTION("""COMPUTED_VALUE"""),9645322229)</f>
        <v>9645322229</v>
      </c>
      <c r="F766" t="str">
        <f ca="1">IFERROR(__xludf.DUMMYFUNCTION("""COMPUTED_VALUE"""),"Kollam")</f>
        <v>Kollam</v>
      </c>
      <c r="G766" t="str">
        <f ca="1">IFERROR(__xludf.DUMMYFUNCTION("""COMPUTED_VALUE"""),"Renergy Systems India Pvt Ltd")</f>
        <v>Renergy Systems India Pvt Ltd</v>
      </c>
      <c r="H766">
        <f ca="1">IFERROR(__xludf.DUMMYFUNCTION("""COMPUTED_VALUE"""),38)</f>
        <v>38</v>
      </c>
      <c r="I766" s="4">
        <f ca="1">IFERROR(__xludf.DUMMYFUNCTION("""COMPUTED_VALUE"""),43220)</f>
        <v>43220</v>
      </c>
      <c r="J766">
        <f ca="1">IFERROR(__xludf.DUMMYFUNCTION("""COMPUTED_VALUE"""),5)</f>
        <v>5</v>
      </c>
      <c r="K766">
        <f ca="1">IFERROR(__xludf.DUMMYFUNCTION("""COMPUTED_VALUE"""),1156386030436)</f>
        <v>1156386030436</v>
      </c>
      <c r="L766" t="str">
        <f ca="1">IFERROR(__xludf.DUMMYFUNCTION("""COMPUTED_VALUE"""),"Mundakkayam")</f>
        <v>Mundakkayam</v>
      </c>
      <c r="M766" t="str">
        <f ca="1">IFERROR(__xludf.DUMMYFUNCTION("""COMPUTED_VALUE"""),"I Accept")</f>
        <v>I Accept</v>
      </c>
      <c r="N766" s="4">
        <f ca="1">IFERROR(__xludf.DUMMYFUNCTION("""COMPUTED_VALUE"""),43223)</f>
        <v>43223</v>
      </c>
      <c r="O766" s="4">
        <f ca="1">IFERROR(__xludf.DUMMYFUNCTION("""COMPUTED_VALUE"""),43223)</f>
        <v>43223</v>
      </c>
      <c r="P766">
        <f ca="1">IFERROR(__xludf.DUMMYFUNCTION("""COMPUTED_VALUE"""),5)</f>
        <v>5</v>
      </c>
      <c r="Q766" t="str">
        <f ca="1">IFERROR(__xludf.DUMMYFUNCTION("""COMPUTED_VALUE"""),"noorakshaya@gmail.com")</f>
        <v>noorakshaya@gmail.com</v>
      </c>
      <c r="R766" s="2" t="s">
        <v>3180</v>
      </c>
    </row>
    <row r="767" spans="1:18" ht="13" x14ac:dyDescent="0.15">
      <c r="A767" s="3">
        <f ca="1">IFERROR(__xludf.DUMMYFUNCTION("""COMPUTED_VALUE"""),43255.6166485648)</f>
        <v>43255.616648564799</v>
      </c>
      <c r="B767" t="str">
        <f ca="1">IFERROR(__xludf.DUMMYFUNCTION("""COMPUTED_VALUE"""),"arunpom@gmail.com")</f>
        <v>arunpom@gmail.com</v>
      </c>
      <c r="C767">
        <f ca="1">IFERROR(__xludf.DUMMYFUNCTION("""COMPUTED_VALUE"""),1175)</f>
        <v>1175</v>
      </c>
      <c r="D767" t="str">
        <f ca="1">IFERROR(__xludf.DUMMYFUNCTION("""COMPUTED_VALUE"""),"P.K.SREEDHARAN")</f>
        <v>P.K.SREEDHARAN</v>
      </c>
      <c r="E767">
        <f ca="1">IFERROR(__xludf.DUMMYFUNCTION("""COMPUTED_VALUE"""),9037288907)</f>
        <v>9037288907</v>
      </c>
      <c r="F767" t="str">
        <f ca="1">IFERROR(__xludf.DUMMYFUNCTION("""COMPUTED_VALUE"""),"Kozhikode")</f>
        <v>Kozhikode</v>
      </c>
      <c r="G767" t="str">
        <f ca="1">IFERROR(__xludf.DUMMYFUNCTION("""COMPUTED_VALUE"""),"POWER ONE MICRO SYSTEMS P LTD")</f>
        <v>POWER ONE MICRO SYSTEMS P LTD</v>
      </c>
      <c r="H767">
        <f ca="1">IFERROR(__xludf.DUMMYFUNCTION("""COMPUTED_VALUE"""),7)</f>
        <v>7</v>
      </c>
      <c r="I767" s="4">
        <f ca="1">IFERROR(__xludf.DUMMYFUNCTION("""COMPUTED_VALUE"""),43236)</f>
        <v>43236</v>
      </c>
      <c r="J767">
        <f ca="1">IFERROR(__xludf.DUMMYFUNCTION("""COMPUTED_VALUE"""),2)</f>
        <v>2</v>
      </c>
      <c r="K767">
        <f ca="1">IFERROR(__xludf.DUMMYFUNCTION("""COMPUTED_VALUE"""),1165985006336)</f>
        <v>1165985006336</v>
      </c>
      <c r="L767" t="str">
        <f ca="1">IFERROR(__xludf.DUMMYFUNCTION("""COMPUTED_VALUE"""),"KARAPARAMBA")</f>
        <v>KARAPARAMBA</v>
      </c>
      <c r="M767" t="str">
        <f ca="1">IFERROR(__xludf.DUMMYFUNCTION("""COMPUTED_VALUE"""),"I Accept")</f>
        <v>I Accept</v>
      </c>
      <c r="N767" s="4">
        <f ca="1">IFERROR(__xludf.DUMMYFUNCTION("""COMPUTED_VALUE"""),43164)</f>
        <v>43164</v>
      </c>
      <c r="O767" s="4">
        <f ca="1">IFERROR(__xludf.DUMMYFUNCTION("""COMPUTED_VALUE"""),43164)</f>
        <v>43164</v>
      </c>
      <c r="P767">
        <f ca="1">IFERROR(__xludf.DUMMYFUNCTION("""COMPUTED_VALUE"""),2)</f>
        <v>2</v>
      </c>
      <c r="Q767" t="str">
        <f ca="1">IFERROR(__xludf.DUMMYFUNCTION("""COMPUTED_VALUE"""),"arunpom@gmail.com")</f>
        <v>arunpom@gmail.com</v>
      </c>
      <c r="R767" s="2" t="s">
        <v>3181</v>
      </c>
    </row>
    <row r="768" spans="1:18" ht="13" x14ac:dyDescent="0.15">
      <c r="A768" s="3">
        <f ca="1">IFERROR(__xludf.DUMMYFUNCTION("""COMPUTED_VALUE"""),43255.6186953819)</f>
        <v>43255.618695381898</v>
      </c>
      <c r="B768" t="str">
        <f ca="1">IFERROR(__xludf.DUMMYFUNCTION("""COMPUTED_VALUE"""),"arunpom@gmail.com")</f>
        <v>arunpom@gmail.com</v>
      </c>
      <c r="C768">
        <f ca="1">IFERROR(__xludf.DUMMYFUNCTION("""COMPUTED_VALUE"""),1176)</f>
        <v>1176</v>
      </c>
      <c r="D768" t="str">
        <f ca="1">IFERROR(__xludf.DUMMYFUNCTION("""COMPUTED_VALUE"""),"BHARATHAN.P")</f>
        <v>BHARATHAN.P</v>
      </c>
      <c r="E768">
        <f ca="1">IFERROR(__xludf.DUMMYFUNCTION("""COMPUTED_VALUE"""),9037288907)</f>
        <v>9037288907</v>
      </c>
      <c r="F768" t="str">
        <f ca="1">IFERROR(__xludf.DUMMYFUNCTION("""COMPUTED_VALUE"""),"Kozhikode")</f>
        <v>Kozhikode</v>
      </c>
      <c r="G768" t="str">
        <f ca="1">IFERROR(__xludf.DUMMYFUNCTION("""COMPUTED_VALUE"""),"POWER ONE MICRO SYSTEMS P LTD")</f>
        <v>POWER ONE MICRO SYSTEMS P LTD</v>
      </c>
      <c r="H768">
        <f ca="1">IFERROR(__xludf.DUMMYFUNCTION("""COMPUTED_VALUE"""),7)</f>
        <v>7</v>
      </c>
      <c r="I768" s="4">
        <f ca="1">IFERROR(__xludf.DUMMYFUNCTION("""COMPUTED_VALUE"""),43236)</f>
        <v>43236</v>
      </c>
      <c r="J768">
        <f ca="1">IFERROR(__xludf.DUMMYFUNCTION("""COMPUTED_VALUE"""),2)</f>
        <v>2</v>
      </c>
      <c r="K768">
        <f ca="1">IFERROR(__xludf.DUMMYFUNCTION("""COMPUTED_VALUE"""),1166100012462)</f>
        <v>1166100012462</v>
      </c>
      <c r="L768" t="str">
        <f ca="1">IFERROR(__xludf.DUMMYFUNCTION("""COMPUTED_VALUE"""),"THAMARASSERY")</f>
        <v>THAMARASSERY</v>
      </c>
      <c r="M768" t="str">
        <f ca="1">IFERROR(__xludf.DUMMYFUNCTION("""COMPUTED_VALUE"""),"I Accept")</f>
        <v>I Accept</v>
      </c>
      <c r="N768" s="4">
        <f ca="1">IFERROR(__xludf.DUMMYFUNCTION("""COMPUTED_VALUE"""),43202)</f>
        <v>43202</v>
      </c>
      <c r="O768" s="4">
        <f ca="1">IFERROR(__xludf.DUMMYFUNCTION("""COMPUTED_VALUE"""),43202)</f>
        <v>43202</v>
      </c>
      <c r="P768">
        <f ca="1">IFERROR(__xludf.DUMMYFUNCTION("""COMPUTED_VALUE"""),2)</f>
        <v>2</v>
      </c>
      <c r="Q768" t="str">
        <f ca="1">IFERROR(__xludf.DUMMYFUNCTION("""COMPUTED_VALUE"""),"arunpom@gmail.com")</f>
        <v>arunpom@gmail.com</v>
      </c>
      <c r="R768" s="2" t="s">
        <v>3182</v>
      </c>
    </row>
    <row r="769" spans="1:18" ht="13" x14ac:dyDescent="0.15">
      <c r="A769" s="3">
        <f ca="1">IFERROR(__xludf.DUMMYFUNCTION("""COMPUTED_VALUE"""),43255.6234096296)</f>
        <v>43255.623409629603</v>
      </c>
      <c r="B769" t="str">
        <f ca="1">IFERROR(__xludf.DUMMYFUNCTION("""COMPUTED_VALUE"""),"noorakshaya@gmail.com")</f>
        <v>noorakshaya@gmail.com</v>
      </c>
      <c r="C769">
        <f ca="1">IFERROR(__xludf.DUMMYFUNCTION("""COMPUTED_VALUE"""),195)</f>
        <v>195</v>
      </c>
      <c r="D769" t="str">
        <f ca="1">IFERROR(__xludf.DUMMYFUNCTION("""COMPUTED_VALUE"""),"Muhammed Safeer A")</f>
        <v>Muhammed Safeer A</v>
      </c>
      <c r="E769">
        <f ca="1">IFERROR(__xludf.DUMMYFUNCTION("""COMPUTED_VALUE"""),7034322221)</f>
        <v>7034322221</v>
      </c>
      <c r="F769" t="str">
        <f ca="1">IFERROR(__xludf.DUMMYFUNCTION("""COMPUTED_VALUE"""),"Thiruvananthapuram")</f>
        <v>Thiruvananthapuram</v>
      </c>
      <c r="G769" t="str">
        <f ca="1">IFERROR(__xludf.DUMMYFUNCTION("""COMPUTED_VALUE"""),"Renergy Systems India Pvt Ltd")</f>
        <v>Renergy Systems India Pvt Ltd</v>
      </c>
      <c r="H769">
        <f ca="1">IFERROR(__xludf.DUMMYFUNCTION("""COMPUTED_VALUE"""),38)</f>
        <v>38</v>
      </c>
      <c r="I769" s="4">
        <f ca="1">IFERROR(__xludf.DUMMYFUNCTION("""COMPUTED_VALUE"""),43102)</f>
        <v>43102</v>
      </c>
      <c r="J769">
        <f ca="1">IFERROR(__xludf.DUMMYFUNCTION("""COMPUTED_VALUE"""),10)</f>
        <v>10</v>
      </c>
      <c r="K769">
        <f ca="1">IFERROR(__xludf.DUMMYFUNCTION("""COMPUTED_VALUE"""),1145560014239)</f>
        <v>1145560014239</v>
      </c>
      <c r="L769" t="str">
        <f ca="1">IFERROR(__xludf.DUMMYFUNCTION("""COMPUTED_VALUE"""),"Kanyakulangara")</f>
        <v>Kanyakulangara</v>
      </c>
      <c r="M769" t="str">
        <f ca="1">IFERROR(__xludf.DUMMYFUNCTION("""COMPUTED_VALUE"""),"I Accept")</f>
        <v>I Accept</v>
      </c>
      <c r="N769" s="4">
        <f ca="1">IFERROR(__xludf.DUMMYFUNCTION("""COMPUTED_VALUE"""),43110)</f>
        <v>43110</v>
      </c>
      <c r="O769" s="4">
        <f ca="1">IFERROR(__xludf.DUMMYFUNCTION("""COMPUTED_VALUE"""),43110)</f>
        <v>43110</v>
      </c>
      <c r="P769">
        <f ca="1">IFERROR(__xludf.DUMMYFUNCTION("""COMPUTED_VALUE"""),10)</f>
        <v>10</v>
      </c>
      <c r="Q769" t="str">
        <f ca="1">IFERROR(__xludf.DUMMYFUNCTION("""COMPUTED_VALUE"""),"noorakshaya@gmail.com")</f>
        <v>noorakshaya@gmail.com</v>
      </c>
      <c r="R769" s="2" t="s">
        <v>3183</v>
      </c>
    </row>
    <row r="770" spans="1:18" ht="13" x14ac:dyDescent="0.15">
      <c r="A770" s="3">
        <f ca="1">IFERROR(__xludf.DUMMYFUNCTION("""COMPUTED_VALUE"""),43255.6339411111)</f>
        <v>43255.633941111097</v>
      </c>
      <c r="B770" t="str">
        <f ca="1">IFERROR(__xludf.DUMMYFUNCTION("""COMPUTED_VALUE"""),"noorakshaya@gmail.com")</f>
        <v>noorakshaya@gmail.com</v>
      </c>
      <c r="C770">
        <f ca="1">IFERROR(__xludf.DUMMYFUNCTION("""COMPUTED_VALUE"""),201)</f>
        <v>201</v>
      </c>
      <c r="D770" t="str">
        <f ca="1">IFERROR(__xludf.DUMMYFUNCTION("""COMPUTED_VALUE"""),"P.S.Sasidharan")</f>
        <v>P.S.Sasidharan</v>
      </c>
      <c r="E770">
        <f ca="1">IFERROR(__xludf.DUMMYFUNCTION("""COMPUTED_VALUE"""),7034322221)</f>
        <v>7034322221</v>
      </c>
      <c r="F770" t="str">
        <f ca="1">IFERROR(__xludf.DUMMYFUNCTION("""COMPUTED_VALUE"""),"Kollam")</f>
        <v>Kollam</v>
      </c>
      <c r="G770" t="str">
        <f ca="1">IFERROR(__xludf.DUMMYFUNCTION("""COMPUTED_VALUE"""),"Renergy Systems India Pvt Ltd")</f>
        <v>Renergy Systems India Pvt Ltd</v>
      </c>
      <c r="H770">
        <f ca="1">IFERROR(__xludf.DUMMYFUNCTION("""COMPUTED_VALUE"""),38)</f>
        <v>38</v>
      </c>
      <c r="I770" s="4">
        <f ca="1">IFERROR(__xludf.DUMMYFUNCTION("""COMPUTED_VALUE"""),43187)</f>
        <v>43187</v>
      </c>
      <c r="J770">
        <f ca="1">IFERROR(__xludf.DUMMYFUNCTION("""COMPUTED_VALUE"""),5)</f>
        <v>5</v>
      </c>
      <c r="K770">
        <f ca="1">IFERROR(__xludf.DUMMYFUNCTION("""COMPUTED_VALUE"""),1146718007846)</f>
        <v>1146718007846</v>
      </c>
      <c r="L770" t="str">
        <f ca="1">IFERROR(__xludf.DUMMYFUNCTION("""COMPUTED_VALUE"""),"Poothakulam")</f>
        <v>Poothakulam</v>
      </c>
      <c r="M770" t="str">
        <f ca="1">IFERROR(__xludf.DUMMYFUNCTION("""COMPUTED_VALUE"""),"I Accept")</f>
        <v>I Accept</v>
      </c>
      <c r="N770" s="4">
        <f ca="1">IFERROR(__xludf.DUMMYFUNCTION("""COMPUTED_VALUE"""),43190)</f>
        <v>43190</v>
      </c>
      <c r="O770" s="4">
        <f ca="1">IFERROR(__xludf.DUMMYFUNCTION("""COMPUTED_VALUE"""),43190)</f>
        <v>43190</v>
      </c>
      <c r="P770">
        <f ca="1">IFERROR(__xludf.DUMMYFUNCTION("""COMPUTED_VALUE"""),5)</f>
        <v>5</v>
      </c>
      <c r="Q770" t="str">
        <f ca="1">IFERROR(__xludf.DUMMYFUNCTION("""COMPUTED_VALUE"""),"noorakshaya@gmail.com")</f>
        <v>noorakshaya@gmail.com</v>
      </c>
      <c r="R770" s="2" t="s">
        <v>3184</v>
      </c>
    </row>
    <row r="771" spans="1:18" ht="13" x14ac:dyDescent="0.15">
      <c r="A771" s="3">
        <f ca="1">IFERROR(__xludf.DUMMYFUNCTION("""COMPUTED_VALUE"""),43255.6397510995)</f>
        <v>43255.639751099501</v>
      </c>
      <c r="B771" t="str">
        <f ca="1">IFERROR(__xludf.DUMMYFUNCTION("""COMPUTED_VALUE"""),"info@wattsun.in")</f>
        <v>info@wattsun.in</v>
      </c>
      <c r="C771">
        <f ca="1">IFERROR(__xludf.DUMMYFUNCTION("""COMPUTED_VALUE"""),404)</f>
        <v>404</v>
      </c>
      <c r="D771" t="str">
        <f ca="1">IFERROR(__xludf.DUMMYFUNCTION("""COMPUTED_VALUE"""),"G.vinod Krishnan")</f>
        <v>G.vinod Krishnan</v>
      </c>
      <c r="E771">
        <f ca="1">IFERROR(__xludf.DUMMYFUNCTION("""COMPUTED_VALUE"""),9072666513)</f>
        <v>9072666513</v>
      </c>
      <c r="F771" t="str">
        <f ca="1">IFERROR(__xludf.DUMMYFUNCTION("""COMPUTED_VALUE"""),"Thiruvananthapuram")</f>
        <v>Thiruvananthapuram</v>
      </c>
      <c r="G771" t="str">
        <f ca="1">IFERROR(__xludf.DUMMYFUNCTION("""COMPUTED_VALUE"""),"M/S Wattsun Energy India Private Limited")</f>
        <v>M/S Wattsun Energy India Private Limited</v>
      </c>
      <c r="H771">
        <f ca="1">IFERROR(__xludf.DUMMYFUNCTION("""COMPUTED_VALUE"""),54)</f>
        <v>54</v>
      </c>
      <c r="I771" s="4">
        <f ca="1">IFERROR(__xludf.DUMMYFUNCTION("""COMPUTED_VALUE"""),43255)</f>
        <v>43255</v>
      </c>
      <c r="J771">
        <f ca="1">IFERROR(__xludf.DUMMYFUNCTION("""COMPUTED_VALUE"""),5)</f>
        <v>5</v>
      </c>
      <c r="K771">
        <f ca="1">IFERROR(__xludf.DUMMYFUNCTION("""COMPUTED_VALUE"""),1145082032733)</f>
        <v>1145082032733</v>
      </c>
      <c r="L771" t="str">
        <f ca="1">IFERROR(__xludf.DUMMYFUNCTION("""COMPUTED_VALUE"""),"Peroorkada")</f>
        <v>Peroorkada</v>
      </c>
      <c r="M771" t="str">
        <f ca="1">IFERROR(__xludf.DUMMYFUNCTION("""COMPUTED_VALUE"""),"I Accept")</f>
        <v>I Accept</v>
      </c>
      <c r="N771" s="4">
        <f ca="1">IFERROR(__xludf.DUMMYFUNCTION("""COMPUTED_VALUE"""),43237)</f>
        <v>43237</v>
      </c>
      <c r="O771" s="4">
        <f ca="1">IFERROR(__xludf.DUMMYFUNCTION("""COMPUTED_VALUE"""),43237)</f>
        <v>43237</v>
      </c>
      <c r="P771">
        <f ca="1">IFERROR(__xludf.DUMMYFUNCTION("""COMPUTED_VALUE"""),5)</f>
        <v>5</v>
      </c>
      <c r="Q771" t="str">
        <f ca="1">IFERROR(__xludf.DUMMYFUNCTION("""COMPUTED_VALUE"""),"info@wattsun.in")</f>
        <v>info@wattsun.in</v>
      </c>
      <c r="R771" s="2" t="s">
        <v>3185</v>
      </c>
    </row>
    <row r="772" spans="1:18" ht="13" x14ac:dyDescent="0.15">
      <c r="A772" s="3">
        <f ca="1">IFERROR(__xludf.DUMMYFUNCTION("""COMPUTED_VALUE"""),43255.6455067129)</f>
        <v>43255.645506712899</v>
      </c>
      <c r="B772" t="str">
        <f ca="1">IFERROR(__xludf.DUMMYFUNCTION("""COMPUTED_VALUE"""),"rrvarma@md4.vsnl.net.in")</f>
        <v>rrvarma@md4.vsnl.net.in</v>
      </c>
      <c r="C772">
        <f ca="1">IFERROR(__xludf.DUMMYFUNCTION("""COMPUTED_VALUE"""),1188)</f>
        <v>1188</v>
      </c>
      <c r="D772" t="str">
        <f ca="1">IFERROR(__xludf.DUMMYFUNCTION("""COMPUTED_VALUE"""),"Keralavarma Padmakumari")</f>
        <v>Keralavarma Padmakumari</v>
      </c>
      <c r="E772">
        <f ca="1">IFERROR(__xludf.DUMMYFUNCTION("""COMPUTED_VALUE"""),9847036754)</f>
        <v>9847036754</v>
      </c>
      <c r="F772" t="str">
        <f ca="1">IFERROR(__xludf.DUMMYFUNCTION("""COMPUTED_VALUE"""),"Ernakulam")</f>
        <v>Ernakulam</v>
      </c>
      <c r="G772" t="str">
        <f ca="1">IFERROR(__xludf.DUMMYFUNCTION("""COMPUTED_VALUE"""),"Kraftwork Solar Pvt. Ltd.")</f>
        <v>Kraftwork Solar Pvt. Ltd.</v>
      </c>
      <c r="H772">
        <f ca="1">IFERROR(__xludf.DUMMYFUNCTION("""COMPUTED_VALUE"""),26)</f>
        <v>26</v>
      </c>
      <c r="I772" s="4">
        <f ca="1">IFERROR(__xludf.DUMMYFUNCTION("""COMPUTED_VALUE"""),43252)</f>
        <v>43252</v>
      </c>
      <c r="J772">
        <f ca="1">IFERROR(__xludf.DUMMYFUNCTION("""COMPUTED_VALUE"""),3)</f>
        <v>3</v>
      </c>
      <c r="K772">
        <f ca="1">IFERROR(__xludf.DUMMYFUNCTION("""COMPUTED_VALUE"""),1155484016745)</f>
        <v>1155484016745</v>
      </c>
      <c r="L772" t="str">
        <f ca="1">IFERROR(__xludf.DUMMYFUNCTION("""COMPUTED_VALUE"""),"Tripunithura")</f>
        <v>Tripunithura</v>
      </c>
      <c r="M772" t="str">
        <f ca="1">IFERROR(__xludf.DUMMYFUNCTION("""COMPUTED_VALUE"""),"I Accept")</f>
        <v>I Accept</v>
      </c>
      <c r="N772" s="4">
        <f ca="1">IFERROR(__xludf.DUMMYFUNCTION("""COMPUTED_VALUE"""),43232)</f>
        <v>43232</v>
      </c>
      <c r="O772" s="4">
        <f ca="1">IFERROR(__xludf.DUMMYFUNCTION("""COMPUTED_VALUE"""),43232)</f>
        <v>43232</v>
      </c>
      <c r="P772">
        <f ca="1">IFERROR(__xludf.DUMMYFUNCTION("""COMPUTED_VALUE"""),3)</f>
        <v>3</v>
      </c>
      <c r="Q772" t="str">
        <f ca="1">IFERROR(__xludf.DUMMYFUNCTION("""COMPUTED_VALUE"""),"info@kraftworksolar.com")</f>
        <v>info@kraftworksolar.com</v>
      </c>
      <c r="R772" s="2" t="s">
        <v>3186</v>
      </c>
    </row>
    <row r="773" spans="1:18" ht="13" x14ac:dyDescent="0.15">
      <c r="A773" s="3">
        <f ca="1">IFERROR(__xludf.DUMMYFUNCTION("""COMPUTED_VALUE"""),43255.6471893518)</f>
        <v>43255.647189351803</v>
      </c>
      <c r="B773" t="str">
        <f ca="1">IFERROR(__xludf.DUMMYFUNCTION("""COMPUTED_VALUE"""),"dominic1946@gmail.com")</f>
        <v>dominic1946@gmail.com</v>
      </c>
      <c r="C773">
        <f ca="1">IFERROR(__xludf.DUMMYFUNCTION("""COMPUTED_VALUE"""),901)</f>
        <v>901</v>
      </c>
      <c r="D773" t="str">
        <f ca="1">IFERROR(__xludf.DUMMYFUNCTION("""COMPUTED_VALUE"""),"MANUEL DOMINIC")</f>
        <v>MANUEL DOMINIC</v>
      </c>
      <c r="E773">
        <f ca="1">IFERROR(__xludf.DUMMYFUNCTION("""COMPUTED_VALUE"""),7025868550)</f>
        <v>7025868550</v>
      </c>
      <c r="F773" t="str">
        <f ca="1">IFERROR(__xludf.DUMMYFUNCTION("""COMPUTED_VALUE"""),"Kollam")</f>
        <v>Kollam</v>
      </c>
      <c r="G773" t="str">
        <f ca="1">IFERROR(__xludf.DUMMYFUNCTION("""COMPUTED_VALUE"""),"M/s Tata Power Solar")</f>
        <v>M/s Tata Power Solar</v>
      </c>
      <c r="H773">
        <f ca="1">IFERROR(__xludf.DUMMYFUNCTION("""COMPUTED_VALUE"""),20)</f>
        <v>20</v>
      </c>
      <c r="I773" s="4">
        <f ca="1">IFERROR(__xludf.DUMMYFUNCTION("""COMPUTED_VALUE"""),43252)</f>
        <v>43252</v>
      </c>
      <c r="J773">
        <f ca="1">IFERROR(__xludf.DUMMYFUNCTION("""COMPUTED_VALUE"""),5)</f>
        <v>5</v>
      </c>
      <c r="K773">
        <f ca="1">IFERROR(__xludf.DUMMYFUNCTION("""COMPUTED_VALUE"""),1145631011951)</f>
        <v>1145631011951</v>
      </c>
      <c r="L773" t="str">
        <f ca="1">IFERROR(__xludf.DUMMYFUNCTION("""COMPUTED_VALUE"""),"Perinad")</f>
        <v>Perinad</v>
      </c>
      <c r="M773" t="str">
        <f ca="1">IFERROR(__xludf.DUMMYFUNCTION("""COMPUTED_VALUE"""),"I Accept")</f>
        <v>I Accept</v>
      </c>
      <c r="N773" s="4">
        <f ca="1">IFERROR(__xludf.DUMMYFUNCTION("""COMPUTED_VALUE"""),43203)</f>
        <v>43203</v>
      </c>
      <c r="O773" s="4">
        <f ca="1">IFERROR(__xludf.DUMMYFUNCTION("""COMPUTED_VALUE"""),43203)</f>
        <v>43203</v>
      </c>
      <c r="P773">
        <f ca="1">IFERROR(__xludf.DUMMYFUNCTION("""COMPUTED_VALUE"""),5)</f>
        <v>5</v>
      </c>
      <c r="Q773" t="str">
        <f ca="1">IFERROR(__xludf.DUMMYFUNCTION("""COMPUTED_VALUE"""),"dominic1946@gmail.com")</f>
        <v>dominic1946@gmail.com</v>
      </c>
      <c r="R773" s="2" t="s">
        <v>3187</v>
      </c>
    </row>
    <row r="774" spans="1:18" ht="13" x14ac:dyDescent="0.15">
      <c r="A774" s="3">
        <f ca="1">IFERROR(__xludf.DUMMYFUNCTION("""COMPUTED_VALUE"""),43255.6485261921)</f>
        <v>43255.648526192097</v>
      </c>
      <c r="B774" t="str">
        <f ca="1">IFERROR(__xludf.DUMMYFUNCTION("""COMPUTED_VALUE"""),"noorakshaya@gmail.com")</f>
        <v>noorakshaya@gmail.com</v>
      </c>
      <c r="C774">
        <f ca="1">IFERROR(__xludf.DUMMYFUNCTION("""COMPUTED_VALUE"""),763)</f>
        <v>763</v>
      </c>
      <c r="D774" t="str">
        <f ca="1">IFERROR(__xludf.DUMMYFUNCTION("""COMPUTED_VALUE"""),"Chandran M S")</f>
        <v>Chandran M S</v>
      </c>
      <c r="E774">
        <f ca="1">IFERROR(__xludf.DUMMYFUNCTION("""COMPUTED_VALUE"""),9037655903)</f>
        <v>9037655903</v>
      </c>
      <c r="F774" t="str">
        <f ca="1">IFERROR(__xludf.DUMMYFUNCTION("""COMPUTED_VALUE"""),"Thrissur")</f>
        <v>Thrissur</v>
      </c>
      <c r="G774" t="str">
        <f ca="1">IFERROR(__xludf.DUMMYFUNCTION("""COMPUTED_VALUE"""),"Renergy Systems India Pvt Ltd")</f>
        <v>Renergy Systems India Pvt Ltd</v>
      </c>
      <c r="H774">
        <f ca="1">IFERROR(__xludf.DUMMYFUNCTION("""COMPUTED_VALUE"""),38)</f>
        <v>38</v>
      </c>
      <c r="I774" s="4">
        <f ca="1">IFERROR(__xludf.DUMMYFUNCTION("""COMPUTED_VALUE"""),43186)</f>
        <v>43186</v>
      </c>
      <c r="J774">
        <f ca="1">IFERROR(__xludf.DUMMYFUNCTION("""COMPUTED_VALUE"""),10)</f>
        <v>10</v>
      </c>
      <c r="K774">
        <f ca="1">IFERROR(__xludf.DUMMYFUNCTION("""COMPUTED_VALUE"""),1157287003949)</f>
        <v>1157287003949</v>
      </c>
      <c r="L774" t="str">
        <f ca="1">IFERROR(__xludf.DUMMYFUNCTION("""COMPUTED_VALUE"""),"Puthenchira")</f>
        <v>Puthenchira</v>
      </c>
      <c r="M774" t="str">
        <f ca="1">IFERROR(__xludf.DUMMYFUNCTION("""COMPUTED_VALUE"""),"I Accept")</f>
        <v>I Accept</v>
      </c>
      <c r="N774" s="4">
        <f ca="1">IFERROR(__xludf.DUMMYFUNCTION("""COMPUTED_VALUE"""),43200)</f>
        <v>43200</v>
      </c>
      <c r="O774" s="4">
        <f ca="1">IFERROR(__xludf.DUMMYFUNCTION("""COMPUTED_VALUE"""),43200)</f>
        <v>43200</v>
      </c>
      <c r="P774">
        <f ca="1">IFERROR(__xludf.DUMMYFUNCTION("""COMPUTED_VALUE"""),10)</f>
        <v>10</v>
      </c>
      <c r="Q774" t="str">
        <f ca="1">IFERROR(__xludf.DUMMYFUNCTION("""COMPUTED_VALUE"""),"noorakshaya@gmail.com")</f>
        <v>noorakshaya@gmail.com</v>
      </c>
      <c r="R774" s="2" t="s">
        <v>3188</v>
      </c>
    </row>
    <row r="775" spans="1:18" ht="13" x14ac:dyDescent="0.15">
      <c r="A775" s="3">
        <f ca="1">IFERROR(__xludf.DUMMYFUNCTION("""COMPUTED_VALUE"""),43255.7086349537)</f>
        <v>43255.708634953698</v>
      </c>
      <c r="B775" t="str">
        <f ca="1">IFERROR(__xludf.DUMMYFUNCTION("""COMPUTED_VALUE"""),"saluracoc@gmail.com")</f>
        <v>saluracoc@gmail.com</v>
      </c>
      <c r="C775">
        <f ca="1">IFERROR(__xludf.DUMMYFUNCTION("""COMPUTED_VALUE"""),1123)</f>
        <v>1123</v>
      </c>
      <c r="D775" t="str">
        <f ca="1">IFERROR(__xludf.DUMMYFUNCTION("""COMPUTED_VALUE"""),"Rajesh R S")</f>
        <v>Rajesh R S</v>
      </c>
      <c r="E775">
        <f ca="1">IFERROR(__xludf.DUMMYFUNCTION("""COMPUTED_VALUE"""),9846395555)</f>
        <v>9846395555</v>
      </c>
      <c r="F775" t="str">
        <f ca="1">IFERROR(__xludf.DUMMYFUNCTION("""COMPUTED_VALUE"""),"Ernakulam")</f>
        <v>Ernakulam</v>
      </c>
      <c r="G775" t="str">
        <f ca="1">IFERROR(__xludf.DUMMYFUNCTION("""COMPUTED_VALUE"""),"Renewable Energy Solutions P Ltd")</f>
        <v>Renewable Energy Solutions P Ltd</v>
      </c>
      <c r="H775">
        <f ca="1">IFERROR(__xludf.DUMMYFUNCTION("""COMPUTED_VALUE"""),64)</f>
        <v>64</v>
      </c>
      <c r="I775" s="4">
        <f ca="1">IFERROR(__xludf.DUMMYFUNCTION("""COMPUTED_VALUE"""),43255)</f>
        <v>43255</v>
      </c>
      <c r="J775">
        <f ca="1">IFERROR(__xludf.DUMMYFUNCTION("""COMPUTED_VALUE"""),5)</f>
        <v>5</v>
      </c>
      <c r="K775">
        <f ca="1">IFERROR(__xludf.DUMMYFUNCTION("""COMPUTED_VALUE"""),1155421002537)</f>
        <v>1155421002537</v>
      </c>
      <c r="L775" t="str">
        <f ca="1">IFERROR(__xludf.DUMMYFUNCTION("""COMPUTED_VALUE"""),"GIRINAGAR")</f>
        <v>GIRINAGAR</v>
      </c>
      <c r="M775" t="str">
        <f ca="1">IFERROR(__xludf.DUMMYFUNCTION("""COMPUTED_VALUE"""),"I Accept")</f>
        <v>I Accept</v>
      </c>
      <c r="N775" s="4">
        <f ca="1">IFERROR(__xludf.DUMMYFUNCTION("""COMPUTED_VALUE"""),43251)</f>
        <v>43251</v>
      </c>
      <c r="O775" s="4">
        <f ca="1">IFERROR(__xludf.DUMMYFUNCTION("""COMPUTED_VALUE"""),43251)</f>
        <v>43251</v>
      </c>
      <c r="P775">
        <f ca="1">IFERROR(__xludf.DUMMYFUNCTION("""COMPUTED_VALUE"""),5)</f>
        <v>5</v>
      </c>
      <c r="Q775" t="str">
        <f ca="1">IFERROR(__xludf.DUMMYFUNCTION("""COMPUTED_VALUE"""),"saluracoc@gmail.com")</f>
        <v>saluracoc@gmail.com</v>
      </c>
      <c r="R775" s="2" t="s">
        <v>3189</v>
      </c>
    </row>
    <row r="776" spans="1:18" ht="13" x14ac:dyDescent="0.15">
      <c r="A776" s="3">
        <f ca="1">IFERROR(__xludf.DUMMYFUNCTION("""COMPUTED_VALUE"""),43255.8898252199)</f>
        <v>43255.8898252199</v>
      </c>
      <c r="B776" t="str">
        <f ca="1">IFERROR(__xludf.DUMMYFUNCTION("""COMPUTED_VALUE"""),"amprojects@hykonindia.com")</f>
        <v>amprojects@hykonindia.com</v>
      </c>
      <c r="C776">
        <f ca="1">IFERROR(__xludf.DUMMYFUNCTION("""COMPUTED_VALUE"""),1236)</f>
        <v>1236</v>
      </c>
      <c r="D776" t="str">
        <f ca="1">IFERROR(__xludf.DUMMYFUNCTION("""COMPUTED_VALUE"""),"Nilayattengal Lonappan James")</f>
        <v>Nilayattengal Lonappan James</v>
      </c>
      <c r="E776">
        <f ca="1">IFERROR(__xludf.DUMMYFUNCTION("""COMPUTED_VALUE"""),9447719274)</f>
        <v>9447719274</v>
      </c>
      <c r="F776" t="str">
        <f ca="1">IFERROR(__xludf.DUMMYFUNCTION("""COMPUTED_VALUE"""),"Thrissur")</f>
        <v>Thrissur</v>
      </c>
      <c r="G776" t="str">
        <f ca="1">IFERROR(__xludf.DUMMYFUNCTION("""COMPUTED_VALUE"""),"Hykon India Ltd")</f>
        <v>Hykon India Ltd</v>
      </c>
      <c r="H776">
        <f ca="1">IFERROR(__xludf.DUMMYFUNCTION("""COMPUTED_VALUE"""),41)</f>
        <v>41</v>
      </c>
      <c r="I776" s="4">
        <f ca="1">IFERROR(__xludf.DUMMYFUNCTION("""COMPUTED_VALUE"""),43251)</f>
        <v>43251</v>
      </c>
      <c r="J776">
        <f ca="1">IFERROR(__xludf.DUMMYFUNCTION("""COMPUTED_VALUE"""),5)</f>
        <v>5</v>
      </c>
      <c r="K776">
        <f ca="1">IFERROR(__xludf.DUMMYFUNCTION("""COMPUTED_VALUE"""),12718)</f>
        <v>12718</v>
      </c>
      <c r="L776" t="str">
        <f ca="1">IFERROR(__xludf.DUMMYFUNCTION("""COMPUTED_VALUE"""),"B1")</f>
        <v>B1</v>
      </c>
      <c r="M776" t="str">
        <f ca="1">IFERROR(__xludf.DUMMYFUNCTION("""COMPUTED_VALUE"""),"I Accept")</f>
        <v>I Accept</v>
      </c>
      <c r="N776" s="4">
        <f ca="1">IFERROR(__xludf.DUMMYFUNCTION("""COMPUTED_VALUE"""),43253)</f>
        <v>43253</v>
      </c>
      <c r="O776" s="4">
        <f ca="1">IFERROR(__xludf.DUMMYFUNCTION("""COMPUTED_VALUE"""),43253)</f>
        <v>43253</v>
      </c>
      <c r="P776">
        <f ca="1">IFERROR(__xludf.DUMMYFUNCTION("""COMPUTED_VALUE"""),5)</f>
        <v>5</v>
      </c>
      <c r="Q776" t="str">
        <f ca="1">IFERROR(__xludf.DUMMYFUNCTION("""COMPUTED_VALUE"""),"amprojects@hykonindia.com")</f>
        <v>amprojects@hykonindia.com</v>
      </c>
      <c r="R776" s="2" t="s">
        <v>3190</v>
      </c>
    </row>
    <row r="777" spans="1:18" ht="13" x14ac:dyDescent="0.15">
      <c r="A777" s="3">
        <f ca="1">IFERROR(__xludf.DUMMYFUNCTION("""COMPUTED_VALUE"""),43256.4778167245)</f>
        <v>43256.477816724502</v>
      </c>
      <c r="B777" t="str">
        <f ca="1">IFERROR(__xludf.DUMMYFUNCTION("""COMPUTED_VALUE"""),"praveenarora44@gmail.com")</f>
        <v>praveenarora44@gmail.com</v>
      </c>
      <c r="C777">
        <f ca="1">IFERROR(__xludf.DUMMYFUNCTION("""COMPUTED_VALUE"""),508)</f>
        <v>508</v>
      </c>
      <c r="D777" t="str">
        <f ca="1">IFERROR(__xludf.DUMMYFUNCTION("""COMPUTED_VALUE"""),"Praveenkumar Arora")</f>
        <v>Praveenkumar Arora</v>
      </c>
      <c r="E777">
        <f ca="1">IFERROR(__xludf.DUMMYFUNCTION("""COMPUTED_VALUE"""),9349881979)</f>
        <v>9349881979</v>
      </c>
      <c r="F777" t="str">
        <f ca="1">IFERROR(__xludf.DUMMYFUNCTION("""COMPUTED_VALUE"""),"Kasaragod")</f>
        <v>Kasaragod</v>
      </c>
      <c r="G777" t="str">
        <f ca="1">IFERROR(__xludf.DUMMYFUNCTION("""COMPUTED_VALUE"""),"TATA POWER SOLAR SYSTEMS LIMITED")</f>
        <v>TATA POWER SOLAR SYSTEMS LIMITED</v>
      </c>
      <c r="H777">
        <f ca="1">IFERROR(__xludf.DUMMYFUNCTION("""COMPUTED_VALUE"""),20)</f>
        <v>20</v>
      </c>
      <c r="I777" s="4">
        <f ca="1">IFERROR(__xludf.DUMMYFUNCTION("""COMPUTED_VALUE"""),43220)</f>
        <v>43220</v>
      </c>
      <c r="J777">
        <f ca="1">IFERROR(__xludf.DUMMYFUNCTION("""COMPUTED_VALUE"""),5)</f>
        <v>5</v>
      </c>
      <c r="K777">
        <f ca="1">IFERROR(__xludf.DUMMYFUNCTION("""COMPUTED_VALUE"""),1167012030236)</f>
        <v>1167012030236</v>
      </c>
      <c r="L777" t="str">
        <f ca="1">IFERROR(__xludf.DUMMYFUNCTION("""COMPUTED_VALUE"""),"Mavungal")</f>
        <v>Mavungal</v>
      </c>
      <c r="M777" t="str">
        <f ca="1">IFERROR(__xludf.DUMMYFUNCTION("""COMPUTED_VALUE"""),"I Accept")</f>
        <v>I Accept</v>
      </c>
      <c r="N777" s="4">
        <f ca="1">IFERROR(__xludf.DUMMYFUNCTION("""COMPUTED_VALUE"""),43210)</f>
        <v>43210</v>
      </c>
      <c r="O777" s="4">
        <f ca="1">IFERROR(__xludf.DUMMYFUNCTION("""COMPUTED_VALUE"""),43210)</f>
        <v>43210</v>
      </c>
      <c r="P777">
        <f ca="1">IFERROR(__xludf.DUMMYFUNCTION("""COMPUTED_VALUE"""),5)</f>
        <v>5</v>
      </c>
      <c r="Q777" t="str">
        <f ca="1">IFERROR(__xludf.DUMMYFUNCTION("""COMPUTED_VALUE"""),"praveenarora44@gmail.com")</f>
        <v>praveenarora44@gmail.com</v>
      </c>
      <c r="R777" s="2" t="s">
        <v>3191</v>
      </c>
    </row>
    <row r="778" spans="1:18" ht="13" x14ac:dyDescent="0.15">
      <c r="A778" s="3">
        <f ca="1">IFERROR(__xludf.DUMMYFUNCTION("""COMPUTED_VALUE"""),43256.5191696643)</f>
        <v>43256.519169664301</v>
      </c>
      <c r="B778" t="str">
        <f ca="1">IFERROR(__xludf.DUMMYFUNCTION("""COMPUTED_VALUE"""),"thrissur@gmail.com")</f>
        <v>thrissur@gmail.com</v>
      </c>
      <c r="C778">
        <f ca="1">IFERROR(__xludf.DUMMYFUNCTION("""COMPUTED_VALUE"""),1252)</f>
        <v>1252</v>
      </c>
      <c r="D778" t="str">
        <f ca="1">IFERROR(__xludf.DUMMYFUNCTION("""COMPUTED_VALUE"""),"THE DIRECTOR KILA")</f>
        <v>THE DIRECTOR KILA</v>
      </c>
      <c r="E778">
        <f ca="1">IFERROR(__xludf.DUMMYFUNCTION("""COMPUTED_VALUE"""),9446521312)</f>
        <v>9446521312</v>
      </c>
      <c r="F778" t="str">
        <f ca="1">IFERROR(__xludf.DUMMYFUNCTION("""COMPUTED_VALUE"""),"Thrissur")</f>
        <v>Thrissur</v>
      </c>
      <c r="G778" t="str">
        <f ca="1">IFERROR(__xludf.DUMMYFUNCTION("""COMPUTED_VALUE"""),"RAIDCO KERALA Ltd.")</f>
        <v>RAIDCO KERALA Ltd.</v>
      </c>
      <c r="H778">
        <f ca="1">IFERROR(__xludf.DUMMYFUNCTION("""COMPUTED_VALUE"""),69)</f>
        <v>69</v>
      </c>
      <c r="I778" s="4">
        <f ca="1">IFERROR(__xludf.DUMMYFUNCTION("""COMPUTED_VALUE"""),43200)</f>
        <v>43200</v>
      </c>
      <c r="J778">
        <f ca="1">IFERROR(__xludf.DUMMYFUNCTION("""COMPUTED_VALUE"""),30)</f>
        <v>30</v>
      </c>
      <c r="K778">
        <f ca="1">IFERROR(__xludf.DUMMYFUNCTION("""COMPUTED_VALUE"""),1356820003130)</f>
        <v>1356820003130</v>
      </c>
      <c r="L778" t="str">
        <f ca="1">IFERROR(__xludf.DUMMYFUNCTION("""COMPUTED_VALUE"""),"Mulamkunnathukavu")</f>
        <v>Mulamkunnathukavu</v>
      </c>
      <c r="M778" t="str">
        <f ca="1">IFERROR(__xludf.DUMMYFUNCTION("""COMPUTED_VALUE"""),"I Accept")</f>
        <v>I Accept</v>
      </c>
      <c r="N778" s="4">
        <f ca="1">IFERROR(__xludf.DUMMYFUNCTION("""COMPUTED_VALUE"""),43048)</f>
        <v>43048</v>
      </c>
      <c r="O778" s="4">
        <f ca="1">IFERROR(__xludf.DUMMYFUNCTION("""COMPUTED_VALUE"""),43048)</f>
        <v>43048</v>
      </c>
      <c r="P778">
        <f ca="1">IFERROR(__xludf.DUMMYFUNCTION("""COMPUTED_VALUE"""),30)</f>
        <v>30</v>
      </c>
      <c r="Q778" t="str">
        <f ca="1">IFERROR(__xludf.DUMMYFUNCTION("""COMPUTED_VALUE"""),"thrissur@gmail.com")</f>
        <v>thrissur@gmail.com</v>
      </c>
      <c r="R778" s="2" t="s">
        <v>3192</v>
      </c>
    </row>
    <row r="779" spans="1:18" ht="13" x14ac:dyDescent="0.15">
      <c r="A779" s="3">
        <f ca="1">IFERROR(__xludf.DUMMYFUNCTION("""COMPUTED_VALUE"""),43256.6225839699)</f>
        <v>43256.622583969896</v>
      </c>
      <c r="B779" t="str">
        <f ca="1">IFERROR(__xludf.DUMMYFUNCTION("""COMPUTED_VALUE"""),"deepthijose88@gmail.com")</f>
        <v>deepthijose88@gmail.com</v>
      </c>
      <c r="C779">
        <f ca="1">IFERROR(__xludf.DUMMYFUNCTION("""COMPUTED_VALUE"""),1250)</f>
        <v>1250</v>
      </c>
      <c r="D779" t="str">
        <f ca="1">IFERROR(__xludf.DUMMYFUNCTION("""COMPUTED_VALUE"""),"Sony Thomas")</f>
        <v>Sony Thomas</v>
      </c>
      <c r="E779">
        <f ca="1">IFERROR(__xludf.DUMMYFUNCTION("""COMPUTED_VALUE"""),9946882370)</f>
        <v>9946882370</v>
      </c>
      <c r="F779" t="str">
        <f ca="1">IFERROR(__xludf.DUMMYFUNCTION("""COMPUTED_VALUE"""),"Kannur")</f>
        <v>Kannur</v>
      </c>
      <c r="G779" t="str">
        <f ca="1">IFERROR(__xludf.DUMMYFUNCTION("""COMPUTED_VALUE"""),"ALTERNATE ENERGY CORPORATION")</f>
        <v>ALTERNATE ENERGY CORPORATION</v>
      </c>
      <c r="H779">
        <f ca="1">IFERROR(__xludf.DUMMYFUNCTION("""COMPUTED_VALUE"""),22)</f>
        <v>22</v>
      </c>
      <c r="I779" s="4">
        <f ca="1">IFERROR(__xludf.DUMMYFUNCTION("""COMPUTED_VALUE"""),43252)</f>
        <v>43252</v>
      </c>
      <c r="J779">
        <f ca="1">IFERROR(__xludf.DUMMYFUNCTION("""COMPUTED_VALUE"""),10)</f>
        <v>10</v>
      </c>
      <c r="K779">
        <f ca="1">IFERROR(__xludf.DUMMYFUNCTION("""COMPUTED_VALUE"""),1167601012397)</f>
        <v>1167601012397</v>
      </c>
      <c r="L779" t="str">
        <f ca="1">IFERROR(__xludf.DUMMYFUNCTION("""COMPUTED_VALUE"""),"Pariyaram Kannur Electrical Section")</f>
        <v>Pariyaram Kannur Electrical Section</v>
      </c>
      <c r="M779" t="str">
        <f ca="1">IFERROR(__xludf.DUMMYFUNCTION("""COMPUTED_VALUE"""),"I Accept")</f>
        <v>I Accept</v>
      </c>
      <c r="N779" s="4">
        <f ca="1">IFERROR(__xludf.DUMMYFUNCTION("""COMPUTED_VALUE"""),43252)</f>
        <v>43252</v>
      </c>
      <c r="O779" s="4">
        <f ca="1">IFERROR(__xludf.DUMMYFUNCTION("""COMPUTED_VALUE"""),43252)</f>
        <v>43252</v>
      </c>
      <c r="P779">
        <f ca="1">IFERROR(__xludf.DUMMYFUNCTION("""COMPUTED_VALUE"""),10)</f>
        <v>10</v>
      </c>
      <c r="Q779" t="str">
        <f ca="1">IFERROR(__xludf.DUMMYFUNCTION("""COMPUTED_VALUE"""),"deepthijose88@gmail.com")</f>
        <v>deepthijose88@gmail.com</v>
      </c>
      <c r="R779" s="2" t="s">
        <v>3193</v>
      </c>
    </row>
    <row r="780" spans="1:18" ht="13" x14ac:dyDescent="0.15">
      <c r="A780" s="3">
        <f ca="1">IFERROR(__xludf.DUMMYFUNCTION("""COMPUTED_VALUE"""),43256.6290887615)</f>
        <v>43256.629088761503</v>
      </c>
      <c r="B780" t="str">
        <f ca="1">IFERROR(__xludf.DUMMYFUNCTION("""COMPUTED_VALUE"""),"bijupoothrikka@gmail.com")</f>
        <v>bijupoothrikka@gmail.com</v>
      </c>
      <c r="C780">
        <f ca="1">IFERROR(__xludf.DUMMYFUNCTION("""COMPUTED_VALUE"""),709)</f>
        <v>709</v>
      </c>
      <c r="D780" t="str">
        <f ca="1">IFERROR(__xludf.DUMMYFUNCTION("""COMPUTED_VALUE"""),"BIJU KURIAKOSE")</f>
        <v>BIJU KURIAKOSE</v>
      </c>
      <c r="E780">
        <f ca="1">IFERROR(__xludf.DUMMYFUNCTION("""COMPUTED_VALUE"""),9562233099)</f>
        <v>9562233099</v>
      </c>
      <c r="F780" t="str">
        <f ca="1">IFERROR(__xludf.DUMMYFUNCTION("""COMPUTED_VALUE"""),"Ernakulam")</f>
        <v>Ernakulam</v>
      </c>
      <c r="G780" t="str">
        <f ca="1">IFERROR(__xludf.DUMMYFUNCTION("""COMPUTED_VALUE"""),"Reecco Energy India Pvt. Ltd")</f>
        <v>Reecco Energy India Pvt. Ltd</v>
      </c>
      <c r="H780">
        <f ca="1">IFERROR(__xludf.DUMMYFUNCTION("""COMPUTED_VALUE"""),47)</f>
        <v>47</v>
      </c>
      <c r="I780" s="4">
        <f ca="1">IFERROR(__xludf.DUMMYFUNCTION("""COMPUTED_VALUE"""),43195)</f>
        <v>43195</v>
      </c>
      <c r="J780">
        <f ca="1">IFERROR(__xludf.DUMMYFUNCTION("""COMPUTED_VALUE"""),10)</f>
        <v>10</v>
      </c>
      <c r="K780">
        <f ca="1">IFERROR(__xludf.DUMMYFUNCTION("""COMPUTED_VALUE"""),1155552029264)</f>
        <v>1155552029264</v>
      </c>
      <c r="L780" t="str">
        <f ca="1">IFERROR(__xludf.DUMMYFUNCTION("""COMPUTED_VALUE"""),"Puthencruz")</f>
        <v>Puthencruz</v>
      </c>
      <c r="M780" t="str">
        <f ca="1">IFERROR(__xludf.DUMMYFUNCTION("""COMPUTED_VALUE"""),"I Accept")</f>
        <v>I Accept</v>
      </c>
      <c r="N780" s="4">
        <f ca="1">IFERROR(__xludf.DUMMYFUNCTION("""COMPUTED_VALUE"""),43256)</f>
        <v>43256</v>
      </c>
      <c r="O780" s="4">
        <f ca="1">IFERROR(__xludf.DUMMYFUNCTION("""COMPUTED_VALUE"""),43256)</f>
        <v>43256</v>
      </c>
      <c r="P780">
        <f ca="1">IFERROR(__xludf.DUMMYFUNCTION("""COMPUTED_VALUE"""),10)</f>
        <v>10</v>
      </c>
      <c r="Q780" t="str">
        <f ca="1">IFERROR(__xludf.DUMMYFUNCTION("""COMPUTED_VALUE"""),"bijupoothrikka@gmail.com")</f>
        <v>bijupoothrikka@gmail.com</v>
      </c>
      <c r="R780" s="2" t="s">
        <v>3194</v>
      </c>
    </row>
    <row r="781" spans="1:18" ht="13" x14ac:dyDescent="0.15">
      <c r="A781" s="3">
        <f ca="1">IFERROR(__xludf.DUMMYFUNCTION("""COMPUTED_VALUE"""),43256.6867756712)</f>
        <v>43256.686775671202</v>
      </c>
      <c r="B781" t="str">
        <f ca="1">IFERROR(__xludf.DUMMYFUNCTION("""COMPUTED_VALUE"""),"greensolar595@gmail.com")</f>
        <v>greensolar595@gmail.com</v>
      </c>
      <c r="C781">
        <f ca="1">IFERROR(__xludf.DUMMYFUNCTION("""COMPUTED_VALUE"""),1090)</f>
        <v>1090</v>
      </c>
      <c r="D781" t="str">
        <f ca="1">IFERROR(__xludf.DUMMYFUNCTION("""COMPUTED_VALUE"""),"Mrs Mary")</f>
        <v>Mrs Mary</v>
      </c>
      <c r="E781">
        <f ca="1">IFERROR(__xludf.DUMMYFUNCTION("""COMPUTED_VALUE"""),8589019033)</f>
        <v>8589019033</v>
      </c>
      <c r="F781" t="str">
        <f ca="1">IFERROR(__xludf.DUMMYFUNCTION("""COMPUTED_VALUE"""),"Thrissur")</f>
        <v>Thrissur</v>
      </c>
      <c r="G781" t="str">
        <f ca="1">IFERROR(__xludf.DUMMYFUNCTION("""COMPUTED_VALUE"""),"Greenroof Solar Pvt Ltd")</f>
        <v>Greenroof Solar Pvt Ltd</v>
      </c>
      <c r="H781">
        <f ca="1">IFERROR(__xludf.DUMMYFUNCTION("""COMPUTED_VALUE"""),24)</f>
        <v>24</v>
      </c>
      <c r="I781" s="4">
        <f ca="1">IFERROR(__xludf.DUMMYFUNCTION("""COMPUTED_VALUE"""),43256)</f>
        <v>43256</v>
      </c>
      <c r="J781">
        <f ca="1">IFERROR(__xludf.DUMMYFUNCTION("""COMPUTED_VALUE"""),3)</f>
        <v>3</v>
      </c>
      <c r="K781">
        <f ca="1">IFERROR(__xludf.DUMMYFUNCTION("""COMPUTED_VALUE"""),1156513027614)</f>
        <v>1156513027614</v>
      </c>
      <c r="L781" t="str">
        <f ca="1">IFERROR(__xludf.DUMMYFUNCTION("""COMPUTED_VALUE"""),"Chalakudy")</f>
        <v>Chalakudy</v>
      </c>
      <c r="M781" t="str">
        <f ca="1">IFERROR(__xludf.DUMMYFUNCTION("""COMPUTED_VALUE"""),"I Accept")</f>
        <v>I Accept</v>
      </c>
      <c r="N781" s="4">
        <f ca="1">IFERROR(__xludf.DUMMYFUNCTION("""COMPUTED_VALUE"""),43242)</f>
        <v>43242</v>
      </c>
      <c r="O781" s="4">
        <f ca="1">IFERROR(__xludf.DUMMYFUNCTION("""COMPUTED_VALUE"""),43242)</f>
        <v>43242</v>
      </c>
      <c r="P781">
        <f ca="1">IFERROR(__xludf.DUMMYFUNCTION("""COMPUTED_VALUE"""),3)</f>
        <v>3</v>
      </c>
      <c r="Q781" t="str">
        <f ca="1">IFERROR(__xludf.DUMMYFUNCTION("""COMPUTED_VALUE"""),"greensolar595@gmail.com")</f>
        <v>greensolar595@gmail.com</v>
      </c>
      <c r="R781" s="2" t="s">
        <v>3195</v>
      </c>
    </row>
    <row r="782" spans="1:18" ht="13" x14ac:dyDescent="0.15">
      <c r="A782" s="3">
        <f ca="1">IFERROR(__xludf.DUMMYFUNCTION("""COMPUTED_VALUE"""),43256.694600868)</f>
        <v>43256.694600868002</v>
      </c>
      <c r="B782" t="str">
        <f ca="1">IFERROR(__xludf.DUMMYFUNCTION("""COMPUTED_VALUE"""),"greensolar595@gmail.com")</f>
        <v>greensolar595@gmail.com</v>
      </c>
      <c r="C782">
        <f ca="1">IFERROR(__xludf.DUMMYFUNCTION("""COMPUTED_VALUE"""),1218)</f>
        <v>1218</v>
      </c>
      <c r="D782" t="str">
        <f ca="1">IFERROR(__xludf.DUMMYFUNCTION("""COMPUTED_VALUE"""),"M J Varghese")</f>
        <v>M J Varghese</v>
      </c>
      <c r="E782">
        <f ca="1">IFERROR(__xludf.DUMMYFUNCTION("""COMPUTED_VALUE"""),8589019035)</f>
        <v>8589019035</v>
      </c>
      <c r="F782" t="str">
        <f ca="1">IFERROR(__xludf.DUMMYFUNCTION("""COMPUTED_VALUE"""),"Ernakulam")</f>
        <v>Ernakulam</v>
      </c>
      <c r="G782" t="str">
        <f ca="1">IFERROR(__xludf.DUMMYFUNCTION("""COMPUTED_VALUE"""),"Greenroof Solar Pvt Ltd")</f>
        <v>Greenroof Solar Pvt Ltd</v>
      </c>
      <c r="H782">
        <f ca="1">IFERROR(__xludf.DUMMYFUNCTION("""COMPUTED_VALUE"""),24)</f>
        <v>24</v>
      </c>
      <c r="I782" s="4">
        <f ca="1">IFERROR(__xludf.DUMMYFUNCTION("""COMPUTED_VALUE"""),43256)</f>
        <v>43256</v>
      </c>
      <c r="J782">
        <f ca="1">IFERROR(__xludf.DUMMYFUNCTION("""COMPUTED_VALUE"""),3)</f>
        <v>3</v>
      </c>
      <c r="K782">
        <f ca="1">IFERROR(__xludf.DUMMYFUNCTION("""COMPUTED_VALUE"""),1155570003946)</f>
        <v>1155570003946</v>
      </c>
      <c r="L782" t="str">
        <f ca="1">IFERROR(__xludf.DUMMYFUNCTION("""COMPUTED_VALUE"""),"Thrikkakkara")</f>
        <v>Thrikkakkara</v>
      </c>
      <c r="M782" t="str">
        <f ca="1">IFERROR(__xludf.DUMMYFUNCTION("""COMPUTED_VALUE"""),"I Accept")</f>
        <v>I Accept</v>
      </c>
      <c r="N782" s="4">
        <f ca="1">IFERROR(__xludf.DUMMYFUNCTION("""COMPUTED_VALUE"""),43251)</f>
        <v>43251</v>
      </c>
      <c r="O782" s="4">
        <f ca="1">IFERROR(__xludf.DUMMYFUNCTION("""COMPUTED_VALUE"""),43251)</f>
        <v>43251</v>
      </c>
      <c r="P782">
        <f ca="1">IFERROR(__xludf.DUMMYFUNCTION("""COMPUTED_VALUE"""),3)</f>
        <v>3</v>
      </c>
      <c r="Q782" t="str">
        <f ca="1">IFERROR(__xludf.DUMMYFUNCTION("""COMPUTED_VALUE"""),"greensolar595@gmail.com")</f>
        <v>greensolar595@gmail.com</v>
      </c>
      <c r="R782" s="2" t="s">
        <v>3196</v>
      </c>
    </row>
    <row r="783" spans="1:18" ht="13" x14ac:dyDescent="0.15">
      <c r="A783" s="3">
        <f ca="1">IFERROR(__xludf.DUMMYFUNCTION("""COMPUTED_VALUE"""),43256.729248287)</f>
        <v>43256.729248287003</v>
      </c>
      <c r="B783" t="str">
        <f ca="1">IFERROR(__xludf.DUMMYFUNCTION("""COMPUTED_VALUE"""),"info@wattsun.in")</f>
        <v>info@wattsun.in</v>
      </c>
      <c r="C783">
        <f ca="1">IFERROR(__xludf.DUMMYFUNCTION("""COMPUTED_VALUE"""),1220)</f>
        <v>1220</v>
      </c>
      <c r="D783" t="str">
        <f ca="1">IFERROR(__xludf.DUMMYFUNCTION("""COMPUTED_VALUE"""),"Meghana Binoy")</f>
        <v>Meghana Binoy</v>
      </c>
      <c r="E783">
        <f ca="1">IFERROR(__xludf.DUMMYFUNCTION("""COMPUTED_VALUE"""),9072666513)</f>
        <v>9072666513</v>
      </c>
      <c r="F783" t="str">
        <f ca="1">IFERROR(__xludf.DUMMYFUNCTION("""COMPUTED_VALUE"""),"Ernakulam")</f>
        <v>Ernakulam</v>
      </c>
      <c r="G783" t="str">
        <f ca="1">IFERROR(__xludf.DUMMYFUNCTION("""COMPUTED_VALUE"""),"M/S Wattsun Energy India Private Limited")</f>
        <v>M/S Wattsun Energy India Private Limited</v>
      </c>
      <c r="H783">
        <f ca="1">IFERROR(__xludf.DUMMYFUNCTION("""COMPUTED_VALUE"""),54)</f>
        <v>54</v>
      </c>
      <c r="I783" s="4">
        <f ca="1">IFERROR(__xludf.DUMMYFUNCTION("""COMPUTED_VALUE"""),43241)</f>
        <v>43241</v>
      </c>
      <c r="J783">
        <f ca="1">IFERROR(__xludf.DUMMYFUNCTION("""COMPUTED_VALUE"""),3)</f>
        <v>3</v>
      </c>
      <c r="K783">
        <f ca="1">IFERROR(__xludf.DUMMYFUNCTION("""COMPUTED_VALUE"""),1155486006038)</f>
        <v>1155486006038</v>
      </c>
      <c r="L783" t="str">
        <f ca="1">IFERROR(__xludf.DUMMYFUNCTION("""COMPUTED_VALUE"""),"Thripunithura")</f>
        <v>Thripunithura</v>
      </c>
      <c r="M783" t="str">
        <f ca="1">IFERROR(__xludf.DUMMYFUNCTION("""COMPUTED_VALUE"""),"I Accept")</f>
        <v>I Accept</v>
      </c>
      <c r="N783" s="4">
        <f ca="1">IFERROR(__xludf.DUMMYFUNCTION("""COMPUTED_VALUE"""),43246)</f>
        <v>43246</v>
      </c>
      <c r="O783" s="4">
        <f ca="1">IFERROR(__xludf.DUMMYFUNCTION("""COMPUTED_VALUE"""),43246)</f>
        <v>43246</v>
      </c>
      <c r="P783">
        <f ca="1">IFERROR(__xludf.DUMMYFUNCTION("""COMPUTED_VALUE"""),5)</f>
        <v>5</v>
      </c>
      <c r="Q783" t="str">
        <f ca="1">IFERROR(__xludf.DUMMYFUNCTION("""COMPUTED_VALUE"""),"info@wattsun.in")</f>
        <v>info@wattsun.in</v>
      </c>
      <c r="R783" s="2" t="s">
        <v>3197</v>
      </c>
    </row>
    <row r="784" spans="1:18" ht="13" x14ac:dyDescent="0.15">
      <c r="A784" s="3">
        <f ca="1">IFERROR(__xludf.DUMMYFUNCTION("""COMPUTED_VALUE"""),43256.7299890972)</f>
        <v>43256.729989097199</v>
      </c>
      <c r="B784" t="str">
        <f ca="1">IFERROR(__xludf.DUMMYFUNCTION("""COMPUTED_VALUE"""),"vishnuv0095@gmail.com")</f>
        <v>vishnuv0095@gmail.com</v>
      </c>
      <c r="C784">
        <f ca="1">IFERROR(__xludf.DUMMYFUNCTION("""COMPUTED_VALUE"""),731)</f>
        <v>731</v>
      </c>
      <c r="D784" t="str">
        <f ca="1">IFERROR(__xludf.DUMMYFUNCTION("""COMPUTED_VALUE"""),"binu mathew")</f>
        <v>binu mathew</v>
      </c>
      <c r="E784">
        <f ca="1">IFERROR(__xludf.DUMMYFUNCTION("""COMPUTED_VALUE"""),9446504127)</f>
        <v>9446504127</v>
      </c>
      <c r="F784" t="str">
        <f ca="1">IFERROR(__xludf.DUMMYFUNCTION("""COMPUTED_VALUE"""),"Alappuzha")</f>
        <v>Alappuzha</v>
      </c>
      <c r="G784" t="str">
        <f ca="1">IFERROR(__xludf.DUMMYFUNCTION("""COMPUTED_VALUE"""),"TATA POWER SOLAR")</f>
        <v>TATA POWER SOLAR</v>
      </c>
      <c r="H784">
        <f ca="1">IFERROR(__xludf.DUMMYFUNCTION("""COMPUTED_VALUE"""),20)</f>
        <v>20</v>
      </c>
      <c r="I784" s="4">
        <f ca="1">IFERROR(__xludf.DUMMYFUNCTION("""COMPUTED_VALUE"""),43222)</f>
        <v>43222</v>
      </c>
      <c r="J784">
        <f ca="1">IFERROR(__xludf.DUMMYFUNCTION("""COMPUTED_VALUE"""),5)</f>
        <v>5</v>
      </c>
      <c r="K784">
        <f ca="1">IFERROR(__xludf.DUMMYFUNCTION("""COMPUTED_VALUE"""),1155018025264)</f>
        <v>1155018025264</v>
      </c>
      <c r="L784" t="str">
        <f ca="1">IFERROR(__xludf.DUMMYFUNCTION("""COMPUTED_VALUE"""),"alappuzha south")</f>
        <v>alappuzha south</v>
      </c>
      <c r="M784" t="str">
        <f ca="1">IFERROR(__xludf.DUMMYFUNCTION("""COMPUTED_VALUE"""),"I Accept")</f>
        <v>I Accept</v>
      </c>
      <c r="N784" s="4">
        <f ca="1">IFERROR(__xludf.DUMMYFUNCTION("""COMPUTED_VALUE"""),43215)</f>
        <v>43215</v>
      </c>
      <c r="O784" s="4">
        <f ca="1">IFERROR(__xludf.DUMMYFUNCTION("""COMPUTED_VALUE"""),43218)</f>
        <v>43218</v>
      </c>
      <c r="P784">
        <f ca="1">IFERROR(__xludf.DUMMYFUNCTION("""COMPUTED_VALUE"""),5)</f>
        <v>5</v>
      </c>
      <c r="Q784" t="str">
        <f ca="1">IFERROR(__xludf.DUMMYFUNCTION("""COMPUTED_VALUE"""),"vishnuv0095@gmail.com")</f>
        <v>vishnuv0095@gmail.com</v>
      </c>
      <c r="R784" s="2" t="s">
        <v>3198</v>
      </c>
    </row>
    <row r="785" spans="1:18" ht="13" x14ac:dyDescent="0.15">
      <c r="A785" s="3">
        <f ca="1">IFERROR(__xludf.DUMMYFUNCTION("""COMPUTED_VALUE"""),43256.7439239814)</f>
        <v>43256.743923981398</v>
      </c>
      <c r="B785" t="str">
        <f ca="1">IFERROR(__xludf.DUMMYFUNCTION("""COMPUTED_VALUE"""),"vishnuv0095@gmail.com")</f>
        <v>vishnuv0095@gmail.com</v>
      </c>
      <c r="C785">
        <f ca="1">IFERROR(__xludf.DUMMYFUNCTION("""COMPUTED_VALUE"""),457)</f>
        <v>457</v>
      </c>
      <c r="D785" t="str">
        <f ca="1">IFERROR(__xludf.DUMMYFUNCTION("""COMPUTED_VALUE"""),"jaya harikumar")</f>
        <v>jaya harikumar</v>
      </c>
      <c r="E785">
        <f ca="1">IFERROR(__xludf.DUMMYFUNCTION("""COMPUTED_VALUE"""),9447250028)</f>
        <v>9447250028</v>
      </c>
      <c r="F785" t="str">
        <f ca="1">IFERROR(__xludf.DUMMYFUNCTION("""COMPUTED_VALUE"""),"Alappuzha")</f>
        <v>Alappuzha</v>
      </c>
      <c r="G785" t="str">
        <f ca="1">IFERROR(__xludf.DUMMYFUNCTION("""COMPUTED_VALUE"""),"TATA POWER SOLAR SYSTEMS LTD")</f>
        <v>TATA POWER SOLAR SYSTEMS LTD</v>
      </c>
      <c r="H785">
        <f ca="1">IFERROR(__xludf.DUMMYFUNCTION("""COMPUTED_VALUE"""),20)</f>
        <v>20</v>
      </c>
      <c r="I785" s="4">
        <f ca="1">IFERROR(__xludf.DUMMYFUNCTION("""COMPUTED_VALUE"""),43215)</f>
        <v>43215</v>
      </c>
      <c r="J785">
        <f ca="1">IFERROR(__xludf.DUMMYFUNCTION("""COMPUTED_VALUE"""),3)</f>
        <v>3</v>
      </c>
      <c r="K785">
        <f ca="1">IFERROR(__xludf.DUMMYFUNCTION("""COMPUTED_VALUE"""),1155098008044)</f>
        <v>1155098008044</v>
      </c>
      <c r="L785" t="str">
        <f ca="1">IFERROR(__xludf.DUMMYFUNCTION("""COMPUTED_VALUE"""),"mankombu")</f>
        <v>mankombu</v>
      </c>
      <c r="M785" t="str">
        <f ca="1">IFERROR(__xludf.DUMMYFUNCTION("""COMPUTED_VALUE"""),"I Accept")</f>
        <v>I Accept</v>
      </c>
      <c r="N785" s="4">
        <f ca="1">IFERROR(__xludf.DUMMYFUNCTION("""COMPUTED_VALUE"""),43210)</f>
        <v>43210</v>
      </c>
      <c r="O785" s="4">
        <f ca="1">IFERROR(__xludf.DUMMYFUNCTION("""COMPUTED_VALUE"""),43210)</f>
        <v>43210</v>
      </c>
      <c r="P785">
        <f ca="1">IFERROR(__xludf.DUMMYFUNCTION("""COMPUTED_VALUE"""),3)</f>
        <v>3</v>
      </c>
      <c r="Q785" t="str">
        <f ca="1">IFERROR(__xludf.DUMMYFUNCTION("""COMPUTED_VALUE"""),"vishnuv0095@gmail.com")</f>
        <v>vishnuv0095@gmail.com</v>
      </c>
      <c r="R785" s="2" t="s">
        <v>3199</v>
      </c>
    </row>
    <row r="786" spans="1:18" ht="13" x14ac:dyDescent="0.15">
      <c r="A786" s="3">
        <f ca="1">IFERROR(__xludf.DUMMYFUNCTION("""COMPUTED_VALUE"""),43256.8568162152)</f>
        <v>43256.856816215201</v>
      </c>
      <c r="B786" t="str">
        <f ca="1">IFERROR(__xludf.DUMMYFUNCTION("""COMPUTED_VALUE"""),"hykonkollam@gmail.com")</f>
        <v>hykonkollam@gmail.com</v>
      </c>
      <c r="C786">
        <f ca="1">IFERROR(__xludf.DUMMYFUNCTION("""COMPUTED_VALUE"""),1062)</f>
        <v>1062</v>
      </c>
      <c r="D786" t="str">
        <f ca="1">IFERROR(__xludf.DUMMYFUNCTION("""COMPUTED_VALUE"""),"Bindu D")</f>
        <v>Bindu D</v>
      </c>
      <c r="E786">
        <f ca="1">IFERROR(__xludf.DUMMYFUNCTION("""COMPUTED_VALUE"""),9495336654)</f>
        <v>9495336654</v>
      </c>
      <c r="F786" t="str">
        <f ca="1">IFERROR(__xludf.DUMMYFUNCTION("""COMPUTED_VALUE"""),"Kollam")</f>
        <v>Kollam</v>
      </c>
      <c r="G786" t="str">
        <f ca="1">IFERROR(__xludf.DUMMYFUNCTION("""COMPUTED_VALUE"""),"Hykon India (Pvt) Ltd")</f>
        <v>Hykon India (Pvt) Ltd</v>
      </c>
      <c r="H786">
        <f ca="1">IFERROR(__xludf.DUMMYFUNCTION("""COMPUTED_VALUE"""),41)</f>
        <v>41</v>
      </c>
      <c r="I786" s="4">
        <f ca="1">IFERROR(__xludf.DUMMYFUNCTION("""COMPUTED_VALUE"""),43253)</f>
        <v>43253</v>
      </c>
      <c r="J786">
        <f ca="1">IFERROR(__xludf.DUMMYFUNCTION("""COMPUTED_VALUE"""),3)</f>
        <v>3</v>
      </c>
      <c r="K786">
        <f ca="1">IFERROR(__xludf.DUMMYFUNCTION("""COMPUTED_VALUE"""),1145667002009)</f>
        <v>1145667002009</v>
      </c>
      <c r="L786" t="str">
        <f ca="1">IFERROR(__xludf.DUMMYFUNCTION("""COMPUTED_VALUE"""),"Pallimukku (4566)")</f>
        <v>Pallimukku (4566)</v>
      </c>
      <c r="M786" t="str">
        <f ca="1">IFERROR(__xludf.DUMMYFUNCTION("""COMPUTED_VALUE"""),"I Accept")</f>
        <v>I Accept</v>
      </c>
      <c r="N786" s="4">
        <f ca="1">IFERROR(__xludf.DUMMYFUNCTION("""COMPUTED_VALUE"""),43248)</f>
        <v>43248</v>
      </c>
      <c r="O786" s="4">
        <f ca="1">IFERROR(__xludf.DUMMYFUNCTION("""COMPUTED_VALUE"""),43248)</f>
        <v>43248</v>
      </c>
      <c r="P786">
        <f ca="1">IFERROR(__xludf.DUMMYFUNCTION("""COMPUTED_VALUE"""),3)</f>
        <v>3</v>
      </c>
      <c r="Q786" t="str">
        <f ca="1">IFERROR(__xludf.DUMMYFUNCTION("""COMPUTED_VALUE"""),"hykonkollam@gmail.com")</f>
        <v>hykonkollam@gmail.com</v>
      </c>
      <c r="R786" s="2" t="s">
        <v>3200</v>
      </c>
    </row>
    <row r="787" spans="1:18" ht="13" x14ac:dyDescent="0.15">
      <c r="A787" s="3">
        <f ca="1">IFERROR(__xludf.DUMMYFUNCTION("""COMPUTED_VALUE"""),43257.1540669444)</f>
        <v>43257.1540669444</v>
      </c>
      <c r="B787" t="str">
        <f ca="1">IFERROR(__xludf.DUMMYFUNCTION("""COMPUTED_VALUE"""),"vishnuv0095@gmail.com")</f>
        <v>vishnuv0095@gmail.com</v>
      </c>
      <c r="C787">
        <f ca="1">IFERROR(__xludf.DUMMYFUNCTION("""COMPUTED_VALUE"""),371)</f>
        <v>371</v>
      </c>
      <c r="D787" t="str">
        <f ca="1">IFERROR(__xludf.DUMMYFUNCTION("""COMPUTED_VALUE"""),"biju mathew")</f>
        <v>biju mathew</v>
      </c>
      <c r="E787">
        <f ca="1">IFERROR(__xludf.DUMMYFUNCTION("""COMPUTED_VALUE"""),9446504127)</f>
        <v>9446504127</v>
      </c>
      <c r="F787" t="str">
        <f ca="1">IFERROR(__xludf.DUMMYFUNCTION("""COMPUTED_VALUE"""),"Alappuzha")</f>
        <v>Alappuzha</v>
      </c>
      <c r="G787" t="str">
        <f ca="1">IFERROR(__xludf.DUMMYFUNCTION("""COMPUTED_VALUE"""),"TATA POWER SOLAR SYSTEMS LTD")</f>
        <v>TATA POWER SOLAR SYSTEMS LTD</v>
      </c>
      <c r="H787">
        <f ca="1">IFERROR(__xludf.DUMMYFUNCTION("""COMPUTED_VALUE"""),20)</f>
        <v>20</v>
      </c>
      <c r="I787" s="4">
        <f ca="1">IFERROR(__xludf.DUMMYFUNCTION("""COMPUTED_VALUE"""),43225)</f>
        <v>43225</v>
      </c>
      <c r="J787">
        <f ca="1">IFERROR(__xludf.DUMMYFUNCTION("""COMPUTED_VALUE"""),5)</f>
        <v>5</v>
      </c>
      <c r="K787">
        <f ca="1">IFERROR(__xludf.DUMMYFUNCTION("""COMPUTED_VALUE"""),1155018025264)</f>
        <v>1155018025264</v>
      </c>
      <c r="L787" t="str">
        <f ca="1">IFERROR(__xludf.DUMMYFUNCTION("""COMPUTED_VALUE"""),"alappuzha south")</f>
        <v>alappuzha south</v>
      </c>
      <c r="M787" t="str">
        <f ca="1">IFERROR(__xludf.DUMMYFUNCTION("""COMPUTED_VALUE"""),"I Accept")</f>
        <v>I Accept</v>
      </c>
      <c r="N787" s="4">
        <f ca="1">IFERROR(__xludf.DUMMYFUNCTION("""COMPUTED_VALUE"""),43215)</f>
        <v>43215</v>
      </c>
      <c r="O787" s="4">
        <f ca="1">IFERROR(__xludf.DUMMYFUNCTION("""COMPUTED_VALUE"""),43215)</f>
        <v>43215</v>
      </c>
      <c r="P787">
        <f ca="1">IFERROR(__xludf.DUMMYFUNCTION("""COMPUTED_VALUE"""),5)</f>
        <v>5</v>
      </c>
      <c r="Q787" t="str">
        <f ca="1">IFERROR(__xludf.DUMMYFUNCTION("""COMPUTED_VALUE"""),"vishnuv0095@gmail.com")</f>
        <v>vishnuv0095@gmail.com</v>
      </c>
      <c r="R787" s="2" t="s">
        <v>3201</v>
      </c>
    </row>
    <row r="788" spans="1:18" ht="13" x14ac:dyDescent="0.15">
      <c r="A788" s="3">
        <f ca="1">IFERROR(__xludf.DUMMYFUNCTION("""COMPUTED_VALUE"""),43257.1632700231)</f>
        <v>43257.163270023098</v>
      </c>
      <c r="B788" t="str">
        <f ca="1">IFERROR(__xludf.DUMMYFUNCTION("""COMPUTED_VALUE"""),"vishnuv0095@gmail.com")</f>
        <v>vishnuv0095@gmail.com</v>
      </c>
      <c r="C788">
        <f ca="1">IFERROR(__xludf.DUMMYFUNCTION("""COMPUTED_VALUE"""),725)</f>
        <v>725</v>
      </c>
      <c r="D788" t="str">
        <f ca="1">IFERROR(__xludf.DUMMYFUNCTION("""COMPUTED_VALUE"""),"Sreeranjini devi krishna pillai")</f>
        <v>Sreeranjini devi krishna pillai</v>
      </c>
      <c r="E788">
        <f ca="1">IFERROR(__xludf.DUMMYFUNCTION("""COMPUTED_VALUE"""),9946001172)</f>
        <v>9946001172</v>
      </c>
      <c r="F788" t="str">
        <f ca="1">IFERROR(__xludf.DUMMYFUNCTION("""COMPUTED_VALUE"""),"Alappuzha")</f>
        <v>Alappuzha</v>
      </c>
      <c r="G788" t="str">
        <f ca="1">IFERROR(__xludf.DUMMYFUNCTION("""COMPUTED_VALUE"""),"TATA POWER SOLAR SYSTEMS LTD")</f>
        <v>TATA POWER SOLAR SYSTEMS LTD</v>
      </c>
      <c r="H788">
        <f ca="1">IFERROR(__xludf.DUMMYFUNCTION("""COMPUTED_VALUE"""),20)</f>
        <v>20</v>
      </c>
      <c r="I788" s="4">
        <f ca="1">IFERROR(__xludf.DUMMYFUNCTION("""COMPUTED_VALUE"""),43187)</f>
        <v>43187</v>
      </c>
      <c r="J788">
        <f ca="1">IFERROR(__xludf.DUMMYFUNCTION("""COMPUTED_VALUE"""),3)</f>
        <v>3</v>
      </c>
      <c r="K788">
        <f ca="1">IFERROR(__xludf.DUMMYFUNCTION("""COMPUTED_VALUE"""),1155228000342)</f>
        <v>1155228000342</v>
      </c>
      <c r="L788" t="str">
        <f ca="1">IFERROR(__xludf.DUMMYFUNCTION("""COMPUTED_VALUE"""),"mavelikkara")</f>
        <v>mavelikkara</v>
      </c>
      <c r="M788" t="str">
        <f ca="1">IFERROR(__xludf.DUMMYFUNCTION("""COMPUTED_VALUE"""),"I Accept")</f>
        <v>I Accept</v>
      </c>
      <c r="N788" s="4">
        <f ca="1">IFERROR(__xludf.DUMMYFUNCTION("""COMPUTED_VALUE"""),43179)</f>
        <v>43179</v>
      </c>
      <c r="O788" s="4">
        <f ca="1">IFERROR(__xludf.DUMMYFUNCTION("""COMPUTED_VALUE"""),43179)</f>
        <v>43179</v>
      </c>
      <c r="P788">
        <f ca="1">IFERROR(__xludf.DUMMYFUNCTION("""COMPUTED_VALUE"""),3)</f>
        <v>3</v>
      </c>
      <c r="Q788" t="str">
        <f ca="1">IFERROR(__xludf.DUMMYFUNCTION("""COMPUTED_VALUE"""),"vishnuv0095@gmail.com")</f>
        <v>vishnuv0095@gmail.com</v>
      </c>
      <c r="R788" s="2" t="s">
        <v>3202</v>
      </c>
    </row>
    <row r="789" spans="1:18" ht="13" x14ac:dyDescent="0.15">
      <c r="A789" s="3">
        <f ca="1">IFERROR(__xludf.DUMMYFUNCTION("""COMPUTED_VALUE"""),43257.1758335069)</f>
        <v>43257.175833506903</v>
      </c>
      <c r="B789" t="str">
        <f ca="1">IFERROR(__xludf.DUMMYFUNCTION("""COMPUTED_VALUE"""),"vishnuv0095@gmail.com")</f>
        <v>vishnuv0095@gmail.com</v>
      </c>
      <c r="C789">
        <f ca="1">IFERROR(__xludf.DUMMYFUNCTION("""COMPUTED_VALUE"""),726)</f>
        <v>726</v>
      </c>
      <c r="D789" t="str">
        <f ca="1">IFERROR(__xludf.DUMMYFUNCTION("""COMPUTED_VALUE"""),"R s nirupama sagar")</f>
        <v>R s nirupama sagar</v>
      </c>
      <c r="E789">
        <f ca="1">IFERROR(__xludf.DUMMYFUNCTION("""COMPUTED_VALUE"""),8606824001)</f>
        <v>8606824001</v>
      </c>
      <c r="F789" t="str">
        <f ca="1">IFERROR(__xludf.DUMMYFUNCTION("""COMPUTED_VALUE"""),"Alappuzha")</f>
        <v>Alappuzha</v>
      </c>
      <c r="G789" t="str">
        <f ca="1">IFERROR(__xludf.DUMMYFUNCTION("""COMPUTED_VALUE"""),"TATA POWER SOLAR SYSTEMS LTD")</f>
        <v>TATA POWER SOLAR SYSTEMS LTD</v>
      </c>
      <c r="H789">
        <f ca="1">IFERROR(__xludf.DUMMYFUNCTION("""COMPUTED_VALUE"""),20)</f>
        <v>20</v>
      </c>
      <c r="I789" s="4">
        <f ca="1">IFERROR(__xludf.DUMMYFUNCTION("""COMPUTED_VALUE"""),43187)</f>
        <v>43187</v>
      </c>
      <c r="J789">
        <f ca="1">IFERROR(__xludf.DUMMYFUNCTION("""COMPUTED_VALUE"""),5)</f>
        <v>5</v>
      </c>
      <c r="K789">
        <f ca="1">IFERROR(__xludf.DUMMYFUNCTION("""COMPUTED_VALUE"""),1155228014706)</f>
        <v>1155228014706</v>
      </c>
      <c r="L789" t="str">
        <f ca="1">IFERROR(__xludf.DUMMYFUNCTION("""COMPUTED_VALUE"""),"Mavelikkara")</f>
        <v>Mavelikkara</v>
      </c>
      <c r="M789" t="str">
        <f ca="1">IFERROR(__xludf.DUMMYFUNCTION("""COMPUTED_VALUE"""),"I Accept")</f>
        <v>I Accept</v>
      </c>
      <c r="N789" s="4">
        <f ca="1">IFERROR(__xludf.DUMMYFUNCTION("""COMPUTED_VALUE"""),43184)</f>
        <v>43184</v>
      </c>
      <c r="O789" s="4">
        <f ca="1">IFERROR(__xludf.DUMMYFUNCTION("""COMPUTED_VALUE"""),43184)</f>
        <v>43184</v>
      </c>
      <c r="P789">
        <f ca="1">IFERROR(__xludf.DUMMYFUNCTION("""COMPUTED_VALUE"""),5)</f>
        <v>5</v>
      </c>
      <c r="Q789" t="str">
        <f ca="1">IFERROR(__xludf.DUMMYFUNCTION("""COMPUTED_VALUE"""),"vishnuv0095@gmail.com")</f>
        <v>vishnuv0095@gmail.com</v>
      </c>
      <c r="R789" s="2" t="s">
        <v>3203</v>
      </c>
    </row>
    <row r="790" spans="1:18" ht="13" x14ac:dyDescent="0.15">
      <c r="A790" s="3">
        <f ca="1">IFERROR(__xludf.DUMMYFUNCTION("""COMPUTED_VALUE"""),43257.4272679861)</f>
        <v>43257.427267986102</v>
      </c>
      <c r="B790" t="str">
        <f ca="1">IFERROR(__xludf.DUMMYFUNCTION("""COMPUTED_VALUE"""),"jojijohnt@gmail.com")</f>
        <v>jojijohnt@gmail.com</v>
      </c>
      <c r="C790">
        <f ca="1">IFERROR(__xludf.DUMMYFUNCTION("""COMPUTED_VALUE"""),871)</f>
        <v>871</v>
      </c>
      <c r="D790" t="str">
        <f ca="1">IFERROR(__xludf.DUMMYFUNCTION("""COMPUTED_VALUE"""),"T K KURUVILLA")</f>
        <v>T K KURUVILLA</v>
      </c>
      <c r="E790">
        <f ca="1">IFERROR(__xludf.DUMMYFUNCTION("""COMPUTED_VALUE"""),9447014721)</f>
        <v>9447014721</v>
      </c>
      <c r="F790" t="str">
        <f ca="1">IFERROR(__xludf.DUMMYFUNCTION("""COMPUTED_VALUE"""),"Pathanamthitta")</f>
        <v>Pathanamthitta</v>
      </c>
      <c r="G790" t="str">
        <f ca="1">IFERROR(__xludf.DUMMYFUNCTION("""COMPUTED_VALUE"""),"SIRET SOLAR PVT LTD")</f>
        <v>SIRET SOLAR PVT LTD</v>
      </c>
      <c r="H790">
        <f ca="1">IFERROR(__xludf.DUMMYFUNCTION("""COMPUTED_VALUE"""),21)</f>
        <v>21</v>
      </c>
      <c r="I790" s="4">
        <f ca="1">IFERROR(__xludf.DUMMYFUNCTION("""COMPUTED_VALUE"""),43210)</f>
        <v>43210</v>
      </c>
      <c r="J790">
        <f ca="1">IFERROR(__xludf.DUMMYFUNCTION("""COMPUTED_VALUE"""),2)</f>
        <v>2</v>
      </c>
      <c r="K790">
        <f ca="1">IFERROR(__xludf.DUMMYFUNCTION("""COMPUTED_VALUE"""),1146220006084)</f>
        <v>1146220006084</v>
      </c>
      <c r="L790" t="str">
        <f ca="1">IFERROR(__xludf.DUMMYFUNCTION("""COMPUTED_VALUE"""),"VENNIKULAM")</f>
        <v>VENNIKULAM</v>
      </c>
      <c r="M790" t="str">
        <f ca="1">IFERROR(__xludf.DUMMYFUNCTION("""COMPUTED_VALUE"""),"I Accept")</f>
        <v>I Accept</v>
      </c>
      <c r="N790" s="4">
        <f ca="1">IFERROR(__xludf.DUMMYFUNCTION("""COMPUTED_VALUE"""),43189)</f>
        <v>43189</v>
      </c>
      <c r="O790" s="4">
        <f ca="1">IFERROR(__xludf.DUMMYFUNCTION("""COMPUTED_VALUE"""),43189)</f>
        <v>43189</v>
      </c>
      <c r="P790">
        <f ca="1">IFERROR(__xludf.DUMMYFUNCTION("""COMPUTED_VALUE"""),2)</f>
        <v>2</v>
      </c>
      <c r="Q790" t="str">
        <f ca="1">IFERROR(__xludf.DUMMYFUNCTION("""COMPUTED_VALUE"""),"jojijohnt@gmail.com")</f>
        <v>jojijohnt@gmail.com</v>
      </c>
      <c r="R790" s="2" t="s">
        <v>3204</v>
      </c>
    </row>
    <row r="791" spans="1:18" ht="13" x14ac:dyDescent="0.15">
      <c r="A791" s="3">
        <f ca="1">IFERROR(__xludf.DUMMYFUNCTION("""COMPUTED_VALUE"""),43257.5054540856)</f>
        <v>43257.5054540856</v>
      </c>
      <c r="B791" t="str">
        <f ca="1">IFERROR(__xludf.DUMMYFUNCTION("""COMPUTED_VALUE"""),"connectdsk@gmail.com")</f>
        <v>connectdsk@gmail.com</v>
      </c>
      <c r="C791">
        <f ca="1">IFERROR(__xludf.DUMMYFUNCTION("""COMPUTED_VALUE"""),1132)</f>
        <v>1132</v>
      </c>
      <c r="D791" t="str">
        <f ca="1">IFERROR(__xludf.DUMMYFUNCTION("""COMPUTED_VALUE"""),"K GEORGE MATHEW")</f>
        <v>K GEORGE MATHEW</v>
      </c>
      <c r="E791">
        <f ca="1">IFERROR(__xludf.DUMMYFUNCTION("""COMPUTED_VALUE"""),8547564126)</f>
        <v>8547564126</v>
      </c>
      <c r="F791" t="str">
        <f ca="1">IFERROR(__xludf.DUMMYFUNCTION("""COMPUTED_VALUE"""),"Thiruvananthapuram")</f>
        <v>Thiruvananthapuram</v>
      </c>
      <c r="G791" t="str">
        <f ca="1">IFERROR(__xludf.DUMMYFUNCTION("""COMPUTED_VALUE"""),"FERT")</f>
        <v>FERT</v>
      </c>
      <c r="H791">
        <f ca="1">IFERROR(__xludf.DUMMYFUNCTION("""COMPUTED_VALUE"""),27)</f>
        <v>27</v>
      </c>
      <c r="I791" s="4">
        <f ca="1">IFERROR(__xludf.DUMMYFUNCTION("""COMPUTED_VALUE"""),43252)</f>
        <v>43252</v>
      </c>
      <c r="J791">
        <f ca="1">IFERROR(__xludf.DUMMYFUNCTION("""COMPUTED_VALUE"""),3)</f>
        <v>3</v>
      </c>
      <c r="K791">
        <f ca="1">IFERROR(__xludf.DUMMYFUNCTION("""COMPUTED_VALUE"""),1145161007014)</f>
        <v>1145161007014</v>
      </c>
      <c r="L791" t="str">
        <f ca="1">IFERROR(__xludf.DUMMYFUNCTION("""COMPUTED_VALUE"""),"KESAVADASAPURAM")</f>
        <v>KESAVADASAPURAM</v>
      </c>
      <c r="M791" t="str">
        <f ca="1">IFERROR(__xludf.DUMMYFUNCTION("""COMPUTED_VALUE"""),"I Accept")</f>
        <v>I Accept</v>
      </c>
      <c r="N791" s="4">
        <f ca="1">IFERROR(__xludf.DUMMYFUNCTION("""COMPUTED_VALUE"""),43252)</f>
        <v>43252</v>
      </c>
      <c r="O791" s="4">
        <f ca="1">IFERROR(__xludf.DUMMYFUNCTION("""COMPUTED_VALUE"""),43252)</f>
        <v>43252</v>
      </c>
      <c r="P791">
        <f ca="1">IFERROR(__xludf.DUMMYFUNCTION("""COMPUTED_VALUE"""),3)</f>
        <v>3</v>
      </c>
      <c r="Q791" t="str">
        <f ca="1">IFERROR(__xludf.DUMMYFUNCTION("""COMPUTED_VALUE"""),"connectdsk@gmail.com")</f>
        <v>connectdsk@gmail.com</v>
      </c>
      <c r="R791" s="2" t="s">
        <v>3205</v>
      </c>
    </row>
    <row r="792" spans="1:18" ht="13" x14ac:dyDescent="0.15">
      <c r="A792" s="3">
        <f ca="1">IFERROR(__xludf.DUMMYFUNCTION("""COMPUTED_VALUE"""),43257.5274035995)</f>
        <v>43257.527403599503</v>
      </c>
      <c r="B792" t="str">
        <f ca="1">IFERROR(__xludf.DUMMYFUNCTION("""COMPUTED_VALUE"""),"projects.basta@gmail.com")</f>
        <v>projects.basta@gmail.com</v>
      </c>
      <c r="C792">
        <f ca="1">IFERROR(__xludf.DUMMYFUNCTION("""COMPUTED_VALUE"""),1050)</f>
        <v>1050</v>
      </c>
      <c r="D792" t="str">
        <f ca="1">IFERROR(__xludf.DUMMYFUNCTION("""COMPUTED_VALUE"""),"AYSHA PP")</f>
        <v>AYSHA PP</v>
      </c>
      <c r="E792">
        <f ca="1">IFERROR(__xludf.DUMMYFUNCTION("""COMPUTED_VALUE"""),9061327111)</f>
        <v>9061327111</v>
      </c>
      <c r="F792" t="str">
        <f ca="1">IFERROR(__xludf.DUMMYFUNCTION("""COMPUTED_VALUE"""),"Kannur")</f>
        <v>Kannur</v>
      </c>
      <c r="G792" t="str">
        <f ca="1">IFERROR(__xludf.DUMMYFUNCTION("""COMPUTED_VALUE"""),"Bosch Ltd")</f>
        <v>Bosch Ltd</v>
      </c>
      <c r="H792">
        <f ca="1">IFERROR(__xludf.DUMMYFUNCTION("""COMPUTED_VALUE"""),18)</f>
        <v>18</v>
      </c>
      <c r="I792" s="4">
        <f ca="1">IFERROR(__xludf.DUMMYFUNCTION("""COMPUTED_VALUE"""),43257)</f>
        <v>43257</v>
      </c>
      <c r="J792">
        <f ca="1">IFERROR(__xludf.DUMMYFUNCTION("""COMPUTED_VALUE"""),3)</f>
        <v>3</v>
      </c>
      <c r="K792">
        <f ca="1">IFERROR(__xludf.DUMMYFUNCTION("""COMPUTED_VALUE"""),1166805007263)</f>
        <v>1166805007263</v>
      </c>
      <c r="L792" t="str">
        <f ca="1">IFERROR(__xludf.DUMMYFUNCTION("""COMPUTED_VALUE"""),"KOOTHUPARAMBA")</f>
        <v>KOOTHUPARAMBA</v>
      </c>
      <c r="M792" t="str">
        <f ca="1">IFERROR(__xludf.DUMMYFUNCTION("""COMPUTED_VALUE"""),"I Accept")</f>
        <v>I Accept</v>
      </c>
      <c r="N792" s="4">
        <f ca="1">IFERROR(__xludf.DUMMYFUNCTION("""COMPUTED_VALUE"""),43213)</f>
        <v>43213</v>
      </c>
      <c r="O792" s="4">
        <f ca="1">IFERROR(__xludf.DUMMYFUNCTION("""COMPUTED_VALUE"""),43213)</f>
        <v>43213</v>
      </c>
      <c r="P792">
        <f ca="1">IFERROR(__xludf.DUMMYFUNCTION("""COMPUTED_VALUE"""),3)</f>
        <v>3</v>
      </c>
      <c r="Q792" t="str">
        <f ca="1">IFERROR(__xludf.DUMMYFUNCTION("""COMPUTED_VALUE"""),"projects.basta@gmail.com")</f>
        <v>projects.basta@gmail.com</v>
      </c>
      <c r="R792" s="2" t="s">
        <v>3206</v>
      </c>
    </row>
    <row r="793" spans="1:18" ht="13" x14ac:dyDescent="0.15">
      <c r="A793" s="3">
        <f ca="1">IFERROR(__xludf.DUMMYFUNCTION("""COMPUTED_VALUE"""),43257.5275654745)</f>
        <v>43257.527565474498</v>
      </c>
      <c r="B793" t="str">
        <f ca="1">IFERROR(__xludf.DUMMYFUNCTION("""COMPUTED_VALUE"""),"projects.basta@gmail.com")</f>
        <v>projects.basta@gmail.com</v>
      </c>
      <c r="C793">
        <f ca="1">IFERROR(__xludf.DUMMYFUNCTION("""COMPUTED_VALUE"""),1050)</f>
        <v>1050</v>
      </c>
      <c r="D793" t="str">
        <f ca="1">IFERROR(__xludf.DUMMYFUNCTION("""COMPUTED_VALUE"""),"AYSHA PP")</f>
        <v>AYSHA PP</v>
      </c>
      <c r="E793">
        <f ca="1">IFERROR(__xludf.DUMMYFUNCTION("""COMPUTED_VALUE"""),9061327111)</f>
        <v>9061327111</v>
      </c>
      <c r="F793" t="str">
        <f ca="1">IFERROR(__xludf.DUMMYFUNCTION("""COMPUTED_VALUE"""),"Kannur")</f>
        <v>Kannur</v>
      </c>
      <c r="G793" t="str">
        <f ca="1">IFERROR(__xludf.DUMMYFUNCTION("""COMPUTED_VALUE"""),"Bosch Ltd")</f>
        <v>Bosch Ltd</v>
      </c>
      <c r="H793">
        <f ca="1">IFERROR(__xludf.DUMMYFUNCTION("""COMPUTED_VALUE"""),18)</f>
        <v>18</v>
      </c>
      <c r="I793" s="4">
        <f ca="1">IFERROR(__xludf.DUMMYFUNCTION("""COMPUTED_VALUE"""),43257)</f>
        <v>43257</v>
      </c>
      <c r="J793">
        <f ca="1">IFERROR(__xludf.DUMMYFUNCTION("""COMPUTED_VALUE"""),3)</f>
        <v>3</v>
      </c>
      <c r="K793">
        <f ca="1">IFERROR(__xludf.DUMMYFUNCTION("""COMPUTED_VALUE"""),1166805007263)</f>
        <v>1166805007263</v>
      </c>
      <c r="L793" t="str">
        <f ca="1">IFERROR(__xludf.DUMMYFUNCTION("""COMPUTED_VALUE"""),"KOOTHUPARAMBA")</f>
        <v>KOOTHUPARAMBA</v>
      </c>
      <c r="M793" t="str">
        <f ca="1">IFERROR(__xludf.DUMMYFUNCTION("""COMPUTED_VALUE"""),"I Accept")</f>
        <v>I Accept</v>
      </c>
      <c r="N793" s="4">
        <f ca="1">IFERROR(__xludf.DUMMYFUNCTION("""COMPUTED_VALUE"""),43213)</f>
        <v>43213</v>
      </c>
      <c r="O793" s="4">
        <f ca="1">IFERROR(__xludf.DUMMYFUNCTION("""COMPUTED_VALUE"""),43213)</f>
        <v>43213</v>
      </c>
      <c r="P793">
        <f ca="1">IFERROR(__xludf.DUMMYFUNCTION("""COMPUTED_VALUE"""),3)</f>
        <v>3</v>
      </c>
      <c r="Q793" t="str">
        <f ca="1">IFERROR(__xludf.DUMMYFUNCTION("""COMPUTED_VALUE"""),"projects.basta@gmail.com")</f>
        <v>projects.basta@gmail.com</v>
      </c>
      <c r="R793" s="2" t="s">
        <v>3207</v>
      </c>
    </row>
    <row r="794" spans="1:18" ht="13" x14ac:dyDescent="0.15">
      <c r="A794" s="3">
        <f ca="1">IFERROR(__xludf.DUMMYFUNCTION("""COMPUTED_VALUE"""),43257.5997039467)</f>
        <v>43257.599703946697</v>
      </c>
      <c r="B794" t="str">
        <f ca="1">IFERROR(__xludf.DUMMYFUNCTION("""COMPUTED_VALUE"""),"smitha.soura@gmail.com")</f>
        <v>smitha.soura@gmail.com</v>
      </c>
      <c r="C794">
        <f ca="1">IFERROR(__xludf.DUMMYFUNCTION("""COMPUTED_VALUE"""),335)</f>
        <v>335</v>
      </c>
      <c r="D794" t="str">
        <f ca="1">IFERROR(__xludf.DUMMYFUNCTION("""COMPUTED_VALUE"""),"Mohammed PH")</f>
        <v>Mohammed PH</v>
      </c>
      <c r="E794">
        <f ca="1">IFERROR(__xludf.DUMMYFUNCTION("""COMPUTED_VALUE"""),9072626009)</f>
        <v>9072626009</v>
      </c>
      <c r="F794" t="str">
        <f ca="1">IFERROR(__xludf.DUMMYFUNCTION("""COMPUTED_VALUE"""),"Ernakulam")</f>
        <v>Ernakulam</v>
      </c>
      <c r="G794" t="str">
        <f ca="1">IFERROR(__xludf.DUMMYFUNCTION("""COMPUTED_VALUE"""),"Soura Natural Energy solutions india Pvt ltd")</f>
        <v>Soura Natural Energy solutions india Pvt ltd</v>
      </c>
      <c r="H794">
        <f ca="1">IFERROR(__xludf.DUMMYFUNCTION("""COMPUTED_VALUE"""),11)</f>
        <v>11</v>
      </c>
      <c r="I794" s="4">
        <f ca="1">IFERROR(__xludf.DUMMYFUNCTION("""COMPUTED_VALUE"""),43257)</f>
        <v>43257</v>
      </c>
      <c r="J794">
        <f ca="1">IFERROR(__xludf.DUMMYFUNCTION("""COMPUTED_VALUE"""),10)</f>
        <v>10</v>
      </c>
      <c r="K794">
        <f ca="1">IFERROR(__xludf.DUMMYFUNCTION("""COMPUTED_VALUE"""),1155846019859)</f>
        <v>1155846019859</v>
      </c>
      <c r="L794" t="str">
        <f ca="1">IFERROR(__xludf.DUMMYFUNCTION("""COMPUTED_VALUE"""),"vazhakulam")</f>
        <v>vazhakulam</v>
      </c>
      <c r="M794" t="str">
        <f ca="1">IFERROR(__xludf.DUMMYFUNCTION("""COMPUTED_VALUE"""),"I Accept")</f>
        <v>I Accept</v>
      </c>
      <c r="N794" s="4">
        <f ca="1">IFERROR(__xludf.DUMMYFUNCTION("""COMPUTED_VALUE"""),43246)</f>
        <v>43246</v>
      </c>
      <c r="O794" s="4">
        <f ca="1">IFERROR(__xludf.DUMMYFUNCTION("""COMPUTED_VALUE"""),43246)</f>
        <v>43246</v>
      </c>
      <c r="P794">
        <f ca="1">IFERROR(__xludf.DUMMYFUNCTION("""COMPUTED_VALUE"""),10)</f>
        <v>10</v>
      </c>
      <c r="Q794" t="str">
        <f ca="1">IFERROR(__xludf.DUMMYFUNCTION("""COMPUTED_VALUE"""),"smitha.soura@gmail.com")</f>
        <v>smitha.soura@gmail.com</v>
      </c>
      <c r="R794" s="2" t="s">
        <v>3208</v>
      </c>
    </row>
    <row r="795" spans="1:18" ht="13" x14ac:dyDescent="0.15">
      <c r="A795" s="3">
        <f ca="1">IFERROR(__xludf.DUMMYFUNCTION("""COMPUTED_VALUE"""),43257.6065558101)</f>
        <v>43257.606555810104</v>
      </c>
      <c r="B795" t="str">
        <f ca="1">IFERROR(__xludf.DUMMYFUNCTION("""COMPUTED_VALUE"""),"tejassolar19@gmail.com")</f>
        <v>tejassolar19@gmail.com</v>
      </c>
      <c r="C795">
        <f ca="1">IFERROR(__xludf.DUMMYFUNCTION("""COMPUTED_VALUE"""),1203)</f>
        <v>1203</v>
      </c>
      <c r="D795" t="str">
        <f ca="1">IFERROR(__xludf.DUMMYFUNCTION("""COMPUTED_VALUE"""),"Selvaraj")</f>
        <v>Selvaraj</v>
      </c>
      <c r="E795">
        <f ca="1">IFERROR(__xludf.DUMMYFUNCTION("""COMPUTED_VALUE"""),9539470860)</f>
        <v>9539470860</v>
      </c>
      <c r="F795" t="str">
        <f ca="1">IFERROR(__xludf.DUMMYFUNCTION("""COMPUTED_VALUE"""),"Ernakulam")</f>
        <v>Ernakulam</v>
      </c>
      <c r="G795" t="str">
        <f ca="1">IFERROR(__xludf.DUMMYFUNCTION("""COMPUTED_VALUE"""),"Soura Natural Energy solutions india pvt ltd")</f>
        <v>Soura Natural Energy solutions india pvt ltd</v>
      </c>
      <c r="H795">
        <f ca="1">IFERROR(__xludf.DUMMYFUNCTION("""COMPUTED_VALUE"""),11)</f>
        <v>11</v>
      </c>
      <c r="I795" s="4">
        <f ca="1">IFERROR(__xludf.DUMMYFUNCTION("""COMPUTED_VALUE"""),43257)</f>
        <v>43257</v>
      </c>
      <c r="J795">
        <f ca="1">IFERROR(__xludf.DUMMYFUNCTION("""COMPUTED_VALUE"""),3)</f>
        <v>3</v>
      </c>
      <c r="K795">
        <f ca="1">IFERROR(__xludf.DUMMYFUNCTION("""COMPUTED_VALUE"""),1156086000912)</f>
        <v>1156086000912</v>
      </c>
      <c r="L795" t="str">
        <f ca="1">IFERROR(__xludf.DUMMYFUNCTION("""COMPUTED_VALUE"""),"moothakunnam")</f>
        <v>moothakunnam</v>
      </c>
      <c r="M795" t="str">
        <f ca="1">IFERROR(__xludf.DUMMYFUNCTION("""COMPUTED_VALUE"""),"I Accept")</f>
        <v>I Accept</v>
      </c>
      <c r="N795" s="4">
        <f ca="1">IFERROR(__xludf.DUMMYFUNCTION("""COMPUTED_VALUE"""),43257)</f>
        <v>43257</v>
      </c>
      <c r="O795" s="4">
        <f ca="1">IFERROR(__xludf.DUMMYFUNCTION("""COMPUTED_VALUE"""),43257)</f>
        <v>43257</v>
      </c>
      <c r="P795">
        <f ca="1">IFERROR(__xludf.DUMMYFUNCTION("""COMPUTED_VALUE"""),3)</f>
        <v>3</v>
      </c>
      <c r="Q795" t="str">
        <f ca="1">IFERROR(__xludf.DUMMYFUNCTION("""COMPUTED_VALUE"""),"smitha.soura@gmail.com")</f>
        <v>smitha.soura@gmail.com</v>
      </c>
      <c r="R795" s="2" t="s">
        <v>3209</v>
      </c>
    </row>
    <row r="796" spans="1:18" ht="13" x14ac:dyDescent="0.15">
      <c r="A796" s="3">
        <f ca="1">IFERROR(__xludf.DUMMYFUNCTION("""COMPUTED_VALUE"""),43257.6146257754)</f>
        <v>43257.614625775401</v>
      </c>
      <c r="B796" t="str">
        <f ca="1">IFERROR(__xludf.DUMMYFUNCTION("""COMPUTED_VALUE"""),"sales.kodco@gmail.com")</f>
        <v>sales.kodco@gmail.com</v>
      </c>
      <c r="C796">
        <f ca="1">IFERROR(__xludf.DUMMYFUNCTION("""COMPUTED_VALUE"""),555)</f>
        <v>555</v>
      </c>
      <c r="D796" t="str">
        <f ca="1">IFERROR(__xludf.DUMMYFUNCTION("""COMPUTED_VALUE"""),"Dr.Indira K.S")</f>
        <v>Dr.Indira K.S</v>
      </c>
      <c r="E796">
        <f ca="1">IFERROR(__xludf.DUMMYFUNCTION("""COMPUTED_VALUE"""),9497714979)</f>
        <v>9497714979</v>
      </c>
      <c r="F796" t="str">
        <f ca="1">IFERROR(__xludf.DUMMYFUNCTION("""COMPUTED_VALUE"""),"Kozhikode")</f>
        <v>Kozhikode</v>
      </c>
      <c r="G796" t="str">
        <f ca="1">IFERROR(__xludf.DUMMYFUNCTION("""COMPUTED_VALUE"""),"TATA POWER SOLAR SYSTEM LTD")</f>
        <v>TATA POWER SOLAR SYSTEM LTD</v>
      </c>
      <c r="H796">
        <f ca="1">IFERROR(__xludf.DUMMYFUNCTION("""COMPUTED_VALUE"""),20)</f>
        <v>20</v>
      </c>
      <c r="I796" s="4">
        <f ca="1">IFERROR(__xludf.DUMMYFUNCTION("""COMPUTED_VALUE"""),43238)</f>
        <v>43238</v>
      </c>
      <c r="J796">
        <f ca="1">IFERROR(__xludf.DUMMYFUNCTION("""COMPUTED_VALUE"""),3)</f>
        <v>3</v>
      </c>
      <c r="K796">
        <f ca="1">IFERROR(__xludf.DUMMYFUNCTION("""COMPUTED_VALUE"""),10809)</f>
        <v>10809</v>
      </c>
      <c r="L796" t="str">
        <f ca="1">IFERROR(__xludf.DUMMYFUNCTION("""COMPUTED_VALUE"""),"7424")</f>
        <v>7424</v>
      </c>
      <c r="M796" t="str">
        <f ca="1">IFERROR(__xludf.DUMMYFUNCTION("""COMPUTED_VALUE"""),"I Accept")</f>
        <v>I Accept</v>
      </c>
      <c r="N796" s="4">
        <f ca="1">IFERROR(__xludf.DUMMYFUNCTION("""COMPUTED_VALUE"""),43162)</f>
        <v>43162</v>
      </c>
      <c r="O796" s="4">
        <f ca="1">IFERROR(__xludf.DUMMYFUNCTION("""COMPUTED_VALUE"""),43162)</f>
        <v>43162</v>
      </c>
      <c r="P796">
        <f ca="1">IFERROR(__xludf.DUMMYFUNCTION("""COMPUTED_VALUE"""),3)</f>
        <v>3</v>
      </c>
      <c r="Q796" t="str">
        <f ca="1">IFERROR(__xludf.DUMMYFUNCTION("""COMPUTED_VALUE"""),"sales.kodco@gmail.com")</f>
        <v>sales.kodco@gmail.com</v>
      </c>
      <c r="R796" s="2" t="s">
        <v>3210</v>
      </c>
    </row>
    <row r="797" spans="1:18" ht="13" x14ac:dyDescent="0.15">
      <c r="A797" s="3">
        <f ca="1">IFERROR(__xludf.DUMMYFUNCTION("""COMPUTED_VALUE"""),43257.6316050115)</f>
        <v>43257.631605011498</v>
      </c>
      <c r="B797" t="str">
        <f ca="1">IFERROR(__xludf.DUMMYFUNCTION("""COMPUTED_VALUE"""),"ksd@termtpskerala.com")</f>
        <v>ksd@termtpskerala.com</v>
      </c>
      <c r="C797">
        <f ca="1">IFERROR(__xludf.DUMMYFUNCTION("""COMPUTED_VALUE"""),489)</f>
        <v>489</v>
      </c>
      <c r="D797" t="str">
        <f ca="1">IFERROR(__xludf.DUMMYFUNCTION("""COMPUTED_VALUE"""),"Hasif Pukkunnumel")</f>
        <v>Hasif Pukkunnumel</v>
      </c>
      <c r="E797">
        <f ca="1">IFERROR(__xludf.DUMMYFUNCTION("""COMPUTED_VALUE"""),9497075305)</f>
        <v>9497075305</v>
      </c>
      <c r="F797" t="str">
        <f ca="1">IFERROR(__xludf.DUMMYFUNCTION("""COMPUTED_VALUE"""),"Kozhikode")</f>
        <v>Kozhikode</v>
      </c>
      <c r="G797" t="str">
        <f ca="1">IFERROR(__xludf.DUMMYFUNCTION("""COMPUTED_VALUE"""),"TATA POWER SOLAR SYSTEMS LTD")</f>
        <v>TATA POWER SOLAR SYSTEMS LTD</v>
      </c>
      <c r="H797">
        <f ca="1">IFERROR(__xludf.DUMMYFUNCTION("""COMPUTED_VALUE"""),20)</f>
        <v>20</v>
      </c>
      <c r="I797" s="4">
        <f ca="1">IFERROR(__xludf.DUMMYFUNCTION("""COMPUTED_VALUE"""),43230)</f>
        <v>43230</v>
      </c>
      <c r="J797">
        <f ca="1">IFERROR(__xludf.DUMMYFUNCTION("""COMPUTED_VALUE"""),3)</f>
        <v>3</v>
      </c>
      <c r="K797">
        <f ca="1">IFERROR(__xludf.DUMMYFUNCTION("""COMPUTED_VALUE"""),1167648006879)</f>
        <v>1167648006879</v>
      </c>
      <c r="L797" t="str">
        <f ca="1">IFERROR(__xludf.DUMMYFUNCTION("""COMPUTED_VALUE"""),"6764")</f>
        <v>6764</v>
      </c>
      <c r="M797" t="str">
        <f ca="1">IFERROR(__xludf.DUMMYFUNCTION("""COMPUTED_VALUE"""),"I Accept")</f>
        <v>I Accept</v>
      </c>
      <c r="N797" s="4">
        <f ca="1">IFERROR(__xludf.DUMMYFUNCTION("""COMPUTED_VALUE"""),43181)</f>
        <v>43181</v>
      </c>
      <c r="O797" s="4">
        <f ca="1">IFERROR(__xludf.DUMMYFUNCTION("""COMPUTED_VALUE"""),43181)</f>
        <v>43181</v>
      </c>
      <c r="P797">
        <f ca="1">IFERROR(__xludf.DUMMYFUNCTION("""COMPUTED_VALUE"""),3)</f>
        <v>3</v>
      </c>
      <c r="Q797" t="str">
        <f ca="1">IFERROR(__xludf.DUMMYFUNCTION("""COMPUTED_VALUE"""),"ksd@termtpskerala.com")</f>
        <v>ksd@termtpskerala.com</v>
      </c>
      <c r="R797" s="2" t="s">
        <v>3211</v>
      </c>
    </row>
    <row r="798" spans="1:18" ht="13" x14ac:dyDescent="0.15">
      <c r="A798" s="3">
        <f ca="1">IFERROR(__xludf.DUMMYFUNCTION("""COMPUTED_VALUE"""),43257.6346587731)</f>
        <v>43257.634658773102</v>
      </c>
      <c r="B798" t="str">
        <f ca="1">IFERROR(__xludf.DUMMYFUNCTION("""COMPUTED_VALUE"""),"connectdsk@gmail.com")</f>
        <v>connectdsk@gmail.com</v>
      </c>
      <c r="C798">
        <f ca="1">IFERROR(__xludf.DUMMYFUNCTION("""COMPUTED_VALUE"""),1131)</f>
        <v>1131</v>
      </c>
      <c r="D798" t="str">
        <f ca="1">IFERROR(__xludf.DUMMYFUNCTION("""COMPUTED_VALUE"""),"C D SIVANANDAN")</f>
        <v>C D SIVANANDAN</v>
      </c>
      <c r="E798">
        <f ca="1">IFERROR(__xludf.DUMMYFUNCTION("""COMPUTED_VALUE"""),8547564126)</f>
        <v>8547564126</v>
      </c>
      <c r="F798" t="str">
        <f ca="1">IFERROR(__xludf.DUMMYFUNCTION("""COMPUTED_VALUE"""),"Thiruvananthapuram")</f>
        <v>Thiruvananthapuram</v>
      </c>
      <c r="G798" t="str">
        <f ca="1">IFERROR(__xludf.DUMMYFUNCTION("""COMPUTED_VALUE"""),"FERT")</f>
        <v>FERT</v>
      </c>
      <c r="H798">
        <f ca="1">IFERROR(__xludf.DUMMYFUNCTION("""COMPUTED_VALUE"""),27)</f>
        <v>27</v>
      </c>
      <c r="I798" s="4">
        <f ca="1">IFERROR(__xludf.DUMMYFUNCTION("""COMPUTED_VALUE"""),43256)</f>
        <v>43256</v>
      </c>
      <c r="J798">
        <f ca="1">IFERROR(__xludf.DUMMYFUNCTION("""COMPUTED_VALUE"""),3)</f>
        <v>3</v>
      </c>
      <c r="K798">
        <f ca="1">IFERROR(__xludf.DUMMYFUNCTION("""COMPUTED_VALUE"""),1145190027453)</f>
        <v>1145190027453</v>
      </c>
      <c r="L798" t="str">
        <f ca="1">IFERROR(__xludf.DUMMYFUNCTION("""COMPUTED_VALUE"""),"SREEKARIYAM")</f>
        <v>SREEKARIYAM</v>
      </c>
      <c r="M798" t="str">
        <f ca="1">IFERROR(__xludf.DUMMYFUNCTION("""COMPUTED_VALUE"""),"I Accept")</f>
        <v>I Accept</v>
      </c>
      <c r="N798" s="4">
        <f ca="1">IFERROR(__xludf.DUMMYFUNCTION("""COMPUTED_VALUE"""),43256)</f>
        <v>43256</v>
      </c>
      <c r="O798" s="4">
        <f ca="1">IFERROR(__xludf.DUMMYFUNCTION("""COMPUTED_VALUE"""),43256)</f>
        <v>43256</v>
      </c>
      <c r="P798">
        <f ca="1">IFERROR(__xludf.DUMMYFUNCTION("""COMPUTED_VALUE"""),3)</f>
        <v>3</v>
      </c>
      <c r="Q798" t="str">
        <f ca="1">IFERROR(__xludf.DUMMYFUNCTION("""COMPUTED_VALUE"""),"connectdsk@gmail.com")</f>
        <v>connectdsk@gmail.com</v>
      </c>
      <c r="R798" s="2" t="s">
        <v>3212</v>
      </c>
    </row>
    <row r="799" spans="1:18" ht="13" x14ac:dyDescent="0.15">
      <c r="A799" s="3">
        <f ca="1">IFERROR(__xludf.DUMMYFUNCTION("""COMPUTED_VALUE"""),43257.6352673495)</f>
        <v>43257.635267349498</v>
      </c>
      <c r="B799" t="str">
        <f ca="1">IFERROR(__xludf.DUMMYFUNCTION("""COMPUTED_VALUE"""),"totkraju@gmail.com")</f>
        <v>totkraju@gmail.com</v>
      </c>
      <c r="C799">
        <f ca="1">IFERROR(__xludf.DUMMYFUNCTION("""COMPUTED_VALUE"""),598)</f>
        <v>598</v>
      </c>
      <c r="D799" t="str">
        <f ca="1">IFERROR(__xludf.DUMMYFUNCTION("""COMPUTED_VALUE"""),"Santhosh.K.S")</f>
        <v>Santhosh.K.S</v>
      </c>
      <c r="E799">
        <f ca="1">IFERROR(__xludf.DUMMYFUNCTION("""COMPUTED_VALUE"""),8547211000)</f>
        <v>8547211000</v>
      </c>
      <c r="F799" t="str">
        <f ca="1">IFERROR(__xludf.DUMMYFUNCTION("""COMPUTED_VALUE"""),"Ernakulam")</f>
        <v>Ernakulam</v>
      </c>
      <c r="G799" t="str">
        <f ca="1">IFERROR(__xludf.DUMMYFUNCTION("""COMPUTED_VALUE"""),"Radiant Solar Pvt Ltd")</f>
        <v>Radiant Solar Pvt Ltd</v>
      </c>
      <c r="H799">
        <f ca="1">IFERROR(__xludf.DUMMYFUNCTION("""COMPUTED_VALUE"""),6)</f>
        <v>6</v>
      </c>
      <c r="I799" s="4">
        <f ca="1">IFERROR(__xludf.DUMMYFUNCTION("""COMPUTED_VALUE"""),43250)</f>
        <v>43250</v>
      </c>
      <c r="J799">
        <f ca="1">IFERROR(__xludf.DUMMYFUNCTION("""COMPUTED_VALUE"""),5)</f>
        <v>5</v>
      </c>
      <c r="K799">
        <f ca="1">IFERROR(__xludf.DUMMYFUNCTION("""COMPUTED_VALUE"""),1155658024954)</f>
        <v>1155658024954</v>
      </c>
      <c r="L799" t="str">
        <f ca="1">IFERROR(__xludf.DUMMYFUNCTION("""COMPUTED_VALUE"""),"vypin")</f>
        <v>vypin</v>
      </c>
      <c r="M799" t="str">
        <f ca="1">IFERROR(__xludf.DUMMYFUNCTION("""COMPUTED_VALUE"""),"I Accept")</f>
        <v>I Accept</v>
      </c>
      <c r="N799" s="4">
        <f ca="1">IFERROR(__xludf.DUMMYFUNCTION("""COMPUTED_VALUE"""),43246)</f>
        <v>43246</v>
      </c>
      <c r="O799" s="4">
        <f ca="1">IFERROR(__xludf.DUMMYFUNCTION("""COMPUTED_VALUE"""),43246)</f>
        <v>43246</v>
      </c>
      <c r="P799">
        <f ca="1">IFERROR(__xludf.DUMMYFUNCTION("""COMPUTED_VALUE"""),5)</f>
        <v>5</v>
      </c>
      <c r="Q799" t="str">
        <f ca="1">IFERROR(__xludf.DUMMYFUNCTION("""COMPUTED_VALUE"""),"totkraju@gmail.com")</f>
        <v>totkraju@gmail.com</v>
      </c>
      <c r="R799" s="2" t="s">
        <v>3213</v>
      </c>
    </row>
    <row r="800" spans="1:18" ht="13" x14ac:dyDescent="0.15">
      <c r="A800" s="3">
        <f ca="1">IFERROR(__xludf.DUMMYFUNCTION("""COMPUTED_VALUE"""),43257.6354867592)</f>
        <v>43257.635486759202</v>
      </c>
      <c r="B800" t="str">
        <f ca="1">IFERROR(__xludf.DUMMYFUNCTION("""COMPUTED_VALUE"""),"ksd@termtpskerala.com")</f>
        <v>ksd@termtpskerala.com</v>
      </c>
      <c r="C800">
        <f ca="1">IFERROR(__xludf.DUMMYFUNCTION("""COMPUTED_VALUE"""),1088)</f>
        <v>1088</v>
      </c>
      <c r="D800" t="str">
        <f ca="1">IFERROR(__xludf.DUMMYFUNCTION("""COMPUTED_VALUE"""),"THATTURAKKAL RAJAN")</f>
        <v>THATTURAKKAL RAJAN</v>
      </c>
      <c r="E800">
        <f ca="1">IFERROR(__xludf.DUMMYFUNCTION("""COMPUTED_VALUE"""),9562003335)</f>
        <v>9562003335</v>
      </c>
      <c r="F800" t="str">
        <f ca="1">IFERROR(__xludf.DUMMYFUNCTION("""COMPUTED_VALUE"""),"Kozhikode")</f>
        <v>Kozhikode</v>
      </c>
      <c r="G800" t="str">
        <f ca="1">IFERROR(__xludf.DUMMYFUNCTION("""COMPUTED_VALUE"""),"TATA POWER SOLAR SYTEMS LTD")</f>
        <v>TATA POWER SOLAR SYTEMS LTD</v>
      </c>
      <c r="H800">
        <f ca="1">IFERROR(__xludf.DUMMYFUNCTION("""COMPUTED_VALUE"""),20)</f>
        <v>20</v>
      </c>
      <c r="I800" s="4">
        <f ca="1">IFERROR(__xludf.DUMMYFUNCTION("""COMPUTED_VALUE"""),43242)</f>
        <v>43242</v>
      </c>
      <c r="J800">
        <f ca="1">IFERROR(__xludf.DUMMYFUNCTION("""COMPUTED_VALUE"""),5)</f>
        <v>5</v>
      </c>
      <c r="K800">
        <f ca="1">IFERROR(__xludf.DUMMYFUNCTION("""COMPUTED_VALUE"""),11655981017198)</f>
        <v>11655981017198</v>
      </c>
      <c r="L800" t="str">
        <f ca="1">IFERROR(__xludf.DUMMYFUNCTION("""COMPUTED_VALUE"""),"6598")</f>
        <v>6598</v>
      </c>
      <c r="M800" t="str">
        <f ca="1">IFERROR(__xludf.DUMMYFUNCTION("""COMPUTED_VALUE"""),"I Accept")</f>
        <v>I Accept</v>
      </c>
      <c r="N800" s="4">
        <f ca="1">IFERROR(__xludf.DUMMYFUNCTION("""COMPUTED_VALUE"""),43218)</f>
        <v>43218</v>
      </c>
      <c r="O800" s="4">
        <f ca="1">IFERROR(__xludf.DUMMYFUNCTION("""COMPUTED_VALUE"""),43208)</f>
        <v>43208</v>
      </c>
      <c r="P800">
        <f ca="1">IFERROR(__xludf.DUMMYFUNCTION("""COMPUTED_VALUE"""),5)</f>
        <v>5</v>
      </c>
      <c r="Q800" t="str">
        <f ca="1">IFERROR(__xludf.DUMMYFUNCTION("""COMPUTED_VALUE"""),"ksd@termtpskerala.com")</f>
        <v>ksd@termtpskerala.com</v>
      </c>
      <c r="R800" s="2" t="s">
        <v>3214</v>
      </c>
    </row>
    <row r="801" spans="1:18" ht="13" x14ac:dyDescent="0.15">
      <c r="A801" s="3">
        <f ca="1">IFERROR(__xludf.DUMMYFUNCTION("""COMPUTED_VALUE"""),43257.640438912)</f>
        <v>43257.640438912</v>
      </c>
      <c r="B801" t="str">
        <f ca="1">IFERROR(__xludf.DUMMYFUNCTION("""COMPUTED_VALUE"""),"ksd@termtpskerala.com")</f>
        <v>ksd@termtpskerala.com</v>
      </c>
      <c r="C801">
        <f ca="1">IFERROR(__xludf.DUMMYFUNCTION("""COMPUTED_VALUE"""),911)</f>
        <v>911</v>
      </c>
      <c r="D801" t="str">
        <f ca="1">IFERROR(__xludf.DUMMYFUNCTION("""COMPUTED_VALUE"""),"Kumudini Nelson")</f>
        <v>Kumudini Nelson</v>
      </c>
      <c r="E801">
        <f ca="1">IFERROR(__xludf.DUMMYFUNCTION("""COMPUTED_VALUE"""),9947999241)</f>
        <v>9947999241</v>
      </c>
      <c r="F801" t="str">
        <f ca="1">IFERROR(__xludf.DUMMYFUNCTION("""COMPUTED_VALUE"""),"Kozhikode")</f>
        <v>Kozhikode</v>
      </c>
      <c r="G801" t="str">
        <f ca="1">IFERROR(__xludf.DUMMYFUNCTION("""COMPUTED_VALUE"""),"TATA POWER SOLAR SYSTEMS LTD")</f>
        <v>TATA POWER SOLAR SYSTEMS LTD</v>
      </c>
      <c r="H801">
        <f ca="1">IFERROR(__xludf.DUMMYFUNCTION("""COMPUTED_VALUE"""),20)</f>
        <v>20</v>
      </c>
      <c r="I801" s="4">
        <f ca="1">IFERROR(__xludf.DUMMYFUNCTION("""COMPUTED_VALUE"""),43239)</f>
        <v>43239</v>
      </c>
      <c r="J801">
        <f ca="1">IFERROR(__xludf.DUMMYFUNCTION("""COMPUTED_VALUE"""),3)</f>
        <v>3</v>
      </c>
      <c r="K801">
        <f ca="1">IFERROR(__xludf.DUMMYFUNCTION("""COMPUTED_VALUE"""),1166050010509)</f>
        <v>1166050010509</v>
      </c>
      <c r="L801" t="str">
        <f ca="1">IFERROR(__xludf.DUMMYFUNCTION("""COMPUTED_VALUE"""),"6605")</f>
        <v>6605</v>
      </c>
      <c r="M801" t="str">
        <f ca="1">IFERROR(__xludf.DUMMYFUNCTION("""COMPUTED_VALUE"""),"I Accept")</f>
        <v>I Accept</v>
      </c>
      <c r="N801" s="4">
        <f ca="1">IFERROR(__xludf.DUMMYFUNCTION("""COMPUTED_VALUE"""),43201)</f>
        <v>43201</v>
      </c>
      <c r="O801" s="4">
        <f ca="1">IFERROR(__xludf.DUMMYFUNCTION("""COMPUTED_VALUE"""),43201)</f>
        <v>43201</v>
      </c>
      <c r="P801">
        <f ca="1">IFERROR(__xludf.DUMMYFUNCTION("""COMPUTED_VALUE"""),5)</f>
        <v>5</v>
      </c>
      <c r="Q801" t="str">
        <f ca="1">IFERROR(__xludf.DUMMYFUNCTION("""COMPUTED_VALUE"""),"ksd@termtpskerala.com")</f>
        <v>ksd@termtpskerala.com</v>
      </c>
      <c r="R801" s="2" t="s">
        <v>3215</v>
      </c>
    </row>
    <row r="802" spans="1:18" ht="13" x14ac:dyDescent="0.15">
      <c r="A802" s="3">
        <f ca="1">IFERROR(__xludf.DUMMYFUNCTION("""COMPUTED_VALUE"""),43257.6472221412)</f>
        <v>43257.647222141197</v>
      </c>
      <c r="B802" t="str">
        <f ca="1">IFERROR(__xludf.DUMMYFUNCTION("""COMPUTED_VALUE"""),"shiljith.pd@gmail.com")</f>
        <v>shiljith.pd@gmail.com</v>
      </c>
      <c r="C802">
        <f ca="1">IFERROR(__xludf.DUMMYFUNCTION("""COMPUTED_VALUE"""),977)</f>
        <v>977</v>
      </c>
      <c r="D802" t="str">
        <f ca="1">IFERROR(__xludf.DUMMYFUNCTION("""COMPUTED_VALUE"""),"DR.VIJAYAN")</f>
        <v>DR.VIJAYAN</v>
      </c>
      <c r="E802">
        <f ca="1">IFERROR(__xludf.DUMMYFUNCTION("""COMPUTED_VALUE"""),9388412252)</f>
        <v>9388412252</v>
      </c>
      <c r="F802" t="str">
        <f ca="1">IFERROR(__xludf.DUMMYFUNCTION("""COMPUTED_VALUE"""),"Kozhikode")</f>
        <v>Kozhikode</v>
      </c>
      <c r="G802" t="str">
        <f ca="1">IFERROR(__xludf.DUMMYFUNCTION("""COMPUTED_VALUE"""),"TATA POWER SOLAR SYTEMS LTD")</f>
        <v>TATA POWER SOLAR SYTEMS LTD</v>
      </c>
      <c r="H802">
        <f ca="1">IFERROR(__xludf.DUMMYFUNCTION("""COMPUTED_VALUE"""),20)</f>
        <v>20</v>
      </c>
      <c r="I802" s="4">
        <f ca="1">IFERROR(__xludf.DUMMYFUNCTION("""COMPUTED_VALUE"""),43144)</f>
        <v>43144</v>
      </c>
      <c r="J802">
        <f ca="1">IFERROR(__xludf.DUMMYFUNCTION("""COMPUTED_VALUE"""),3)</f>
        <v>3</v>
      </c>
      <c r="K802">
        <f ca="1">IFERROR(__xludf.DUMMYFUNCTION("""COMPUTED_VALUE"""),1166223007924)</f>
        <v>1166223007924</v>
      </c>
      <c r="L802" t="str">
        <f ca="1">IFERROR(__xludf.DUMMYFUNCTION("""COMPUTED_VALUE"""),"6622")</f>
        <v>6622</v>
      </c>
      <c r="M802" t="str">
        <f ca="1">IFERROR(__xludf.DUMMYFUNCTION("""COMPUTED_VALUE"""),"I Accept")</f>
        <v>I Accept</v>
      </c>
      <c r="N802" s="4">
        <f ca="1">IFERROR(__xludf.DUMMYFUNCTION("""COMPUTED_VALUE"""),43203)</f>
        <v>43203</v>
      </c>
      <c r="O802" s="4">
        <f ca="1">IFERROR(__xludf.DUMMYFUNCTION("""COMPUTED_VALUE"""),43203)</f>
        <v>43203</v>
      </c>
      <c r="P802">
        <f ca="1">IFERROR(__xludf.DUMMYFUNCTION("""COMPUTED_VALUE"""),3)</f>
        <v>3</v>
      </c>
      <c r="Q802" t="str">
        <f ca="1">IFERROR(__xludf.DUMMYFUNCTION("""COMPUTED_VALUE"""),"shiljith.pd@gmail.com")</f>
        <v>shiljith.pd@gmail.com</v>
      </c>
      <c r="R802" s="2" t="s">
        <v>3216</v>
      </c>
    </row>
    <row r="803" spans="1:18" ht="13" x14ac:dyDescent="0.15">
      <c r="A803" s="3">
        <f ca="1">IFERROR(__xludf.DUMMYFUNCTION("""COMPUTED_VALUE"""),43257.6574735995)</f>
        <v>43257.657473599502</v>
      </c>
      <c r="B803" t="str">
        <f ca="1">IFERROR(__xludf.DUMMYFUNCTION("""COMPUTED_VALUE"""),"acsailesh@gmail.com")</f>
        <v>acsailesh@gmail.com</v>
      </c>
      <c r="C803">
        <f ca="1">IFERROR(__xludf.DUMMYFUNCTION("""COMPUTED_VALUE"""),787)</f>
        <v>787</v>
      </c>
      <c r="D803" t="str">
        <f ca="1">IFERROR(__xludf.DUMMYFUNCTION("""COMPUTED_VALUE"""),"Sailesh kumar ")</f>
        <v xml:space="preserve">Sailesh kumar </v>
      </c>
      <c r="E803">
        <f ca="1">IFERROR(__xludf.DUMMYFUNCTION("""COMPUTED_VALUE"""),9995587415)</f>
        <v>9995587415</v>
      </c>
      <c r="F803" t="str">
        <f ca="1">IFERROR(__xludf.DUMMYFUNCTION("""COMPUTED_VALUE"""),"Kozhikode")</f>
        <v>Kozhikode</v>
      </c>
      <c r="G803" t="str">
        <f ca="1">IFERROR(__xludf.DUMMYFUNCTION("""COMPUTED_VALUE"""),"TATA POWER SOLAR SYSTEMS LTD")</f>
        <v>TATA POWER SOLAR SYSTEMS LTD</v>
      </c>
      <c r="H803">
        <f ca="1">IFERROR(__xludf.DUMMYFUNCTION("""COMPUTED_VALUE"""),20)</f>
        <v>20</v>
      </c>
      <c r="I803" s="4">
        <f ca="1">IFERROR(__xludf.DUMMYFUNCTION("""COMPUTED_VALUE"""),43207)</f>
        <v>43207</v>
      </c>
      <c r="J803">
        <f ca="1">IFERROR(__xludf.DUMMYFUNCTION("""COMPUTED_VALUE"""),3)</f>
        <v>3</v>
      </c>
      <c r="K803">
        <f ca="1">IFERROR(__xludf.DUMMYFUNCTION("""COMPUTED_VALUE"""),1165988029720)</f>
        <v>1165988029720</v>
      </c>
      <c r="L803" t="str">
        <f ca="1">IFERROR(__xludf.DUMMYFUNCTION("""COMPUTED_VALUE"""),"6598")</f>
        <v>6598</v>
      </c>
      <c r="M803" t="str">
        <f ca="1">IFERROR(__xludf.DUMMYFUNCTION("""COMPUTED_VALUE"""),"I Accept")</f>
        <v>I Accept</v>
      </c>
      <c r="N803" s="4">
        <f ca="1">IFERROR(__xludf.DUMMYFUNCTION("""COMPUTED_VALUE"""),43206)</f>
        <v>43206</v>
      </c>
      <c r="O803" s="4">
        <f ca="1">IFERROR(__xludf.DUMMYFUNCTION("""COMPUTED_VALUE"""),43206)</f>
        <v>43206</v>
      </c>
      <c r="P803">
        <f ca="1">IFERROR(__xludf.DUMMYFUNCTION("""COMPUTED_VALUE"""),3)</f>
        <v>3</v>
      </c>
      <c r="Q803" t="str">
        <f ca="1">IFERROR(__xludf.DUMMYFUNCTION("""COMPUTED_VALUE"""),"acsailesh@gmail.com")</f>
        <v>acsailesh@gmail.com</v>
      </c>
      <c r="R803" s="2" t="s">
        <v>3217</v>
      </c>
    </row>
    <row r="804" spans="1:18" ht="13" x14ac:dyDescent="0.15">
      <c r="A804" s="3">
        <f ca="1">IFERROR(__xludf.DUMMYFUNCTION("""COMPUTED_VALUE"""),43257.6590507176)</f>
        <v>43257.659050717601</v>
      </c>
      <c r="B804" t="str">
        <f ca="1">IFERROR(__xludf.DUMMYFUNCTION("""COMPUTED_VALUE"""),"akhil.soura@gmail.com")</f>
        <v>akhil.soura@gmail.com</v>
      </c>
      <c r="C804">
        <f ca="1">IFERROR(__xludf.DUMMYFUNCTION("""COMPUTED_VALUE"""),801)</f>
        <v>801</v>
      </c>
      <c r="D804" t="str">
        <f ca="1">IFERROR(__xludf.DUMMYFUNCTION("""COMPUTED_VALUE"""),"Thomas mathew")</f>
        <v>Thomas mathew</v>
      </c>
      <c r="E804">
        <f ca="1">IFERROR(__xludf.DUMMYFUNCTION("""COMPUTED_VALUE"""),8129157999)</f>
        <v>8129157999</v>
      </c>
      <c r="F804" t="str">
        <f ca="1">IFERROR(__xludf.DUMMYFUNCTION("""COMPUTED_VALUE"""),"Ernakulam")</f>
        <v>Ernakulam</v>
      </c>
      <c r="G804" t="str">
        <f ca="1">IFERROR(__xludf.DUMMYFUNCTION("""COMPUTED_VALUE"""),"Soura Natural Energy solutions India pvt ltd")</f>
        <v>Soura Natural Energy solutions India pvt ltd</v>
      </c>
      <c r="H804">
        <f ca="1">IFERROR(__xludf.DUMMYFUNCTION("""COMPUTED_VALUE"""),11)</f>
        <v>11</v>
      </c>
      <c r="I804" s="4">
        <f ca="1">IFERROR(__xludf.DUMMYFUNCTION("""COMPUTED_VALUE"""),43257)</f>
        <v>43257</v>
      </c>
      <c r="J804">
        <f ca="1">IFERROR(__xludf.DUMMYFUNCTION("""COMPUTED_VALUE"""),3)</f>
        <v>3</v>
      </c>
      <c r="K804">
        <f ca="1">IFERROR(__xludf.DUMMYFUNCTION("""COMPUTED_VALUE"""),1155589018583)</f>
        <v>1155589018583</v>
      </c>
      <c r="L804" t="str">
        <f ca="1">IFERROR(__xludf.DUMMYFUNCTION("""COMPUTED_VALUE"""),"vazhakulam")</f>
        <v>vazhakulam</v>
      </c>
      <c r="M804" t="str">
        <f ca="1">IFERROR(__xludf.DUMMYFUNCTION("""COMPUTED_VALUE"""),"I Accept")</f>
        <v>I Accept</v>
      </c>
      <c r="N804" s="4">
        <f ca="1">IFERROR(__xludf.DUMMYFUNCTION("""COMPUTED_VALUE"""),43257)</f>
        <v>43257</v>
      </c>
      <c r="O804" s="4">
        <f ca="1">IFERROR(__xludf.DUMMYFUNCTION("""COMPUTED_VALUE"""),43257)</f>
        <v>43257</v>
      </c>
      <c r="P804">
        <f ca="1">IFERROR(__xludf.DUMMYFUNCTION("""COMPUTED_VALUE"""),3)</f>
        <v>3</v>
      </c>
      <c r="Q804" t="str">
        <f ca="1">IFERROR(__xludf.DUMMYFUNCTION("""COMPUTED_VALUE"""),"akhil.soura@gmail.com")</f>
        <v>akhil.soura@gmail.com</v>
      </c>
      <c r="R804" s="2" t="s">
        <v>3218</v>
      </c>
    </row>
    <row r="805" spans="1:18" ht="13" x14ac:dyDescent="0.15">
      <c r="A805" s="3">
        <f ca="1">IFERROR(__xludf.DUMMYFUNCTION("""COMPUTED_VALUE"""),43257.6745592824)</f>
        <v>43257.674559282401</v>
      </c>
      <c r="B805" t="str">
        <f ca="1">IFERROR(__xludf.DUMMYFUNCTION("""COMPUTED_VALUE"""),"sales.kodco@gmail.com")</f>
        <v>sales.kodco@gmail.com</v>
      </c>
      <c r="C805">
        <f ca="1">IFERROR(__xludf.DUMMYFUNCTION("""COMPUTED_VALUE"""),1087)</f>
        <v>1087</v>
      </c>
      <c r="D805" t="str">
        <f ca="1">IFERROR(__xludf.DUMMYFUNCTION("""COMPUTED_VALUE"""),"PRAJEESH.T.C")</f>
        <v>PRAJEESH.T.C</v>
      </c>
      <c r="E805">
        <f ca="1">IFERROR(__xludf.DUMMYFUNCTION("""COMPUTED_VALUE"""),9207268920)</f>
        <v>9207268920</v>
      </c>
      <c r="F805" t="str">
        <f ca="1">IFERROR(__xludf.DUMMYFUNCTION("""COMPUTED_VALUE"""),"Kozhikode")</f>
        <v>Kozhikode</v>
      </c>
      <c r="G805" t="str">
        <f ca="1">IFERROR(__xludf.DUMMYFUNCTION("""COMPUTED_VALUE"""),"TATA POWER SOLAR SYTEMS LTD")</f>
        <v>TATA POWER SOLAR SYTEMS LTD</v>
      </c>
      <c r="H805">
        <f ca="1">IFERROR(__xludf.DUMMYFUNCTION("""COMPUTED_VALUE"""),20)</f>
        <v>20</v>
      </c>
      <c r="I805" s="4">
        <f ca="1">IFERROR(__xludf.DUMMYFUNCTION("""COMPUTED_VALUE"""),43244)</f>
        <v>43244</v>
      </c>
      <c r="J805">
        <f ca="1">IFERROR(__xludf.DUMMYFUNCTION("""COMPUTED_VALUE"""),3)</f>
        <v>3</v>
      </c>
      <c r="K805">
        <f ca="1">IFERROR(__xludf.DUMMYFUNCTION("""COMPUTED_VALUE"""),1165951030356)</f>
        <v>1165951030356</v>
      </c>
      <c r="L805" t="str">
        <f ca="1">IFERROR(__xludf.DUMMYFUNCTION("""COMPUTED_VALUE"""),"6595")</f>
        <v>6595</v>
      </c>
      <c r="M805" t="str">
        <f ca="1">IFERROR(__xludf.DUMMYFUNCTION("""COMPUTED_VALUE"""),"I Accept")</f>
        <v>I Accept</v>
      </c>
      <c r="N805" s="4">
        <f ca="1">IFERROR(__xludf.DUMMYFUNCTION("""COMPUTED_VALUE"""),43180)</f>
        <v>43180</v>
      </c>
      <c r="O805" s="4">
        <f ca="1">IFERROR(__xludf.DUMMYFUNCTION("""COMPUTED_VALUE"""),43180)</f>
        <v>43180</v>
      </c>
      <c r="P805">
        <f ca="1">IFERROR(__xludf.DUMMYFUNCTION("""COMPUTED_VALUE"""),3)</f>
        <v>3</v>
      </c>
      <c r="Q805" t="str">
        <f ca="1">IFERROR(__xludf.DUMMYFUNCTION("""COMPUTED_VALUE"""),"sales.kodco@gmail.com")</f>
        <v>sales.kodco@gmail.com</v>
      </c>
      <c r="R805" s="2" t="s">
        <v>3219</v>
      </c>
    </row>
    <row r="806" spans="1:18" ht="13" x14ac:dyDescent="0.15">
      <c r="A806" s="3">
        <f ca="1">IFERROR(__xludf.DUMMYFUNCTION("""COMPUTED_VALUE"""),43257.6800419907)</f>
        <v>43257.680041990701</v>
      </c>
      <c r="B806" t="str">
        <f ca="1">IFERROR(__xludf.DUMMYFUNCTION("""COMPUTED_VALUE"""),"ksd@termtpskerala.com")</f>
        <v>ksd@termtpskerala.com</v>
      </c>
      <c r="C806">
        <f ca="1">IFERROR(__xludf.DUMMYFUNCTION("""COMPUTED_VALUE"""),981)</f>
        <v>981</v>
      </c>
      <c r="D806" t="str">
        <f ca="1">IFERROR(__xludf.DUMMYFUNCTION("""COMPUTED_VALUE"""),"MOTHER SUPERIOR")</f>
        <v>MOTHER SUPERIOR</v>
      </c>
      <c r="E806">
        <f ca="1">IFERROR(__xludf.DUMMYFUNCTION("""COMPUTED_VALUE"""),4952222810)</f>
        <v>4952222810</v>
      </c>
      <c r="F806" t="str">
        <f ca="1">IFERROR(__xludf.DUMMYFUNCTION("""COMPUTED_VALUE"""),"Kozhikode")</f>
        <v>Kozhikode</v>
      </c>
      <c r="G806" t="str">
        <f ca="1">IFERROR(__xludf.DUMMYFUNCTION("""COMPUTED_VALUE"""),"TATA POWER SOLAR SYTEMS LTD")</f>
        <v>TATA POWER SOLAR SYTEMS LTD</v>
      </c>
      <c r="H806">
        <f ca="1">IFERROR(__xludf.DUMMYFUNCTION("""COMPUTED_VALUE"""),20)</f>
        <v>20</v>
      </c>
      <c r="I806" s="4">
        <f ca="1">IFERROR(__xludf.DUMMYFUNCTION("""COMPUTED_VALUE"""),43214)</f>
        <v>43214</v>
      </c>
      <c r="J806">
        <f ca="1">IFERROR(__xludf.DUMMYFUNCTION("""COMPUTED_VALUE"""),10)</f>
        <v>10</v>
      </c>
      <c r="K806">
        <f ca="1">IFERROR(__xludf.DUMMYFUNCTION("""COMPUTED_VALUE"""),1166102004810)</f>
        <v>1166102004810</v>
      </c>
      <c r="L806" t="str">
        <f ca="1">IFERROR(__xludf.DUMMYFUNCTION("""COMPUTED_VALUE"""),"6610")</f>
        <v>6610</v>
      </c>
      <c r="M806" t="str">
        <f ca="1">IFERROR(__xludf.DUMMYFUNCTION("""COMPUTED_VALUE"""),"I Accept")</f>
        <v>I Accept</v>
      </c>
      <c r="N806" s="4">
        <f ca="1">IFERROR(__xludf.DUMMYFUNCTION("""COMPUTED_VALUE"""),43185)</f>
        <v>43185</v>
      </c>
      <c r="O806" s="4">
        <f ca="1">IFERROR(__xludf.DUMMYFUNCTION("""COMPUTED_VALUE"""),43185)</f>
        <v>43185</v>
      </c>
      <c r="P806">
        <f ca="1">IFERROR(__xludf.DUMMYFUNCTION("""COMPUTED_VALUE"""),10)</f>
        <v>10</v>
      </c>
      <c r="Q806" t="str">
        <f ca="1">IFERROR(__xludf.DUMMYFUNCTION("""COMPUTED_VALUE"""),"ksd@termtpskerala.com")</f>
        <v>ksd@termtpskerala.com</v>
      </c>
      <c r="R806" s="2" t="s">
        <v>3220</v>
      </c>
    </row>
    <row r="807" spans="1:18" ht="13" x14ac:dyDescent="0.15">
      <c r="A807" s="3">
        <f ca="1">IFERROR(__xludf.DUMMYFUNCTION("""COMPUTED_VALUE"""),43257.699573125)</f>
        <v>43257.699573124999</v>
      </c>
      <c r="B807" t="str">
        <f ca="1">IFERROR(__xludf.DUMMYFUNCTION("""COMPUTED_VALUE"""),"akhilmurali22@gmail.com")</f>
        <v>akhilmurali22@gmail.com</v>
      </c>
      <c r="C807">
        <f ca="1">IFERROR(__xludf.DUMMYFUNCTION("""COMPUTED_VALUE"""),974)</f>
        <v>974</v>
      </c>
      <c r="D807" t="str">
        <f ca="1">IFERROR(__xludf.DUMMYFUNCTION("""COMPUTED_VALUE"""),"THE MANAGER")</f>
        <v>THE MANAGER</v>
      </c>
      <c r="E807">
        <f ca="1">IFERROR(__xludf.DUMMYFUNCTION("""COMPUTED_VALUE"""),9562003335)</f>
        <v>9562003335</v>
      </c>
      <c r="F807" t="str">
        <f ca="1">IFERROR(__xludf.DUMMYFUNCTION("""COMPUTED_VALUE"""),"Kozhikode")</f>
        <v>Kozhikode</v>
      </c>
      <c r="G807" t="str">
        <f ca="1">IFERROR(__xludf.DUMMYFUNCTION("""COMPUTED_VALUE"""),"TATA POWER SOLAR SYSTEMS LTD")</f>
        <v>TATA POWER SOLAR SYSTEMS LTD</v>
      </c>
      <c r="H807">
        <f ca="1">IFERROR(__xludf.DUMMYFUNCTION("""COMPUTED_VALUE"""),20)</f>
        <v>20</v>
      </c>
      <c r="I807" s="4">
        <f ca="1">IFERROR(__xludf.DUMMYFUNCTION("""COMPUTED_VALUE"""),43237)</f>
        <v>43237</v>
      </c>
      <c r="J807">
        <f ca="1">IFERROR(__xludf.DUMMYFUNCTION("""COMPUTED_VALUE"""),30)</f>
        <v>30</v>
      </c>
      <c r="K807">
        <f ca="1">IFERROR(__xludf.DUMMYFUNCTION("""COMPUTED_VALUE"""),1166011009785)</f>
        <v>1166011009785</v>
      </c>
      <c r="L807" t="str">
        <f ca="1">IFERROR(__xludf.DUMMYFUNCTION("""COMPUTED_VALUE"""),"6601")</f>
        <v>6601</v>
      </c>
      <c r="M807" t="str">
        <f ca="1">IFERROR(__xludf.DUMMYFUNCTION("""COMPUTED_VALUE"""),"I Accept")</f>
        <v>I Accept</v>
      </c>
      <c r="N807" s="4">
        <f ca="1">IFERROR(__xludf.DUMMYFUNCTION("""COMPUTED_VALUE"""),43210)</f>
        <v>43210</v>
      </c>
      <c r="O807" s="4">
        <f ca="1">IFERROR(__xludf.DUMMYFUNCTION("""COMPUTED_VALUE"""),43210)</f>
        <v>43210</v>
      </c>
      <c r="P807">
        <f ca="1">IFERROR(__xludf.DUMMYFUNCTION("""COMPUTED_VALUE"""),30)</f>
        <v>30</v>
      </c>
      <c r="Q807" t="str">
        <f ca="1">IFERROR(__xludf.DUMMYFUNCTION("""COMPUTED_VALUE"""),"akhilmurali22@gmail.com")</f>
        <v>akhilmurali22@gmail.com</v>
      </c>
      <c r="R807" s="2" t="s">
        <v>3221</v>
      </c>
    </row>
    <row r="808" spans="1:18" ht="13" x14ac:dyDescent="0.15">
      <c r="A808" s="3">
        <f ca="1">IFERROR(__xludf.DUMMYFUNCTION("""COMPUTED_VALUE"""),43257.70721)</f>
        <v>43257.70721</v>
      </c>
      <c r="B808" t="str">
        <f ca="1">IFERROR(__xludf.DUMMYFUNCTION("""COMPUTED_VALUE""")," sales.kodco@gmail.coms")</f>
        <v xml:space="preserve"> sales.kodco@gmail.coms</v>
      </c>
      <c r="C808">
        <f ca="1">IFERROR(__xludf.DUMMYFUNCTION("""COMPUTED_VALUE"""),418)</f>
        <v>418</v>
      </c>
      <c r="D808" t="str">
        <f ca="1">IFERROR(__xludf.DUMMYFUNCTION("""COMPUTED_VALUE"""),"Rugmini.C.S")</f>
        <v>Rugmini.C.S</v>
      </c>
      <c r="E808">
        <f ca="1">IFERROR(__xludf.DUMMYFUNCTION("""COMPUTED_VALUE"""),9497714979)</f>
        <v>9497714979</v>
      </c>
      <c r="F808" t="str">
        <f ca="1">IFERROR(__xludf.DUMMYFUNCTION("""COMPUTED_VALUE"""),"Kozhikode")</f>
        <v>Kozhikode</v>
      </c>
      <c r="G808" t="str">
        <f ca="1">IFERROR(__xludf.DUMMYFUNCTION("""COMPUTED_VALUE"""),"TATA POWER SOLAR SYSTEMS LTD")</f>
        <v>TATA POWER SOLAR SYSTEMS LTD</v>
      </c>
      <c r="H808">
        <f ca="1">IFERROR(__xludf.DUMMYFUNCTION("""COMPUTED_VALUE"""),20)</f>
        <v>20</v>
      </c>
      <c r="I808" s="4">
        <f ca="1">IFERROR(__xludf.DUMMYFUNCTION("""COMPUTED_VALUE"""),43175)</f>
        <v>43175</v>
      </c>
      <c r="J808">
        <f ca="1">IFERROR(__xludf.DUMMYFUNCTION("""COMPUTED_VALUE"""),3)</f>
        <v>3</v>
      </c>
      <c r="K808">
        <f ca="1">IFERROR(__xludf.DUMMYFUNCTION("""COMPUTED_VALUE"""),1166051020188)</f>
        <v>1166051020188</v>
      </c>
      <c r="L808" t="str">
        <f ca="1">IFERROR(__xludf.DUMMYFUNCTION("""COMPUTED_VALUE"""),"6605")</f>
        <v>6605</v>
      </c>
      <c r="M808" t="str">
        <f ca="1">IFERROR(__xludf.DUMMYFUNCTION("""COMPUTED_VALUE"""),"I Accept")</f>
        <v>I Accept</v>
      </c>
      <c r="N808" s="4">
        <f ca="1">IFERROR(__xludf.DUMMYFUNCTION("""COMPUTED_VALUE"""),43161)</f>
        <v>43161</v>
      </c>
      <c r="O808" s="4">
        <f ca="1">IFERROR(__xludf.DUMMYFUNCTION("""COMPUTED_VALUE"""),43161)</f>
        <v>43161</v>
      </c>
      <c r="P808">
        <f ca="1">IFERROR(__xludf.DUMMYFUNCTION("""COMPUTED_VALUE"""),3)</f>
        <v>3</v>
      </c>
      <c r="Q808" t="str">
        <f ca="1">IFERROR(__xludf.DUMMYFUNCTION("""COMPUTED_VALUE"""),"sales.kodco@gmail.com")</f>
        <v>sales.kodco@gmail.com</v>
      </c>
      <c r="R808" s="2" t="s">
        <v>3222</v>
      </c>
    </row>
    <row r="809" spans="1:18" ht="13" x14ac:dyDescent="0.15">
      <c r="A809" s="3">
        <f ca="1">IFERROR(__xludf.DUMMYFUNCTION("""COMPUTED_VALUE"""),43257.7350012384)</f>
        <v>43257.735001238398</v>
      </c>
      <c r="B809" t="str">
        <f ca="1">IFERROR(__xludf.DUMMYFUNCTION("""COMPUTED_VALUE"""),"seenavinay@gmail.com")</f>
        <v>seenavinay@gmail.com</v>
      </c>
      <c r="C809">
        <f ca="1">IFERROR(__xludf.DUMMYFUNCTION("""COMPUTED_VALUE"""),976)</f>
        <v>976</v>
      </c>
      <c r="D809" t="str">
        <f ca="1">IFERROR(__xludf.DUMMYFUNCTION("""COMPUTED_VALUE"""),"Seena.P")</f>
        <v>Seena.P</v>
      </c>
      <c r="E809">
        <f ca="1">IFERROR(__xludf.DUMMYFUNCTION("""COMPUTED_VALUE"""),9388223144)</f>
        <v>9388223144</v>
      </c>
      <c r="F809" t="str">
        <f ca="1">IFERROR(__xludf.DUMMYFUNCTION("""COMPUTED_VALUE"""),"Kozhikode")</f>
        <v>Kozhikode</v>
      </c>
      <c r="G809" t="str">
        <f ca="1">IFERROR(__xludf.DUMMYFUNCTION("""COMPUTED_VALUE"""),"TATA POWER SOLAR SYSTEMS LTD")</f>
        <v>TATA POWER SOLAR SYSTEMS LTD</v>
      </c>
      <c r="H809">
        <f ca="1">IFERROR(__xludf.DUMMYFUNCTION("""COMPUTED_VALUE"""),20)</f>
        <v>20</v>
      </c>
      <c r="I809" s="4">
        <f ca="1">IFERROR(__xludf.DUMMYFUNCTION("""COMPUTED_VALUE"""),43230)</f>
        <v>43230</v>
      </c>
      <c r="J809">
        <f ca="1">IFERROR(__xludf.DUMMYFUNCTION("""COMPUTED_VALUE"""),3)</f>
        <v>3</v>
      </c>
      <c r="K809">
        <f ca="1">IFERROR(__xludf.DUMMYFUNCTION("""COMPUTED_VALUE"""),1165975017947)</f>
        <v>1165975017947</v>
      </c>
      <c r="L809" t="str">
        <f ca="1">IFERROR(__xludf.DUMMYFUNCTION("""COMPUTED_VALUE"""),"6597")</f>
        <v>6597</v>
      </c>
      <c r="M809" t="str">
        <f ca="1">IFERROR(__xludf.DUMMYFUNCTION("""COMPUTED_VALUE"""),"I Accept")</f>
        <v>I Accept</v>
      </c>
      <c r="N809" s="4">
        <f ca="1">IFERROR(__xludf.DUMMYFUNCTION("""COMPUTED_VALUE"""),43159)</f>
        <v>43159</v>
      </c>
      <c r="O809" s="4">
        <f ca="1">IFERROR(__xludf.DUMMYFUNCTION("""COMPUTED_VALUE"""),43159)</f>
        <v>43159</v>
      </c>
      <c r="P809">
        <f ca="1">IFERROR(__xludf.DUMMYFUNCTION("""COMPUTED_VALUE"""),3)</f>
        <v>3</v>
      </c>
      <c r="Q809" t="str">
        <f ca="1">IFERROR(__xludf.DUMMYFUNCTION("""COMPUTED_VALUE"""),"seenavinay@gmail.com")</f>
        <v>seenavinay@gmail.com</v>
      </c>
      <c r="R809" s="2" t="s">
        <v>3223</v>
      </c>
    </row>
    <row r="810" spans="1:18" ht="13" x14ac:dyDescent="0.15">
      <c r="A810" s="3">
        <f ca="1">IFERROR(__xludf.DUMMYFUNCTION("""COMPUTED_VALUE"""),43257.74026853)</f>
        <v>43257.740268529997</v>
      </c>
      <c r="B810" t="str">
        <f ca="1">IFERROR(__xludf.DUMMYFUNCTION("""COMPUTED_VALUE"""),"sadiqueishere@gmail.com")</f>
        <v>sadiqueishere@gmail.com</v>
      </c>
      <c r="C810">
        <f ca="1">IFERROR(__xludf.DUMMYFUNCTION("""COMPUTED_VALUE"""),645)</f>
        <v>645</v>
      </c>
      <c r="D810" t="str">
        <f ca="1">IFERROR(__xludf.DUMMYFUNCTION("""COMPUTED_VALUE"""),"Raihana sadique")</f>
        <v>Raihana sadique</v>
      </c>
      <c r="E810">
        <f ca="1">IFERROR(__xludf.DUMMYFUNCTION("""COMPUTED_VALUE"""),9400540185)</f>
        <v>9400540185</v>
      </c>
      <c r="F810" t="str">
        <f ca="1">IFERROR(__xludf.DUMMYFUNCTION("""COMPUTED_VALUE"""),"Kozhikode")</f>
        <v>Kozhikode</v>
      </c>
      <c r="G810" t="str">
        <f ca="1">IFERROR(__xludf.DUMMYFUNCTION("""COMPUTED_VALUE"""),"TATA POWER SOLAR SYSTEMS LTD")</f>
        <v>TATA POWER SOLAR SYSTEMS LTD</v>
      </c>
      <c r="H810">
        <f ca="1">IFERROR(__xludf.DUMMYFUNCTION("""COMPUTED_VALUE"""),20)</f>
        <v>20</v>
      </c>
      <c r="I810" s="4">
        <f ca="1">IFERROR(__xludf.DUMMYFUNCTION("""COMPUTED_VALUE"""),43210)</f>
        <v>43210</v>
      </c>
      <c r="J810">
        <f ca="1">IFERROR(__xludf.DUMMYFUNCTION("""COMPUTED_VALUE"""),3)</f>
        <v>3</v>
      </c>
      <c r="K810">
        <f ca="1">IFERROR(__xludf.DUMMYFUNCTION("""COMPUTED_VALUE"""),1165970010657)</f>
        <v>1165970010657</v>
      </c>
      <c r="L810" t="str">
        <f ca="1">IFERROR(__xludf.DUMMYFUNCTION("""COMPUTED_VALUE"""),"6597")</f>
        <v>6597</v>
      </c>
      <c r="M810" t="str">
        <f ca="1">IFERROR(__xludf.DUMMYFUNCTION("""COMPUTED_VALUE"""),"I Accept")</f>
        <v>I Accept</v>
      </c>
      <c r="N810" s="4">
        <f ca="1">IFERROR(__xludf.DUMMYFUNCTION("""COMPUTED_VALUE"""),43180)</f>
        <v>43180</v>
      </c>
      <c r="O810" s="4">
        <f ca="1">IFERROR(__xludf.DUMMYFUNCTION("""COMPUTED_VALUE"""),43180)</f>
        <v>43180</v>
      </c>
      <c r="P810">
        <f ca="1">IFERROR(__xludf.DUMMYFUNCTION("""COMPUTED_VALUE"""),3)</f>
        <v>3</v>
      </c>
      <c r="Q810" t="str">
        <f ca="1">IFERROR(__xludf.DUMMYFUNCTION("""COMPUTED_VALUE"""),"sadiqueishere@gmail.com")</f>
        <v>sadiqueishere@gmail.com</v>
      </c>
      <c r="R810" s="2" t="s">
        <v>3224</v>
      </c>
    </row>
    <row r="811" spans="1:18" ht="13" x14ac:dyDescent="0.15">
      <c r="A811" s="3">
        <f ca="1">IFERROR(__xludf.DUMMYFUNCTION("""COMPUTED_VALUE"""),43257.8109587963)</f>
        <v>43257.810958796297</v>
      </c>
      <c r="B811" t="str">
        <f ca="1">IFERROR(__xludf.DUMMYFUNCTION("""COMPUTED_VALUE"""),"vishnuv0095@gmail.com")</f>
        <v>vishnuv0095@gmail.com</v>
      </c>
      <c r="C811">
        <f ca="1">IFERROR(__xludf.DUMMYFUNCTION("""COMPUTED_VALUE"""),731)</f>
        <v>731</v>
      </c>
      <c r="D811" t="str">
        <f ca="1">IFERROR(__xludf.DUMMYFUNCTION("""COMPUTED_VALUE"""),"Biju mathew")</f>
        <v>Biju mathew</v>
      </c>
      <c r="E811">
        <f ca="1">IFERROR(__xludf.DUMMYFUNCTION("""COMPUTED_VALUE"""),9446504127)</f>
        <v>9446504127</v>
      </c>
      <c r="F811" t="str">
        <f ca="1">IFERROR(__xludf.DUMMYFUNCTION("""COMPUTED_VALUE"""),"Alappuzha")</f>
        <v>Alappuzha</v>
      </c>
      <c r="G811" t="str">
        <f ca="1">IFERROR(__xludf.DUMMYFUNCTION("""COMPUTED_VALUE"""),"TATA POWER SOLAR SYSTEMS LTD")</f>
        <v>TATA POWER SOLAR SYSTEMS LTD</v>
      </c>
      <c r="H811">
        <f ca="1">IFERROR(__xludf.DUMMYFUNCTION("""COMPUTED_VALUE"""),20)</f>
        <v>20</v>
      </c>
      <c r="I811" s="4">
        <f ca="1">IFERROR(__xludf.DUMMYFUNCTION("""COMPUTED_VALUE"""),43225)</f>
        <v>43225</v>
      </c>
      <c r="J811">
        <f ca="1">IFERROR(__xludf.DUMMYFUNCTION("""COMPUTED_VALUE"""),5)</f>
        <v>5</v>
      </c>
      <c r="K811">
        <f ca="1">IFERROR(__xludf.DUMMYFUNCTION("""COMPUTED_VALUE"""),1155018025264)</f>
        <v>1155018025264</v>
      </c>
      <c r="L811" t="str">
        <f ca="1">IFERROR(__xludf.DUMMYFUNCTION("""COMPUTED_VALUE"""),"Alappuzha south")</f>
        <v>Alappuzha south</v>
      </c>
      <c r="M811" t="str">
        <f ca="1">IFERROR(__xludf.DUMMYFUNCTION("""COMPUTED_VALUE"""),"I Accept")</f>
        <v>I Accept</v>
      </c>
      <c r="N811" s="4">
        <f ca="1">IFERROR(__xludf.DUMMYFUNCTION("""COMPUTED_VALUE"""),43218)</f>
        <v>43218</v>
      </c>
      <c r="O811" s="4">
        <f ca="1">IFERROR(__xludf.DUMMYFUNCTION("""COMPUTED_VALUE"""),43218)</f>
        <v>43218</v>
      </c>
      <c r="P811">
        <f ca="1">IFERROR(__xludf.DUMMYFUNCTION("""COMPUTED_VALUE"""),5)</f>
        <v>5</v>
      </c>
      <c r="Q811" t="str">
        <f ca="1">IFERROR(__xludf.DUMMYFUNCTION("""COMPUTED_VALUE"""),"vishnuv0095@gmail.com")</f>
        <v>vishnuv0095@gmail.com</v>
      </c>
      <c r="R811" s="2" t="s">
        <v>3225</v>
      </c>
    </row>
    <row r="812" spans="1:18" ht="13" x14ac:dyDescent="0.15">
      <c r="A812" s="3">
        <f ca="1">IFERROR(__xludf.DUMMYFUNCTION("""COMPUTED_VALUE"""),43257.8220720601)</f>
        <v>43257.822072060102</v>
      </c>
      <c r="B812" t="str">
        <f ca="1">IFERROR(__xludf.DUMMYFUNCTION("""COMPUTED_VALUE"""),"vishnuv0095@gmail.com")</f>
        <v>vishnuv0095@gmail.com</v>
      </c>
      <c r="C812">
        <f ca="1">IFERROR(__xludf.DUMMYFUNCTION("""COMPUTED_VALUE"""),220)</f>
        <v>220</v>
      </c>
      <c r="D812" t="str">
        <f ca="1">IFERROR(__xludf.DUMMYFUNCTION("""COMPUTED_VALUE"""),"Santhosh bharathan")</f>
        <v>Santhosh bharathan</v>
      </c>
      <c r="E812">
        <f ca="1">IFERROR(__xludf.DUMMYFUNCTION("""COMPUTED_VALUE"""),9495831376)</f>
        <v>9495831376</v>
      </c>
      <c r="F812" t="str">
        <f ca="1">IFERROR(__xludf.DUMMYFUNCTION("""COMPUTED_VALUE"""),"Alappuzha")</f>
        <v>Alappuzha</v>
      </c>
      <c r="G812" t="str">
        <f ca="1">IFERROR(__xludf.DUMMYFUNCTION("""COMPUTED_VALUE"""),"TATA POWER SOLAR SYSTEMS LTD")</f>
        <v>TATA POWER SOLAR SYSTEMS LTD</v>
      </c>
      <c r="H812">
        <f ca="1">IFERROR(__xludf.DUMMYFUNCTION("""COMPUTED_VALUE"""),20)</f>
        <v>20</v>
      </c>
      <c r="I812" s="4">
        <f ca="1">IFERROR(__xludf.DUMMYFUNCTION("""COMPUTED_VALUE"""),43193)</f>
        <v>43193</v>
      </c>
      <c r="J812">
        <f ca="1">IFERROR(__xludf.DUMMYFUNCTION("""COMPUTED_VALUE"""),5)</f>
        <v>5</v>
      </c>
      <c r="K812">
        <f ca="1">IFERROR(__xludf.DUMMYFUNCTION("""COMPUTED_VALUE"""),1157410009738)</f>
        <v>1157410009738</v>
      </c>
      <c r="L812" t="str">
        <f ca="1">IFERROR(__xludf.DUMMYFUNCTION("""COMPUTED_VALUE"""),"Muthukulam")</f>
        <v>Muthukulam</v>
      </c>
      <c r="M812" t="str">
        <f ca="1">IFERROR(__xludf.DUMMYFUNCTION("""COMPUTED_VALUE"""),"I Accept")</f>
        <v>I Accept</v>
      </c>
      <c r="N812" s="4">
        <f ca="1">IFERROR(__xludf.DUMMYFUNCTION("""COMPUTED_VALUE"""),43187)</f>
        <v>43187</v>
      </c>
      <c r="O812" s="4">
        <f ca="1">IFERROR(__xludf.DUMMYFUNCTION("""COMPUTED_VALUE"""),43187)</f>
        <v>43187</v>
      </c>
      <c r="P812">
        <f ca="1">IFERROR(__xludf.DUMMYFUNCTION("""COMPUTED_VALUE"""),5)</f>
        <v>5</v>
      </c>
      <c r="Q812" t="str">
        <f ca="1">IFERROR(__xludf.DUMMYFUNCTION("""COMPUTED_VALUE"""),"vishnuv0095@gmail.com")</f>
        <v>vishnuv0095@gmail.com</v>
      </c>
      <c r="R812" s="2" t="s">
        <v>3226</v>
      </c>
    </row>
    <row r="813" spans="1:18" ht="13" x14ac:dyDescent="0.15">
      <c r="A813" s="3">
        <f ca="1">IFERROR(__xludf.DUMMYFUNCTION("""COMPUTED_VALUE"""),43257.8366313541)</f>
        <v>43257.836631354097</v>
      </c>
      <c r="B813" t="str">
        <f ca="1">IFERROR(__xludf.DUMMYFUNCTION("""COMPUTED_VALUE"""),"vishnuv0095@gmail.com")</f>
        <v>vishnuv0095@gmail.com</v>
      </c>
      <c r="C813">
        <f ca="1">IFERROR(__xludf.DUMMYFUNCTION("""COMPUTED_VALUE"""),261)</f>
        <v>261</v>
      </c>
      <c r="D813" t="str">
        <f ca="1">IFERROR(__xludf.DUMMYFUNCTION("""COMPUTED_VALUE"""),"Kanakarathinam")</f>
        <v>Kanakarathinam</v>
      </c>
      <c r="E813">
        <f ca="1">IFERROR(__xludf.DUMMYFUNCTION("""COMPUTED_VALUE"""),9495268973)</f>
        <v>9495268973</v>
      </c>
      <c r="F813" t="str">
        <f ca="1">IFERROR(__xludf.DUMMYFUNCTION("""COMPUTED_VALUE"""),"Alappuzha")</f>
        <v>Alappuzha</v>
      </c>
      <c r="G813" t="str">
        <f ca="1">IFERROR(__xludf.DUMMYFUNCTION("""COMPUTED_VALUE"""),"TATA POWER SOLAR SYSTEMS LTD")</f>
        <v>TATA POWER SOLAR SYSTEMS LTD</v>
      </c>
      <c r="H813">
        <f ca="1">IFERROR(__xludf.DUMMYFUNCTION("""COMPUTED_VALUE"""),20)</f>
        <v>20</v>
      </c>
      <c r="I813" s="4">
        <f ca="1">IFERROR(__xludf.DUMMYFUNCTION("""COMPUTED_VALUE"""),43225)</f>
        <v>43225</v>
      </c>
      <c r="J813">
        <f ca="1">IFERROR(__xludf.DUMMYFUNCTION("""COMPUTED_VALUE"""),3)</f>
        <v>3</v>
      </c>
      <c r="K813">
        <f ca="1">IFERROR(__xludf.DUMMYFUNCTION("""COMPUTED_VALUE"""),1155164022491)</f>
        <v>1155164022491</v>
      </c>
      <c r="L813" t="str">
        <f ca="1">IFERROR(__xludf.DUMMYFUNCTION("""COMPUTED_VALUE"""),"kuttiyathodu")</f>
        <v>kuttiyathodu</v>
      </c>
      <c r="M813" t="str">
        <f ca="1">IFERROR(__xludf.DUMMYFUNCTION("""COMPUTED_VALUE"""),"I Accept")</f>
        <v>I Accept</v>
      </c>
      <c r="N813" s="4">
        <f ca="1">IFERROR(__xludf.DUMMYFUNCTION("""COMPUTED_VALUE"""),43210)</f>
        <v>43210</v>
      </c>
      <c r="O813" s="4">
        <f ca="1">IFERROR(__xludf.DUMMYFUNCTION("""COMPUTED_VALUE"""),43210)</f>
        <v>43210</v>
      </c>
      <c r="P813">
        <f ca="1">IFERROR(__xludf.DUMMYFUNCTION("""COMPUTED_VALUE"""),3)</f>
        <v>3</v>
      </c>
      <c r="Q813" t="str">
        <f ca="1">IFERROR(__xludf.DUMMYFUNCTION("""COMPUTED_VALUE"""),"vishnuv0095@gmail.com")</f>
        <v>vishnuv0095@gmail.com</v>
      </c>
      <c r="R813" s="2" t="s">
        <v>3227</v>
      </c>
    </row>
    <row r="814" spans="1:18" ht="13" x14ac:dyDescent="0.15">
      <c r="A814" s="3">
        <f ca="1">IFERROR(__xludf.DUMMYFUNCTION("""COMPUTED_VALUE"""),43257.8440477314)</f>
        <v>43257.8440477314</v>
      </c>
      <c r="B814" t="str">
        <f ca="1">IFERROR(__xludf.DUMMYFUNCTION("""COMPUTED_VALUE"""),"vishnuv0095@gmail.com")</f>
        <v>vishnuv0095@gmail.com</v>
      </c>
      <c r="C814">
        <f ca="1">IFERROR(__xludf.DUMMYFUNCTION("""COMPUTED_VALUE"""),863)</f>
        <v>863</v>
      </c>
      <c r="D814" t="str">
        <f ca="1">IFERROR(__xludf.DUMMYFUNCTION("""COMPUTED_VALUE"""),"koshy .p. mathew")</f>
        <v>koshy .p. mathew</v>
      </c>
      <c r="E814">
        <f ca="1">IFERROR(__xludf.DUMMYFUNCTION("""COMPUTED_VALUE"""),9961076638)</f>
        <v>9961076638</v>
      </c>
      <c r="F814" t="str">
        <f ca="1">IFERROR(__xludf.DUMMYFUNCTION("""COMPUTED_VALUE"""),"Alappuzha")</f>
        <v>Alappuzha</v>
      </c>
      <c r="G814" t="str">
        <f ca="1">IFERROR(__xludf.DUMMYFUNCTION("""COMPUTED_VALUE"""),"TATA POWER SOLAR SYSTEMS LTD")</f>
        <v>TATA POWER SOLAR SYSTEMS LTD</v>
      </c>
      <c r="H814">
        <f ca="1">IFERROR(__xludf.DUMMYFUNCTION("""COMPUTED_VALUE"""),20)</f>
        <v>20</v>
      </c>
      <c r="I814" s="4">
        <f ca="1">IFERROR(__xludf.DUMMYFUNCTION("""COMPUTED_VALUE"""),43240)</f>
        <v>43240</v>
      </c>
      <c r="J814">
        <f ca="1">IFERROR(__xludf.DUMMYFUNCTION("""COMPUTED_VALUE"""),3)</f>
        <v>3</v>
      </c>
      <c r="K814">
        <f ca="1">IFERROR(__xludf.DUMMYFUNCTION("""COMPUTED_VALUE"""),1155332014848)</f>
        <v>1155332014848</v>
      </c>
      <c r="L814" t="str">
        <f ca="1">IFERROR(__xludf.DUMMYFUNCTION("""COMPUTED_VALUE"""),"chenganoor")</f>
        <v>chenganoor</v>
      </c>
      <c r="M814" t="str">
        <f ca="1">IFERROR(__xludf.DUMMYFUNCTION("""COMPUTED_VALUE"""),"I Accept")</f>
        <v>I Accept</v>
      </c>
      <c r="N814" s="4">
        <f ca="1">IFERROR(__xludf.DUMMYFUNCTION("""COMPUTED_VALUE"""),43236)</f>
        <v>43236</v>
      </c>
      <c r="O814" s="4">
        <f ca="1">IFERROR(__xludf.DUMMYFUNCTION("""COMPUTED_VALUE"""),43236)</f>
        <v>43236</v>
      </c>
      <c r="P814">
        <f ca="1">IFERROR(__xludf.DUMMYFUNCTION("""COMPUTED_VALUE"""),3)</f>
        <v>3</v>
      </c>
      <c r="Q814" t="str">
        <f ca="1">IFERROR(__xludf.DUMMYFUNCTION("""COMPUTED_VALUE"""),"vishnuv0095@gmail.com")</f>
        <v>vishnuv0095@gmail.com</v>
      </c>
      <c r="R814" s="2" t="s">
        <v>3228</v>
      </c>
    </row>
    <row r="815" spans="1:18" ht="13" x14ac:dyDescent="0.15">
      <c r="A815" s="3">
        <f ca="1">IFERROR(__xludf.DUMMYFUNCTION("""COMPUTED_VALUE"""),43257.8472405902)</f>
        <v>43257.847240590199</v>
      </c>
      <c r="B815" t="str">
        <f ca="1">IFERROR(__xludf.DUMMYFUNCTION("""COMPUTED_VALUE"""),"vishnuv0095@gmail.com")</f>
        <v>vishnuv0095@gmail.com</v>
      </c>
      <c r="C815">
        <f ca="1">IFERROR(__xludf.DUMMYFUNCTION("""COMPUTED_VALUE"""),813)</f>
        <v>813</v>
      </c>
      <c r="D815" t="str">
        <f ca="1">IFERROR(__xludf.DUMMYFUNCTION("""COMPUTED_VALUE"""),"V C ALEXANDER ")</f>
        <v xml:space="preserve">V C ALEXANDER </v>
      </c>
      <c r="E815">
        <f ca="1">IFERROR(__xludf.DUMMYFUNCTION("""COMPUTED_VALUE"""),9447045352)</f>
        <v>9447045352</v>
      </c>
      <c r="F815" t="str">
        <f ca="1">IFERROR(__xludf.DUMMYFUNCTION("""COMPUTED_VALUE"""),"Alappuzha")</f>
        <v>Alappuzha</v>
      </c>
      <c r="G815" t="str">
        <f ca="1">IFERROR(__xludf.DUMMYFUNCTION("""COMPUTED_VALUE"""),"TATA POWER SOLAR SYSTEMS LTD")</f>
        <v>TATA POWER SOLAR SYSTEMS LTD</v>
      </c>
      <c r="H815">
        <f ca="1">IFERROR(__xludf.DUMMYFUNCTION("""COMPUTED_VALUE"""),20)</f>
        <v>20</v>
      </c>
      <c r="I815" s="4">
        <f ca="1">IFERROR(__xludf.DUMMYFUNCTION("""COMPUTED_VALUE"""),43240)</f>
        <v>43240</v>
      </c>
      <c r="J815">
        <f ca="1">IFERROR(__xludf.DUMMYFUNCTION("""COMPUTED_VALUE"""),5)</f>
        <v>5</v>
      </c>
      <c r="K815">
        <f ca="1">IFERROR(__xludf.DUMMYFUNCTION("""COMPUTED_VALUE"""),1155330005679)</f>
        <v>1155330005679</v>
      </c>
      <c r="L815" t="str">
        <f ca="1">IFERROR(__xludf.DUMMYFUNCTION("""COMPUTED_VALUE"""),"chenganoor")</f>
        <v>chenganoor</v>
      </c>
      <c r="M815" t="str">
        <f ca="1">IFERROR(__xludf.DUMMYFUNCTION("""COMPUTED_VALUE"""),"I Accept")</f>
        <v>I Accept</v>
      </c>
      <c r="N815" s="4">
        <f ca="1">IFERROR(__xludf.DUMMYFUNCTION("""COMPUTED_VALUE"""),43236)</f>
        <v>43236</v>
      </c>
      <c r="O815" s="4">
        <f ca="1">IFERROR(__xludf.DUMMYFUNCTION("""COMPUTED_VALUE"""),43236)</f>
        <v>43236</v>
      </c>
      <c r="P815">
        <f ca="1">IFERROR(__xludf.DUMMYFUNCTION("""COMPUTED_VALUE"""),5)</f>
        <v>5</v>
      </c>
      <c r="Q815" t="str">
        <f ca="1">IFERROR(__xludf.DUMMYFUNCTION("""COMPUTED_VALUE"""),"vishnuv0095@gmail.com")</f>
        <v>vishnuv0095@gmail.com</v>
      </c>
      <c r="R815" s="2" t="s">
        <v>3229</v>
      </c>
    </row>
    <row r="816" spans="1:18" ht="13" x14ac:dyDescent="0.15">
      <c r="A816" s="3">
        <f ca="1">IFERROR(__xludf.DUMMYFUNCTION("""COMPUTED_VALUE"""),43257.8947438541)</f>
        <v>43257.8947438541</v>
      </c>
      <c r="B816" t="str">
        <f ca="1">IFERROR(__xludf.DUMMYFUNCTION("""COMPUTED_VALUE"""),"shameer.panangad@gmail.com")</f>
        <v>shameer.panangad@gmail.com</v>
      </c>
      <c r="C816">
        <f ca="1">IFERROR(__xludf.DUMMYFUNCTION("""COMPUTED_VALUE"""),1014)</f>
        <v>1014</v>
      </c>
      <c r="D816" t="str">
        <f ca="1">IFERROR(__xludf.DUMMYFUNCTION("""COMPUTED_VALUE"""),"Laila A V")</f>
        <v>Laila A V</v>
      </c>
      <c r="E816">
        <f ca="1">IFERROR(__xludf.DUMMYFUNCTION("""COMPUTED_VALUE"""),9746338323)</f>
        <v>9746338323</v>
      </c>
      <c r="F816" t="str">
        <f ca="1">IFERROR(__xludf.DUMMYFUNCTION("""COMPUTED_VALUE"""),"Ernakulam")</f>
        <v>Ernakulam</v>
      </c>
      <c r="G816" t="str">
        <f ca="1">IFERROR(__xludf.DUMMYFUNCTION("""COMPUTED_VALUE"""),"Kraftwork Solar Pvt. Ltd.")</f>
        <v>Kraftwork Solar Pvt. Ltd.</v>
      </c>
      <c r="H816">
        <f ca="1">IFERROR(__xludf.DUMMYFUNCTION("""COMPUTED_VALUE"""),26)</f>
        <v>26</v>
      </c>
      <c r="I816" s="4">
        <f ca="1">IFERROR(__xludf.DUMMYFUNCTION("""COMPUTED_VALUE"""),43253)</f>
        <v>43253</v>
      </c>
      <c r="J816">
        <f ca="1">IFERROR(__xludf.DUMMYFUNCTION("""COMPUTED_VALUE"""),2)</f>
        <v>2</v>
      </c>
      <c r="K816">
        <f ca="1">IFERROR(__xludf.DUMMYFUNCTION("""COMPUTED_VALUE"""),1157359006277)</f>
        <v>1157359006277</v>
      </c>
      <c r="L816" t="str">
        <f ca="1">IFERROR(__xludf.DUMMYFUNCTION("""COMPUTED_VALUE"""),"Panangad")</f>
        <v>Panangad</v>
      </c>
      <c r="M816" t="str">
        <f ca="1">IFERROR(__xludf.DUMMYFUNCTION("""COMPUTED_VALUE"""),"I Accept")</f>
        <v>I Accept</v>
      </c>
      <c r="N816" s="4">
        <f ca="1">IFERROR(__xludf.DUMMYFUNCTION("""COMPUTED_VALUE"""),43241)</f>
        <v>43241</v>
      </c>
      <c r="O816" s="4">
        <f ca="1">IFERROR(__xludf.DUMMYFUNCTION("""COMPUTED_VALUE"""),43241)</f>
        <v>43241</v>
      </c>
      <c r="P816">
        <f ca="1">IFERROR(__xludf.DUMMYFUNCTION("""COMPUTED_VALUE"""),2)</f>
        <v>2</v>
      </c>
      <c r="Q816" t="str">
        <f ca="1">IFERROR(__xludf.DUMMYFUNCTION("""COMPUTED_VALUE"""),"info@kraftworksolar.com")</f>
        <v>info@kraftworksolar.com</v>
      </c>
      <c r="R816" s="2" t="s">
        <v>3230</v>
      </c>
    </row>
    <row r="817" spans="1:18" ht="13" x14ac:dyDescent="0.15">
      <c r="A817" s="3">
        <f ca="1">IFERROR(__xludf.DUMMYFUNCTION("""COMPUTED_VALUE"""),43257.8978899074)</f>
        <v>43257.897889907399</v>
      </c>
      <c r="B817" t="str">
        <f ca="1">IFERROR(__xludf.DUMMYFUNCTION("""COMPUTED_VALUE"""),"info@kraftworksolar.com")</f>
        <v>info@kraftworksolar.com</v>
      </c>
      <c r="C817">
        <f ca="1">IFERROR(__xludf.DUMMYFUNCTION("""COMPUTED_VALUE"""),1098)</f>
        <v>1098</v>
      </c>
      <c r="D817" t="str">
        <f ca="1">IFERROR(__xludf.DUMMYFUNCTION("""COMPUTED_VALUE"""),"George Cherian")</f>
        <v>George Cherian</v>
      </c>
      <c r="E817">
        <f ca="1">IFERROR(__xludf.DUMMYFUNCTION("""COMPUTED_VALUE"""),9447769225)</f>
        <v>9447769225</v>
      </c>
      <c r="F817" t="str">
        <f ca="1">IFERROR(__xludf.DUMMYFUNCTION("""COMPUTED_VALUE"""),"Ernakulam")</f>
        <v>Ernakulam</v>
      </c>
      <c r="G817" t="str">
        <f ca="1">IFERROR(__xludf.DUMMYFUNCTION("""COMPUTED_VALUE"""),"Kraftwork Solar Pvt. Ltd.")</f>
        <v>Kraftwork Solar Pvt. Ltd.</v>
      </c>
      <c r="H817">
        <f ca="1">IFERROR(__xludf.DUMMYFUNCTION("""COMPUTED_VALUE"""),26)</f>
        <v>26</v>
      </c>
      <c r="I817" s="4">
        <f ca="1">IFERROR(__xludf.DUMMYFUNCTION("""COMPUTED_VALUE"""),43257)</f>
        <v>43257</v>
      </c>
      <c r="J817">
        <f ca="1">IFERROR(__xludf.DUMMYFUNCTION("""COMPUTED_VALUE"""),3)</f>
        <v>3</v>
      </c>
      <c r="K817">
        <f ca="1">IFERROR(__xludf.DUMMYFUNCTION("""COMPUTED_VALUE"""),1155465010235)</f>
        <v>1155465010235</v>
      </c>
      <c r="L817" t="str">
        <f ca="1">IFERROR(__xludf.DUMMYFUNCTION("""COMPUTED_VALUE"""),"Ernakulam Central")</f>
        <v>Ernakulam Central</v>
      </c>
      <c r="M817" t="str">
        <f ca="1">IFERROR(__xludf.DUMMYFUNCTION("""COMPUTED_VALUE"""),"I Accept")</f>
        <v>I Accept</v>
      </c>
      <c r="N817" s="4">
        <f ca="1">IFERROR(__xludf.DUMMYFUNCTION("""COMPUTED_VALUE"""),43257)</f>
        <v>43257</v>
      </c>
      <c r="O817" s="4">
        <f ca="1">IFERROR(__xludf.DUMMYFUNCTION("""COMPUTED_VALUE"""),43257)</f>
        <v>43257</v>
      </c>
      <c r="P817">
        <f ca="1">IFERROR(__xludf.DUMMYFUNCTION("""COMPUTED_VALUE"""),3)</f>
        <v>3</v>
      </c>
      <c r="Q817" t="str">
        <f ca="1">IFERROR(__xludf.DUMMYFUNCTION("""COMPUTED_VALUE"""),"info@kraftworksolar.com")</f>
        <v>info@kraftworksolar.com</v>
      </c>
      <c r="R817" s="2" t="s">
        <v>3231</v>
      </c>
    </row>
    <row r="818" spans="1:18" ht="13" x14ac:dyDescent="0.15">
      <c r="A818" s="3">
        <f ca="1">IFERROR(__xludf.DUMMYFUNCTION("""COMPUTED_VALUE"""),43258.4131439583)</f>
        <v>43258.4131439583</v>
      </c>
      <c r="B818" t="str">
        <f ca="1">IFERROR(__xludf.DUMMYFUNCTION("""COMPUTED_VALUE"""),"warmncoolplr@gmail.com")</f>
        <v>warmncoolplr@gmail.com</v>
      </c>
      <c r="C818">
        <f ca="1">IFERROR(__xludf.DUMMYFUNCTION("""COMPUTED_VALUE"""),1199)</f>
        <v>1199</v>
      </c>
      <c r="D818" t="str">
        <f ca="1">IFERROR(__xludf.DUMMYFUNCTION("""COMPUTED_VALUE"""),"John Mathew")</f>
        <v>John Mathew</v>
      </c>
      <c r="E818">
        <f ca="1">IFERROR(__xludf.DUMMYFUNCTION("""COMPUTED_VALUE"""),994690109)</f>
        <v>994690109</v>
      </c>
      <c r="F818" t="str">
        <f ca="1">IFERROR(__xludf.DUMMYFUNCTION("""COMPUTED_VALUE"""),"Pathanamthitta")</f>
        <v>Pathanamthitta</v>
      </c>
      <c r="G818" t="str">
        <f ca="1">IFERROR(__xludf.DUMMYFUNCTION("""COMPUTED_VALUE"""),"Solgen Energy Pvt Ltd")</f>
        <v>Solgen Energy Pvt Ltd</v>
      </c>
      <c r="H818">
        <f ca="1">IFERROR(__xludf.DUMMYFUNCTION("""COMPUTED_VALUE"""),42)</f>
        <v>42</v>
      </c>
      <c r="I818" s="4">
        <f ca="1">IFERROR(__xludf.DUMMYFUNCTION("""COMPUTED_VALUE"""),43258)</f>
        <v>43258</v>
      </c>
      <c r="J818">
        <f ca="1">IFERROR(__xludf.DUMMYFUNCTION("""COMPUTED_VALUE"""),3)</f>
        <v>3</v>
      </c>
      <c r="K818">
        <f ca="1">IFERROR(__xludf.DUMMYFUNCTION("""COMPUTED_VALUE"""),1146198006495)</f>
        <v>1146198006495</v>
      </c>
      <c r="L818" t="str">
        <f ca="1">IFERROR(__xludf.DUMMYFUNCTION("""COMPUTED_VALUE"""),"Kumbanadu")</f>
        <v>Kumbanadu</v>
      </c>
      <c r="M818" t="str">
        <f ca="1">IFERROR(__xludf.DUMMYFUNCTION("""COMPUTED_VALUE"""),"I Accept")</f>
        <v>I Accept</v>
      </c>
      <c r="N818" s="4">
        <f ca="1">IFERROR(__xludf.DUMMYFUNCTION("""COMPUTED_VALUE"""),43257)</f>
        <v>43257</v>
      </c>
      <c r="O818" s="4">
        <f ca="1">IFERROR(__xludf.DUMMYFUNCTION("""COMPUTED_VALUE"""),43257)</f>
        <v>43257</v>
      </c>
      <c r="P818">
        <f ca="1">IFERROR(__xludf.DUMMYFUNCTION("""COMPUTED_VALUE"""),3)</f>
        <v>3</v>
      </c>
      <c r="Q818" t="str">
        <f ca="1">IFERROR(__xludf.DUMMYFUNCTION("""COMPUTED_VALUE"""),"warmncoolplr@gmail.com")</f>
        <v>warmncoolplr@gmail.com</v>
      </c>
      <c r="R818" s="2" t="s">
        <v>3232</v>
      </c>
    </row>
    <row r="819" spans="1:18" ht="13" x14ac:dyDescent="0.15">
      <c r="A819" s="3">
        <f ca="1">IFERROR(__xludf.DUMMYFUNCTION("""COMPUTED_VALUE"""),43258.414851956)</f>
        <v>43258.414851955997</v>
      </c>
      <c r="B819" t="str">
        <f ca="1">IFERROR(__xludf.DUMMYFUNCTION("""COMPUTED_VALUE"""),"Vishnuv0095@gmail.com")</f>
        <v>Vishnuv0095@gmail.com</v>
      </c>
      <c r="C819">
        <f ca="1">IFERROR(__xludf.DUMMYFUNCTION("""COMPUTED_VALUE"""),458)</f>
        <v>458</v>
      </c>
      <c r="D819" t="str">
        <f ca="1">IFERROR(__xludf.DUMMYFUNCTION("""COMPUTED_VALUE"""),"Valsala suresh kumar")</f>
        <v>Valsala suresh kumar</v>
      </c>
      <c r="E819">
        <f ca="1">IFERROR(__xludf.DUMMYFUNCTION("""COMPUTED_VALUE"""),4772702739)</f>
        <v>4772702739</v>
      </c>
      <c r="F819" t="str">
        <f ca="1">IFERROR(__xludf.DUMMYFUNCTION("""COMPUTED_VALUE"""),"Alappuzha")</f>
        <v>Alappuzha</v>
      </c>
      <c r="G819" t="str">
        <f ca="1">IFERROR(__xludf.DUMMYFUNCTION("""COMPUTED_VALUE"""),"TATA POWER SOLAR SYSTEMS LTD")</f>
        <v>TATA POWER SOLAR SYSTEMS LTD</v>
      </c>
      <c r="H819">
        <f ca="1">IFERROR(__xludf.DUMMYFUNCTION("""COMPUTED_VALUE"""),20)</f>
        <v>20</v>
      </c>
      <c r="I819" s="4">
        <f ca="1">IFERROR(__xludf.DUMMYFUNCTION("""COMPUTED_VALUE"""),43218)</f>
        <v>43218</v>
      </c>
      <c r="J819">
        <f ca="1">IFERROR(__xludf.DUMMYFUNCTION("""COMPUTED_VALUE"""),3)</f>
        <v>3</v>
      </c>
      <c r="K819">
        <f ca="1">IFERROR(__xludf.DUMMYFUNCTION("""COMPUTED_VALUE"""),1155095007470)</f>
        <v>1155095007470</v>
      </c>
      <c r="L819" t="str">
        <f ca="1">IFERROR(__xludf.DUMMYFUNCTION("""COMPUTED_VALUE"""),"Macombu")</f>
        <v>Macombu</v>
      </c>
      <c r="M819" t="str">
        <f ca="1">IFERROR(__xludf.DUMMYFUNCTION("""COMPUTED_VALUE"""),"I Accept")</f>
        <v>I Accept</v>
      </c>
      <c r="N819" s="4">
        <f ca="1">IFERROR(__xludf.DUMMYFUNCTION("""COMPUTED_VALUE"""),43211)</f>
        <v>43211</v>
      </c>
      <c r="O819" s="4">
        <f ca="1">IFERROR(__xludf.DUMMYFUNCTION("""COMPUTED_VALUE"""),43211)</f>
        <v>43211</v>
      </c>
      <c r="P819">
        <f ca="1">IFERROR(__xludf.DUMMYFUNCTION("""COMPUTED_VALUE"""),3)</f>
        <v>3</v>
      </c>
      <c r="Q819" t="str">
        <f ca="1">IFERROR(__xludf.DUMMYFUNCTION("""COMPUTED_VALUE"""),"vishnuv0095@gmail.com")</f>
        <v>vishnuv0095@gmail.com</v>
      </c>
      <c r="R819" s="2" t="s">
        <v>3233</v>
      </c>
    </row>
    <row r="820" spans="1:18" ht="13" x14ac:dyDescent="0.15">
      <c r="A820" s="3">
        <f ca="1">IFERROR(__xludf.DUMMYFUNCTION("""COMPUTED_VALUE"""),43258.417660949)</f>
        <v>43258.417660949002</v>
      </c>
      <c r="B820" t="str">
        <f ca="1">IFERROR(__xludf.DUMMYFUNCTION("""COMPUTED_VALUE"""),"Vishnuv0095@gmail.com")</f>
        <v>Vishnuv0095@gmail.com</v>
      </c>
      <c r="C820">
        <f ca="1">IFERROR(__xludf.DUMMYFUNCTION("""COMPUTED_VALUE"""),1023)</f>
        <v>1023</v>
      </c>
      <c r="D820" t="str">
        <f ca="1">IFERROR(__xludf.DUMMYFUNCTION("""COMPUTED_VALUE"""),"Chandi jacob neroth")</f>
        <v>Chandi jacob neroth</v>
      </c>
      <c r="E820">
        <f ca="1">IFERROR(__xludf.DUMMYFUNCTION("""COMPUTED_VALUE"""),9495944611)</f>
        <v>9495944611</v>
      </c>
      <c r="F820" t="str">
        <f ca="1">IFERROR(__xludf.DUMMYFUNCTION("""COMPUTED_VALUE"""),"Alappuzha")</f>
        <v>Alappuzha</v>
      </c>
      <c r="G820" t="str">
        <f ca="1">IFERROR(__xludf.DUMMYFUNCTION("""COMPUTED_VALUE"""),"TATA POWER SOLAR SYSTEMS LTD")</f>
        <v>TATA POWER SOLAR SYSTEMS LTD</v>
      </c>
      <c r="H820">
        <f ca="1">IFERROR(__xludf.DUMMYFUNCTION("""COMPUTED_VALUE"""),20)</f>
        <v>20</v>
      </c>
      <c r="I820" s="4">
        <f ca="1">IFERROR(__xludf.DUMMYFUNCTION("""COMPUTED_VALUE"""),43224)</f>
        <v>43224</v>
      </c>
      <c r="J820">
        <f ca="1">IFERROR(__xludf.DUMMYFUNCTION("""COMPUTED_VALUE"""),5)</f>
        <v>5</v>
      </c>
      <c r="K820">
        <f ca="1">IFERROR(__xludf.DUMMYFUNCTION("""COMPUTED_VALUE"""),1155030000148)</f>
        <v>1155030000148</v>
      </c>
      <c r="L820" t="str">
        <f ca="1">IFERROR(__xludf.DUMMYFUNCTION("""COMPUTED_VALUE"""),"5503")</f>
        <v>5503</v>
      </c>
      <c r="M820" t="str">
        <f ca="1">IFERROR(__xludf.DUMMYFUNCTION("""COMPUTED_VALUE"""),"I Accept")</f>
        <v>I Accept</v>
      </c>
      <c r="N820" s="4">
        <f ca="1">IFERROR(__xludf.DUMMYFUNCTION("""COMPUTED_VALUE"""),43218)</f>
        <v>43218</v>
      </c>
      <c r="O820" s="4">
        <f ca="1">IFERROR(__xludf.DUMMYFUNCTION("""COMPUTED_VALUE"""),43218)</f>
        <v>43218</v>
      </c>
      <c r="P820">
        <f ca="1">IFERROR(__xludf.DUMMYFUNCTION("""COMPUTED_VALUE"""),5)</f>
        <v>5</v>
      </c>
      <c r="Q820" t="str">
        <f ca="1">IFERROR(__xludf.DUMMYFUNCTION("""COMPUTED_VALUE"""),"vishnuv0095@gmail.com")</f>
        <v>vishnuv0095@gmail.com</v>
      </c>
      <c r="R820" s="2" t="s">
        <v>3234</v>
      </c>
    </row>
    <row r="821" spans="1:18" ht="13" x14ac:dyDescent="0.15">
      <c r="A821" s="3">
        <f ca="1">IFERROR(__xludf.DUMMYFUNCTION("""COMPUTED_VALUE"""),43258.4284971412)</f>
        <v>43258.428497141198</v>
      </c>
      <c r="B821" t="str">
        <f ca="1">IFERROR(__xludf.DUMMYFUNCTION("""COMPUTED_VALUE"""),"vishnuv0095@gmail.com")</f>
        <v>vishnuv0095@gmail.com</v>
      </c>
      <c r="C821">
        <f ca="1">IFERROR(__xludf.DUMMYFUNCTION("""COMPUTED_VALUE"""),729)</f>
        <v>729</v>
      </c>
      <c r="D821" t="str">
        <f ca="1">IFERROR(__xludf.DUMMYFUNCTION("""COMPUTED_VALUE"""),"Anil kumar m g")</f>
        <v>Anil kumar m g</v>
      </c>
      <c r="E821">
        <f ca="1">IFERROR(__xludf.DUMMYFUNCTION("""COMPUTED_VALUE"""),8606002620)</f>
        <v>8606002620</v>
      </c>
      <c r="F821" t="str">
        <f ca="1">IFERROR(__xludf.DUMMYFUNCTION("""COMPUTED_VALUE"""),"Alappuzha")</f>
        <v>Alappuzha</v>
      </c>
      <c r="G821" t="str">
        <f ca="1">IFERROR(__xludf.DUMMYFUNCTION("""COMPUTED_VALUE"""),"TATA POWER SOLAR SYSTEMS LTD")</f>
        <v>TATA POWER SOLAR SYSTEMS LTD</v>
      </c>
      <c r="H821">
        <f ca="1">IFERROR(__xludf.DUMMYFUNCTION("""COMPUTED_VALUE"""),20)</f>
        <v>20</v>
      </c>
      <c r="I821" s="4">
        <f ca="1">IFERROR(__xludf.DUMMYFUNCTION("""COMPUTED_VALUE"""),43220)</f>
        <v>43220</v>
      </c>
      <c r="J821">
        <f ca="1">IFERROR(__xludf.DUMMYFUNCTION("""COMPUTED_VALUE"""),3)</f>
        <v>3</v>
      </c>
      <c r="K821">
        <f ca="1">IFERROR(__xludf.DUMMYFUNCTION("""COMPUTED_VALUE"""),1155096017403)</f>
        <v>1155096017403</v>
      </c>
      <c r="L821" t="str">
        <f ca="1">IFERROR(__xludf.DUMMYFUNCTION("""COMPUTED_VALUE"""),"Macombu")</f>
        <v>Macombu</v>
      </c>
      <c r="M821" t="str">
        <f ca="1">IFERROR(__xludf.DUMMYFUNCTION("""COMPUTED_VALUE"""),"I Accept")</f>
        <v>I Accept</v>
      </c>
      <c r="N821" s="4">
        <f ca="1">IFERROR(__xludf.DUMMYFUNCTION("""COMPUTED_VALUE"""),43210)</f>
        <v>43210</v>
      </c>
      <c r="O821" s="4">
        <f ca="1">IFERROR(__xludf.DUMMYFUNCTION("""COMPUTED_VALUE"""),43210)</f>
        <v>43210</v>
      </c>
      <c r="P821">
        <f ca="1">IFERROR(__xludf.DUMMYFUNCTION("""COMPUTED_VALUE"""),3)</f>
        <v>3</v>
      </c>
      <c r="Q821" t="str">
        <f ca="1">IFERROR(__xludf.DUMMYFUNCTION("""COMPUTED_VALUE"""),"vishnuv0095@gmail.comv")</f>
        <v>vishnuv0095@gmail.comv</v>
      </c>
      <c r="R821" s="2" t="s">
        <v>3235</v>
      </c>
    </row>
    <row r="822" spans="1:18" ht="13" x14ac:dyDescent="0.15">
      <c r="A822" s="3">
        <f ca="1">IFERROR(__xludf.DUMMYFUNCTION("""COMPUTED_VALUE"""),43258.4633844097)</f>
        <v>43258.463384409697</v>
      </c>
      <c r="B822" t="str">
        <f ca="1">IFERROR(__xludf.DUMMYFUNCTION("""COMPUTED_VALUE"""),"Vishnuv0095@gmail.com")</f>
        <v>Vishnuv0095@gmail.com</v>
      </c>
      <c r="C822">
        <f ca="1">IFERROR(__xludf.DUMMYFUNCTION("""COMPUTED_VALUE"""),1214)</f>
        <v>1214</v>
      </c>
      <c r="D822" t="str">
        <f ca="1">IFERROR(__xludf.DUMMYFUNCTION("""COMPUTED_VALUE"""),"K P Thomas")</f>
        <v>K P Thomas</v>
      </c>
      <c r="E822">
        <f ca="1">IFERROR(__xludf.DUMMYFUNCTION("""COMPUTED_VALUE"""),9605420994)</f>
        <v>9605420994</v>
      </c>
      <c r="F822" t="str">
        <f ca="1">IFERROR(__xludf.DUMMYFUNCTION("""COMPUTED_VALUE"""),"Alappuzha")</f>
        <v>Alappuzha</v>
      </c>
      <c r="G822" t="str">
        <f ca="1">IFERROR(__xludf.DUMMYFUNCTION("""COMPUTED_VALUE"""),"TATA POWER SOLAR SYSTEMS LTD")</f>
        <v>TATA POWER SOLAR SYSTEMS LTD</v>
      </c>
      <c r="H822">
        <f ca="1">IFERROR(__xludf.DUMMYFUNCTION("""COMPUTED_VALUE"""),20)</f>
        <v>20</v>
      </c>
      <c r="I822" s="4">
        <f ca="1">IFERROR(__xludf.DUMMYFUNCTION("""COMPUTED_VALUE"""),43225)</f>
        <v>43225</v>
      </c>
      <c r="J822">
        <f ca="1">IFERROR(__xludf.DUMMYFUNCTION("""COMPUTED_VALUE"""),3)</f>
        <v>3</v>
      </c>
      <c r="K822">
        <f ca="1">IFERROR(__xludf.DUMMYFUNCTION("""COMPUTED_VALUE"""),1155335002091)</f>
        <v>1155335002091</v>
      </c>
      <c r="L822" t="str">
        <f ca="1">IFERROR(__xludf.DUMMYFUNCTION("""COMPUTED_VALUE"""),"Chenganoor")</f>
        <v>Chenganoor</v>
      </c>
      <c r="M822" t="str">
        <f ca="1">IFERROR(__xludf.DUMMYFUNCTION("""COMPUTED_VALUE"""),"I Accept")</f>
        <v>I Accept</v>
      </c>
      <c r="N822" s="4">
        <f ca="1">IFERROR(__xludf.DUMMYFUNCTION("""COMPUTED_VALUE"""),43223)</f>
        <v>43223</v>
      </c>
      <c r="O822" s="4">
        <f ca="1">IFERROR(__xludf.DUMMYFUNCTION("""COMPUTED_VALUE"""),43223)</f>
        <v>43223</v>
      </c>
      <c r="P822">
        <f ca="1">IFERROR(__xludf.DUMMYFUNCTION("""COMPUTED_VALUE"""),3)</f>
        <v>3</v>
      </c>
      <c r="Q822" t="str">
        <f ca="1">IFERROR(__xludf.DUMMYFUNCTION("""COMPUTED_VALUE"""),"vishnuv0095@gmail.com")</f>
        <v>vishnuv0095@gmail.com</v>
      </c>
      <c r="R822" s="2" t="s">
        <v>3236</v>
      </c>
    </row>
    <row r="823" spans="1:18" ht="13" x14ac:dyDescent="0.15">
      <c r="A823" s="3">
        <f ca="1">IFERROR(__xludf.DUMMYFUNCTION("""COMPUTED_VALUE"""),43258.4673249768)</f>
        <v>43258.467324976802</v>
      </c>
      <c r="B823" t="str">
        <f ca="1">IFERROR(__xludf.DUMMYFUNCTION("""COMPUTED_VALUE"""),"nafeesakm@gmail.com")</f>
        <v>nafeesakm@gmail.com</v>
      </c>
      <c r="C823">
        <f ca="1">IFERROR(__xludf.DUMMYFUNCTION("""COMPUTED_VALUE"""),119)</f>
        <v>119</v>
      </c>
      <c r="D823" t="str">
        <f ca="1">IFERROR(__xludf.DUMMYFUNCTION("""COMPUTED_VALUE"""),"Moossa P P")</f>
        <v>Moossa P P</v>
      </c>
      <c r="E823">
        <f ca="1">IFERROR(__xludf.DUMMYFUNCTION("""COMPUTED_VALUE"""),9447934220)</f>
        <v>9447934220</v>
      </c>
      <c r="F823" t="str">
        <f ca="1">IFERROR(__xludf.DUMMYFUNCTION("""COMPUTED_VALUE"""),"Malappuram")</f>
        <v>Malappuram</v>
      </c>
      <c r="G823" t="str">
        <f ca="1">IFERROR(__xludf.DUMMYFUNCTION("""COMPUTED_VALUE"""),"Hykon India Ltd")</f>
        <v>Hykon India Ltd</v>
      </c>
      <c r="H823">
        <f ca="1">IFERROR(__xludf.DUMMYFUNCTION("""COMPUTED_VALUE"""),41)</f>
        <v>41</v>
      </c>
      <c r="I823" s="4">
        <f ca="1">IFERROR(__xludf.DUMMYFUNCTION("""COMPUTED_VALUE"""),43258)</f>
        <v>43258</v>
      </c>
      <c r="J823">
        <f ca="1">IFERROR(__xludf.DUMMYFUNCTION("""COMPUTED_VALUE"""),2)</f>
        <v>2</v>
      </c>
      <c r="K823">
        <f ca="1">IFERROR(__xludf.DUMMYFUNCTION("""COMPUTED_VALUE"""),1167557004078)</f>
        <v>1167557004078</v>
      </c>
      <c r="L823" t="str">
        <f ca="1">IFERROR(__xludf.DUMMYFUNCTION("""COMPUTED_VALUE"""),"Kandanakom-Kalady")</f>
        <v>Kandanakom-Kalady</v>
      </c>
      <c r="M823" t="str">
        <f ca="1">IFERROR(__xludf.DUMMYFUNCTION("""COMPUTED_VALUE"""),"I Accept")</f>
        <v>I Accept</v>
      </c>
      <c r="N823" s="4">
        <f ca="1">IFERROR(__xludf.DUMMYFUNCTION("""COMPUTED_VALUE"""),43257)</f>
        <v>43257</v>
      </c>
      <c r="O823" s="4">
        <f ca="1">IFERROR(__xludf.DUMMYFUNCTION("""COMPUTED_VALUE"""),43257)</f>
        <v>43257</v>
      </c>
      <c r="P823">
        <f ca="1">IFERROR(__xludf.DUMMYFUNCTION("""COMPUTED_VALUE"""),2)</f>
        <v>2</v>
      </c>
      <c r="Q823" t="str">
        <f ca="1">IFERROR(__xludf.DUMMYFUNCTION("""COMPUTED_VALUE"""),"nafeesakm@gmail.com")</f>
        <v>nafeesakm@gmail.com</v>
      </c>
      <c r="R823" s="2" t="s">
        <v>3237</v>
      </c>
    </row>
    <row r="824" spans="1:18" ht="13" x14ac:dyDescent="0.15">
      <c r="A824" s="3">
        <f ca="1">IFERROR(__xludf.DUMMYFUNCTION("""COMPUTED_VALUE"""),43258.9389989004)</f>
        <v>43258.938998900398</v>
      </c>
      <c r="B824" t="str">
        <f ca="1">IFERROR(__xludf.DUMMYFUNCTION("""COMPUTED_VALUE"""),"jose@kottoor.in")</f>
        <v>jose@kottoor.in</v>
      </c>
      <c r="C824">
        <f ca="1">IFERROR(__xludf.DUMMYFUNCTION("""COMPUTED_VALUE"""),1226)</f>
        <v>1226</v>
      </c>
      <c r="D824" t="str">
        <f ca="1">IFERROR(__xludf.DUMMYFUNCTION("""COMPUTED_VALUE""")," K J FRANCIS")</f>
        <v xml:space="preserve"> K J FRANCIS</v>
      </c>
      <c r="E824">
        <f ca="1">IFERROR(__xludf.DUMMYFUNCTION("""COMPUTED_VALUE"""),9895792039)</f>
        <v>9895792039</v>
      </c>
      <c r="F824" t="str">
        <f ca="1">IFERROR(__xludf.DUMMYFUNCTION("""COMPUTED_VALUE"""),"Ernakulam")</f>
        <v>Ernakulam</v>
      </c>
      <c r="G824" t="str">
        <f ca="1">IFERROR(__xludf.DUMMYFUNCTION("""COMPUTED_VALUE"""),"SPECTRUM TECHNO PRODUCTS")</f>
        <v>SPECTRUM TECHNO PRODUCTS</v>
      </c>
      <c r="H824">
        <f ca="1">IFERROR(__xludf.DUMMYFUNCTION("""COMPUTED_VALUE"""),66)</f>
        <v>66</v>
      </c>
      <c r="I824" s="4">
        <f ca="1">IFERROR(__xludf.DUMMYFUNCTION("""COMPUTED_VALUE"""),43258)</f>
        <v>43258</v>
      </c>
      <c r="J824">
        <f ca="1">IFERROR(__xludf.DUMMYFUNCTION("""COMPUTED_VALUE"""),5)</f>
        <v>5</v>
      </c>
      <c r="K824">
        <f ca="1">IFERROR(__xludf.DUMMYFUNCTION("""COMPUTED_VALUE"""),1155493000002)</f>
        <v>1155493000002</v>
      </c>
      <c r="L824" t="str">
        <f ca="1">IFERROR(__xludf.DUMMYFUNCTION("""COMPUTED_VALUE"""),"UDAYAMPEROOR")</f>
        <v>UDAYAMPEROOR</v>
      </c>
      <c r="M824" t="str">
        <f ca="1">IFERROR(__xludf.DUMMYFUNCTION("""COMPUTED_VALUE"""),"I Accept")</f>
        <v>I Accept</v>
      </c>
      <c r="N824" s="4">
        <f ca="1">IFERROR(__xludf.DUMMYFUNCTION("""COMPUTED_VALUE"""),43251)</f>
        <v>43251</v>
      </c>
      <c r="O824" s="4">
        <f ca="1">IFERROR(__xludf.DUMMYFUNCTION("""COMPUTED_VALUE"""),43251)</f>
        <v>43251</v>
      </c>
      <c r="P824">
        <f ca="1">IFERROR(__xludf.DUMMYFUNCTION("""COMPUTED_VALUE"""),5)</f>
        <v>5</v>
      </c>
      <c r="Q824" t="str">
        <f ca="1">IFERROR(__xludf.DUMMYFUNCTION("""COMPUTED_VALUE"""),"jose@kottoor.in")</f>
        <v>jose@kottoor.in</v>
      </c>
      <c r="R824" s="2" t="s">
        <v>3238</v>
      </c>
    </row>
    <row r="825" spans="1:18" ht="13" x14ac:dyDescent="0.15">
      <c r="A825" s="3">
        <f ca="1">IFERROR(__xludf.DUMMYFUNCTION("""COMPUTED_VALUE"""),43258.9419266782)</f>
        <v>43258.941926678199</v>
      </c>
      <c r="B825" t="str">
        <f ca="1">IFERROR(__xludf.DUMMYFUNCTION("""COMPUTED_VALUE"""),"sabujigeorge@gmail.com")</f>
        <v>sabujigeorge@gmail.com</v>
      </c>
      <c r="C825">
        <f ca="1">IFERROR(__xludf.DUMMYFUNCTION("""COMPUTED_VALUE"""),1228)</f>
        <v>1228</v>
      </c>
      <c r="D825" t="str">
        <f ca="1">IFERROR(__xludf.DUMMYFUNCTION("""COMPUTED_VALUE"""),"SABU K G")</f>
        <v>SABU K G</v>
      </c>
      <c r="E825">
        <f ca="1">IFERROR(__xludf.DUMMYFUNCTION("""COMPUTED_VALUE"""),9497888257)</f>
        <v>9497888257</v>
      </c>
      <c r="F825" t="str">
        <f ca="1">IFERROR(__xludf.DUMMYFUNCTION("""COMPUTED_VALUE"""),"Ernakulam")</f>
        <v>Ernakulam</v>
      </c>
      <c r="G825" t="str">
        <f ca="1">IFERROR(__xludf.DUMMYFUNCTION("""COMPUTED_VALUE"""),"SPECTRUM TECHNO PRODUCTS")</f>
        <v>SPECTRUM TECHNO PRODUCTS</v>
      </c>
      <c r="H825">
        <f ca="1">IFERROR(__xludf.DUMMYFUNCTION("""COMPUTED_VALUE"""),66)</f>
        <v>66</v>
      </c>
      <c r="I825" s="4">
        <f ca="1">IFERROR(__xludf.DUMMYFUNCTION("""COMPUTED_VALUE"""),43258)</f>
        <v>43258</v>
      </c>
      <c r="J825">
        <f ca="1">IFERROR(__xludf.DUMMYFUNCTION("""COMPUTED_VALUE"""),3)</f>
        <v>3</v>
      </c>
      <c r="K825">
        <f ca="1">IFERROR(__xludf.DUMMYFUNCTION("""COMPUTED_VALUE"""),1155570029850)</f>
        <v>1155570029850</v>
      </c>
      <c r="L825" t="str">
        <f ca="1">IFERROR(__xludf.DUMMYFUNCTION("""COMPUTED_VALUE"""),"THRIKAKKARA")</f>
        <v>THRIKAKKARA</v>
      </c>
      <c r="M825" t="str">
        <f ca="1">IFERROR(__xludf.DUMMYFUNCTION("""COMPUTED_VALUE"""),"I Accept")</f>
        <v>I Accept</v>
      </c>
      <c r="N825" s="4">
        <f ca="1">IFERROR(__xludf.DUMMYFUNCTION("""COMPUTED_VALUE"""),43258)</f>
        <v>43258</v>
      </c>
      <c r="O825" s="4">
        <f ca="1">IFERROR(__xludf.DUMMYFUNCTION("""COMPUTED_VALUE"""),43258)</f>
        <v>43258</v>
      </c>
      <c r="P825">
        <f ca="1">IFERROR(__xludf.DUMMYFUNCTION("""COMPUTED_VALUE"""),3)</f>
        <v>3</v>
      </c>
      <c r="Q825" t="str">
        <f ca="1">IFERROR(__xludf.DUMMYFUNCTION("""COMPUTED_VALUE"""),"sabujigeorge@gmail.com")</f>
        <v>sabujigeorge@gmail.com</v>
      </c>
      <c r="R825" s="2" t="s">
        <v>3239</v>
      </c>
    </row>
    <row r="826" spans="1:18" ht="13" x14ac:dyDescent="0.15">
      <c r="A826" s="3">
        <f ca="1">IFERROR(__xludf.DUMMYFUNCTION("""COMPUTED_VALUE"""),43259.4437480671)</f>
        <v>43259.443748067097</v>
      </c>
      <c r="B826" t="str">
        <f ca="1">IFERROR(__xludf.DUMMYFUNCTION("""COMPUTED_VALUE"""),"info@solartechind.com")</f>
        <v>info@solartechind.com</v>
      </c>
      <c r="C826">
        <f ca="1">IFERROR(__xludf.DUMMYFUNCTION("""COMPUTED_VALUE"""),806)</f>
        <v>806</v>
      </c>
      <c r="D826" t="str">
        <f ca="1">IFERROR(__xludf.DUMMYFUNCTION("""COMPUTED_VALUE"""),"Meena Rani S")</f>
        <v>Meena Rani S</v>
      </c>
      <c r="E826">
        <f ca="1">IFERROR(__xludf.DUMMYFUNCTION("""COMPUTED_VALUE"""),9387707733)</f>
        <v>9387707733</v>
      </c>
      <c r="F826" t="str">
        <f ca="1">IFERROR(__xludf.DUMMYFUNCTION("""COMPUTED_VALUE"""),"Thiruvananthapuram")</f>
        <v>Thiruvananthapuram</v>
      </c>
      <c r="G826" t="str">
        <f ca="1">IFERROR(__xludf.DUMMYFUNCTION("""COMPUTED_VALUE"""),"SolarTech")</f>
        <v>SolarTech</v>
      </c>
      <c r="H826">
        <f ca="1">IFERROR(__xludf.DUMMYFUNCTION("""COMPUTED_VALUE"""),4)</f>
        <v>4</v>
      </c>
      <c r="I826" s="4">
        <f ca="1">IFERROR(__xludf.DUMMYFUNCTION("""COMPUTED_VALUE"""),43245)</f>
        <v>43245</v>
      </c>
      <c r="J826">
        <f ca="1">IFERROR(__xludf.DUMMYFUNCTION("""COMPUTED_VALUE"""),2)</f>
        <v>2</v>
      </c>
      <c r="K826">
        <f ca="1">IFERROR(__xludf.DUMMYFUNCTION("""COMPUTED_VALUE"""),1145140010821)</f>
        <v>1145140010821</v>
      </c>
      <c r="L826" t="str">
        <f ca="1">IFERROR(__xludf.DUMMYFUNCTION("""COMPUTED_VALUE"""),"pettah")</f>
        <v>pettah</v>
      </c>
      <c r="M826" t="str">
        <f ca="1">IFERROR(__xludf.DUMMYFUNCTION("""COMPUTED_VALUE"""),"I Accept")</f>
        <v>I Accept</v>
      </c>
      <c r="N826" s="4">
        <f ca="1">IFERROR(__xludf.DUMMYFUNCTION("""COMPUTED_VALUE"""),43242)</f>
        <v>43242</v>
      </c>
      <c r="O826" s="4">
        <f ca="1">IFERROR(__xludf.DUMMYFUNCTION("""COMPUTED_VALUE"""),43242)</f>
        <v>43242</v>
      </c>
      <c r="P826">
        <f ca="1">IFERROR(__xludf.DUMMYFUNCTION("""COMPUTED_VALUE"""),2)</f>
        <v>2</v>
      </c>
      <c r="Q826" t="str">
        <f ca="1">IFERROR(__xludf.DUMMYFUNCTION("""COMPUTED_VALUE"""),"info@solartechind.com")</f>
        <v>info@solartechind.com</v>
      </c>
      <c r="R826" s="2" t="s">
        <v>3240</v>
      </c>
    </row>
    <row r="827" spans="1:18" ht="13" x14ac:dyDescent="0.15">
      <c r="A827" s="3">
        <f ca="1">IFERROR(__xludf.DUMMYFUNCTION("""COMPUTED_VALUE"""),43259.4485555439)</f>
        <v>43259.448555543902</v>
      </c>
      <c r="B827" t="str">
        <f ca="1">IFERROR(__xludf.DUMMYFUNCTION("""COMPUTED_VALUE"""),"solarconnect2018@gmail.com")</f>
        <v>solarconnect2018@gmail.com</v>
      </c>
      <c r="C827">
        <f ca="1">IFERROR(__xludf.DUMMYFUNCTION("""COMPUTED_VALUE"""),1182)</f>
        <v>1182</v>
      </c>
      <c r="D827" t="str">
        <f ca="1">IFERROR(__xludf.DUMMYFUNCTION("""COMPUTED_VALUE"""),"PRASAD")</f>
        <v>PRASAD</v>
      </c>
      <c r="E827">
        <f ca="1">IFERROR(__xludf.DUMMYFUNCTION("""COMPUTED_VALUE"""),9497108550)</f>
        <v>9497108550</v>
      </c>
      <c r="F827" t="str">
        <f ca="1">IFERROR(__xludf.DUMMYFUNCTION("""COMPUTED_VALUE"""),"Alappuzha")</f>
        <v>Alappuzha</v>
      </c>
      <c r="G827" t="str">
        <f ca="1">IFERROR(__xludf.DUMMYFUNCTION("""COMPUTED_VALUE"""),"SPECTRUM TECHNO PRODUCTS")</f>
        <v>SPECTRUM TECHNO PRODUCTS</v>
      </c>
      <c r="H827">
        <f ca="1">IFERROR(__xludf.DUMMYFUNCTION("""COMPUTED_VALUE"""),66)</f>
        <v>66</v>
      </c>
      <c r="I827" s="4">
        <f ca="1">IFERROR(__xludf.DUMMYFUNCTION("""COMPUTED_VALUE"""),43257)</f>
        <v>43257</v>
      </c>
      <c r="J827">
        <f ca="1">IFERROR(__xludf.DUMMYFUNCTION("""COMPUTED_VALUE"""),5)</f>
        <v>5</v>
      </c>
      <c r="K827">
        <f ca="1">IFERROR(__xludf.DUMMYFUNCTION("""COMPUTED_VALUE"""),1157410004773)</f>
        <v>1157410004773</v>
      </c>
      <c r="L827" t="str">
        <f ca="1">IFERROR(__xludf.DUMMYFUNCTION("""COMPUTED_VALUE"""),"MUTHUKULAM")</f>
        <v>MUTHUKULAM</v>
      </c>
      <c r="M827" t="str">
        <f ca="1">IFERROR(__xludf.DUMMYFUNCTION("""COMPUTED_VALUE"""),"I Accept")</f>
        <v>I Accept</v>
      </c>
      <c r="N827" s="4">
        <f ca="1">IFERROR(__xludf.DUMMYFUNCTION("""COMPUTED_VALUE"""),43256)</f>
        <v>43256</v>
      </c>
      <c r="O827" s="4">
        <f ca="1">IFERROR(__xludf.DUMMYFUNCTION("""COMPUTED_VALUE"""),43256)</f>
        <v>43256</v>
      </c>
      <c r="P827">
        <f ca="1">IFERROR(__xludf.DUMMYFUNCTION("""COMPUTED_VALUE"""),5)</f>
        <v>5</v>
      </c>
      <c r="Q827" t="str">
        <f ca="1">IFERROR(__xludf.DUMMYFUNCTION("""COMPUTED_VALUE"""),"solarconnect2018@gmail.com")</f>
        <v>solarconnect2018@gmail.com</v>
      </c>
      <c r="R827" s="2" t="s">
        <v>3241</v>
      </c>
    </row>
    <row r="828" spans="1:18" ht="13" x14ac:dyDescent="0.15">
      <c r="A828" s="3">
        <f ca="1">IFERROR(__xludf.DUMMYFUNCTION("""COMPUTED_VALUE"""),43259.4791423611)</f>
        <v>43259.479142361102</v>
      </c>
      <c r="B828" t="str">
        <f ca="1">IFERROR(__xludf.DUMMYFUNCTION("""COMPUTED_VALUE"""),"solarconnect2018@gmail.com")</f>
        <v>solarconnect2018@gmail.com</v>
      </c>
      <c r="C828">
        <f ca="1">IFERROR(__xludf.DUMMYFUNCTION("""COMPUTED_VALUE"""),839)</f>
        <v>839</v>
      </c>
      <c r="D828" t="str">
        <f ca="1">IFERROR(__xludf.DUMMYFUNCTION("""COMPUTED_VALUE"""),"THOMAS FRANCIS")</f>
        <v>THOMAS FRANCIS</v>
      </c>
      <c r="E828">
        <f ca="1">IFERROR(__xludf.DUMMYFUNCTION("""COMPUTED_VALUE"""),9447130382)</f>
        <v>9447130382</v>
      </c>
      <c r="F828" t="str">
        <f ca="1">IFERROR(__xludf.DUMMYFUNCTION("""COMPUTED_VALUE"""),"Kottayam")</f>
        <v>Kottayam</v>
      </c>
      <c r="G828" t="str">
        <f ca="1">IFERROR(__xludf.DUMMYFUNCTION("""COMPUTED_VALUE"""),"SPECTRUM TECHNO PRODUCTS")</f>
        <v>SPECTRUM TECHNO PRODUCTS</v>
      </c>
      <c r="H828">
        <f ca="1">IFERROR(__xludf.DUMMYFUNCTION("""COMPUTED_VALUE"""),66)</f>
        <v>66</v>
      </c>
      <c r="I828" s="4">
        <f ca="1">IFERROR(__xludf.DUMMYFUNCTION("""COMPUTED_VALUE"""),43258)</f>
        <v>43258</v>
      </c>
      <c r="J828">
        <f ca="1">IFERROR(__xludf.DUMMYFUNCTION("""COMPUTED_VALUE"""),3)</f>
        <v>3</v>
      </c>
      <c r="K828">
        <f ca="1">IFERROR(__xludf.DUMMYFUNCTION("""COMPUTED_VALUE"""),1156301022856)</f>
        <v>1156301022856</v>
      </c>
      <c r="L828" t="str">
        <f ca="1">IFERROR(__xludf.DUMMYFUNCTION("""COMPUTED_VALUE"""),"ERATTUPETTA")</f>
        <v>ERATTUPETTA</v>
      </c>
      <c r="M828" t="str">
        <f ca="1">IFERROR(__xludf.DUMMYFUNCTION("""COMPUTED_VALUE"""),"I Accept")</f>
        <v>I Accept</v>
      </c>
      <c r="N828" s="4">
        <f ca="1">IFERROR(__xludf.DUMMYFUNCTION("""COMPUTED_VALUE"""),43256)</f>
        <v>43256</v>
      </c>
      <c r="O828" s="4">
        <f ca="1">IFERROR(__xludf.DUMMYFUNCTION("""COMPUTED_VALUE"""),43256)</f>
        <v>43256</v>
      </c>
      <c r="P828">
        <f ca="1">IFERROR(__xludf.DUMMYFUNCTION("""COMPUTED_VALUE"""),3)</f>
        <v>3</v>
      </c>
      <c r="Q828" t="str">
        <f ca="1">IFERROR(__xludf.DUMMYFUNCTION("""COMPUTED_VALUE"""),"solarconnect2018@gmail.com")</f>
        <v>solarconnect2018@gmail.com</v>
      </c>
      <c r="R828" s="2" t="s">
        <v>3242</v>
      </c>
    </row>
    <row r="829" spans="1:18" ht="13" x14ac:dyDescent="0.15">
      <c r="A829" s="3">
        <f ca="1">IFERROR(__xludf.DUMMYFUNCTION("""COMPUTED_VALUE"""),43259.4936284259)</f>
        <v>43259.493628425902</v>
      </c>
      <c r="B829" t="str">
        <f ca="1">IFERROR(__xludf.DUMMYFUNCTION("""COMPUTED_VALUE"""),"mugosom@gmail.com")</f>
        <v>mugosom@gmail.com</v>
      </c>
      <c r="C829">
        <f ca="1">IFERROR(__xludf.DUMMYFUNCTION("""COMPUTED_VALUE"""),1082)</f>
        <v>1082</v>
      </c>
      <c r="D829" t="str">
        <f ca="1">IFERROR(__xludf.DUMMYFUNCTION("""COMPUTED_VALUE"""),"MG Som Shekharan Nair")</f>
        <v>MG Som Shekharan Nair</v>
      </c>
      <c r="E829">
        <f ca="1">IFERROR(__xludf.DUMMYFUNCTION("""COMPUTED_VALUE"""),9496393992)</f>
        <v>9496393992</v>
      </c>
      <c r="F829" t="str">
        <f ca="1">IFERROR(__xludf.DUMMYFUNCTION("""COMPUTED_VALUE"""),"Thiruvananthapuram")</f>
        <v>Thiruvananthapuram</v>
      </c>
      <c r="G829" t="str">
        <f ca="1">IFERROR(__xludf.DUMMYFUNCTION("""COMPUTED_VALUE"""),"Tata Power Solar Systems LTD")</f>
        <v>Tata Power Solar Systems LTD</v>
      </c>
      <c r="H829">
        <f ca="1">IFERROR(__xludf.DUMMYFUNCTION("""COMPUTED_VALUE"""),20)</f>
        <v>20</v>
      </c>
      <c r="I829" s="4">
        <f ca="1">IFERROR(__xludf.DUMMYFUNCTION("""COMPUTED_VALUE"""),43226)</f>
        <v>43226</v>
      </c>
      <c r="J829">
        <f ca="1">IFERROR(__xludf.DUMMYFUNCTION("""COMPUTED_VALUE"""),5)</f>
        <v>5</v>
      </c>
      <c r="K829">
        <f ca="1">IFERROR(__xludf.DUMMYFUNCTION("""COMPUTED_VALUE"""),1145125029407)</f>
        <v>1145125029407</v>
      </c>
      <c r="L829" t="str">
        <f ca="1">IFERROR(__xludf.DUMMYFUNCTION("""COMPUTED_VALUE"""),"Poojapura")</f>
        <v>Poojapura</v>
      </c>
      <c r="M829" t="str">
        <f ca="1">IFERROR(__xludf.DUMMYFUNCTION("""COMPUTED_VALUE"""),"I Accept")</f>
        <v>I Accept</v>
      </c>
      <c r="N829" s="4">
        <f ca="1">IFERROR(__xludf.DUMMYFUNCTION("""COMPUTED_VALUE"""),43224)</f>
        <v>43224</v>
      </c>
      <c r="O829" s="4">
        <f ca="1">IFERROR(__xludf.DUMMYFUNCTION("""COMPUTED_VALUE"""),43224)</f>
        <v>43224</v>
      </c>
      <c r="P829">
        <f ca="1">IFERROR(__xludf.DUMMYFUNCTION("""COMPUTED_VALUE"""),5)</f>
        <v>5</v>
      </c>
      <c r="Q829" t="str">
        <f ca="1">IFERROR(__xludf.DUMMYFUNCTION("""COMPUTED_VALUE"""),"mugosom@gmail.com")</f>
        <v>mugosom@gmail.com</v>
      </c>
      <c r="R829" s="2" t="s">
        <v>3243</v>
      </c>
    </row>
    <row r="830" spans="1:18" ht="13" x14ac:dyDescent="0.15">
      <c r="A830" s="3">
        <f ca="1">IFERROR(__xludf.DUMMYFUNCTION("""COMPUTED_VALUE"""),43259.4961634027)</f>
        <v>43259.496163402699</v>
      </c>
      <c r="B830" t="str">
        <f ca="1">IFERROR(__xludf.DUMMYFUNCTION("""COMPUTED_VALUE"""),"dayalkk@gmail.com")</f>
        <v>dayalkk@gmail.com</v>
      </c>
      <c r="C830">
        <f ca="1">IFERROR(__xludf.DUMMYFUNCTION("""COMPUTED_VALUE"""),949)</f>
        <v>949</v>
      </c>
      <c r="D830" t="str">
        <f ca="1">IFERROR(__xludf.DUMMYFUNCTION("""COMPUTED_VALUE"""),"KK Dayal")</f>
        <v>KK Dayal</v>
      </c>
      <c r="E830">
        <f ca="1">IFERROR(__xludf.DUMMYFUNCTION("""COMPUTED_VALUE"""),9447402774)</f>
        <v>9447402774</v>
      </c>
      <c r="F830" t="str">
        <f ca="1">IFERROR(__xludf.DUMMYFUNCTION("""COMPUTED_VALUE"""),"Thiruvananthapuram")</f>
        <v>Thiruvananthapuram</v>
      </c>
      <c r="G830" t="str">
        <f ca="1">IFERROR(__xludf.DUMMYFUNCTION("""COMPUTED_VALUE"""),"Tata Power Solar Systems LTD ")</f>
        <v xml:space="preserve">Tata Power Solar Systems LTD </v>
      </c>
      <c r="H830">
        <f ca="1">IFERROR(__xludf.DUMMYFUNCTION("""COMPUTED_VALUE"""),20)</f>
        <v>20</v>
      </c>
      <c r="I830" s="4">
        <f ca="1">IFERROR(__xludf.DUMMYFUNCTION("""COMPUTED_VALUE"""),43228)</f>
        <v>43228</v>
      </c>
      <c r="J830">
        <f ca="1">IFERROR(__xludf.DUMMYFUNCTION("""COMPUTED_VALUE"""),3)</f>
        <v>3</v>
      </c>
      <c r="K830">
        <f ca="1">IFERROR(__xludf.DUMMYFUNCTION("""COMPUTED_VALUE"""),1145505012774)</f>
        <v>1145505012774</v>
      </c>
      <c r="L830" t="str">
        <f ca="1">IFERROR(__xludf.DUMMYFUNCTION("""COMPUTED_VALUE"""),"Peyad")</f>
        <v>Peyad</v>
      </c>
      <c r="M830" t="str">
        <f ca="1">IFERROR(__xludf.DUMMYFUNCTION("""COMPUTED_VALUE"""),"I Accept")</f>
        <v>I Accept</v>
      </c>
      <c r="N830" s="4">
        <f ca="1">IFERROR(__xludf.DUMMYFUNCTION("""COMPUTED_VALUE"""),43213)</f>
        <v>43213</v>
      </c>
      <c r="O830" s="4">
        <f ca="1">IFERROR(__xludf.DUMMYFUNCTION("""COMPUTED_VALUE"""),43213)</f>
        <v>43213</v>
      </c>
      <c r="P830">
        <f ca="1">IFERROR(__xludf.DUMMYFUNCTION("""COMPUTED_VALUE"""),3)</f>
        <v>3</v>
      </c>
      <c r="Q830" t="str">
        <f ca="1">IFERROR(__xludf.DUMMYFUNCTION("""COMPUTED_VALUE"""),"lesliejojo190@gmail.com")</f>
        <v>lesliejojo190@gmail.com</v>
      </c>
      <c r="R830" s="2" t="s">
        <v>3244</v>
      </c>
    </row>
    <row r="831" spans="1:18" ht="13" x14ac:dyDescent="0.15">
      <c r="A831" s="3">
        <f ca="1">IFERROR(__xludf.DUMMYFUNCTION("""COMPUTED_VALUE"""),43259.4989903819)</f>
        <v>43259.498990381901</v>
      </c>
      <c r="B831" t="str">
        <f ca="1">IFERROR(__xludf.DUMMYFUNCTION("""COMPUTED_VALUE"""),"saniljacob@hotmail.com")</f>
        <v>saniljacob@hotmail.com</v>
      </c>
      <c r="C831">
        <f ca="1">IFERROR(__xludf.DUMMYFUNCTION("""COMPUTED_VALUE"""),1177)</f>
        <v>1177</v>
      </c>
      <c r="D831" t="str">
        <f ca="1">IFERROR(__xludf.DUMMYFUNCTION("""COMPUTED_VALUE"""),"Sanil Jacob")</f>
        <v>Sanil Jacob</v>
      </c>
      <c r="E831">
        <f ca="1">IFERROR(__xludf.DUMMYFUNCTION("""COMPUTED_VALUE"""),8547865146)</f>
        <v>8547865146</v>
      </c>
      <c r="F831" t="str">
        <f ca="1">IFERROR(__xludf.DUMMYFUNCTION("""COMPUTED_VALUE"""),"Thiruvananthapuram")</f>
        <v>Thiruvananthapuram</v>
      </c>
      <c r="G831" t="str">
        <f ca="1">IFERROR(__xludf.DUMMYFUNCTION("""COMPUTED_VALUE"""),"Tata Power Solar Systems LTD")</f>
        <v>Tata Power Solar Systems LTD</v>
      </c>
      <c r="H831">
        <f ca="1">IFERROR(__xludf.DUMMYFUNCTION("""COMPUTED_VALUE"""),20)</f>
        <v>20</v>
      </c>
      <c r="I831" s="4">
        <f ca="1">IFERROR(__xludf.DUMMYFUNCTION("""COMPUTED_VALUE"""),43238)</f>
        <v>43238</v>
      </c>
      <c r="J831">
        <f ca="1">IFERROR(__xludf.DUMMYFUNCTION("""COMPUTED_VALUE"""),3)</f>
        <v>3</v>
      </c>
      <c r="K831">
        <f ca="1">IFERROR(__xludf.DUMMYFUNCTION("""COMPUTED_VALUE"""),1145061011380)</f>
        <v>1145061011380</v>
      </c>
      <c r="L831" t="str">
        <f ca="1">IFERROR(__xludf.DUMMYFUNCTION("""COMPUTED_VALUE"""),"Contonment")</f>
        <v>Contonment</v>
      </c>
      <c r="M831" t="str">
        <f ca="1">IFERROR(__xludf.DUMMYFUNCTION("""COMPUTED_VALUE"""),"I Accept")</f>
        <v>I Accept</v>
      </c>
      <c r="N831" s="4">
        <f ca="1">IFERROR(__xludf.DUMMYFUNCTION("""COMPUTED_VALUE"""),43236)</f>
        <v>43236</v>
      </c>
      <c r="O831" s="4">
        <f ca="1">IFERROR(__xludf.DUMMYFUNCTION("""COMPUTED_VALUE"""),43236)</f>
        <v>43236</v>
      </c>
      <c r="P831">
        <f ca="1">IFERROR(__xludf.DUMMYFUNCTION("""COMPUTED_VALUE"""),3)</f>
        <v>3</v>
      </c>
      <c r="Q831" t="str">
        <f ca="1">IFERROR(__xludf.DUMMYFUNCTION("""COMPUTED_VALUE"""),"saniljacob@hotmail.com")</f>
        <v>saniljacob@hotmail.com</v>
      </c>
      <c r="R831" s="2" t="s">
        <v>3245</v>
      </c>
    </row>
    <row r="832" spans="1:18" ht="13" x14ac:dyDescent="0.15">
      <c r="A832" s="3">
        <f ca="1">IFERROR(__xludf.DUMMYFUNCTION("""COMPUTED_VALUE"""),43259.5013038888)</f>
        <v>43259.501303888799</v>
      </c>
      <c r="B832" t="str">
        <f ca="1">IFERROR(__xludf.DUMMYFUNCTION("""COMPUTED_VALUE"""),"lesliejojo190@gmail.com")</f>
        <v>lesliejojo190@gmail.com</v>
      </c>
      <c r="C832">
        <f ca="1">IFERROR(__xludf.DUMMYFUNCTION("""COMPUTED_VALUE"""),1084)</f>
        <v>1084</v>
      </c>
      <c r="D832" t="str">
        <f ca="1">IFERROR(__xludf.DUMMYFUNCTION("""COMPUTED_VALUE"""),"Vijayakumar K")</f>
        <v>Vijayakumar K</v>
      </c>
      <c r="E832">
        <f ca="1">IFERROR(__xludf.DUMMYFUNCTION("""COMPUTED_VALUE"""),9947751145)</f>
        <v>9947751145</v>
      </c>
      <c r="F832" t="str">
        <f ca="1">IFERROR(__xludf.DUMMYFUNCTION("""COMPUTED_VALUE"""),"Thiruvananthapuram")</f>
        <v>Thiruvananthapuram</v>
      </c>
      <c r="G832" t="str">
        <f ca="1">IFERROR(__xludf.DUMMYFUNCTION("""COMPUTED_VALUE"""),"Tata Power Solar Systems LTD")</f>
        <v>Tata Power Solar Systems LTD</v>
      </c>
      <c r="H832">
        <f ca="1">IFERROR(__xludf.DUMMYFUNCTION("""COMPUTED_VALUE"""),20)</f>
        <v>20</v>
      </c>
      <c r="I832" s="4">
        <f ca="1">IFERROR(__xludf.DUMMYFUNCTION("""COMPUTED_VALUE"""),43235)</f>
        <v>43235</v>
      </c>
      <c r="J832">
        <f ca="1">IFERROR(__xludf.DUMMYFUNCTION("""COMPUTED_VALUE"""),3)</f>
        <v>3</v>
      </c>
      <c r="K832">
        <f ca="1">IFERROR(__xludf.DUMMYFUNCTION("""COMPUTED_VALUE"""),1145128009641)</f>
        <v>1145128009641</v>
      </c>
      <c r="L832" t="str">
        <f ca="1">IFERROR(__xludf.DUMMYFUNCTION("""COMPUTED_VALUE"""),"Poojapura")</f>
        <v>Poojapura</v>
      </c>
      <c r="M832" t="str">
        <f ca="1">IFERROR(__xludf.DUMMYFUNCTION("""COMPUTED_VALUE"""),"I Accept")</f>
        <v>I Accept</v>
      </c>
      <c r="N832" s="4">
        <f ca="1">IFERROR(__xludf.DUMMYFUNCTION("""COMPUTED_VALUE"""),43231)</f>
        <v>43231</v>
      </c>
      <c r="O832" s="4">
        <f ca="1">IFERROR(__xludf.DUMMYFUNCTION("""COMPUTED_VALUE"""),43231)</f>
        <v>43231</v>
      </c>
      <c r="P832">
        <f ca="1">IFERROR(__xludf.DUMMYFUNCTION("""COMPUTED_VALUE"""),3)</f>
        <v>3</v>
      </c>
      <c r="Q832" t="str">
        <f ca="1">IFERROR(__xludf.DUMMYFUNCTION("""COMPUTED_VALUE"""),"lesliejojo190@gmail.com")</f>
        <v>lesliejojo190@gmail.com</v>
      </c>
      <c r="R832" s="2" t="s">
        <v>3246</v>
      </c>
    </row>
    <row r="833" spans="1:18" ht="13" x14ac:dyDescent="0.15">
      <c r="A833" s="3">
        <f ca="1">IFERROR(__xludf.DUMMYFUNCTION("""COMPUTED_VALUE"""),43259.5024299189)</f>
        <v>43259.502429918903</v>
      </c>
      <c r="B833" t="str">
        <f ca="1">IFERROR(__xludf.DUMMYFUNCTION("""COMPUTED_VALUE"""),"noorakshaya@gmail.com")</f>
        <v>noorakshaya@gmail.com</v>
      </c>
      <c r="C833">
        <f ca="1">IFERROR(__xludf.DUMMYFUNCTION("""COMPUTED_VALUE"""),573)</f>
        <v>573</v>
      </c>
      <c r="D833" t="str">
        <f ca="1">IFERROR(__xludf.DUMMYFUNCTION("""COMPUTED_VALUE"""),"L Dipu")</f>
        <v>L Dipu</v>
      </c>
      <c r="E833">
        <f ca="1">IFERROR(__xludf.DUMMYFUNCTION("""COMPUTED_VALUE"""),9048956767)</f>
        <v>9048956767</v>
      </c>
      <c r="F833" t="str">
        <f ca="1">IFERROR(__xludf.DUMMYFUNCTION("""COMPUTED_VALUE"""),"Thiruvananthapuram")</f>
        <v>Thiruvananthapuram</v>
      </c>
      <c r="G833" t="str">
        <f ca="1">IFERROR(__xludf.DUMMYFUNCTION("""COMPUTED_VALUE"""),"Renergy Systems India Pvt Ltd")</f>
        <v>Renergy Systems India Pvt Ltd</v>
      </c>
      <c r="H833">
        <f ca="1">IFERROR(__xludf.DUMMYFUNCTION("""COMPUTED_VALUE"""),38)</f>
        <v>38</v>
      </c>
      <c r="I833" s="4">
        <f ca="1">IFERROR(__xludf.DUMMYFUNCTION("""COMPUTED_VALUE"""),43173)</f>
        <v>43173</v>
      </c>
      <c r="J833">
        <f ca="1">IFERROR(__xludf.DUMMYFUNCTION("""COMPUTED_VALUE"""),5)</f>
        <v>5</v>
      </c>
      <c r="K833">
        <f ca="1">IFERROR(__xludf.DUMMYFUNCTION("""COMPUTED_VALUE"""),1145147022790)</f>
        <v>1145147022790</v>
      </c>
      <c r="L833" t="str">
        <f ca="1">IFERROR(__xludf.DUMMYFUNCTION("""COMPUTED_VALUE"""),"Pettah")</f>
        <v>Pettah</v>
      </c>
      <c r="M833" t="str">
        <f ca="1">IFERROR(__xludf.DUMMYFUNCTION("""COMPUTED_VALUE"""),"I Accept")</f>
        <v>I Accept</v>
      </c>
      <c r="N833" s="4">
        <f ca="1">IFERROR(__xludf.DUMMYFUNCTION("""COMPUTED_VALUE"""),43258)</f>
        <v>43258</v>
      </c>
      <c r="O833" s="4">
        <f ca="1">IFERROR(__xludf.DUMMYFUNCTION("""COMPUTED_VALUE"""),43258)</f>
        <v>43258</v>
      </c>
      <c r="P833">
        <f ca="1">IFERROR(__xludf.DUMMYFUNCTION("""COMPUTED_VALUE"""),5)</f>
        <v>5</v>
      </c>
      <c r="Q833" t="str">
        <f ca="1">IFERROR(__xludf.DUMMYFUNCTION("""COMPUTED_VALUE"""),"noorakshaya@gmail.com")</f>
        <v>noorakshaya@gmail.com</v>
      </c>
      <c r="R833" s="2" t="s">
        <v>3247</v>
      </c>
    </row>
    <row r="834" spans="1:18" ht="13" x14ac:dyDescent="0.15">
      <c r="A834" s="3">
        <f ca="1">IFERROR(__xludf.DUMMYFUNCTION("""COMPUTED_VALUE"""),43259.5040601388)</f>
        <v>43259.504060138803</v>
      </c>
      <c r="B834" t="str">
        <f ca="1">IFERROR(__xludf.DUMMYFUNCTION("""COMPUTED_VALUE"""),"jayakumaran_nair_n@yahoo.co.in")</f>
        <v>jayakumaran_nair_n@yahoo.co.in</v>
      </c>
      <c r="C834">
        <f ca="1">IFERROR(__xludf.DUMMYFUNCTION("""COMPUTED_VALUE"""),1001)</f>
        <v>1001</v>
      </c>
      <c r="D834" t="str">
        <f ca="1">IFERROR(__xludf.DUMMYFUNCTION("""COMPUTED_VALUE"""),"N Jayakumaran Nair")</f>
        <v>N Jayakumaran Nair</v>
      </c>
      <c r="E834">
        <f ca="1">IFERROR(__xludf.DUMMYFUNCTION("""COMPUTED_VALUE"""),9446175482)</f>
        <v>9446175482</v>
      </c>
      <c r="F834" t="str">
        <f ca="1">IFERROR(__xludf.DUMMYFUNCTION("""COMPUTED_VALUE"""),"Thiruvananthapuram")</f>
        <v>Thiruvananthapuram</v>
      </c>
      <c r="G834" t="str">
        <f ca="1">IFERROR(__xludf.DUMMYFUNCTION("""COMPUTED_VALUE"""),"Tata Power Solar Systems LTD")</f>
        <v>Tata Power Solar Systems LTD</v>
      </c>
      <c r="H834">
        <f ca="1">IFERROR(__xludf.DUMMYFUNCTION("""COMPUTED_VALUE"""),20)</f>
        <v>20</v>
      </c>
      <c r="I834" s="4">
        <f ca="1">IFERROR(__xludf.DUMMYFUNCTION("""COMPUTED_VALUE"""),43238)</f>
        <v>43238</v>
      </c>
      <c r="J834">
        <f ca="1">IFERROR(__xludf.DUMMYFUNCTION("""COMPUTED_VALUE"""),3)</f>
        <v>3</v>
      </c>
      <c r="K834">
        <f ca="1">IFERROR(__xludf.DUMMYFUNCTION("""COMPUTED_VALUE"""),1145140010850)</f>
        <v>1145140010850</v>
      </c>
      <c r="L834" t="str">
        <f ca="1">IFERROR(__xludf.DUMMYFUNCTION("""COMPUTED_VALUE"""),"Pettah")</f>
        <v>Pettah</v>
      </c>
      <c r="M834" t="str">
        <f ca="1">IFERROR(__xludf.DUMMYFUNCTION("""COMPUTED_VALUE"""),"I Accept")</f>
        <v>I Accept</v>
      </c>
      <c r="N834" s="4">
        <f ca="1">IFERROR(__xludf.DUMMYFUNCTION("""COMPUTED_VALUE"""),43235)</f>
        <v>43235</v>
      </c>
      <c r="O834" s="4">
        <f ca="1">IFERROR(__xludf.DUMMYFUNCTION("""COMPUTED_VALUE"""),43235)</f>
        <v>43235</v>
      </c>
      <c r="P834">
        <f ca="1">IFERROR(__xludf.DUMMYFUNCTION("""COMPUTED_VALUE"""),3)</f>
        <v>3</v>
      </c>
      <c r="Q834" t="str">
        <f ca="1">IFERROR(__xludf.DUMMYFUNCTION("""COMPUTED_VALUE"""),"jayakumaran_nair_n@yahoo.co.in")</f>
        <v>jayakumaran_nair_n@yahoo.co.in</v>
      </c>
      <c r="R834" s="2" t="s">
        <v>3248</v>
      </c>
    </row>
    <row r="835" spans="1:18" ht="13" x14ac:dyDescent="0.15">
      <c r="A835" s="3">
        <f ca="1">IFERROR(__xludf.DUMMYFUNCTION("""COMPUTED_VALUE"""),43259.5073191898)</f>
        <v>43259.507319189797</v>
      </c>
      <c r="B835" t="str">
        <f ca="1">IFERROR(__xludf.DUMMYFUNCTION("""COMPUTED_VALUE"""),"abrahamskin@yahoo.co.in")</f>
        <v>abrahamskin@yahoo.co.in</v>
      </c>
      <c r="C835">
        <f ca="1">IFERROR(__xludf.DUMMYFUNCTION("""COMPUTED_VALUE"""),1056)</f>
        <v>1056</v>
      </c>
      <c r="D835" t="str">
        <f ca="1">IFERROR(__xludf.DUMMYFUNCTION("""COMPUTED_VALUE"""),"Dr.Gigi Thomas")</f>
        <v>Dr.Gigi Thomas</v>
      </c>
      <c r="E835">
        <f ca="1">IFERROR(__xludf.DUMMYFUNCTION("""COMPUTED_VALUE"""),9847101687)</f>
        <v>9847101687</v>
      </c>
      <c r="F835" t="str">
        <f ca="1">IFERROR(__xludf.DUMMYFUNCTION("""COMPUTED_VALUE"""),"Thiruvananthapuram")</f>
        <v>Thiruvananthapuram</v>
      </c>
      <c r="G835" t="str">
        <f ca="1">IFERROR(__xludf.DUMMYFUNCTION("""COMPUTED_VALUE"""),"Tata Power Solar Systems LTD")</f>
        <v>Tata Power Solar Systems LTD</v>
      </c>
      <c r="H835">
        <f ca="1">IFERROR(__xludf.DUMMYFUNCTION("""COMPUTED_VALUE"""),20)</f>
        <v>20</v>
      </c>
      <c r="I835" s="4">
        <f ca="1">IFERROR(__xludf.DUMMYFUNCTION("""COMPUTED_VALUE"""),43224)</f>
        <v>43224</v>
      </c>
      <c r="J835">
        <f ca="1">IFERROR(__xludf.DUMMYFUNCTION("""COMPUTED_VALUE"""),5)</f>
        <v>5</v>
      </c>
      <c r="K835">
        <f ca="1">IFERROR(__xludf.DUMMYFUNCTION("""COMPUTED_VALUE"""),1145187019292)</f>
        <v>1145187019292</v>
      </c>
      <c r="L835" t="str">
        <f ca="1">IFERROR(__xludf.DUMMYFUNCTION("""COMPUTED_VALUE"""),"Nalanchira")</f>
        <v>Nalanchira</v>
      </c>
      <c r="M835" t="str">
        <f ca="1">IFERROR(__xludf.DUMMYFUNCTION("""COMPUTED_VALUE"""),"I Accept")</f>
        <v>I Accept</v>
      </c>
      <c r="N835" s="4">
        <f ca="1">IFERROR(__xludf.DUMMYFUNCTION("""COMPUTED_VALUE"""),43251)</f>
        <v>43251</v>
      </c>
      <c r="O835" s="4">
        <f ca="1">IFERROR(__xludf.DUMMYFUNCTION("""COMPUTED_VALUE"""),43251)</f>
        <v>43251</v>
      </c>
      <c r="P835">
        <f ca="1">IFERROR(__xludf.DUMMYFUNCTION("""COMPUTED_VALUE"""),5)</f>
        <v>5</v>
      </c>
      <c r="Q835" t="str">
        <f ca="1">IFERROR(__xludf.DUMMYFUNCTION("""COMPUTED_VALUE"""),"abrahamskin@yahoo.co.in")</f>
        <v>abrahamskin@yahoo.co.in</v>
      </c>
      <c r="R835" s="2" t="s">
        <v>3249</v>
      </c>
    </row>
    <row r="836" spans="1:18" ht="13" x14ac:dyDescent="0.15">
      <c r="A836" s="3">
        <f ca="1">IFERROR(__xludf.DUMMYFUNCTION("""COMPUTED_VALUE"""),43259.509740405)</f>
        <v>43259.509740405003</v>
      </c>
      <c r="B836" t="str">
        <f ca="1">IFERROR(__xludf.DUMMYFUNCTION("""COMPUTED_VALUE"""),"snobinaugustine@gmail.com")</f>
        <v>snobinaugustine@gmail.com</v>
      </c>
      <c r="C836">
        <f ca="1">IFERROR(__xludf.DUMMYFUNCTION("""COMPUTED_VALUE"""),1008)</f>
        <v>1008</v>
      </c>
      <c r="D836" t="str">
        <f ca="1">IFERROR(__xludf.DUMMYFUNCTION("""COMPUTED_VALUE"""),"Chinnappan Alexander")</f>
        <v>Chinnappan Alexander</v>
      </c>
      <c r="E836">
        <f ca="1">IFERROR(__xludf.DUMMYFUNCTION("""COMPUTED_VALUE"""),9961542129)</f>
        <v>9961542129</v>
      </c>
      <c r="F836" t="str">
        <f ca="1">IFERROR(__xludf.DUMMYFUNCTION("""COMPUTED_VALUE"""),"Thiruvananthapuram")</f>
        <v>Thiruvananthapuram</v>
      </c>
      <c r="G836" t="str">
        <f ca="1">IFERROR(__xludf.DUMMYFUNCTION("""COMPUTED_VALUE"""),"Tata Power Solar Systems LTD")</f>
        <v>Tata Power Solar Systems LTD</v>
      </c>
      <c r="H836">
        <f ca="1">IFERROR(__xludf.DUMMYFUNCTION("""COMPUTED_VALUE"""),20)</f>
        <v>20</v>
      </c>
      <c r="I836" s="4">
        <f ca="1">IFERROR(__xludf.DUMMYFUNCTION("""COMPUTED_VALUE"""),43224)</f>
        <v>43224</v>
      </c>
      <c r="J836">
        <f ca="1">IFERROR(__xludf.DUMMYFUNCTION("""COMPUTED_VALUE"""),5)</f>
        <v>5</v>
      </c>
      <c r="K836">
        <f ca="1">IFERROR(__xludf.DUMMYFUNCTION("""COMPUTED_VALUE"""),1145080008844)</f>
        <v>1145080008844</v>
      </c>
      <c r="L836" t="str">
        <f ca="1">IFERROR(__xludf.DUMMYFUNCTION("""COMPUTED_VALUE"""),"Peroorkada")</f>
        <v>Peroorkada</v>
      </c>
      <c r="M836" t="str">
        <f ca="1">IFERROR(__xludf.DUMMYFUNCTION("""COMPUTED_VALUE"""),"I Accept")</f>
        <v>I Accept</v>
      </c>
      <c r="N836" s="4">
        <f ca="1">IFERROR(__xludf.DUMMYFUNCTION("""COMPUTED_VALUE"""),43220)</f>
        <v>43220</v>
      </c>
      <c r="O836" s="4">
        <f ca="1">IFERROR(__xludf.DUMMYFUNCTION("""COMPUTED_VALUE"""),43220)</f>
        <v>43220</v>
      </c>
      <c r="P836">
        <f ca="1">IFERROR(__xludf.DUMMYFUNCTION("""COMPUTED_VALUE"""),5)</f>
        <v>5</v>
      </c>
      <c r="Q836" t="str">
        <f ca="1">IFERROR(__xludf.DUMMYFUNCTION("""COMPUTED_VALUE"""),"snobinaugustine@gmail.com")</f>
        <v>snobinaugustine@gmail.com</v>
      </c>
      <c r="R836" s="2" t="s">
        <v>3250</v>
      </c>
    </row>
    <row r="837" spans="1:18" ht="13" x14ac:dyDescent="0.15">
      <c r="A837" s="3">
        <f ca="1">IFERROR(__xludf.DUMMYFUNCTION("""COMPUTED_VALUE"""),43259.5132694675)</f>
        <v>43259.513269467498</v>
      </c>
      <c r="B837" t="str">
        <f ca="1">IFERROR(__xludf.DUMMYFUNCTION("""COMPUTED_VALUE"""),"nandana2000r@gmail.com")</f>
        <v>nandana2000r@gmail.com</v>
      </c>
      <c r="C837">
        <f ca="1">IFERROR(__xludf.DUMMYFUNCTION("""COMPUTED_VALUE"""),172)</f>
        <v>172</v>
      </c>
      <c r="D837" t="str">
        <f ca="1">IFERROR(__xludf.DUMMYFUNCTION("""COMPUTED_VALUE"""),"TV THOMAS")</f>
        <v>TV THOMAS</v>
      </c>
      <c r="E837">
        <f ca="1">IFERROR(__xludf.DUMMYFUNCTION("""COMPUTED_VALUE"""),7558881999)</f>
        <v>7558881999</v>
      </c>
      <c r="F837" t="str">
        <f ca="1">IFERROR(__xludf.DUMMYFUNCTION("""COMPUTED_VALUE"""),"Kottayam")</f>
        <v>Kottayam</v>
      </c>
      <c r="G837" t="str">
        <f ca="1">IFERROR(__xludf.DUMMYFUNCTION("""COMPUTED_VALUE"""),"TATA POWER SOLAR SYSTEMS LTD")</f>
        <v>TATA POWER SOLAR SYSTEMS LTD</v>
      </c>
      <c r="H837">
        <f ca="1">IFERROR(__xludf.DUMMYFUNCTION("""COMPUTED_VALUE"""),20)</f>
        <v>20</v>
      </c>
      <c r="I837" s="4">
        <f ca="1">IFERROR(__xludf.DUMMYFUNCTION("""COMPUTED_VALUE"""),43151)</f>
        <v>43151</v>
      </c>
      <c r="J837">
        <f ca="1">IFERROR(__xludf.DUMMYFUNCTION("""COMPUTED_VALUE"""),3)</f>
        <v>3</v>
      </c>
      <c r="K837">
        <f ca="1">IFERROR(__xludf.DUMMYFUNCTION("""COMPUTED_VALUE"""),1146356001831)</f>
        <v>1146356001831</v>
      </c>
      <c r="L837" t="str">
        <f ca="1">IFERROR(__xludf.DUMMYFUNCTION("""COMPUTED_VALUE"""),"Kottayam East (4635)")</f>
        <v>Kottayam East (4635)</v>
      </c>
      <c r="M837" t="str">
        <f ca="1">IFERROR(__xludf.DUMMYFUNCTION("""COMPUTED_VALUE"""),"I Accept")</f>
        <v>I Accept</v>
      </c>
      <c r="N837" s="4">
        <f ca="1">IFERROR(__xludf.DUMMYFUNCTION("""COMPUTED_VALUE"""),43147)</f>
        <v>43147</v>
      </c>
      <c r="O837" s="4">
        <f ca="1">IFERROR(__xludf.DUMMYFUNCTION("""COMPUTED_VALUE"""),43147)</f>
        <v>43147</v>
      </c>
      <c r="P837">
        <f ca="1">IFERROR(__xludf.DUMMYFUNCTION("""COMPUTED_VALUE"""),3)</f>
        <v>3</v>
      </c>
      <c r="Q837" t="str">
        <f ca="1">IFERROR(__xludf.DUMMYFUNCTION("""COMPUTED_VALUE"""),"nandana2000r@gmail.com")</f>
        <v>nandana2000r@gmail.com</v>
      </c>
      <c r="R837" s="2" t="s">
        <v>3251</v>
      </c>
    </row>
    <row r="838" spans="1:18" ht="13" x14ac:dyDescent="0.15">
      <c r="A838" s="3">
        <f ca="1">IFERROR(__xludf.DUMMYFUNCTION("""COMPUTED_VALUE"""),43259.5205003124)</f>
        <v>43259.520500312399</v>
      </c>
      <c r="B838" t="str">
        <f ca="1">IFERROR(__xludf.DUMMYFUNCTION("""COMPUTED_VALUE"""),"vlr1946@yahoo.com")</f>
        <v>vlr1946@yahoo.com</v>
      </c>
      <c r="C838">
        <f ca="1">IFERROR(__xludf.DUMMYFUNCTION("""COMPUTED_VALUE"""),1181)</f>
        <v>1181</v>
      </c>
      <c r="D838" t="str">
        <f ca="1">IFERROR(__xludf.DUMMYFUNCTION("""COMPUTED_VALUE"""),"VL Ratnakumari")</f>
        <v>VL Ratnakumari</v>
      </c>
      <c r="E838">
        <f ca="1">IFERROR(__xludf.DUMMYFUNCTION("""COMPUTED_VALUE"""),8848012953)</f>
        <v>8848012953</v>
      </c>
      <c r="F838" t="str">
        <f ca="1">IFERROR(__xludf.DUMMYFUNCTION("""COMPUTED_VALUE"""),"Thiruvananthapuram")</f>
        <v>Thiruvananthapuram</v>
      </c>
      <c r="G838" t="str">
        <f ca="1">IFERROR(__xludf.DUMMYFUNCTION("""COMPUTED_VALUE"""),"Tata Power Solar systems LTD")</f>
        <v>Tata Power Solar systems LTD</v>
      </c>
      <c r="H838">
        <f ca="1">IFERROR(__xludf.DUMMYFUNCTION("""COMPUTED_VALUE"""),20)</f>
        <v>20</v>
      </c>
      <c r="I838" s="4">
        <f ca="1">IFERROR(__xludf.DUMMYFUNCTION("""COMPUTED_VALUE"""),43241)</f>
        <v>43241</v>
      </c>
      <c r="J838">
        <f ca="1">IFERROR(__xludf.DUMMYFUNCTION("""COMPUTED_VALUE"""),3)</f>
        <v>3</v>
      </c>
      <c r="K838">
        <f ca="1">IFERROR(__xludf.DUMMYFUNCTION("""COMPUTED_VALUE"""),1145167008257)</f>
        <v>1145167008257</v>
      </c>
      <c r="L838" t="str">
        <f ca="1">IFERROR(__xludf.DUMMYFUNCTION("""COMPUTED_VALUE"""),"kesavadasapuram")</f>
        <v>kesavadasapuram</v>
      </c>
      <c r="M838" t="str">
        <f ca="1">IFERROR(__xludf.DUMMYFUNCTION("""COMPUTED_VALUE"""),"I Accept")</f>
        <v>I Accept</v>
      </c>
      <c r="N838" s="4">
        <f ca="1">IFERROR(__xludf.DUMMYFUNCTION("""COMPUTED_VALUE"""),43234)</f>
        <v>43234</v>
      </c>
      <c r="O838" s="4">
        <f ca="1">IFERROR(__xludf.DUMMYFUNCTION("""COMPUTED_VALUE"""),43234)</f>
        <v>43234</v>
      </c>
      <c r="P838">
        <f ca="1">IFERROR(__xludf.DUMMYFUNCTION("""COMPUTED_VALUE"""),3)</f>
        <v>3</v>
      </c>
      <c r="Q838" t="str">
        <f ca="1">IFERROR(__xludf.DUMMYFUNCTION("""COMPUTED_VALUE"""),"vlr1946@yahoo.com")</f>
        <v>vlr1946@yahoo.com</v>
      </c>
      <c r="R838" s="2" t="s">
        <v>3252</v>
      </c>
    </row>
    <row r="839" spans="1:18" ht="13" x14ac:dyDescent="0.15">
      <c r="A839" s="3">
        <f ca="1">IFERROR(__xludf.DUMMYFUNCTION("""COMPUTED_VALUE"""),43259.5211995949)</f>
        <v>43259.521199594899</v>
      </c>
      <c r="B839" t="str">
        <f ca="1">IFERROR(__xludf.DUMMYFUNCTION("""COMPUTED_VALUE"""),"ajucherupuzha@gmail.com")</f>
        <v>ajucherupuzha@gmail.com</v>
      </c>
      <c r="C839">
        <f ca="1">IFERROR(__xludf.DUMMYFUNCTION("""COMPUTED_VALUE"""),1042)</f>
        <v>1042</v>
      </c>
      <c r="D839" t="str">
        <f ca="1">IFERROR(__xludf.DUMMYFUNCTION("""COMPUTED_VALUE"""),"ANTONY A.J")</f>
        <v>ANTONY A.J</v>
      </c>
      <c r="E839">
        <f ca="1">IFERROR(__xludf.DUMMYFUNCTION("""COMPUTED_VALUE"""),8547339264)</f>
        <v>8547339264</v>
      </c>
      <c r="F839" t="str">
        <f ca="1">IFERROR(__xludf.DUMMYFUNCTION("""COMPUTED_VALUE"""),"Kottayam")</f>
        <v>Kottayam</v>
      </c>
      <c r="G839" t="str">
        <f ca="1">IFERROR(__xludf.DUMMYFUNCTION("""COMPUTED_VALUE"""),"TEMCO RENEWABLE ENERGY SOLUTIONS PVT.LTD")</f>
        <v>TEMCO RENEWABLE ENERGY SOLUTIONS PVT.LTD</v>
      </c>
      <c r="H839">
        <f ca="1">IFERROR(__xludf.DUMMYFUNCTION("""COMPUTED_VALUE"""),30)</f>
        <v>30</v>
      </c>
      <c r="I839" s="4">
        <f ca="1">IFERROR(__xludf.DUMMYFUNCTION("""COMPUTED_VALUE"""),43241)</f>
        <v>43241</v>
      </c>
      <c r="J839">
        <f ca="1">IFERROR(__xludf.DUMMYFUNCTION("""COMPUTED_VALUE"""),2)</f>
        <v>2</v>
      </c>
      <c r="K839">
        <f ca="1">IFERROR(__xludf.DUMMYFUNCTION("""COMPUTED_VALUE"""),1146463001458)</f>
        <v>1146463001458</v>
      </c>
      <c r="L839" t="str">
        <f ca="1">IFERROR(__xludf.DUMMYFUNCTION("""COMPUTED_VALUE"""),"ETTUMANUR")</f>
        <v>ETTUMANUR</v>
      </c>
      <c r="M839" t="str">
        <f ca="1">IFERROR(__xludf.DUMMYFUNCTION("""COMPUTED_VALUE"""),"I Accept")</f>
        <v>I Accept</v>
      </c>
      <c r="N839" s="4">
        <f ca="1">IFERROR(__xludf.DUMMYFUNCTION("""COMPUTED_VALUE"""),43195)</f>
        <v>43195</v>
      </c>
      <c r="O839" s="4">
        <f ca="1">IFERROR(__xludf.DUMMYFUNCTION("""COMPUTED_VALUE"""),43195)</f>
        <v>43195</v>
      </c>
      <c r="P839">
        <f ca="1">IFERROR(__xludf.DUMMYFUNCTION("""COMPUTED_VALUE"""),2)</f>
        <v>2</v>
      </c>
      <c r="Q839" t="str">
        <f ca="1">IFERROR(__xludf.DUMMYFUNCTION("""COMPUTED_VALUE"""),"ajucherupuzha@gmail.com")</f>
        <v>ajucherupuzha@gmail.com</v>
      </c>
      <c r="R839" s="2" t="s">
        <v>3253</v>
      </c>
    </row>
    <row r="840" spans="1:18" ht="13" x14ac:dyDescent="0.15">
      <c r="A840" s="3">
        <f ca="1">IFERROR(__xludf.DUMMYFUNCTION("""COMPUTED_VALUE"""),43259.5245677777)</f>
        <v>43259.524567777698</v>
      </c>
      <c r="B840" t="str">
        <f ca="1">IFERROR(__xludf.DUMMYFUNCTION("""COMPUTED_VALUE"""),"nandana2000r@gmail.com")</f>
        <v>nandana2000r@gmail.com</v>
      </c>
      <c r="C840">
        <f ca="1">IFERROR(__xludf.DUMMYFUNCTION("""COMPUTED_VALUE"""),171)</f>
        <v>171</v>
      </c>
      <c r="D840" t="str">
        <f ca="1">IFERROR(__xludf.DUMMYFUNCTION("""COMPUTED_VALUE"""),"GEORGE THAYYIL MATHEW")</f>
        <v>GEORGE THAYYIL MATHEW</v>
      </c>
      <c r="E840">
        <f ca="1">IFERROR(__xludf.DUMMYFUNCTION("""COMPUTED_VALUE"""),7558881999)</f>
        <v>7558881999</v>
      </c>
      <c r="F840" t="str">
        <f ca="1">IFERROR(__xludf.DUMMYFUNCTION("""COMPUTED_VALUE"""),"Kottayam")</f>
        <v>Kottayam</v>
      </c>
      <c r="G840" t="str">
        <f ca="1">IFERROR(__xludf.DUMMYFUNCTION("""COMPUTED_VALUE"""),"TATA POWER SOLAR SYSTEMS LTD")</f>
        <v>TATA POWER SOLAR SYSTEMS LTD</v>
      </c>
      <c r="H840">
        <f ca="1">IFERROR(__xludf.DUMMYFUNCTION("""COMPUTED_VALUE"""),20)</f>
        <v>20</v>
      </c>
      <c r="I840" s="4">
        <f ca="1">IFERROR(__xludf.DUMMYFUNCTION("""COMPUTED_VALUE"""),43145)</f>
        <v>43145</v>
      </c>
      <c r="J840">
        <f ca="1">IFERROR(__xludf.DUMMYFUNCTION("""COMPUTED_VALUE"""),3)</f>
        <v>3</v>
      </c>
      <c r="K840">
        <f ca="1">IFERROR(__xludf.DUMMYFUNCTION("""COMPUTED_VALUE"""),1146316003386)</f>
        <v>1146316003386</v>
      </c>
      <c r="L840" t="str">
        <f ca="1">IFERROR(__xludf.DUMMYFUNCTION("""COMPUTED_VALUE"""),"MANARCAD")</f>
        <v>MANARCAD</v>
      </c>
      <c r="M840" t="str">
        <f ca="1">IFERROR(__xludf.DUMMYFUNCTION("""COMPUTED_VALUE"""),"I Accept")</f>
        <v>I Accept</v>
      </c>
      <c r="N840" s="4">
        <f ca="1">IFERROR(__xludf.DUMMYFUNCTION("""COMPUTED_VALUE"""),43154)</f>
        <v>43154</v>
      </c>
      <c r="O840" s="4">
        <f ca="1">IFERROR(__xludf.DUMMYFUNCTION("""COMPUTED_VALUE"""),43154)</f>
        <v>43154</v>
      </c>
      <c r="P840">
        <f ca="1">IFERROR(__xludf.DUMMYFUNCTION("""COMPUTED_VALUE"""),3)</f>
        <v>3</v>
      </c>
      <c r="Q840" t="str">
        <f ca="1">IFERROR(__xludf.DUMMYFUNCTION("""COMPUTED_VALUE"""),"nandana2000r@gmail.com")</f>
        <v>nandana2000r@gmail.com</v>
      </c>
      <c r="R840" s="2" t="s">
        <v>3254</v>
      </c>
    </row>
    <row r="841" spans="1:18" ht="13" x14ac:dyDescent="0.15">
      <c r="A841" s="3">
        <f ca="1">IFERROR(__xludf.DUMMYFUNCTION("""COMPUTED_VALUE"""),43259.5246587615)</f>
        <v>43259.524658761497</v>
      </c>
      <c r="B841" t="str">
        <f ca="1">IFERROR(__xludf.DUMMYFUNCTION("""COMPUTED_VALUE"""),"snobinaugustine@gmail.com")</f>
        <v>snobinaugustine@gmail.com</v>
      </c>
      <c r="C841">
        <f ca="1">IFERROR(__xludf.DUMMYFUNCTION("""COMPUTED_VALUE"""),919)</f>
        <v>919</v>
      </c>
      <c r="D841" t="str">
        <f ca="1">IFERROR(__xludf.DUMMYFUNCTION("""COMPUTED_VALUE"""),"S Kannan")</f>
        <v>S Kannan</v>
      </c>
      <c r="E841">
        <f ca="1">IFERROR(__xludf.DUMMYFUNCTION("""COMPUTED_VALUE"""),9895892451)</f>
        <v>9895892451</v>
      </c>
      <c r="F841" t="str">
        <f ca="1">IFERROR(__xludf.DUMMYFUNCTION("""COMPUTED_VALUE"""),"Thiruvananthapuram")</f>
        <v>Thiruvananthapuram</v>
      </c>
      <c r="G841" t="str">
        <f ca="1">IFERROR(__xludf.DUMMYFUNCTION("""COMPUTED_VALUE"""),"Tata Power Solar Systems LTD")</f>
        <v>Tata Power Solar Systems LTD</v>
      </c>
      <c r="H841">
        <f ca="1">IFERROR(__xludf.DUMMYFUNCTION("""COMPUTED_VALUE"""),20)</f>
        <v>20</v>
      </c>
      <c r="I841" s="4">
        <f ca="1">IFERROR(__xludf.DUMMYFUNCTION("""COMPUTED_VALUE"""),43205)</f>
        <v>43205</v>
      </c>
      <c r="J841">
        <f ca="1">IFERROR(__xludf.DUMMYFUNCTION("""COMPUTED_VALUE"""),3)</f>
        <v>3</v>
      </c>
      <c r="K841">
        <f ca="1">IFERROR(__xludf.DUMMYFUNCTION("""COMPUTED_VALUE"""),1145148007095)</f>
        <v>1145148007095</v>
      </c>
      <c r="L841" t="str">
        <f ca="1">IFERROR(__xludf.DUMMYFUNCTION("""COMPUTED_VALUE"""),"Pettah")</f>
        <v>Pettah</v>
      </c>
      <c r="M841" t="str">
        <f ca="1">IFERROR(__xludf.DUMMYFUNCTION("""COMPUTED_VALUE"""),"I Accept")</f>
        <v>I Accept</v>
      </c>
      <c r="N841" s="4">
        <f ca="1">IFERROR(__xludf.DUMMYFUNCTION("""COMPUTED_VALUE"""),43228)</f>
        <v>43228</v>
      </c>
      <c r="O841" s="4">
        <f ca="1">IFERROR(__xludf.DUMMYFUNCTION("""COMPUTED_VALUE"""),43228)</f>
        <v>43228</v>
      </c>
      <c r="P841">
        <f ca="1">IFERROR(__xludf.DUMMYFUNCTION("""COMPUTED_VALUE"""),3)</f>
        <v>3</v>
      </c>
      <c r="Q841" t="str">
        <f ca="1">IFERROR(__xludf.DUMMYFUNCTION("""COMPUTED_VALUE"""),"snobinaugustine@gmail.com")</f>
        <v>snobinaugustine@gmail.com</v>
      </c>
      <c r="R841" s="2" t="s">
        <v>3255</v>
      </c>
    </row>
    <row r="842" spans="1:18" ht="13" x14ac:dyDescent="0.15">
      <c r="A842" s="3">
        <f ca="1">IFERROR(__xludf.DUMMYFUNCTION("""COMPUTED_VALUE"""),43259.5330407175)</f>
        <v>43259.533040717499</v>
      </c>
      <c r="B842" t="str">
        <f ca="1">IFERROR(__xludf.DUMMYFUNCTION("""COMPUTED_VALUE"""),"nandana2000r@gmail.com")</f>
        <v>nandana2000r@gmail.com</v>
      </c>
      <c r="C842">
        <f ca="1">IFERROR(__xludf.DUMMYFUNCTION("""COMPUTED_VALUE"""),213)</f>
        <v>213</v>
      </c>
      <c r="D842" t="str">
        <f ca="1">IFERROR(__xludf.DUMMYFUNCTION("""COMPUTED_VALUE"""),"JOSEPH MJ")</f>
        <v>JOSEPH MJ</v>
      </c>
      <c r="E842">
        <f ca="1">IFERROR(__xludf.DUMMYFUNCTION("""COMPUTED_VALUE"""),7558881999)</f>
        <v>7558881999</v>
      </c>
      <c r="F842" t="str">
        <f ca="1">IFERROR(__xludf.DUMMYFUNCTION("""COMPUTED_VALUE"""),"Kottayam")</f>
        <v>Kottayam</v>
      </c>
      <c r="G842" t="str">
        <f ca="1">IFERROR(__xludf.DUMMYFUNCTION("""COMPUTED_VALUE"""),"TATA POWER SOLAR SYSTEMS LTD")</f>
        <v>TATA POWER SOLAR SYSTEMS LTD</v>
      </c>
      <c r="H842">
        <f ca="1">IFERROR(__xludf.DUMMYFUNCTION("""COMPUTED_VALUE"""),20)</f>
        <v>20</v>
      </c>
      <c r="I842" s="4">
        <f ca="1">IFERROR(__xludf.DUMMYFUNCTION("""COMPUTED_VALUE"""),43164)</f>
        <v>43164</v>
      </c>
      <c r="J842">
        <f ca="1">IFERROR(__xludf.DUMMYFUNCTION("""COMPUTED_VALUE"""),3)</f>
        <v>3</v>
      </c>
      <c r="K842">
        <f ca="1">IFERROR(__xludf.DUMMYFUNCTION("""COMPUTED_VALUE"""),1156360025312)</f>
        <v>1156360025312</v>
      </c>
      <c r="L842" t="str">
        <f ca="1">IFERROR(__xludf.DUMMYFUNCTION("""COMPUTED_VALUE"""),"Kanjirappally")</f>
        <v>Kanjirappally</v>
      </c>
      <c r="M842" t="str">
        <f ca="1">IFERROR(__xludf.DUMMYFUNCTION("""COMPUTED_VALUE"""),"I Accept")</f>
        <v>I Accept</v>
      </c>
      <c r="N842" s="4">
        <f ca="1">IFERROR(__xludf.DUMMYFUNCTION("""COMPUTED_VALUE"""),43154)</f>
        <v>43154</v>
      </c>
      <c r="O842" s="4">
        <f ca="1">IFERROR(__xludf.DUMMYFUNCTION("""COMPUTED_VALUE"""),43154)</f>
        <v>43154</v>
      </c>
      <c r="P842">
        <f ca="1">IFERROR(__xludf.DUMMYFUNCTION("""COMPUTED_VALUE"""),3)</f>
        <v>3</v>
      </c>
      <c r="Q842" t="str">
        <f ca="1">IFERROR(__xludf.DUMMYFUNCTION("""COMPUTED_VALUE"""),"nandana2000r@gmail.com")</f>
        <v>nandana2000r@gmail.com</v>
      </c>
      <c r="R842" s="2" t="s">
        <v>3256</v>
      </c>
    </row>
    <row r="843" spans="1:18" ht="13" x14ac:dyDescent="0.15">
      <c r="A843" s="3">
        <f ca="1">IFERROR(__xludf.DUMMYFUNCTION("""COMPUTED_VALUE"""),43259.5416563888)</f>
        <v>43259.541656388799</v>
      </c>
      <c r="B843" t="str">
        <f ca="1">IFERROR(__xludf.DUMMYFUNCTION("""COMPUTED_VALUE"""),"nandana2000r@gmail.com")</f>
        <v>nandana2000r@gmail.com</v>
      </c>
      <c r="C843">
        <f ca="1">IFERROR(__xludf.DUMMYFUNCTION("""COMPUTED_VALUE"""),214)</f>
        <v>214</v>
      </c>
      <c r="D843" t="str">
        <f ca="1">IFERROR(__xludf.DUMMYFUNCTION("""COMPUTED_VALUE"""),"VARGHESE PJ")</f>
        <v>VARGHESE PJ</v>
      </c>
      <c r="E843">
        <f ca="1">IFERROR(__xludf.DUMMYFUNCTION("""COMPUTED_VALUE"""),7558881999)</f>
        <v>7558881999</v>
      </c>
      <c r="F843" t="str">
        <f ca="1">IFERROR(__xludf.DUMMYFUNCTION("""COMPUTED_VALUE"""),"Kottayam")</f>
        <v>Kottayam</v>
      </c>
      <c r="G843" t="str">
        <f ca="1">IFERROR(__xludf.DUMMYFUNCTION("""COMPUTED_VALUE"""),"TATA POWER SOLAR SYSTEMS LTD")</f>
        <v>TATA POWER SOLAR SYSTEMS LTD</v>
      </c>
      <c r="H843">
        <f ca="1">IFERROR(__xludf.DUMMYFUNCTION("""COMPUTED_VALUE"""),20)</f>
        <v>20</v>
      </c>
      <c r="I843" s="4">
        <f ca="1">IFERROR(__xludf.DUMMYFUNCTION("""COMPUTED_VALUE"""),43154)</f>
        <v>43154</v>
      </c>
      <c r="J843">
        <f ca="1">IFERROR(__xludf.DUMMYFUNCTION("""COMPUTED_VALUE"""),3)</f>
        <v>3</v>
      </c>
      <c r="K843">
        <f ca="1">IFERROR(__xludf.DUMMYFUNCTION("""COMPUTED_VALUE"""),1146379017773)</f>
        <v>1146379017773</v>
      </c>
      <c r="L843" t="str">
        <f ca="1">IFERROR(__xludf.DUMMYFUNCTION("""COMPUTED_VALUE"""),"KURICHY")</f>
        <v>KURICHY</v>
      </c>
      <c r="M843" t="str">
        <f ca="1">IFERROR(__xludf.DUMMYFUNCTION("""COMPUTED_VALUE"""),"I Accept")</f>
        <v>I Accept</v>
      </c>
      <c r="N843" s="4">
        <f ca="1">IFERROR(__xludf.DUMMYFUNCTION("""COMPUTED_VALUE"""),43238)</f>
        <v>43238</v>
      </c>
      <c r="O843" s="4">
        <f ca="1">IFERROR(__xludf.DUMMYFUNCTION("""COMPUTED_VALUE"""),43238)</f>
        <v>43238</v>
      </c>
      <c r="P843">
        <f ca="1">IFERROR(__xludf.DUMMYFUNCTION("""COMPUTED_VALUE"""),3)</f>
        <v>3</v>
      </c>
      <c r="Q843" t="str">
        <f ca="1">IFERROR(__xludf.DUMMYFUNCTION("""COMPUTED_VALUE"""),"nandana2000r@gmail.com")</f>
        <v>nandana2000r@gmail.com</v>
      </c>
      <c r="R843" s="2" t="s">
        <v>3257</v>
      </c>
    </row>
    <row r="844" spans="1:18" ht="13" x14ac:dyDescent="0.15">
      <c r="A844" s="3">
        <f ca="1">IFERROR(__xludf.DUMMYFUNCTION("""COMPUTED_VALUE"""),43259.5427152083)</f>
        <v>43259.542715208299</v>
      </c>
      <c r="B844" t="str">
        <f ca="1">IFERROR(__xludf.DUMMYFUNCTION("""COMPUTED_VALUE"""),"snobinaugustine@gmail.com")</f>
        <v>snobinaugustine@gmail.com</v>
      </c>
      <c r="C844">
        <f ca="1">IFERROR(__xludf.DUMMYFUNCTION("""COMPUTED_VALUE"""),849)</f>
        <v>849</v>
      </c>
      <c r="D844" t="str">
        <f ca="1">IFERROR(__xludf.DUMMYFUNCTION("""COMPUTED_VALUE"""),"Lakshmi Nandakumar")</f>
        <v>Lakshmi Nandakumar</v>
      </c>
      <c r="E844">
        <f ca="1">IFERROR(__xludf.DUMMYFUNCTION("""COMPUTED_VALUE"""),9526991112)</f>
        <v>9526991112</v>
      </c>
      <c r="F844" t="str">
        <f ca="1">IFERROR(__xludf.DUMMYFUNCTION("""COMPUTED_VALUE"""),"Thiruvananthapuram")</f>
        <v>Thiruvananthapuram</v>
      </c>
      <c r="G844" t="str">
        <f ca="1">IFERROR(__xludf.DUMMYFUNCTION("""COMPUTED_VALUE"""),"Tata Power Solar Systems LTD")</f>
        <v>Tata Power Solar Systems LTD</v>
      </c>
      <c r="H844">
        <f ca="1">IFERROR(__xludf.DUMMYFUNCTION("""COMPUTED_VALUE"""),20)</f>
        <v>20</v>
      </c>
      <c r="I844" s="4">
        <f ca="1">IFERROR(__xludf.DUMMYFUNCTION("""COMPUTED_VALUE"""),43204)</f>
        <v>43204</v>
      </c>
      <c r="J844">
        <f ca="1">IFERROR(__xludf.DUMMYFUNCTION("""COMPUTED_VALUE"""),3)</f>
        <v>3</v>
      </c>
      <c r="K844">
        <f ca="1">IFERROR(__xludf.DUMMYFUNCTION("""COMPUTED_VALUE"""),1145146007135)</f>
        <v>1145146007135</v>
      </c>
      <c r="L844" t="str">
        <f ca="1">IFERROR(__xludf.DUMMYFUNCTION("""COMPUTED_VALUE"""),"pettah")</f>
        <v>pettah</v>
      </c>
      <c r="M844" t="str">
        <f ca="1">IFERROR(__xludf.DUMMYFUNCTION("""COMPUTED_VALUE"""),"I Accept")</f>
        <v>I Accept</v>
      </c>
      <c r="N844" s="4">
        <f ca="1">IFERROR(__xludf.DUMMYFUNCTION("""COMPUTED_VALUE"""),43199)</f>
        <v>43199</v>
      </c>
      <c r="O844" s="4">
        <f ca="1">IFERROR(__xludf.DUMMYFUNCTION("""COMPUTED_VALUE"""),43199)</f>
        <v>43199</v>
      </c>
      <c r="P844">
        <f ca="1">IFERROR(__xludf.DUMMYFUNCTION("""COMPUTED_VALUE"""),3)</f>
        <v>3</v>
      </c>
      <c r="Q844" t="str">
        <f ca="1">IFERROR(__xludf.DUMMYFUNCTION("""COMPUTED_VALUE"""),"snobinaugustine@gmail.com")</f>
        <v>snobinaugustine@gmail.com</v>
      </c>
      <c r="R844" s="2" t="s">
        <v>3258</v>
      </c>
    </row>
    <row r="845" spans="1:18" ht="13" x14ac:dyDescent="0.15">
      <c r="A845" s="3">
        <f ca="1">IFERROR(__xludf.DUMMYFUNCTION("""COMPUTED_VALUE"""),43259.5458095486)</f>
        <v>43259.545809548603</v>
      </c>
      <c r="B845" t="str">
        <f ca="1">IFERROR(__xludf.DUMMYFUNCTION("""COMPUTED_VALUE"""),"kalamouli94@gmail.com")</f>
        <v>kalamouli94@gmail.com</v>
      </c>
      <c r="C845">
        <f ca="1">IFERROR(__xludf.DUMMYFUNCTION("""COMPUTED_VALUE"""),761)</f>
        <v>761</v>
      </c>
      <c r="D845" t="str">
        <f ca="1">IFERROR(__xludf.DUMMYFUNCTION("""COMPUTED_VALUE"""),"M Saraswathy")</f>
        <v>M Saraswathy</v>
      </c>
      <c r="E845">
        <f ca="1">IFERROR(__xludf.DUMMYFUNCTION("""COMPUTED_VALUE"""),9447856846)</f>
        <v>9447856846</v>
      </c>
      <c r="F845" t="str">
        <f ca="1">IFERROR(__xludf.DUMMYFUNCTION("""COMPUTED_VALUE"""),"Thiruvananthapuram")</f>
        <v>Thiruvananthapuram</v>
      </c>
      <c r="G845" t="str">
        <f ca="1">IFERROR(__xludf.DUMMYFUNCTION("""COMPUTED_VALUE"""),"Tata Power Solar Systems Ltd")</f>
        <v>Tata Power Solar Systems Ltd</v>
      </c>
      <c r="H845">
        <f ca="1">IFERROR(__xludf.DUMMYFUNCTION("""COMPUTED_VALUE"""),20)</f>
        <v>20</v>
      </c>
      <c r="I845" s="4">
        <f ca="1">IFERROR(__xludf.DUMMYFUNCTION("""COMPUTED_VALUE"""),43205)</f>
        <v>43205</v>
      </c>
      <c r="J845">
        <f ca="1">IFERROR(__xludf.DUMMYFUNCTION("""COMPUTED_VALUE"""),15)</f>
        <v>15</v>
      </c>
      <c r="K845">
        <f ca="1">IFERROR(__xludf.DUMMYFUNCTION("""COMPUTED_VALUE"""),1145148007147)</f>
        <v>1145148007147</v>
      </c>
      <c r="L845" t="str">
        <f ca="1">IFERROR(__xludf.DUMMYFUNCTION("""COMPUTED_VALUE"""),"Pettah")</f>
        <v>Pettah</v>
      </c>
      <c r="M845" t="str">
        <f ca="1">IFERROR(__xludf.DUMMYFUNCTION("""COMPUTED_VALUE"""),"I Accept")</f>
        <v>I Accept</v>
      </c>
      <c r="N845" s="4">
        <f ca="1">IFERROR(__xludf.DUMMYFUNCTION("""COMPUTED_VALUE"""),43220)</f>
        <v>43220</v>
      </c>
      <c r="O845" s="4">
        <f ca="1">IFERROR(__xludf.DUMMYFUNCTION("""COMPUTED_VALUE"""),43220)</f>
        <v>43220</v>
      </c>
      <c r="P845">
        <f ca="1">IFERROR(__xludf.DUMMYFUNCTION("""COMPUTED_VALUE"""),3)</f>
        <v>3</v>
      </c>
      <c r="Q845" t="str">
        <f ca="1">IFERROR(__xludf.DUMMYFUNCTION("""COMPUTED_VALUE"""),"kalamouli94@gmail.com")</f>
        <v>kalamouli94@gmail.com</v>
      </c>
      <c r="R845" s="2" t="s">
        <v>3259</v>
      </c>
    </row>
    <row r="846" spans="1:18" ht="13" x14ac:dyDescent="0.15">
      <c r="A846" s="3">
        <f ca="1">IFERROR(__xludf.DUMMYFUNCTION("""COMPUTED_VALUE"""),43259.5487705555)</f>
        <v>43259.548770555499</v>
      </c>
      <c r="B846" t="str">
        <f ca="1">IFERROR(__xludf.DUMMYFUNCTION("""COMPUTED_VALUE"""),"snobinaugustine@gmail.com")</f>
        <v>snobinaugustine@gmail.com</v>
      </c>
      <c r="C846">
        <f ca="1">IFERROR(__xludf.DUMMYFUNCTION("""COMPUTED_VALUE"""),946)</f>
        <v>946</v>
      </c>
      <c r="D846" t="str">
        <f ca="1">IFERROR(__xludf.DUMMYFUNCTION("""COMPUTED_VALUE"""),"Ayyappan Radhakrishnan")</f>
        <v>Ayyappan Radhakrishnan</v>
      </c>
      <c r="E846">
        <f ca="1">IFERROR(__xludf.DUMMYFUNCTION("""COMPUTED_VALUE"""),7356417557)</f>
        <v>7356417557</v>
      </c>
      <c r="F846" t="str">
        <f ca="1">IFERROR(__xludf.DUMMYFUNCTION("""COMPUTED_VALUE"""),"Thiruvananthapuram")</f>
        <v>Thiruvananthapuram</v>
      </c>
      <c r="G846" t="str">
        <f ca="1">IFERROR(__xludf.DUMMYFUNCTION("""COMPUTED_VALUE"""),"Tata Power Solar Systems LTD")</f>
        <v>Tata Power Solar Systems LTD</v>
      </c>
      <c r="H846">
        <f ca="1">IFERROR(__xludf.DUMMYFUNCTION("""COMPUTED_VALUE"""),20)</f>
        <v>20</v>
      </c>
      <c r="I846" s="4">
        <f ca="1">IFERROR(__xludf.DUMMYFUNCTION("""COMPUTED_VALUE"""),43204)</f>
        <v>43204</v>
      </c>
      <c r="J846">
        <f ca="1">IFERROR(__xludf.DUMMYFUNCTION("""COMPUTED_VALUE"""),5)</f>
        <v>5</v>
      </c>
      <c r="K846">
        <f ca="1">IFERROR(__xludf.DUMMYFUNCTION("""COMPUTED_VALUE"""),1145068000282)</f>
        <v>1145068000282</v>
      </c>
      <c r="L846" t="str">
        <f ca="1">IFERROR(__xludf.DUMMYFUNCTION("""COMPUTED_VALUE"""),"Cantonment")</f>
        <v>Cantonment</v>
      </c>
      <c r="M846" t="str">
        <f ca="1">IFERROR(__xludf.DUMMYFUNCTION("""COMPUTED_VALUE"""),"I Accept")</f>
        <v>I Accept</v>
      </c>
      <c r="N846" s="4">
        <f ca="1">IFERROR(__xludf.DUMMYFUNCTION("""COMPUTED_VALUE"""),43200)</f>
        <v>43200</v>
      </c>
      <c r="O846" s="4">
        <f ca="1">IFERROR(__xludf.DUMMYFUNCTION("""COMPUTED_VALUE"""),43200)</f>
        <v>43200</v>
      </c>
      <c r="P846">
        <f ca="1">IFERROR(__xludf.DUMMYFUNCTION("""COMPUTED_VALUE"""),5)</f>
        <v>5</v>
      </c>
      <c r="Q846" t="str">
        <f ca="1">IFERROR(__xludf.DUMMYFUNCTION("""COMPUTED_VALUE"""),"snobinaugustine@gmail.com")</f>
        <v>snobinaugustine@gmail.com</v>
      </c>
      <c r="R846" s="2" t="s">
        <v>3260</v>
      </c>
    </row>
    <row r="847" spans="1:18" ht="13" x14ac:dyDescent="0.15">
      <c r="A847" s="3">
        <f ca="1">IFERROR(__xludf.DUMMYFUNCTION("""COMPUTED_VALUE"""),43259.550334618)</f>
        <v>43259.550334617998</v>
      </c>
      <c r="B847" t="str">
        <f ca="1">IFERROR(__xludf.DUMMYFUNCTION("""COMPUTED_VALUE"""),"smitha.soura@gmail.com")</f>
        <v>smitha.soura@gmail.com</v>
      </c>
      <c r="C847">
        <f ca="1">IFERROR(__xludf.DUMMYFUNCTION("""COMPUTED_VALUE"""),790)</f>
        <v>790</v>
      </c>
      <c r="D847" t="str">
        <f ca="1">IFERROR(__xludf.DUMMYFUNCTION("""COMPUTED_VALUE"""),"Praveenraj")</f>
        <v>Praveenraj</v>
      </c>
      <c r="E847">
        <f ca="1">IFERROR(__xludf.DUMMYFUNCTION("""COMPUTED_VALUE"""),9072626009)</f>
        <v>9072626009</v>
      </c>
      <c r="F847" t="str">
        <f ca="1">IFERROR(__xludf.DUMMYFUNCTION("""COMPUTED_VALUE"""),"Ernakulam")</f>
        <v>Ernakulam</v>
      </c>
      <c r="G847" t="str">
        <f ca="1">IFERROR(__xludf.DUMMYFUNCTION("""COMPUTED_VALUE"""),"Soura Natural Energy solutions India pvt ltd")</f>
        <v>Soura Natural Energy solutions India pvt ltd</v>
      </c>
      <c r="H847">
        <f ca="1">IFERROR(__xludf.DUMMYFUNCTION("""COMPUTED_VALUE"""),11)</f>
        <v>11</v>
      </c>
      <c r="I847" s="4">
        <f ca="1">IFERROR(__xludf.DUMMYFUNCTION("""COMPUTED_VALUE"""),43259)</f>
        <v>43259</v>
      </c>
      <c r="J847">
        <f ca="1">IFERROR(__xludf.DUMMYFUNCTION("""COMPUTED_VALUE"""),3)</f>
        <v>3</v>
      </c>
      <c r="K847">
        <f ca="1">IFERROR(__xludf.DUMMYFUNCTION("""COMPUTED_VALUE"""),1155502030970)</f>
        <v>1155502030970</v>
      </c>
      <c r="L847" t="str">
        <f ca="1">IFERROR(__xludf.DUMMYFUNCTION("""COMPUTED_VALUE"""),"maradu")</f>
        <v>maradu</v>
      </c>
      <c r="M847" t="str">
        <f ca="1">IFERROR(__xludf.DUMMYFUNCTION("""COMPUTED_VALUE"""),"I Accept")</f>
        <v>I Accept</v>
      </c>
      <c r="N847" s="4">
        <f ca="1">IFERROR(__xludf.DUMMYFUNCTION("""COMPUTED_VALUE"""),43259)</f>
        <v>43259</v>
      </c>
      <c r="O847" s="4">
        <f ca="1">IFERROR(__xludf.DUMMYFUNCTION("""COMPUTED_VALUE"""),43259)</f>
        <v>43259</v>
      </c>
      <c r="P847">
        <f ca="1">IFERROR(__xludf.DUMMYFUNCTION("""COMPUTED_VALUE"""),3)</f>
        <v>3</v>
      </c>
      <c r="Q847" t="str">
        <f ca="1">IFERROR(__xludf.DUMMYFUNCTION("""COMPUTED_VALUE"""),"smitha.soura@gmail.com")</f>
        <v>smitha.soura@gmail.com</v>
      </c>
      <c r="R847" s="2" t="s">
        <v>3261</v>
      </c>
    </row>
    <row r="848" spans="1:18" ht="13" x14ac:dyDescent="0.15">
      <c r="A848" s="3">
        <f ca="1">IFERROR(__xludf.DUMMYFUNCTION("""COMPUTED_VALUE"""),43259.5534971527)</f>
        <v>43259.553497152701</v>
      </c>
      <c r="B848" t="str">
        <f ca="1">IFERROR(__xludf.DUMMYFUNCTION("""COMPUTED_VALUE"""),"nandana2000r@gmail.com")</f>
        <v>nandana2000r@gmail.com</v>
      </c>
      <c r="C848">
        <f ca="1">IFERROR(__xludf.DUMMYFUNCTION("""COMPUTED_VALUE"""),334)</f>
        <v>334</v>
      </c>
      <c r="D848" t="str">
        <f ca="1">IFERROR(__xludf.DUMMYFUNCTION("""COMPUTED_VALUE"""),"IVY ALEXANDER")</f>
        <v>IVY ALEXANDER</v>
      </c>
      <c r="E848">
        <f ca="1">IFERROR(__xludf.DUMMYFUNCTION("""COMPUTED_VALUE"""),7558881999)</f>
        <v>7558881999</v>
      </c>
      <c r="F848" t="str">
        <f ca="1">IFERROR(__xludf.DUMMYFUNCTION("""COMPUTED_VALUE"""),"Kottayam")</f>
        <v>Kottayam</v>
      </c>
      <c r="G848" t="str">
        <f ca="1">IFERROR(__xludf.DUMMYFUNCTION("""COMPUTED_VALUE"""),"TATA POWER SOLAR SYSTEMS LTD")</f>
        <v>TATA POWER SOLAR SYSTEMS LTD</v>
      </c>
      <c r="H848">
        <f ca="1">IFERROR(__xludf.DUMMYFUNCTION("""COMPUTED_VALUE"""),20)</f>
        <v>20</v>
      </c>
      <c r="I848" s="4">
        <f ca="1">IFERROR(__xludf.DUMMYFUNCTION("""COMPUTED_VALUE"""),43150)</f>
        <v>43150</v>
      </c>
      <c r="J848">
        <f ca="1">IFERROR(__xludf.DUMMYFUNCTION("""COMPUTED_VALUE"""),5)</f>
        <v>5</v>
      </c>
      <c r="K848">
        <f ca="1">IFERROR(__xludf.DUMMYFUNCTION("""COMPUTED_VALUE"""),1146347005426)</f>
        <v>1146347005426</v>
      </c>
      <c r="L848" t="str">
        <f ca="1">IFERROR(__xludf.DUMMYFUNCTION("""COMPUTED_VALUE"""),"KOTTAYAM CENTRAL")</f>
        <v>KOTTAYAM CENTRAL</v>
      </c>
      <c r="M848" t="str">
        <f ca="1">IFERROR(__xludf.DUMMYFUNCTION("""COMPUTED_VALUE"""),"I Accept")</f>
        <v>I Accept</v>
      </c>
      <c r="N848" s="4">
        <f ca="1">IFERROR(__xludf.DUMMYFUNCTION("""COMPUTED_VALUE"""),43183)</f>
        <v>43183</v>
      </c>
      <c r="O848" s="4">
        <f ca="1">IFERROR(__xludf.DUMMYFUNCTION("""COMPUTED_VALUE"""),43183)</f>
        <v>43183</v>
      </c>
      <c r="P848">
        <f ca="1">IFERROR(__xludf.DUMMYFUNCTION("""COMPUTED_VALUE"""),5)</f>
        <v>5</v>
      </c>
      <c r="Q848" t="str">
        <f ca="1">IFERROR(__xludf.DUMMYFUNCTION("""COMPUTED_VALUE"""),"nandana2000r@gmail.com")</f>
        <v>nandana2000r@gmail.com</v>
      </c>
      <c r="R848" s="2" t="s">
        <v>3262</v>
      </c>
    </row>
    <row r="849" spans="1:18" ht="13" x14ac:dyDescent="0.15">
      <c r="A849" s="3">
        <f ca="1">IFERROR(__xludf.DUMMYFUNCTION("""COMPUTED_VALUE"""),43259.5535362615)</f>
        <v>43259.553536261497</v>
      </c>
      <c r="B849" t="str">
        <f ca="1">IFERROR(__xludf.DUMMYFUNCTION("""COMPUTED_VALUE"""),"adibhar@gmail.com")</f>
        <v>adibhar@gmail.com</v>
      </c>
      <c r="C849">
        <f ca="1">IFERROR(__xludf.DUMMYFUNCTION("""COMPUTED_VALUE"""),1083)</f>
        <v>1083</v>
      </c>
      <c r="D849" t="str">
        <f ca="1">IFERROR(__xludf.DUMMYFUNCTION("""COMPUTED_VALUE"""),"Bindu GR")</f>
        <v>Bindu GR</v>
      </c>
      <c r="E849">
        <f ca="1">IFERROR(__xludf.DUMMYFUNCTION("""COMPUTED_VALUE"""),8939017949)</f>
        <v>8939017949</v>
      </c>
      <c r="F849" t="str">
        <f ca="1">IFERROR(__xludf.DUMMYFUNCTION("""COMPUTED_VALUE"""),"Thiruvananthapuram")</f>
        <v>Thiruvananthapuram</v>
      </c>
      <c r="G849" t="str">
        <f ca="1">IFERROR(__xludf.DUMMYFUNCTION("""COMPUTED_VALUE"""),"Tata Power Solar Systems LTD")</f>
        <v>Tata Power Solar Systems LTD</v>
      </c>
      <c r="H849">
        <f ca="1">IFERROR(__xludf.DUMMYFUNCTION("""COMPUTED_VALUE"""),20)</f>
        <v>20</v>
      </c>
      <c r="I849" s="4">
        <f ca="1">IFERROR(__xludf.DUMMYFUNCTION("""COMPUTED_VALUE"""),43229)</f>
        <v>43229</v>
      </c>
      <c r="J849">
        <f ca="1">IFERROR(__xludf.DUMMYFUNCTION("""COMPUTED_VALUE"""),5)</f>
        <v>5</v>
      </c>
      <c r="K849">
        <f ca="1">IFERROR(__xludf.DUMMYFUNCTION("""COMPUTED_VALUE"""),1145072017470)</f>
        <v>1145072017470</v>
      </c>
      <c r="L849" t="str">
        <f ca="1">IFERROR(__xludf.DUMMYFUNCTION("""COMPUTED_VALUE"""),"Vellayambalam")</f>
        <v>Vellayambalam</v>
      </c>
      <c r="M849" t="str">
        <f ca="1">IFERROR(__xludf.DUMMYFUNCTION("""COMPUTED_VALUE"""),"I Accept")</f>
        <v>I Accept</v>
      </c>
      <c r="N849" s="4">
        <f ca="1">IFERROR(__xludf.DUMMYFUNCTION("""COMPUTED_VALUE"""),43223)</f>
        <v>43223</v>
      </c>
      <c r="O849" s="4">
        <f ca="1">IFERROR(__xludf.DUMMYFUNCTION("""COMPUTED_VALUE"""),43223)</f>
        <v>43223</v>
      </c>
      <c r="P849">
        <f ca="1">IFERROR(__xludf.DUMMYFUNCTION("""COMPUTED_VALUE"""),5)</f>
        <v>5</v>
      </c>
      <c r="Q849" t="str">
        <f ca="1">IFERROR(__xludf.DUMMYFUNCTION("""COMPUTED_VALUE"""),"adibhar@gmail.com")</f>
        <v>adibhar@gmail.com</v>
      </c>
      <c r="R849" s="2" t="s">
        <v>3263</v>
      </c>
    </row>
    <row r="850" spans="1:18" ht="13" x14ac:dyDescent="0.15">
      <c r="A850" s="3">
        <f ca="1">IFERROR(__xludf.DUMMYFUNCTION("""COMPUTED_VALUE"""),43259.5571408101)</f>
        <v>43259.557140810102</v>
      </c>
      <c r="B850" t="str">
        <f ca="1">IFERROR(__xludf.DUMMYFUNCTION("""COMPUTED_VALUE"""),"srrakesh98@gmail.com")</f>
        <v>srrakesh98@gmail.com</v>
      </c>
      <c r="C850">
        <f ca="1">IFERROR(__xludf.DUMMYFUNCTION("""COMPUTED_VALUE"""),1097)</f>
        <v>1097</v>
      </c>
      <c r="D850" t="str">
        <f ca="1">IFERROR(__xludf.DUMMYFUNCTION("""COMPUTED_VALUE"""),"Rakesh SR")</f>
        <v>Rakesh SR</v>
      </c>
      <c r="E850">
        <f ca="1">IFERROR(__xludf.DUMMYFUNCTION("""COMPUTED_VALUE"""),9447655705)</f>
        <v>9447655705</v>
      </c>
      <c r="F850" t="str">
        <f ca="1">IFERROR(__xludf.DUMMYFUNCTION("""COMPUTED_VALUE"""),"Thiruvananthapuram")</f>
        <v>Thiruvananthapuram</v>
      </c>
      <c r="G850" t="str">
        <f ca="1">IFERROR(__xludf.DUMMYFUNCTION("""COMPUTED_VALUE"""),"Tata Power Solar Systems LTD")</f>
        <v>Tata Power Solar Systems LTD</v>
      </c>
      <c r="H850">
        <f ca="1">IFERROR(__xludf.DUMMYFUNCTION("""COMPUTED_VALUE"""),20)</f>
        <v>20</v>
      </c>
      <c r="I850" s="4">
        <f ca="1">IFERROR(__xludf.DUMMYFUNCTION("""COMPUTED_VALUE"""),43225)</f>
        <v>43225</v>
      </c>
      <c r="J850">
        <f ca="1">IFERROR(__xludf.DUMMYFUNCTION("""COMPUTED_VALUE"""),3)</f>
        <v>3</v>
      </c>
      <c r="K850">
        <f ca="1">IFERROR(__xludf.DUMMYFUNCTION("""COMPUTED_VALUE"""),1145188027042)</f>
        <v>1145188027042</v>
      </c>
      <c r="L850" t="str">
        <f ca="1">IFERROR(__xludf.DUMMYFUNCTION("""COMPUTED_VALUE"""),"Nalanchira")</f>
        <v>Nalanchira</v>
      </c>
      <c r="M850" t="str">
        <f ca="1">IFERROR(__xludf.DUMMYFUNCTION("""COMPUTED_VALUE"""),"I Accept")</f>
        <v>I Accept</v>
      </c>
      <c r="N850" s="4">
        <f ca="1">IFERROR(__xludf.DUMMYFUNCTION("""COMPUTED_VALUE"""),43223)</f>
        <v>43223</v>
      </c>
      <c r="O850" s="4">
        <f ca="1">IFERROR(__xludf.DUMMYFUNCTION("""COMPUTED_VALUE"""),43223)</f>
        <v>43223</v>
      </c>
      <c r="P850">
        <f ca="1">IFERROR(__xludf.DUMMYFUNCTION("""COMPUTED_VALUE"""),3)</f>
        <v>3</v>
      </c>
      <c r="Q850" t="str">
        <f ca="1">IFERROR(__xludf.DUMMYFUNCTION("""COMPUTED_VALUE"""),"srrakesh98@gmail.com")</f>
        <v>srrakesh98@gmail.com</v>
      </c>
      <c r="R850" s="2" t="s">
        <v>3264</v>
      </c>
    </row>
    <row r="851" spans="1:18" ht="13" x14ac:dyDescent="0.15">
      <c r="A851" s="3">
        <f ca="1">IFERROR(__xludf.DUMMYFUNCTION("""COMPUTED_VALUE"""),43259.5603430324)</f>
        <v>43259.560343032397</v>
      </c>
      <c r="B851" t="str">
        <f ca="1">IFERROR(__xludf.DUMMYFUNCTION("""COMPUTED_VALUE"""),"drabhilashkannan@gmail.com")</f>
        <v>drabhilashkannan@gmail.com</v>
      </c>
      <c r="C851">
        <f ca="1">IFERROR(__xludf.DUMMYFUNCTION("""COMPUTED_VALUE"""),986)</f>
        <v>986</v>
      </c>
      <c r="D851" t="str">
        <f ca="1">IFERROR(__xludf.DUMMYFUNCTION("""COMPUTED_VALUE"""),"Abhilash k")</f>
        <v>Abhilash k</v>
      </c>
      <c r="E851">
        <f ca="1">IFERROR(__xludf.DUMMYFUNCTION("""COMPUTED_VALUE"""),9995865942)</f>
        <v>9995865942</v>
      </c>
      <c r="F851" t="str">
        <f ca="1">IFERROR(__xludf.DUMMYFUNCTION("""COMPUTED_VALUE"""),"Thiruvananthapuram")</f>
        <v>Thiruvananthapuram</v>
      </c>
      <c r="G851" t="str">
        <f ca="1">IFERROR(__xludf.DUMMYFUNCTION("""COMPUTED_VALUE"""),"Tata Power Solar Systems LTD")</f>
        <v>Tata Power Solar Systems LTD</v>
      </c>
      <c r="H851">
        <f ca="1">IFERROR(__xludf.DUMMYFUNCTION("""COMPUTED_VALUE"""),20)</f>
        <v>20</v>
      </c>
      <c r="I851" s="4">
        <f ca="1">IFERROR(__xludf.DUMMYFUNCTION("""COMPUTED_VALUE"""),43229)</f>
        <v>43229</v>
      </c>
      <c r="J851">
        <f ca="1">IFERROR(__xludf.DUMMYFUNCTION("""COMPUTED_VALUE"""),5)</f>
        <v>5</v>
      </c>
      <c r="K851">
        <f ca="1">IFERROR(__xludf.DUMMYFUNCTION("""COMPUTED_VALUE"""),2429)</f>
        <v>2429</v>
      </c>
      <c r="L851" t="str">
        <f ca="1">IFERROR(__xludf.DUMMYFUNCTION("""COMPUTED_VALUE"""),"Ulloor")</f>
        <v>Ulloor</v>
      </c>
      <c r="M851" t="str">
        <f ca="1">IFERROR(__xludf.DUMMYFUNCTION("""COMPUTED_VALUE"""),"I Accept")</f>
        <v>I Accept</v>
      </c>
      <c r="N851" s="4">
        <f ca="1">IFERROR(__xludf.DUMMYFUNCTION("""COMPUTED_VALUE"""),43254)</f>
        <v>43254</v>
      </c>
      <c r="O851" s="4">
        <f ca="1">IFERROR(__xludf.DUMMYFUNCTION("""COMPUTED_VALUE"""),43254)</f>
        <v>43254</v>
      </c>
      <c r="P851">
        <f ca="1">IFERROR(__xludf.DUMMYFUNCTION("""COMPUTED_VALUE"""),5)</f>
        <v>5</v>
      </c>
      <c r="Q851" t="str">
        <f ca="1">IFERROR(__xludf.DUMMYFUNCTION("""COMPUTED_VALUE"""),"drabhilashkannan@gmail.com")</f>
        <v>drabhilashkannan@gmail.com</v>
      </c>
      <c r="R851" s="2" t="s">
        <v>3265</v>
      </c>
    </row>
    <row r="852" spans="1:18" ht="13" x14ac:dyDescent="0.15">
      <c r="A852" s="3">
        <f ca="1">IFERROR(__xludf.DUMMYFUNCTION("""COMPUTED_VALUE"""),43259.5613805787)</f>
        <v>43259.5613805787</v>
      </c>
      <c r="B852" t="str">
        <f ca="1">IFERROR(__xludf.DUMMYFUNCTION("""COMPUTED_VALUE"""),"anoop_chandran87@yahoo.co.in")</f>
        <v>anoop_chandran87@yahoo.co.in</v>
      </c>
      <c r="C852">
        <f ca="1">IFERROR(__xludf.DUMMYFUNCTION("""COMPUTED_VALUE"""),1207)</f>
        <v>1207</v>
      </c>
      <c r="D852" t="str">
        <f ca="1">IFERROR(__xludf.DUMMYFUNCTION("""COMPUTED_VALUE"""),"SREE SANKARA COLLEGE")</f>
        <v>SREE SANKARA COLLEGE</v>
      </c>
      <c r="E852">
        <f ca="1">IFERROR(__xludf.DUMMYFUNCTION("""COMPUTED_VALUE"""),8891972770)</f>
        <v>8891972770</v>
      </c>
      <c r="F852" t="str">
        <f ca="1">IFERROR(__xludf.DUMMYFUNCTION("""COMPUTED_VALUE"""),"Ernakulam")</f>
        <v>Ernakulam</v>
      </c>
      <c r="G852" t="str">
        <f ca="1">IFERROR(__xludf.DUMMYFUNCTION("""COMPUTED_VALUE"""),"ORB ENERGY PVT LTD")</f>
        <v>ORB ENERGY PVT LTD</v>
      </c>
      <c r="H852">
        <f ca="1">IFERROR(__xludf.DUMMYFUNCTION("""COMPUTED_VALUE"""),5)</f>
        <v>5</v>
      </c>
      <c r="I852" s="4">
        <f ca="1">IFERROR(__xludf.DUMMYFUNCTION("""COMPUTED_VALUE"""),43262)</f>
        <v>43262</v>
      </c>
      <c r="J852">
        <f ca="1">IFERROR(__xludf.DUMMYFUNCTION("""COMPUTED_VALUE"""),25)</f>
        <v>25</v>
      </c>
      <c r="K852">
        <f ca="1">IFERROR(__xludf.DUMMYFUNCTION("""COMPUTED_VALUE"""),1355760001364)</f>
        <v>1355760001364</v>
      </c>
      <c r="L852" t="str">
        <f ca="1">IFERROR(__xludf.DUMMYFUNCTION("""COMPUTED_VALUE"""),"KALADY")</f>
        <v>KALADY</v>
      </c>
      <c r="M852" t="str">
        <f ca="1">IFERROR(__xludf.DUMMYFUNCTION("""COMPUTED_VALUE"""),"I Accept")</f>
        <v>I Accept</v>
      </c>
      <c r="N852" s="4">
        <f ca="1">IFERROR(__xludf.DUMMYFUNCTION("""COMPUTED_VALUE"""),43262)</f>
        <v>43262</v>
      </c>
      <c r="O852" s="4">
        <f ca="1">IFERROR(__xludf.DUMMYFUNCTION("""COMPUTED_VALUE"""),43262)</f>
        <v>43262</v>
      </c>
      <c r="P852">
        <f ca="1">IFERROR(__xludf.DUMMYFUNCTION("""COMPUTED_VALUE"""),25)</f>
        <v>25</v>
      </c>
      <c r="Q852" t="str">
        <f ca="1">IFERROR(__xludf.DUMMYFUNCTION("""COMPUTED_VALUE"""),"anoop.lineagepower@gmail.com")</f>
        <v>anoop.lineagepower@gmail.com</v>
      </c>
      <c r="R852" s="2" t="s">
        <v>3266</v>
      </c>
    </row>
    <row r="853" spans="1:18" ht="13" x14ac:dyDescent="0.15">
      <c r="A853" s="3">
        <f ca="1">IFERROR(__xludf.DUMMYFUNCTION("""COMPUTED_VALUE"""),43259.5637351736)</f>
        <v>43259.5637351736</v>
      </c>
      <c r="B853" t="str">
        <f ca="1">IFERROR(__xludf.DUMMYFUNCTION("""COMPUTED_VALUE"""),"service@mohankrishnan.com")</f>
        <v>service@mohankrishnan.com</v>
      </c>
      <c r="C853">
        <f ca="1">IFERROR(__xludf.DUMMYFUNCTION("""COMPUTED_VALUE"""),1039)</f>
        <v>1039</v>
      </c>
      <c r="D853" t="str">
        <f ca="1">IFERROR(__xludf.DUMMYFUNCTION("""COMPUTED_VALUE"""),"Mohan Kumar Krishnan")</f>
        <v>Mohan Kumar Krishnan</v>
      </c>
      <c r="E853">
        <f ca="1">IFERROR(__xludf.DUMMYFUNCTION("""COMPUTED_VALUE"""),9447749808)</f>
        <v>9447749808</v>
      </c>
      <c r="F853" t="str">
        <f ca="1">IFERROR(__xludf.DUMMYFUNCTION("""COMPUTED_VALUE"""),"Thiruvananthapuram")</f>
        <v>Thiruvananthapuram</v>
      </c>
      <c r="G853" t="str">
        <f ca="1">IFERROR(__xludf.DUMMYFUNCTION("""COMPUTED_VALUE"""),"Tata Power Solar Systems LTD")</f>
        <v>Tata Power Solar Systems LTD</v>
      </c>
      <c r="H853">
        <f ca="1">IFERROR(__xludf.DUMMYFUNCTION("""COMPUTED_VALUE"""),20)</f>
        <v>20</v>
      </c>
      <c r="I853" s="4">
        <f ca="1">IFERROR(__xludf.DUMMYFUNCTION("""COMPUTED_VALUE"""),43237)</f>
        <v>43237</v>
      </c>
      <c r="J853">
        <f ca="1">IFERROR(__xludf.DUMMYFUNCTION("""COMPUTED_VALUE"""),5)</f>
        <v>5</v>
      </c>
      <c r="K853">
        <f ca="1">IFERROR(__xludf.DUMMYFUNCTION("""COMPUTED_VALUE"""),1145076014198)</f>
        <v>1145076014198</v>
      </c>
      <c r="L853" t="str">
        <f ca="1">IFERROR(__xludf.DUMMYFUNCTION("""COMPUTED_VALUE"""),"Vellayambalam")</f>
        <v>Vellayambalam</v>
      </c>
      <c r="M853" t="str">
        <f ca="1">IFERROR(__xludf.DUMMYFUNCTION("""COMPUTED_VALUE"""),"I Accept")</f>
        <v>I Accept</v>
      </c>
      <c r="N853" s="4">
        <f ca="1">IFERROR(__xludf.DUMMYFUNCTION("""COMPUTED_VALUE"""),43236)</f>
        <v>43236</v>
      </c>
      <c r="O853" s="4">
        <f ca="1">IFERROR(__xludf.DUMMYFUNCTION("""COMPUTED_VALUE"""),43236)</f>
        <v>43236</v>
      </c>
      <c r="P853">
        <f ca="1">IFERROR(__xludf.DUMMYFUNCTION("""COMPUTED_VALUE"""),5)</f>
        <v>5</v>
      </c>
      <c r="Q853" t="str">
        <f ca="1">IFERROR(__xludf.DUMMYFUNCTION("""COMPUTED_VALUE"""),"service@mohankrishnan.com")</f>
        <v>service@mohankrishnan.com</v>
      </c>
      <c r="R853" s="2" t="s">
        <v>3267</v>
      </c>
    </row>
    <row r="854" spans="1:18" ht="13" x14ac:dyDescent="0.15">
      <c r="A854" s="3">
        <f ca="1">IFERROR(__xludf.DUMMYFUNCTION("""COMPUTED_VALUE"""),43259.5657499189)</f>
        <v>43259.565749918896</v>
      </c>
      <c r="B854" t="str">
        <f ca="1">IFERROR(__xludf.DUMMYFUNCTION("""COMPUTED_VALUE"""),"contactvinova@gmail.com")</f>
        <v>contactvinova@gmail.com</v>
      </c>
      <c r="C854">
        <f ca="1">IFERROR(__xludf.DUMMYFUNCTION("""COMPUTED_VALUE"""),937)</f>
        <v>937</v>
      </c>
      <c r="D854" t="str">
        <f ca="1">IFERROR(__xludf.DUMMYFUNCTION("""COMPUTED_VALUE"""),"Franco Joseph Konikkara")</f>
        <v>Franco Joseph Konikkara</v>
      </c>
      <c r="E854">
        <f ca="1">IFERROR(__xludf.DUMMYFUNCTION("""COMPUTED_VALUE"""),9388155155)</f>
        <v>9388155155</v>
      </c>
      <c r="F854" t="str">
        <f ca="1">IFERROR(__xludf.DUMMYFUNCTION("""COMPUTED_VALUE"""),"Thrissur")</f>
        <v>Thrissur</v>
      </c>
      <c r="G854" t="str">
        <f ca="1">IFERROR(__xludf.DUMMYFUNCTION("""COMPUTED_VALUE"""),"vinova energy systems")</f>
        <v>vinova energy systems</v>
      </c>
      <c r="H854">
        <f ca="1">IFERROR(__xludf.DUMMYFUNCTION("""COMPUTED_VALUE"""),48)</f>
        <v>48</v>
      </c>
      <c r="I854" s="4">
        <f ca="1">IFERROR(__xludf.DUMMYFUNCTION("""COMPUTED_VALUE"""),43206)</f>
        <v>43206</v>
      </c>
      <c r="J854">
        <f ca="1">IFERROR(__xludf.DUMMYFUNCTION("""COMPUTED_VALUE"""),5)</f>
        <v>5</v>
      </c>
      <c r="K854">
        <f ca="1">IFERROR(__xludf.DUMMYFUNCTION("""COMPUTED_VALUE"""),1156807018025)</f>
        <v>1156807018025</v>
      </c>
      <c r="L854" t="str">
        <f ca="1">IFERROR(__xludf.DUMMYFUNCTION("""COMPUTED_VALUE"""),"viyur")</f>
        <v>viyur</v>
      </c>
      <c r="M854" t="str">
        <f ca="1">IFERROR(__xludf.DUMMYFUNCTION("""COMPUTED_VALUE"""),"I Accept")</f>
        <v>I Accept</v>
      </c>
      <c r="N854" s="4">
        <f ca="1">IFERROR(__xludf.DUMMYFUNCTION("""COMPUTED_VALUE"""),43259)</f>
        <v>43259</v>
      </c>
      <c r="O854" s="4">
        <f ca="1">IFERROR(__xludf.DUMMYFUNCTION("""COMPUTED_VALUE"""),43259)</f>
        <v>43259</v>
      </c>
      <c r="P854">
        <f ca="1">IFERROR(__xludf.DUMMYFUNCTION("""COMPUTED_VALUE"""),5)</f>
        <v>5</v>
      </c>
      <c r="Q854" t="str">
        <f ca="1">IFERROR(__xludf.DUMMYFUNCTION("""COMPUTED_VALUE"""),"contactvinova@gmail.com")</f>
        <v>contactvinova@gmail.com</v>
      </c>
      <c r="R854" s="2" t="s">
        <v>3268</v>
      </c>
    </row>
    <row r="855" spans="1:18" ht="13" x14ac:dyDescent="0.15">
      <c r="A855" s="3">
        <f ca="1">IFERROR(__xludf.DUMMYFUNCTION("""COMPUTED_VALUE"""),43259.5691191898)</f>
        <v>43259.5691191898</v>
      </c>
      <c r="B855" t="str">
        <f ca="1">IFERROR(__xludf.DUMMYFUNCTION("""COMPUTED_VALUE"""),"nandana2000r@gmail.com")</f>
        <v>nandana2000r@gmail.com</v>
      </c>
      <c r="C855">
        <f ca="1">IFERROR(__xludf.DUMMYFUNCTION("""COMPUTED_VALUE"""),549)</f>
        <v>549</v>
      </c>
      <c r="D855" t="str">
        <f ca="1">IFERROR(__xludf.DUMMYFUNCTION("""COMPUTED_VALUE"""),"V O  MATHEW")</f>
        <v>V O  MATHEW</v>
      </c>
      <c r="E855">
        <f ca="1">IFERROR(__xludf.DUMMYFUNCTION("""COMPUTED_VALUE"""),7558881999)</f>
        <v>7558881999</v>
      </c>
      <c r="F855" t="str">
        <f ca="1">IFERROR(__xludf.DUMMYFUNCTION("""COMPUTED_VALUE"""),"Kottayam")</f>
        <v>Kottayam</v>
      </c>
      <c r="G855" t="str">
        <f ca="1">IFERROR(__xludf.DUMMYFUNCTION("""COMPUTED_VALUE"""),"TATA POWER SOLAR SYSTEMS LTD")</f>
        <v>TATA POWER SOLAR SYSTEMS LTD</v>
      </c>
      <c r="H855">
        <f ca="1">IFERROR(__xludf.DUMMYFUNCTION("""COMPUTED_VALUE"""),20)</f>
        <v>20</v>
      </c>
      <c r="I855" s="4">
        <f ca="1">IFERROR(__xludf.DUMMYFUNCTION("""COMPUTED_VALUE"""),43160)</f>
        <v>43160</v>
      </c>
      <c r="J855">
        <f ca="1">IFERROR(__xludf.DUMMYFUNCTION("""COMPUTED_VALUE"""),3)</f>
        <v>3</v>
      </c>
      <c r="K855">
        <f ca="1">IFERROR(__xludf.DUMMYFUNCTION("""COMPUTED_VALUE"""),1146351007168)</f>
        <v>1146351007168</v>
      </c>
      <c r="L855" t="str">
        <f ca="1">IFERROR(__xludf.DUMMYFUNCTION("""COMPUTED_VALUE"""),"KOTTAYAM EAST")</f>
        <v>KOTTAYAM EAST</v>
      </c>
      <c r="M855" t="str">
        <f ca="1">IFERROR(__xludf.DUMMYFUNCTION("""COMPUTED_VALUE"""),"I Accept")</f>
        <v>I Accept</v>
      </c>
      <c r="N855" s="4">
        <f ca="1">IFERROR(__xludf.DUMMYFUNCTION("""COMPUTED_VALUE"""),43218)</f>
        <v>43218</v>
      </c>
      <c r="O855" s="4">
        <f ca="1">IFERROR(__xludf.DUMMYFUNCTION("""COMPUTED_VALUE"""),43218)</f>
        <v>43218</v>
      </c>
      <c r="P855">
        <f ca="1">IFERROR(__xludf.DUMMYFUNCTION("""COMPUTED_VALUE"""),3)</f>
        <v>3</v>
      </c>
      <c r="Q855" t="str">
        <f ca="1">IFERROR(__xludf.DUMMYFUNCTION("""COMPUTED_VALUE"""),"nandana2000r@gmail.com")</f>
        <v>nandana2000r@gmail.com</v>
      </c>
      <c r="R855" s="2" t="s">
        <v>3269</v>
      </c>
    </row>
    <row r="856" spans="1:18" ht="13" x14ac:dyDescent="0.15">
      <c r="A856" s="3">
        <f ca="1">IFERROR(__xludf.DUMMYFUNCTION("""COMPUTED_VALUE"""),43259.5720370486)</f>
        <v>43259.572037048601</v>
      </c>
      <c r="B856" t="str">
        <f ca="1">IFERROR(__xludf.DUMMYFUNCTION("""COMPUTED_VALUE"""),"raveendrank@gmail.com")</f>
        <v>raveendrank@gmail.com</v>
      </c>
      <c r="C856">
        <f ca="1">IFERROR(__xludf.DUMMYFUNCTION("""COMPUTED_VALUE"""),426)</f>
        <v>426</v>
      </c>
      <c r="D856" t="str">
        <f ca="1">IFERROR(__xludf.DUMMYFUNCTION("""COMPUTED_VALUE"""),"Latha G")</f>
        <v>Latha G</v>
      </c>
      <c r="E856">
        <f ca="1">IFERROR(__xludf.DUMMYFUNCTION("""COMPUTED_VALUE"""),9447024464)</f>
        <v>9447024464</v>
      </c>
      <c r="F856" t="str">
        <f ca="1">IFERROR(__xludf.DUMMYFUNCTION("""COMPUTED_VALUE"""),"Thiruvananthapuram")</f>
        <v>Thiruvananthapuram</v>
      </c>
      <c r="G856" t="str">
        <f ca="1">IFERROR(__xludf.DUMMYFUNCTION("""COMPUTED_VALUE"""),"Tata Power Solar Systems LTD")</f>
        <v>Tata Power Solar Systems LTD</v>
      </c>
      <c r="H856">
        <f ca="1">IFERROR(__xludf.DUMMYFUNCTION("""COMPUTED_VALUE"""),20)</f>
        <v>20</v>
      </c>
      <c r="I856" s="4">
        <f ca="1">IFERROR(__xludf.DUMMYFUNCTION("""COMPUTED_VALUE"""),43229)</f>
        <v>43229</v>
      </c>
      <c r="J856">
        <f ca="1">IFERROR(__xludf.DUMMYFUNCTION("""COMPUTED_VALUE"""),3)</f>
        <v>3</v>
      </c>
      <c r="K856">
        <f ca="1">IFERROR(__xludf.DUMMYFUNCTION("""COMPUTED_VALUE"""),1145100003093)</f>
        <v>1145100003093</v>
      </c>
      <c r="L856" t="str">
        <f ca="1">IFERROR(__xludf.DUMMYFUNCTION("""COMPUTED_VALUE"""),"Karamana")</f>
        <v>Karamana</v>
      </c>
      <c r="M856" t="str">
        <f ca="1">IFERROR(__xludf.DUMMYFUNCTION("""COMPUTED_VALUE"""),"I Accept")</f>
        <v>I Accept</v>
      </c>
      <c r="N856" s="4">
        <f ca="1">IFERROR(__xludf.DUMMYFUNCTION("""COMPUTED_VALUE"""),43229)</f>
        <v>43229</v>
      </c>
      <c r="O856" s="4">
        <f ca="1">IFERROR(__xludf.DUMMYFUNCTION("""COMPUTED_VALUE"""),43229)</f>
        <v>43229</v>
      </c>
      <c r="P856">
        <f ca="1">IFERROR(__xludf.DUMMYFUNCTION("""COMPUTED_VALUE"""),3)</f>
        <v>3</v>
      </c>
      <c r="Q856" t="str">
        <f ca="1">IFERROR(__xludf.DUMMYFUNCTION("""COMPUTED_VALUE"""),"raveendrank@gmail.com")</f>
        <v>raveendrank@gmail.com</v>
      </c>
      <c r="R856" s="2" t="s">
        <v>3270</v>
      </c>
    </row>
    <row r="857" spans="1:18" ht="13" x14ac:dyDescent="0.15">
      <c r="A857" s="3">
        <f ca="1">IFERROR(__xludf.DUMMYFUNCTION("""COMPUTED_VALUE"""),43259.5803775463)</f>
        <v>43259.580377546299</v>
      </c>
      <c r="B857" t="str">
        <f ca="1">IFERROR(__xludf.DUMMYFUNCTION("""COMPUTED_VALUE"""),"nandana2000r@gmail.com")</f>
        <v>nandana2000r@gmail.com</v>
      </c>
      <c r="C857">
        <f ca="1">IFERROR(__xludf.DUMMYFUNCTION("""COMPUTED_VALUE"""),547)</f>
        <v>547</v>
      </c>
      <c r="D857" t="str">
        <f ca="1">IFERROR(__xludf.DUMMYFUNCTION("""COMPUTED_VALUE"""),"PV JACOB")</f>
        <v>PV JACOB</v>
      </c>
      <c r="E857">
        <f ca="1">IFERROR(__xludf.DUMMYFUNCTION("""COMPUTED_VALUE"""),7558881999)</f>
        <v>7558881999</v>
      </c>
      <c r="F857" t="str">
        <f ca="1">IFERROR(__xludf.DUMMYFUNCTION("""COMPUTED_VALUE"""),"Kottayam")</f>
        <v>Kottayam</v>
      </c>
      <c r="G857" t="str">
        <f ca="1">IFERROR(__xludf.DUMMYFUNCTION("""COMPUTED_VALUE"""),"TATA POWER SOLAR SYSTEMS LTD")</f>
        <v>TATA POWER SOLAR SYSTEMS LTD</v>
      </c>
      <c r="H857">
        <f ca="1">IFERROR(__xludf.DUMMYFUNCTION("""COMPUTED_VALUE"""),20)</f>
        <v>20</v>
      </c>
      <c r="I857" s="4">
        <f ca="1">IFERROR(__xludf.DUMMYFUNCTION("""COMPUTED_VALUE"""),43176)</f>
        <v>43176</v>
      </c>
      <c r="J857">
        <f ca="1">IFERROR(__xludf.DUMMYFUNCTION("""COMPUTED_VALUE"""),5)</f>
        <v>5</v>
      </c>
      <c r="K857">
        <f ca="1">IFERROR(__xludf.DUMMYFUNCTION("""COMPUTED_VALUE"""),1146363017200)</f>
        <v>1146363017200</v>
      </c>
      <c r="L857" t="str">
        <f ca="1">IFERROR(__xludf.DUMMYFUNCTION("""COMPUTED_VALUE"""),"CHENGANACHERRY")</f>
        <v>CHENGANACHERRY</v>
      </c>
      <c r="M857" t="str">
        <f ca="1">IFERROR(__xludf.DUMMYFUNCTION("""COMPUTED_VALUE"""),"I Accept")</f>
        <v>I Accept</v>
      </c>
      <c r="N857" s="4">
        <f ca="1">IFERROR(__xludf.DUMMYFUNCTION("""COMPUTED_VALUE"""),43196)</f>
        <v>43196</v>
      </c>
      <c r="O857" s="4">
        <f ca="1">IFERROR(__xludf.DUMMYFUNCTION("""COMPUTED_VALUE"""),43196)</f>
        <v>43196</v>
      </c>
      <c r="P857">
        <f ca="1">IFERROR(__xludf.DUMMYFUNCTION("""COMPUTED_VALUE"""),5)</f>
        <v>5</v>
      </c>
      <c r="Q857" t="str">
        <f ca="1">IFERROR(__xludf.DUMMYFUNCTION("""COMPUTED_VALUE"""),"nandana2000r@gmail.com")</f>
        <v>nandana2000r@gmail.com</v>
      </c>
      <c r="R857" s="2" t="s">
        <v>3271</v>
      </c>
    </row>
    <row r="858" spans="1:18" ht="13" x14ac:dyDescent="0.15">
      <c r="A858" s="3">
        <f ca="1">IFERROR(__xludf.DUMMYFUNCTION("""COMPUTED_VALUE"""),43259.5824908101)</f>
        <v>43259.582490810099</v>
      </c>
      <c r="B858" t="str">
        <f ca="1">IFERROR(__xludf.DUMMYFUNCTION("""COMPUTED_VALUE"""),"nestromarketing@gmail.com")</f>
        <v>nestromarketing@gmail.com</v>
      </c>
      <c r="C858">
        <f ca="1">IFERROR(__xludf.DUMMYFUNCTION("""COMPUTED_VALUE"""),1201)</f>
        <v>1201</v>
      </c>
      <c r="D858" t="str">
        <f ca="1">IFERROR(__xludf.DUMMYFUNCTION("""COMPUTED_VALUE"""),"MOHAMMED SALEEM P")</f>
        <v>MOHAMMED SALEEM P</v>
      </c>
      <c r="E858">
        <f ca="1">IFERROR(__xludf.DUMMYFUNCTION("""COMPUTED_VALUE"""),9142099977)</f>
        <v>9142099977</v>
      </c>
      <c r="F858" t="str">
        <f ca="1">IFERROR(__xludf.DUMMYFUNCTION("""COMPUTED_VALUE"""),"Malappuram")</f>
        <v>Malappuram</v>
      </c>
      <c r="G858" t="str">
        <f ca="1">IFERROR(__xludf.DUMMYFUNCTION("""COMPUTED_VALUE"""),"NESTRO MARKETING LLP")</f>
        <v>NESTRO MARKETING LLP</v>
      </c>
      <c r="H858">
        <f ca="1">IFERROR(__xludf.DUMMYFUNCTION("""COMPUTED_VALUE"""),14)</f>
        <v>14</v>
      </c>
      <c r="I858" s="4">
        <f ca="1">IFERROR(__xludf.DUMMYFUNCTION("""COMPUTED_VALUE"""),43259)</f>
        <v>43259</v>
      </c>
      <c r="J858">
        <f ca="1">IFERROR(__xludf.DUMMYFUNCTION("""COMPUTED_VALUE"""),2)</f>
        <v>2</v>
      </c>
      <c r="K858">
        <f ca="1">IFERROR(__xludf.DUMMYFUNCTION("""COMPUTED_VALUE"""),1165563001201)</f>
        <v>1165563001201</v>
      </c>
      <c r="L858" t="str">
        <f ca="1">IFERROR(__xludf.DUMMYFUNCTION("""COMPUTED_VALUE"""),"VENGARA(6556)")</f>
        <v>VENGARA(6556)</v>
      </c>
      <c r="M858" t="str">
        <f ca="1">IFERROR(__xludf.DUMMYFUNCTION("""COMPUTED_VALUE"""),"I Accept")</f>
        <v>I Accept</v>
      </c>
      <c r="N858" s="4">
        <f ca="1">IFERROR(__xludf.DUMMYFUNCTION("""COMPUTED_VALUE"""),43256)</f>
        <v>43256</v>
      </c>
      <c r="O858" s="4">
        <f ca="1">IFERROR(__xludf.DUMMYFUNCTION("""COMPUTED_VALUE"""),43256)</f>
        <v>43256</v>
      </c>
      <c r="P858">
        <f ca="1">IFERROR(__xludf.DUMMYFUNCTION("""COMPUTED_VALUE"""),2)</f>
        <v>2</v>
      </c>
      <c r="Q858" t="str">
        <f ca="1">IFERROR(__xludf.DUMMYFUNCTION("""COMPUTED_VALUE"""),"nestromarketing@gmail.com")</f>
        <v>nestromarketing@gmail.com</v>
      </c>
      <c r="R858" s="2" t="s">
        <v>3272</v>
      </c>
    </row>
    <row r="859" spans="1:18" ht="13" x14ac:dyDescent="0.15">
      <c r="A859" s="3">
        <f ca="1">IFERROR(__xludf.DUMMYFUNCTION("""COMPUTED_VALUE"""),43259.6171101041)</f>
        <v>43259.617110104104</v>
      </c>
      <c r="B859" t="str">
        <f ca="1">IFERROR(__xludf.DUMMYFUNCTION("""COMPUTED_VALUE"""),"nandana2000r@gmail.com")</f>
        <v>nandana2000r@gmail.com</v>
      </c>
      <c r="C859">
        <f ca="1">IFERROR(__xludf.DUMMYFUNCTION("""COMPUTED_VALUE"""),502)</f>
        <v>502</v>
      </c>
      <c r="D859" t="str">
        <f ca="1">IFERROR(__xludf.DUMMYFUNCTION("""COMPUTED_VALUE"""),"JAYA SEBASTIAN")</f>
        <v>JAYA SEBASTIAN</v>
      </c>
      <c r="E859">
        <f ca="1">IFERROR(__xludf.DUMMYFUNCTION("""COMPUTED_VALUE"""),7558881999)</f>
        <v>7558881999</v>
      </c>
      <c r="F859" t="str">
        <f ca="1">IFERROR(__xludf.DUMMYFUNCTION("""COMPUTED_VALUE"""),"Kottayam")</f>
        <v>Kottayam</v>
      </c>
      <c r="G859" t="str">
        <f ca="1">IFERROR(__xludf.DUMMYFUNCTION("""COMPUTED_VALUE"""),"TATA POWER SOLAR SYSTEMS LTD")</f>
        <v>TATA POWER SOLAR SYSTEMS LTD</v>
      </c>
      <c r="H859">
        <f ca="1">IFERROR(__xludf.DUMMYFUNCTION("""COMPUTED_VALUE"""),20)</f>
        <v>20</v>
      </c>
      <c r="I859" s="4">
        <f ca="1">IFERROR(__xludf.DUMMYFUNCTION("""COMPUTED_VALUE"""),43164)</f>
        <v>43164</v>
      </c>
      <c r="J859">
        <f ca="1">IFERROR(__xludf.DUMMYFUNCTION("""COMPUTED_VALUE"""),3)</f>
        <v>3</v>
      </c>
      <c r="K859">
        <f ca="1">IFERROR(__xludf.DUMMYFUNCTION("""COMPUTED_VALUE"""),1146894001499)</f>
        <v>1146894001499</v>
      </c>
      <c r="L859" t="str">
        <f ca="1">IFERROR(__xludf.DUMMYFUNCTION("""COMPUTED_VALUE"""),"MEENADOM")</f>
        <v>MEENADOM</v>
      </c>
      <c r="M859" t="str">
        <f ca="1">IFERROR(__xludf.DUMMYFUNCTION("""COMPUTED_VALUE"""),"I Accept")</f>
        <v>I Accept</v>
      </c>
      <c r="N859" s="4">
        <f ca="1">IFERROR(__xludf.DUMMYFUNCTION("""COMPUTED_VALUE"""),43159)</f>
        <v>43159</v>
      </c>
      <c r="O859" s="4">
        <f ca="1">IFERROR(__xludf.DUMMYFUNCTION("""COMPUTED_VALUE"""),43159)</f>
        <v>43159</v>
      </c>
      <c r="P859">
        <f ca="1">IFERROR(__xludf.DUMMYFUNCTION("""COMPUTED_VALUE"""),3)</f>
        <v>3</v>
      </c>
      <c r="Q859" t="str">
        <f ca="1">IFERROR(__xludf.DUMMYFUNCTION("""COMPUTED_VALUE"""),"nandana2000r@gmail.com")</f>
        <v>nandana2000r@gmail.com</v>
      </c>
      <c r="R859" s="2" t="s">
        <v>3273</v>
      </c>
    </row>
    <row r="860" spans="1:18" ht="13" x14ac:dyDescent="0.15">
      <c r="A860" s="3">
        <f ca="1">IFERROR(__xludf.DUMMYFUNCTION("""COMPUTED_VALUE"""),43259.6253795717)</f>
        <v>43259.625379571698</v>
      </c>
      <c r="B860" t="str">
        <f ca="1">IFERROR(__xludf.DUMMYFUNCTION("""COMPUTED_VALUE"""),"nandana2000r@gmail.com")</f>
        <v>nandana2000r@gmail.com</v>
      </c>
      <c r="C860">
        <f ca="1">IFERROR(__xludf.DUMMYFUNCTION("""COMPUTED_VALUE"""),559)</f>
        <v>559</v>
      </c>
      <c r="D860" t="str">
        <f ca="1">IFERROR(__xludf.DUMMYFUNCTION("""COMPUTED_VALUE"""),"SREELATHA NARAYANAN PILLAI")</f>
        <v>SREELATHA NARAYANAN PILLAI</v>
      </c>
      <c r="E860">
        <f ca="1">IFERROR(__xludf.DUMMYFUNCTION("""COMPUTED_VALUE"""),7558881999)</f>
        <v>7558881999</v>
      </c>
      <c r="F860" t="str">
        <f ca="1">IFERROR(__xludf.DUMMYFUNCTION("""COMPUTED_VALUE"""),"Kottayam")</f>
        <v>Kottayam</v>
      </c>
      <c r="G860" t="str">
        <f ca="1">IFERROR(__xludf.DUMMYFUNCTION("""COMPUTED_VALUE"""),"TATA POWER SOLAR SYSTEMS LTD")</f>
        <v>TATA POWER SOLAR SYSTEMS LTD</v>
      </c>
      <c r="H860">
        <f ca="1">IFERROR(__xludf.DUMMYFUNCTION("""COMPUTED_VALUE"""),20)</f>
        <v>20</v>
      </c>
      <c r="I860" s="4">
        <f ca="1">IFERROR(__xludf.DUMMYFUNCTION("""COMPUTED_VALUE"""),43176)</f>
        <v>43176</v>
      </c>
      <c r="J860">
        <f ca="1">IFERROR(__xludf.DUMMYFUNCTION("""COMPUTED_VALUE"""),5)</f>
        <v>5</v>
      </c>
      <c r="K860">
        <f ca="1">IFERROR(__xludf.DUMMYFUNCTION("""COMPUTED_VALUE"""),1146343008299)</f>
        <v>1146343008299</v>
      </c>
      <c r="L860" t="str">
        <f ca="1">IFERROR(__xludf.DUMMYFUNCTION("""COMPUTED_VALUE"""),"KOOTTAYAM CENTRAL")</f>
        <v>KOOTTAYAM CENTRAL</v>
      </c>
      <c r="M860" t="str">
        <f ca="1">IFERROR(__xludf.DUMMYFUNCTION("""COMPUTED_VALUE"""),"I Accept")</f>
        <v>I Accept</v>
      </c>
      <c r="N860" s="4">
        <f ca="1">IFERROR(__xludf.DUMMYFUNCTION("""COMPUTED_VALUE"""),43200)</f>
        <v>43200</v>
      </c>
      <c r="O860" s="4">
        <f ca="1">IFERROR(__xludf.DUMMYFUNCTION("""COMPUTED_VALUE"""),43200)</f>
        <v>43200</v>
      </c>
      <c r="P860">
        <f ca="1">IFERROR(__xludf.DUMMYFUNCTION("""COMPUTED_VALUE"""),5)</f>
        <v>5</v>
      </c>
      <c r="Q860" t="str">
        <f ca="1">IFERROR(__xludf.DUMMYFUNCTION("""COMPUTED_VALUE"""),"nandana2000r@gmail.com")</f>
        <v>nandana2000r@gmail.com</v>
      </c>
      <c r="R860" s="2" t="s">
        <v>3274</v>
      </c>
    </row>
    <row r="861" spans="1:18" ht="13" x14ac:dyDescent="0.15">
      <c r="A861" s="3">
        <f ca="1">IFERROR(__xludf.DUMMYFUNCTION("""COMPUTED_VALUE"""),43259.6436554398)</f>
        <v>43259.643655439802</v>
      </c>
      <c r="B861" t="str">
        <f ca="1">IFERROR(__xludf.DUMMYFUNCTION("""COMPUTED_VALUE"""),"keralasolarpes@gmail.com")</f>
        <v>keralasolarpes@gmail.com</v>
      </c>
      <c r="C861">
        <f ca="1">IFERROR(__xludf.DUMMYFUNCTION("""COMPUTED_VALUE"""),1034)</f>
        <v>1034</v>
      </c>
      <c r="D861" t="str">
        <f ca="1">IFERROR(__xludf.DUMMYFUNCTION("""COMPUTED_VALUE"""),"shophia(mother superior)")</f>
        <v>shophia(mother superior)</v>
      </c>
      <c r="E861">
        <f ca="1">IFERROR(__xludf.DUMMYFUNCTION("""COMPUTED_VALUE"""),9994175414)</f>
        <v>9994175414</v>
      </c>
      <c r="F861" t="str">
        <f ca="1">IFERROR(__xludf.DUMMYFUNCTION("""COMPUTED_VALUE"""),"Thrissur")</f>
        <v>Thrissur</v>
      </c>
      <c r="G861" t="str">
        <f ca="1">IFERROR(__xludf.DUMMYFUNCTION("""COMPUTED_VALUE"""),"progen energy solutions")</f>
        <v>progen energy solutions</v>
      </c>
      <c r="H861">
        <f ca="1">IFERROR(__xludf.DUMMYFUNCTION("""COMPUTED_VALUE"""),68)</f>
        <v>68</v>
      </c>
      <c r="I861" s="4">
        <f ca="1">IFERROR(__xludf.DUMMYFUNCTION("""COMPUTED_VALUE"""),43227)</f>
        <v>43227</v>
      </c>
      <c r="J861">
        <f ca="1">IFERROR(__xludf.DUMMYFUNCTION("""COMPUTED_VALUE"""),30)</f>
        <v>30</v>
      </c>
      <c r="K861">
        <f ca="1">IFERROR(__xludf.DUMMYFUNCTION("""COMPUTED_VALUE"""),5737)</f>
        <v>5737</v>
      </c>
      <c r="L861" t="str">
        <f ca="1">IFERROR(__xludf.DUMMYFUNCTION("""COMPUTED_VALUE"""),"thrissur corporation")</f>
        <v>thrissur corporation</v>
      </c>
      <c r="M861" t="str">
        <f ca="1">IFERROR(__xludf.DUMMYFUNCTION("""COMPUTED_VALUE"""),"I Accept")</f>
        <v>I Accept</v>
      </c>
      <c r="N861" s="4">
        <f ca="1">IFERROR(__xludf.DUMMYFUNCTION("""COMPUTED_VALUE"""),43234)</f>
        <v>43234</v>
      </c>
      <c r="O861" s="4">
        <f ca="1">IFERROR(__xludf.DUMMYFUNCTION("""COMPUTED_VALUE"""),43234)</f>
        <v>43234</v>
      </c>
      <c r="P861">
        <f ca="1">IFERROR(__xludf.DUMMYFUNCTION("""COMPUTED_VALUE"""),30)</f>
        <v>30</v>
      </c>
      <c r="Q861" t="str">
        <f ca="1">IFERROR(__xludf.DUMMYFUNCTION("""COMPUTED_VALUE"""),"keralasolarpes@gmail.com")</f>
        <v>keralasolarpes@gmail.com</v>
      </c>
      <c r="R861" s="2" t="s">
        <v>3275</v>
      </c>
    </row>
    <row r="862" spans="1:18" ht="13" x14ac:dyDescent="0.15">
      <c r="A862" s="3">
        <f ca="1">IFERROR(__xludf.DUMMYFUNCTION("""COMPUTED_VALUE"""),43259.6543624537)</f>
        <v>43259.654362453701</v>
      </c>
      <c r="B862" t="str">
        <f ca="1">IFERROR(__xludf.DUMMYFUNCTION("""COMPUTED_VALUE"""),"nandana2000r@gmail.com")</f>
        <v>nandana2000r@gmail.com</v>
      </c>
      <c r="C862">
        <f ca="1">IFERROR(__xludf.DUMMYFUNCTION("""COMPUTED_VALUE"""),560)</f>
        <v>560</v>
      </c>
      <c r="D862" t="str">
        <f ca="1">IFERROR(__xludf.DUMMYFUNCTION("""COMPUTED_VALUE"""),"SHINU RAGHAVAN PILLAI NAIR")</f>
        <v>SHINU RAGHAVAN PILLAI NAIR</v>
      </c>
      <c r="E862">
        <f ca="1">IFERROR(__xludf.DUMMYFUNCTION("""COMPUTED_VALUE"""),7558881999)</f>
        <v>7558881999</v>
      </c>
      <c r="F862" t="str">
        <f ca="1">IFERROR(__xludf.DUMMYFUNCTION("""COMPUTED_VALUE"""),"Kottayam")</f>
        <v>Kottayam</v>
      </c>
      <c r="G862" t="str">
        <f ca="1">IFERROR(__xludf.DUMMYFUNCTION("""COMPUTED_VALUE"""),"TATA POWER SOLAR SYSTEMS LTD")</f>
        <v>TATA POWER SOLAR SYSTEMS LTD</v>
      </c>
      <c r="H862">
        <f ca="1">IFERROR(__xludf.DUMMYFUNCTION("""COMPUTED_VALUE"""),20)</f>
        <v>20</v>
      </c>
      <c r="I862" s="4">
        <f ca="1">IFERROR(__xludf.DUMMYFUNCTION("""COMPUTED_VALUE"""),43185)</f>
        <v>43185</v>
      </c>
      <c r="J862">
        <f ca="1">IFERROR(__xludf.DUMMYFUNCTION("""COMPUTED_VALUE"""),3)</f>
        <v>3</v>
      </c>
      <c r="K862">
        <f ca="1">IFERROR(__xludf.DUMMYFUNCTION("""COMPUTED_VALUE"""),1156286016688)</f>
        <v>1156286016688</v>
      </c>
      <c r="L862" t="str">
        <f ca="1">IFERROR(__xludf.DUMMYFUNCTION("""COMPUTED_VALUE"""),"MARANGATTUPALLY")</f>
        <v>MARANGATTUPALLY</v>
      </c>
      <c r="M862" t="str">
        <f ca="1">IFERROR(__xludf.DUMMYFUNCTION("""COMPUTED_VALUE"""),"I Accept")</f>
        <v>I Accept</v>
      </c>
      <c r="N862" s="4">
        <f ca="1">IFERROR(__xludf.DUMMYFUNCTION("""COMPUTED_VALUE"""),43194)</f>
        <v>43194</v>
      </c>
      <c r="O862" s="4">
        <f ca="1">IFERROR(__xludf.DUMMYFUNCTION("""COMPUTED_VALUE"""),43194)</f>
        <v>43194</v>
      </c>
      <c r="P862">
        <f ca="1">IFERROR(__xludf.DUMMYFUNCTION("""COMPUTED_VALUE"""),3)</f>
        <v>3</v>
      </c>
      <c r="Q862" t="str">
        <f ca="1">IFERROR(__xludf.DUMMYFUNCTION("""COMPUTED_VALUE"""),"nandana2000r@gmail.com")</f>
        <v>nandana2000r@gmail.com</v>
      </c>
      <c r="R862" s="2" t="s">
        <v>3276</v>
      </c>
    </row>
    <row r="863" spans="1:18" ht="13" x14ac:dyDescent="0.15">
      <c r="A863" s="3">
        <f ca="1">IFERROR(__xludf.DUMMYFUNCTION("""COMPUTED_VALUE"""),43259.6585404976)</f>
        <v>43259.658540497599</v>
      </c>
      <c r="B863" t="str">
        <f ca="1">IFERROR(__xludf.DUMMYFUNCTION("""COMPUTED_VALUE"""),"solarconnect2018@gmail.com")</f>
        <v>solarconnect2018@gmail.com</v>
      </c>
      <c r="C863">
        <f ca="1">IFERROR(__xludf.DUMMYFUNCTION("""COMPUTED_VALUE"""),1183)</f>
        <v>1183</v>
      </c>
      <c r="D863" t="str">
        <f ca="1">IFERROR(__xludf.DUMMYFUNCTION("""COMPUTED_VALUE"""),"HUSSAIN ALI")</f>
        <v>HUSSAIN ALI</v>
      </c>
      <c r="E863">
        <f ca="1">IFERROR(__xludf.DUMMYFUNCTION("""COMPUTED_VALUE"""),919947333597)</f>
        <v>919947333597</v>
      </c>
      <c r="F863" t="str">
        <f ca="1">IFERROR(__xludf.DUMMYFUNCTION("""COMPUTED_VALUE"""),"Alappuzha")</f>
        <v>Alappuzha</v>
      </c>
      <c r="G863" t="str">
        <f ca="1">IFERROR(__xludf.DUMMYFUNCTION("""COMPUTED_VALUE"""),"SPECTRUM TECHNO PRODUCTS")</f>
        <v>SPECTRUM TECHNO PRODUCTS</v>
      </c>
      <c r="H863">
        <f ca="1">IFERROR(__xludf.DUMMYFUNCTION("""COMPUTED_VALUE"""),66)</f>
        <v>66</v>
      </c>
      <c r="I863" s="4">
        <f ca="1">IFERROR(__xludf.DUMMYFUNCTION("""COMPUTED_VALUE"""),43259)</f>
        <v>43259</v>
      </c>
      <c r="J863">
        <f ca="1">IFERROR(__xludf.DUMMYFUNCTION("""COMPUTED_VALUE"""),3)</f>
        <v>3</v>
      </c>
      <c r="K863">
        <f ca="1">IFERROR(__xludf.DUMMYFUNCTION("""COMPUTED_VALUE"""),1157255010299)</f>
        <v>1157255010299</v>
      </c>
      <c r="L863" t="str">
        <f ca="1">IFERROR(__xludf.DUMMYFUNCTION("""COMPUTED_VALUE"""),"PALLIPPAD")</f>
        <v>PALLIPPAD</v>
      </c>
      <c r="M863" t="str">
        <f ca="1">IFERROR(__xludf.DUMMYFUNCTION("""COMPUTED_VALUE"""),"I Accept")</f>
        <v>I Accept</v>
      </c>
      <c r="N863" s="4">
        <f ca="1">IFERROR(__xludf.DUMMYFUNCTION("""COMPUTED_VALUE"""),43259)</f>
        <v>43259</v>
      </c>
      <c r="O863" s="4">
        <f ca="1">IFERROR(__xludf.DUMMYFUNCTION("""COMPUTED_VALUE"""),43317)</f>
        <v>43317</v>
      </c>
      <c r="P863">
        <f ca="1">IFERROR(__xludf.DUMMYFUNCTION("""COMPUTED_VALUE"""),3)</f>
        <v>3</v>
      </c>
      <c r="Q863" t="str">
        <f ca="1">IFERROR(__xludf.DUMMYFUNCTION("""COMPUTED_VALUE"""),"solarconnect2018@gmail.com")</f>
        <v>solarconnect2018@gmail.com</v>
      </c>
      <c r="R863" s="2" t="s">
        <v>3277</v>
      </c>
    </row>
    <row r="864" spans="1:18" ht="13" x14ac:dyDescent="0.15">
      <c r="A864" s="3">
        <f ca="1">IFERROR(__xludf.DUMMYFUNCTION("""COMPUTED_VALUE"""),43259.6839980902)</f>
        <v>43259.6839980902</v>
      </c>
      <c r="B864" t="str">
        <f ca="1">IFERROR(__xludf.DUMMYFUNCTION("""COMPUTED_VALUE"""),"nandana2000r@gmail.com")</f>
        <v>nandana2000r@gmail.com</v>
      </c>
      <c r="C864">
        <f ca="1">IFERROR(__xludf.DUMMYFUNCTION("""COMPUTED_VALUE"""),648)</f>
        <v>648</v>
      </c>
      <c r="D864" t="str">
        <f ca="1">IFERROR(__xludf.DUMMYFUNCTION("""COMPUTED_VALUE"""),"GEORGE CT")</f>
        <v>GEORGE CT</v>
      </c>
      <c r="E864">
        <f ca="1">IFERROR(__xludf.DUMMYFUNCTION("""COMPUTED_VALUE"""),7558881999)</f>
        <v>7558881999</v>
      </c>
      <c r="F864" t="str">
        <f ca="1">IFERROR(__xludf.DUMMYFUNCTION("""COMPUTED_VALUE"""),"Kottayam")</f>
        <v>Kottayam</v>
      </c>
      <c r="G864" t="str">
        <f ca="1">IFERROR(__xludf.DUMMYFUNCTION("""COMPUTED_VALUE"""),"TATA POWER SOLAR SYSTEMS LTD")</f>
        <v>TATA POWER SOLAR SYSTEMS LTD</v>
      </c>
      <c r="H864">
        <f ca="1">IFERROR(__xludf.DUMMYFUNCTION("""COMPUTED_VALUE"""),20)</f>
        <v>20</v>
      </c>
      <c r="I864" s="4">
        <f ca="1">IFERROR(__xludf.DUMMYFUNCTION("""COMPUTED_VALUE"""),43181)</f>
        <v>43181</v>
      </c>
      <c r="J864">
        <f ca="1">IFERROR(__xludf.DUMMYFUNCTION("""COMPUTED_VALUE"""),5)</f>
        <v>5</v>
      </c>
      <c r="K864">
        <f ca="1">IFERROR(__xludf.DUMMYFUNCTION("""COMPUTED_VALUE"""),1156374000724)</f>
        <v>1156374000724</v>
      </c>
      <c r="L864" t="str">
        <f ca="1">IFERROR(__xludf.DUMMYFUNCTION("""COMPUTED_VALUE"""),"ERUMELY")</f>
        <v>ERUMELY</v>
      </c>
      <c r="M864" t="str">
        <f ca="1">IFERROR(__xludf.DUMMYFUNCTION("""COMPUTED_VALUE"""),"I Accept")</f>
        <v>I Accept</v>
      </c>
      <c r="N864" s="4">
        <f ca="1">IFERROR(__xludf.DUMMYFUNCTION("""COMPUTED_VALUE"""),43181)</f>
        <v>43181</v>
      </c>
      <c r="O864" s="4">
        <f ca="1">IFERROR(__xludf.DUMMYFUNCTION("""COMPUTED_VALUE"""),43181)</f>
        <v>43181</v>
      </c>
      <c r="P864">
        <f ca="1">IFERROR(__xludf.DUMMYFUNCTION("""COMPUTED_VALUE"""),5)</f>
        <v>5</v>
      </c>
      <c r="Q864" t="str">
        <f ca="1">IFERROR(__xludf.DUMMYFUNCTION("""COMPUTED_VALUE"""),"nandana2000r@gmail.com")</f>
        <v>nandana2000r@gmail.com</v>
      </c>
      <c r="R864" s="2" t="s">
        <v>3278</v>
      </c>
    </row>
    <row r="865" spans="1:18" ht="13" x14ac:dyDescent="0.15">
      <c r="A865" s="3">
        <f ca="1">IFERROR(__xludf.DUMMYFUNCTION("""COMPUTED_VALUE"""),43259.7260738657)</f>
        <v>43259.726073865699</v>
      </c>
      <c r="B865" t="str">
        <f ca="1">IFERROR(__xludf.DUMMYFUNCTION("""COMPUTED_VALUE"""),"nandana2000r@gmail.com")</f>
        <v>nandana2000r@gmail.com</v>
      </c>
      <c r="C865">
        <f ca="1">IFERROR(__xludf.DUMMYFUNCTION("""COMPUTED_VALUE"""),658)</f>
        <v>658</v>
      </c>
      <c r="D865" t="str">
        <f ca="1">IFERROR(__xludf.DUMMYFUNCTION("""COMPUTED_VALUE"""),"PUNNOOSE GEORGE")</f>
        <v>PUNNOOSE GEORGE</v>
      </c>
      <c r="E865">
        <f ca="1">IFERROR(__xludf.DUMMYFUNCTION("""COMPUTED_VALUE"""),7558881999)</f>
        <v>7558881999</v>
      </c>
      <c r="F865" t="str">
        <f ca="1">IFERROR(__xludf.DUMMYFUNCTION("""COMPUTED_VALUE"""),"Kottayam")</f>
        <v>Kottayam</v>
      </c>
      <c r="G865" t="str">
        <f ca="1">IFERROR(__xludf.DUMMYFUNCTION("""COMPUTED_VALUE"""),"TATA POWER SOLAR SYSTEMS LTD")</f>
        <v>TATA POWER SOLAR SYSTEMS LTD</v>
      </c>
      <c r="H865">
        <f ca="1">IFERROR(__xludf.DUMMYFUNCTION("""COMPUTED_VALUE"""),20)</f>
        <v>20</v>
      </c>
      <c r="I865" s="4">
        <f ca="1">IFERROR(__xludf.DUMMYFUNCTION("""COMPUTED_VALUE"""),43197)</f>
        <v>43197</v>
      </c>
      <c r="J865">
        <f ca="1">IFERROR(__xludf.DUMMYFUNCTION("""COMPUTED_VALUE"""),5)</f>
        <v>5</v>
      </c>
      <c r="K865">
        <f ca="1">IFERROR(__xludf.DUMMYFUNCTION("""COMPUTED_VALUE"""),1156245013452)</f>
        <v>1156245013452</v>
      </c>
      <c r="L865" t="str">
        <f ca="1">IFERROR(__xludf.DUMMYFUNCTION("""COMPUTED_VALUE"""),"Pala")</f>
        <v>Pala</v>
      </c>
      <c r="M865" t="str">
        <f ca="1">IFERROR(__xludf.DUMMYFUNCTION("""COMPUTED_VALUE"""),"I Accept")</f>
        <v>I Accept</v>
      </c>
      <c r="N865" s="4">
        <f ca="1">IFERROR(__xludf.DUMMYFUNCTION("""COMPUTED_VALUE"""),43182)</f>
        <v>43182</v>
      </c>
      <c r="O865" s="4">
        <f ca="1">IFERROR(__xludf.DUMMYFUNCTION("""COMPUTED_VALUE"""),43182)</f>
        <v>43182</v>
      </c>
      <c r="P865">
        <f ca="1">IFERROR(__xludf.DUMMYFUNCTION("""COMPUTED_VALUE"""),5)</f>
        <v>5</v>
      </c>
      <c r="Q865" t="str">
        <f ca="1">IFERROR(__xludf.DUMMYFUNCTION("""COMPUTED_VALUE"""),"nandana2000r@gmail.com")</f>
        <v>nandana2000r@gmail.com</v>
      </c>
      <c r="R865" s="2" t="s">
        <v>3279</v>
      </c>
    </row>
    <row r="866" spans="1:18" ht="13" x14ac:dyDescent="0.15">
      <c r="A866" s="3">
        <f ca="1">IFERROR(__xludf.DUMMYFUNCTION("""COMPUTED_VALUE"""),43260.4144711342)</f>
        <v>43260.414471134201</v>
      </c>
      <c r="B866" t="str">
        <f ca="1">IFERROR(__xludf.DUMMYFUNCTION("""COMPUTED_VALUE"""),"solarconnect2018@gmail.com")</f>
        <v>solarconnect2018@gmail.com</v>
      </c>
      <c r="C866">
        <f ca="1">IFERROR(__xludf.DUMMYFUNCTION("""COMPUTED_VALUE"""),804)</f>
        <v>804</v>
      </c>
      <c r="D866" t="str">
        <f ca="1">IFERROR(__xludf.DUMMYFUNCTION("""COMPUTED_VALUE"""),"VISHAKH JOSEPH")</f>
        <v>VISHAKH JOSEPH</v>
      </c>
      <c r="E866">
        <f ca="1">IFERROR(__xludf.DUMMYFUNCTION("""COMPUTED_VALUE"""),9895043428)</f>
        <v>9895043428</v>
      </c>
      <c r="F866" t="str">
        <f ca="1">IFERROR(__xludf.DUMMYFUNCTION("""COMPUTED_VALUE"""),"Ernakulam")</f>
        <v>Ernakulam</v>
      </c>
      <c r="G866" t="str">
        <f ca="1">IFERROR(__xludf.DUMMYFUNCTION("""COMPUTED_VALUE"""),"SPECTRUM TECHNO PRODUCTS")</f>
        <v>SPECTRUM TECHNO PRODUCTS</v>
      </c>
      <c r="H866">
        <f ca="1">IFERROR(__xludf.DUMMYFUNCTION("""COMPUTED_VALUE"""),66)</f>
        <v>66</v>
      </c>
      <c r="I866" s="4">
        <f ca="1">IFERROR(__xludf.DUMMYFUNCTION("""COMPUTED_VALUE"""),43259)</f>
        <v>43259</v>
      </c>
      <c r="J866">
        <f ca="1">IFERROR(__xludf.DUMMYFUNCTION("""COMPUTED_VALUE"""),5)</f>
        <v>5</v>
      </c>
      <c r="K866">
        <f ca="1">IFERROR(__xludf.DUMMYFUNCTION("""COMPUTED_VALUE"""),1155506021557)</f>
        <v>1155506021557</v>
      </c>
      <c r="L866" t="str">
        <f ca="1">IFERROR(__xludf.DUMMYFUNCTION("""COMPUTED_VALUE"""),"MARADU")</f>
        <v>MARADU</v>
      </c>
      <c r="M866" t="str">
        <f ca="1">IFERROR(__xludf.DUMMYFUNCTION("""COMPUTED_VALUE"""),"I Accept")</f>
        <v>I Accept</v>
      </c>
      <c r="N866" s="4">
        <f ca="1">IFERROR(__xludf.DUMMYFUNCTION("""COMPUTED_VALUE"""),43199)</f>
        <v>43199</v>
      </c>
      <c r="O866" s="4">
        <f ca="1">IFERROR(__xludf.DUMMYFUNCTION("""COMPUTED_VALUE"""),43199)</f>
        <v>43199</v>
      </c>
      <c r="P866">
        <f ca="1">IFERROR(__xludf.DUMMYFUNCTION("""COMPUTED_VALUE"""),5)</f>
        <v>5</v>
      </c>
      <c r="Q866" t="str">
        <f ca="1">IFERROR(__xludf.DUMMYFUNCTION("""COMPUTED_VALUE"""),"solarconnect2018@gmail.com")</f>
        <v>solarconnect2018@gmail.com</v>
      </c>
      <c r="R866" s="2" t="s">
        <v>3280</v>
      </c>
    </row>
    <row r="867" spans="1:18" ht="13" x14ac:dyDescent="0.15">
      <c r="A867" s="3">
        <f ca="1">IFERROR(__xludf.DUMMYFUNCTION("""COMPUTED_VALUE"""),43260.4180872453)</f>
        <v>43260.4180872453</v>
      </c>
      <c r="B867" t="str">
        <f ca="1">IFERROR(__xludf.DUMMYFUNCTION("""COMPUTED_VALUE"""),"solarconnect2018@gmail.com")</f>
        <v>solarconnect2018@gmail.com</v>
      </c>
      <c r="C867">
        <f ca="1">IFERROR(__xludf.DUMMYFUNCTION("""COMPUTED_VALUE"""),1002)</f>
        <v>1002</v>
      </c>
      <c r="D867" t="str">
        <f ca="1">IFERROR(__xludf.DUMMYFUNCTION("""COMPUTED_VALUE"""),"DR VINOY GEORGE DAVID")</f>
        <v>DR VINOY GEORGE DAVID</v>
      </c>
      <c r="E867">
        <f ca="1">IFERROR(__xludf.DUMMYFUNCTION("""COMPUTED_VALUE"""),9847201302)</f>
        <v>9847201302</v>
      </c>
      <c r="F867" t="str">
        <f ca="1">IFERROR(__xludf.DUMMYFUNCTION("""COMPUTED_VALUE"""),"Ernakulam")</f>
        <v>Ernakulam</v>
      </c>
      <c r="G867" t="str">
        <f ca="1">IFERROR(__xludf.DUMMYFUNCTION("""COMPUTED_VALUE"""),"SPECTRUM TECHNO PRODUCTS")</f>
        <v>SPECTRUM TECHNO PRODUCTS</v>
      </c>
      <c r="H867">
        <f ca="1">IFERROR(__xludf.DUMMYFUNCTION("""COMPUTED_VALUE"""),66)</f>
        <v>66</v>
      </c>
      <c r="I867" s="4">
        <f ca="1">IFERROR(__xludf.DUMMYFUNCTION("""COMPUTED_VALUE"""),43242)</f>
        <v>43242</v>
      </c>
      <c r="J867">
        <f ca="1">IFERROR(__xludf.DUMMYFUNCTION("""COMPUTED_VALUE"""),5)</f>
        <v>5</v>
      </c>
      <c r="K867">
        <f ca="1">IFERROR(__xludf.DUMMYFUNCTION("""COMPUTED_VALUE"""),1155449004113)</f>
        <v>1155449004113</v>
      </c>
      <c r="L867" t="str">
        <f ca="1">IFERROR(__xludf.DUMMYFUNCTION("""COMPUTED_VALUE"""),"EDAPPALLY")</f>
        <v>EDAPPALLY</v>
      </c>
      <c r="M867" t="str">
        <f ca="1">IFERROR(__xludf.DUMMYFUNCTION("""COMPUTED_VALUE"""),"I Accept")</f>
        <v>I Accept</v>
      </c>
      <c r="N867" s="4">
        <f ca="1">IFERROR(__xludf.DUMMYFUNCTION("""COMPUTED_VALUE"""),43243)</f>
        <v>43243</v>
      </c>
      <c r="O867" s="4">
        <f ca="1">IFERROR(__xludf.DUMMYFUNCTION("""COMPUTED_VALUE"""),43243)</f>
        <v>43243</v>
      </c>
      <c r="P867">
        <f ca="1">IFERROR(__xludf.DUMMYFUNCTION("""COMPUTED_VALUE"""),5)</f>
        <v>5</v>
      </c>
      <c r="Q867" t="str">
        <f ca="1">IFERROR(__xludf.DUMMYFUNCTION("""COMPUTED_VALUE"""),"solarconnect2018@gmail.com")</f>
        <v>solarconnect2018@gmail.com</v>
      </c>
      <c r="R867" s="2" t="s">
        <v>3281</v>
      </c>
    </row>
    <row r="868" spans="1:18" ht="13" x14ac:dyDescent="0.15">
      <c r="A868" s="3">
        <f ca="1">IFERROR(__xludf.DUMMYFUNCTION("""COMPUTED_VALUE"""),43260.4743795254)</f>
        <v>43260.474379525403</v>
      </c>
      <c r="B868" t="str">
        <f ca="1">IFERROR(__xludf.DUMMYFUNCTION("""COMPUTED_VALUE"""),"solarconnect2018@gmail.com")</f>
        <v>solarconnect2018@gmail.com</v>
      </c>
      <c r="C868">
        <f ca="1">IFERROR(__xludf.DUMMYFUNCTION("""COMPUTED_VALUE"""),1095)</f>
        <v>1095</v>
      </c>
      <c r="D868" t="str">
        <f ca="1">IFERROR(__xludf.DUMMYFUNCTION("""COMPUTED_VALUE"""),"RANI SEBASTIAN")</f>
        <v>RANI SEBASTIAN</v>
      </c>
      <c r="E868">
        <f ca="1">IFERROR(__xludf.DUMMYFUNCTION("""COMPUTED_VALUE"""),9995611005)</f>
        <v>9995611005</v>
      </c>
      <c r="F868" t="str">
        <f ca="1">IFERROR(__xludf.DUMMYFUNCTION("""COMPUTED_VALUE"""),"Ernakulam")</f>
        <v>Ernakulam</v>
      </c>
      <c r="G868" t="str">
        <f ca="1">IFERROR(__xludf.DUMMYFUNCTION("""COMPUTED_VALUE"""),"SPECTRUM TECHNO PRODUCTS")</f>
        <v>SPECTRUM TECHNO PRODUCTS</v>
      </c>
      <c r="H868">
        <f ca="1">IFERROR(__xludf.DUMMYFUNCTION("""COMPUTED_VALUE"""),66)</f>
        <v>66</v>
      </c>
      <c r="I868" s="4">
        <f ca="1">IFERROR(__xludf.DUMMYFUNCTION("""COMPUTED_VALUE"""),43259)</f>
        <v>43259</v>
      </c>
      <c r="J868">
        <f ca="1">IFERROR(__xludf.DUMMYFUNCTION("""COMPUTED_VALUE"""),5)</f>
        <v>5</v>
      </c>
      <c r="K868">
        <f ca="1">IFERROR(__xludf.DUMMYFUNCTION("""COMPUTED_VALUE"""),1155589018155)</f>
        <v>1155589018155</v>
      </c>
      <c r="L868" t="str">
        <f ca="1">IFERROR(__xludf.DUMMYFUNCTION("""COMPUTED_VALUE"""),"THEVAKKAL")</f>
        <v>THEVAKKAL</v>
      </c>
      <c r="M868" t="str">
        <f ca="1">IFERROR(__xludf.DUMMYFUNCTION("""COMPUTED_VALUE"""),"I Accept")</f>
        <v>I Accept</v>
      </c>
      <c r="N868" s="4">
        <f ca="1">IFERROR(__xludf.DUMMYFUNCTION("""COMPUTED_VALUE"""),43243)</f>
        <v>43243</v>
      </c>
      <c r="O868" s="4">
        <f ca="1">IFERROR(__xludf.DUMMYFUNCTION("""COMPUTED_VALUE"""),43243)</f>
        <v>43243</v>
      </c>
      <c r="P868">
        <f ca="1">IFERROR(__xludf.DUMMYFUNCTION("""COMPUTED_VALUE"""),10)</f>
        <v>10</v>
      </c>
      <c r="Q868" t="str">
        <f ca="1">IFERROR(__xludf.DUMMYFUNCTION("""COMPUTED_VALUE"""),"solarconnect2018@gmail.com")</f>
        <v>solarconnect2018@gmail.com</v>
      </c>
      <c r="R868" s="2" t="s">
        <v>3282</v>
      </c>
    </row>
    <row r="869" spans="1:18" ht="13" x14ac:dyDescent="0.15">
      <c r="A869" s="3">
        <f ca="1">IFERROR(__xludf.DUMMYFUNCTION("""COMPUTED_VALUE"""),43260.4860034027)</f>
        <v>43260.486003402701</v>
      </c>
      <c r="B869" t="str">
        <f ca="1">IFERROR(__xludf.DUMMYFUNCTION("""COMPUTED_VALUE"""),"solarconnect2018@gmail.com")</f>
        <v>solarconnect2018@gmail.com</v>
      </c>
      <c r="C869">
        <f ca="1">IFERROR(__xludf.DUMMYFUNCTION("""COMPUTED_VALUE"""),431)</f>
        <v>431</v>
      </c>
      <c r="D869" t="str">
        <f ca="1">IFERROR(__xludf.DUMMYFUNCTION("""COMPUTED_VALUE"""),"SREEDHARAN")</f>
        <v>SREEDHARAN</v>
      </c>
      <c r="E869">
        <f ca="1">IFERROR(__xludf.DUMMYFUNCTION("""COMPUTED_VALUE"""),8943541757)</f>
        <v>8943541757</v>
      </c>
      <c r="F869" t="str">
        <f ca="1">IFERROR(__xludf.DUMMYFUNCTION("""COMPUTED_VALUE"""),"Kannur")</f>
        <v>Kannur</v>
      </c>
      <c r="G869" t="str">
        <f ca="1">IFERROR(__xludf.DUMMYFUNCTION("""COMPUTED_VALUE"""),"SPECTRUM TECHNO PRODUCTS")</f>
        <v>SPECTRUM TECHNO PRODUCTS</v>
      </c>
      <c r="H869">
        <f ca="1">IFERROR(__xludf.DUMMYFUNCTION("""COMPUTED_VALUE"""),66)</f>
        <v>66</v>
      </c>
      <c r="I869" s="4">
        <f ca="1">IFERROR(__xludf.DUMMYFUNCTION("""COMPUTED_VALUE"""),43259)</f>
        <v>43259</v>
      </c>
      <c r="J869">
        <f ca="1">IFERROR(__xludf.DUMMYFUNCTION("""COMPUTED_VALUE"""),3)</f>
        <v>3</v>
      </c>
      <c r="K869">
        <f ca="1">IFERROR(__xludf.DUMMYFUNCTION("""COMPUTED_VALUE"""),1166664005622)</f>
        <v>1166664005622</v>
      </c>
      <c r="L869" t="str">
        <f ca="1">IFERROR(__xludf.DUMMYFUNCTION("""COMPUTED_VALUE"""),"KOLACHERY")</f>
        <v>KOLACHERY</v>
      </c>
      <c r="M869" t="str">
        <f ca="1">IFERROR(__xludf.DUMMYFUNCTION("""COMPUTED_VALUE"""),"I Accept")</f>
        <v>I Accept</v>
      </c>
      <c r="N869" s="4">
        <f ca="1">IFERROR(__xludf.DUMMYFUNCTION("""COMPUTED_VALUE"""),43174)</f>
        <v>43174</v>
      </c>
      <c r="O869" s="4">
        <f ca="1">IFERROR(__xludf.DUMMYFUNCTION("""COMPUTED_VALUE"""),43174)</f>
        <v>43174</v>
      </c>
      <c r="P869">
        <f ca="1">IFERROR(__xludf.DUMMYFUNCTION("""COMPUTED_VALUE"""),3)</f>
        <v>3</v>
      </c>
      <c r="Q869" t="str">
        <f ca="1">IFERROR(__xludf.DUMMYFUNCTION("""COMPUTED_VALUE"""),"solarconnect2018@gmail.com")</f>
        <v>solarconnect2018@gmail.com</v>
      </c>
      <c r="R869" s="2" t="s">
        <v>3283</v>
      </c>
    </row>
    <row r="870" spans="1:18" ht="13" x14ac:dyDescent="0.15">
      <c r="A870" s="3">
        <f ca="1">IFERROR(__xludf.DUMMYFUNCTION("""COMPUTED_VALUE"""),43260.637466331)</f>
        <v>43260.637466330998</v>
      </c>
      <c r="B870" t="str">
        <f ca="1">IFERROR(__xludf.DUMMYFUNCTION("""COMPUTED_VALUE"""),"nandana2000r@gmail.com")</f>
        <v>nandana2000r@gmail.com</v>
      </c>
      <c r="C870">
        <f ca="1">IFERROR(__xludf.DUMMYFUNCTION("""COMPUTED_VALUE"""),1012)</f>
        <v>1012</v>
      </c>
      <c r="D870" t="str">
        <f ca="1">IFERROR(__xludf.DUMMYFUNCTION("""COMPUTED_VALUE"""),"VV GEORGE")</f>
        <v>VV GEORGE</v>
      </c>
      <c r="E870">
        <f ca="1">IFERROR(__xludf.DUMMYFUNCTION("""COMPUTED_VALUE"""),7558881999)</f>
        <v>7558881999</v>
      </c>
      <c r="F870" t="str">
        <f ca="1">IFERROR(__xludf.DUMMYFUNCTION("""COMPUTED_VALUE"""),"Kottayam")</f>
        <v>Kottayam</v>
      </c>
      <c r="G870" t="str">
        <f ca="1">IFERROR(__xludf.DUMMYFUNCTION("""COMPUTED_VALUE"""),"TATA POWER SOLAR SYSTEMS LTD")</f>
        <v>TATA POWER SOLAR SYSTEMS LTD</v>
      </c>
      <c r="H870">
        <f ca="1">IFERROR(__xludf.DUMMYFUNCTION("""COMPUTED_VALUE"""),20)</f>
        <v>20</v>
      </c>
      <c r="I870" s="4">
        <f ca="1">IFERROR(__xludf.DUMMYFUNCTION("""COMPUTED_VALUE"""),43206)</f>
        <v>43206</v>
      </c>
      <c r="J870">
        <f ca="1">IFERROR(__xludf.DUMMYFUNCTION("""COMPUTED_VALUE"""),3)</f>
        <v>3</v>
      </c>
      <c r="K870">
        <f ca="1">IFERROR(__xludf.DUMMYFUNCTION("""COMPUTED_VALUE"""),1146281003358)</f>
        <v>1146281003358</v>
      </c>
      <c r="L870" t="str">
        <f ca="1">IFERROR(__xludf.DUMMYFUNCTION("""COMPUTED_VALUE"""),"Gandhinagar")</f>
        <v>Gandhinagar</v>
      </c>
      <c r="M870" t="str">
        <f ca="1">IFERROR(__xludf.DUMMYFUNCTION("""COMPUTED_VALUE"""),"I Accept")</f>
        <v>I Accept</v>
      </c>
      <c r="N870" s="4">
        <f ca="1">IFERROR(__xludf.DUMMYFUNCTION("""COMPUTED_VALUE"""),43242)</f>
        <v>43242</v>
      </c>
      <c r="O870" s="4">
        <f ca="1">IFERROR(__xludf.DUMMYFUNCTION("""COMPUTED_VALUE"""),43242)</f>
        <v>43242</v>
      </c>
      <c r="P870">
        <f ca="1">IFERROR(__xludf.DUMMYFUNCTION("""COMPUTED_VALUE"""),3)</f>
        <v>3</v>
      </c>
      <c r="Q870" t="str">
        <f ca="1">IFERROR(__xludf.DUMMYFUNCTION("""COMPUTED_VALUE"""),"nandana2000r@gmail.com")</f>
        <v>nandana2000r@gmail.com</v>
      </c>
      <c r="R870" s="2" t="s">
        <v>3284</v>
      </c>
    </row>
    <row r="871" spans="1:18" ht="13" x14ac:dyDescent="0.15">
      <c r="A871" s="3">
        <f ca="1">IFERROR(__xludf.DUMMYFUNCTION("""COMPUTED_VALUE"""),43260.6419682291)</f>
        <v>43260.641968229102</v>
      </c>
      <c r="B871" t="str">
        <f ca="1">IFERROR(__xludf.DUMMYFUNCTION("""COMPUTED_VALUE"""),"nandana2000r@gmail.com")</f>
        <v>nandana2000r@gmail.com</v>
      </c>
      <c r="C871">
        <f ca="1">IFERROR(__xludf.DUMMYFUNCTION("""COMPUTED_VALUE"""),963)</f>
        <v>963</v>
      </c>
      <c r="D871" t="str">
        <f ca="1">IFERROR(__xludf.DUMMYFUNCTION("""COMPUTED_VALUE"""),"JOHN CA")</f>
        <v>JOHN CA</v>
      </c>
      <c r="E871">
        <f ca="1">IFERROR(__xludf.DUMMYFUNCTION("""COMPUTED_VALUE"""),7558881999)</f>
        <v>7558881999</v>
      </c>
      <c r="F871" t="str">
        <f ca="1">IFERROR(__xludf.DUMMYFUNCTION("""COMPUTED_VALUE"""),"Kottayam")</f>
        <v>Kottayam</v>
      </c>
      <c r="G871" t="str">
        <f ca="1">IFERROR(__xludf.DUMMYFUNCTION("""COMPUTED_VALUE"""),"TATA POWER SOLAR SYSTEMS LTD")</f>
        <v>TATA POWER SOLAR SYSTEMS LTD</v>
      </c>
      <c r="H871">
        <f ca="1">IFERROR(__xludf.DUMMYFUNCTION("""COMPUTED_VALUE"""),20)</f>
        <v>20</v>
      </c>
      <c r="I871" s="4">
        <f ca="1">IFERROR(__xludf.DUMMYFUNCTION("""COMPUTED_VALUE"""),43206)</f>
        <v>43206</v>
      </c>
      <c r="J871">
        <f ca="1">IFERROR(__xludf.DUMMYFUNCTION("""COMPUTED_VALUE"""),5)</f>
        <v>5</v>
      </c>
      <c r="K871">
        <f ca="1">IFERROR(__xludf.DUMMYFUNCTION("""COMPUTED_VALUE"""),1146460019897)</f>
        <v>1146460019897</v>
      </c>
      <c r="L871" t="str">
        <f ca="1">IFERROR(__xludf.DUMMYFUNCTION("""COMPUTED_VALUE"""),"ETTUMANUR")</f>
        <v>ETTUMANUR</v>
      </c>
      <c r="M871" t="str">
        <f ca="1">IFERROR(__xludf.DUMMYFUNCTION("""COMPUTED_VALUE"""),"I Accept")</f>
        <v>I Accept</v>
      </c>
      <c r="N871" s="4">
        <f ca="1">IFERROR(__xludf.DUMMYFUNCTION("""COMPUTED_VALUE"""),43210)</f>
        <v>43210</v>
      </c>
      <c r="O871" s="4">
        <f ca="1">IFERROR(__xludf.DUMMYFUNCTION("""COMPUTED_VALUE"""),43210)</f>
        <v>43210</v>
      </c>
      <c r="P871">
        <f ca="1">IFERROR(__xludf.DUMMYFUNCTION("""COMPUTED_VALUE"""),5)</f>
        <v>5</v>
      </c>
      <c r="Q871" t="str">
        <f ca="1">IFERROR(__xludf.DUMMYFUNCTION("""COMPUTED_VALUE"""),"nandana2000r@gmail.com")</f>
        <v>nandana2000r@gmail.com</v>
      </c>
      <c r="R871" s="2" t="s">
        <v>3285</v>
      </c>
    </row>
    <row r="872" spans="1:18" ht="13" x14ac:dyDescent="0.15">
      <c r="A872" s="3">
        <f ca="1">IFERROR(__xludf.DUMMYFUNCTION("""COMPUTED_VALUE"""),43260.6550345833)</f>
        <v>43260.655034583302</v>
      </c>
      <c r="B872" t="str">
        <f ca="1">IFERROR(__xludf.DUMMYFUNCTION("""COMPUTED_VALUE"""),"nandana2000r@gmail.com")</f>
        <v>nandana2000r@gmail.com</v>
      </c>
      <c r="C872">
        <f ca="1">IFERROR(__xludf.DUMMYFUNCTION("""COMPUTED_VALUE"""),967)</f>
        <v>967</v>
      </c>
      <c r="D872" t="str">
        <f ca="1">IFERROR(__xludf.DUMMYFUNCTION("""COMPUTED_VALUE"""),"AJI JOSEPH")</f>
        <v>AJI JOSEPH</v>
      </c>
      <c r="E872">
        <f ca="1">IFERROR(__xludf.DUMMYFUNCTION("""COMPUTED_VALUE"""),7558881999)</f>
        <v>7558881999</v>
      </c>
      <c r="F872" t="str">
        <f ca="1">IFERROR(__xludf.DUMMYFUNCTION("""COMPUTED_VALUE"""),"Kottayam")</f>
        <v>Kottayam</v>
      </c>
      <c r="G872" t="str">
        <f ca="1">IFERROR(__xludf.DUMMYFUNCTION("""COMPUTED_VALUE"""),"TATA POWER SOLAR SYSTEMS LTD")</f>
        <v>TATA POWER SOLAR SYSTEMS LTD</v>
      </c>
      <c r="H872">
        <f ca="1">IFERROR(__xludf.DUMMYFUNCTION("""COMPUTED_VALUE"""),20)</f>
        <v>20</v>
      </c>
      <c r="I872" s="4">
        <f ca="1">IFERROR(__xludf.DUMMYFUNCTION("""COMPUTED_VALUE"""),43208)</f>
        <v>43208</v>
      </c>
      <c r="J872">
        <f ca="1">IFERROR(__xludf.DUMMYFUNCTION("""COMPUTED_VALUE"""),3)</f>
        <v>3</v>
      </c>
      <c r="K872">
        <f ca="1">IFERROR(__xludf.DUMMYFUNCTION("""COMPUTED_VALUE"""),1146315008775)</f>
        <v>1146315008775</v>
      </c>
      <c r="L872" t="str">
        <f ca="1">IFERROR(__xludf.DUMMYFUNCTION("""COMPUTED_VALUE"""),"MANARCAD")</f>
        <v>MANARCAD</v>
      </c>
      <c r="M872" t="str">
        <f ca="1">IFERROR(__xludf.DUMMYFUNCTION("""COMPUTED_VALUE"""),"I Accept")</f>
        <v>I Accept</v>
      </c>
      <c r="N872" s="4">
        <f ca="1">IFERROR(__xludf.DUMMYFUNCTION("""COMPUTED_VALUE"""),43200)</f>
        <v>43200</v>
      </c>
      <c r="O872" s="4">
        <f ca="1">IFERROR(__xludf.DUMMYFUNCTION("""COMPUTED_VALUE"""),43200)</f>
        <v>43200</v>
      </c>
      <c r="P872">
        <f ca="1">IFERROR(__xludf.DUMMYFUNCTION("""COMPUTED_VALUE"""),3)</f>
        <v>3</v>
      </c>
      <c r="Q872" t="str">
        <f ca="1">IFERROR(__xludf.DUMMYFUNCTION("""COMPUTED_VALUE"""),"nandana2000r@gmail.com")</f>
        <v>nandana2000r@gmail.com</v>
      </c>
      <c r="R872" s="2" t="s">
        <v>3286</v>
      </c>
    </row>
    <row r="873" spans="1:18" ht="13" x14ac:dyDescent="0.15">
      <c r="A873" s="3">
        <f ca="1">IFERROR(__xludf.DUMMYFUNCTION("""COMPUTED_VALUE"""),43260.6981453009)</f>
        <v>43260.698145300899</v>
      </c>
      <c r="B873" t="str">
        <f ca="1">IFERROR(__xludf.DUMMYFUNCTION("""COMPUTED_VALUE"""),"nandana2000r@gmail.com")</f>
        <v>nandana2000r@gmail.com</v>
      </c>
      <c r="C873">
        <f ca="1">IFERROR(__xludf.DUMMYFUNCTION("""COMPUTED_VALUE"""),1046)</f>
        <v>1046</v>
      </c>
      <c r="D873" t="str">
        <f ca="1">IFERROR(__xludf.DUMMYFUNCTION("""COMPUTED_VALUE"""),"MANAGER / SH PUBLIC SCHOOL")</f>
        <v>MANAGER / SH PUBLIC SCHOOL</v>
      </c>
      <c r="E873">
        <f ca="1">IFERROR(__xludf.DUMMYFUNCTION("""COMPUTED_VALUE"""),7558881999)</f>
        <v>7558881999</v>
      </c>
      <c r="F873" t="str">
        <f ca="1">IFERROR(__xludf.DUMMYFUNCTION("""COMPUTED_VALUE"""),"Kottayam")</f>
        <v>Kottayam</v>
      </c>
      <c r="G873" t="str">
        <f ca="1">IFERROR(__xludf.DUMMYFUNCTION("""COMPUTED_VALUE"""),"TATA POWER SOLAR SYSTEMS LTD")</f>
        <v>TATA POWER SOLAR SYSTEMS LTD</v>
      </c>
      <c r="H873">
        <f ca="1">IFERROR(__xludf.DUMMYFUNCTION("""COMPUTED_VALUE"""),20)</f>
        <v>20</v>
      </c>
      <c r="I873" s="4">
        <f ca="1">IFERROR(__xludf.DUMMYFUNCTION("""COMPUTED_VALUE"""),43197)</f>
        <v>43197</v>
      </c>
      <c r="J873">
        <f ca="1">IFERROR(__xludf.DUMMYFUNCTION("""COMPUTED_VALUE"""),30)</f>
        <v>30</v>
      </c>
      <c r="K873">
        <f ca="1">IFERROR(__xludf.DUMMYFUNCTION("""COMPUTED_VALUE"""),1146350014933)</f>
        <v>1146350014933</v>
      </c>
      <c r="L873" t="str">
        <f ca="1">IFERROR(__xludf.DUMMYFUNCTION("""COMPUTED_VALUE"""),"KOTTAYAM EAST")</f>
        <v>KOTTAYAM EAST</v>
      </c>
      <c r="M873" t="str">
        <f ca="1">IFERROR(__xludf.DUMMYFUNCTION("""COMPUTED_VALUE"""),"I Accept")</f>
        <v>I Accept</v>
      </c>
      <c r="N873" s="4">
        <f ca="1">IFERROR(__xludf.DUMMYFUNCTION("""COMPUTED_VALUE"""),43189)</f>
        <v>43189</v>
      </c>
      <c r="O873" s="4">
        <f ca="1">IFERROR(__xludf.DUMMYFUNCTION("""COMPUTED_VALUE"""),43189)</f>
        <v>43189</v>
      </c>
      <c r="P873">
        <f ca="1">IFERROR(__xludf.DUMMYFUNCTION("""COMPUTED_VALUE"""),30)</f>
        <v>30</v>
      </c>
      <c r="Q873" t="str">
        <f ca="1">IFERROR(__xludf.DUMMYFUNCTION("""COMPUTED_VALUE"""),"nandana2000r@gmail.com")</f>
        <v>nandana2000r@gmail.com</v>
      </c>
      <c r="R873" s="2" t="s">
        <v>3287</v>
      </c>
    </row>
    <row r="874" spans="1:18" ht="13" x14ac:dyDescent="0.15">
      <c r="A874" s="3">
        <f ca="1">IFERROR(__xludf.DUMMYFUNCTION("""COMPUTED_VALUE"""),43260.7761591435)</f>
        <v>43260.776159143497</v>
      </c>
      <c r="B874" t="str">
        <f ca="1">IFERROR(__xludf.DUMMYFUNCTION("""COMPUTED_VALUE"""),"silverwoodsekm@gmail.com")</f>
        <v>silverwoodsekm@gmail.com</v>
      </c>
      <c r="C874">
        <f ca="1">IFERROR(__xludf.DUMMYFUNCTION("""COMPUTED_VALUE"""),568)</f>
        <v>568</v>
      </c>
      <c r="D874" t="str">
        <f ca="1">IFERROR(__xludf.DUMMYFUNCTION("""COMPUTED_VALUE"""),"VARGHESE JOHN THARAKAN")</f>
        <v>VARGHESE JOHN THARAKAN</v>
      </c>
      <c r="E874">
        <f ca="1">IFERROR(__xludf.DUMMYFUNCTION("""COMPUTED_VALUE"""),9526991110)</f>
        <v>9526991110</v>
      </c>
      <c r="F874" t="str">
        <f ca="1">IFERROR(__xludf.DUMMYFUNCTION("""COMPUTED_VALUE"""),"Ernakulam")</f>
        <v>Ernakulam</v>
      </c>
      <c r="G874" t="str">
        <f ca="1">IFERROR(__xludf.DUMMYFUNCTION("""COMPUTED_VALUE"""),"TATA POWER SOLAR SYSTEMS LTD")</f>
        <v>TATA POWER SOLAR SYSTEMS LTD</v>
      </c>
      <c r="H874">
        <f ca="1">IFERROR(__xludf.DUMMYFUNCTION("""COMPUTED_VALUE"""),20)</f>
        <v>20</v>
      </c>
      <c r="I874" s="4">
        <f ca="1">IFERROR(__xludf.DUMMYFUNCTION("""COMPUTED_VALUE"""),43228)</f>
        <v>43228</v>
      </c>
      <c r="J874">
        <f ca="1">IFERROR(__xludf.DUMMYFUNCTION("""COMPUTED_VALUE"""),3)</f>
        <v>3</v>
      </c>
      <c r="K874">
        <f ca="1">IFERROR(__xludf.DUMMYFUNCTION("""COMPUTED_VALUE"""),1157311011972)</f>
        <v>1157311011972</v>
      </c>
      <c r="L874" t="str">
        <f ca="1">IFERROR(__xludf.DUMMYFUNCTION("""COMPUTED_VALUE"""),"THRIKKAKARA")</f>
        <v>THRIKKAKARA</v>
      </c>
      <c r="M874" t="str">
        <f ca="1">IFERROR(__xludf.DUMMYFUNCTION("""COMPUTED_VALUE"""),"I Accept")</f>
        <v>I Accept</v>
      </c>
      <c r="N874" s="4">
        <f ca="1">IFERROR(__xludf.DUMMYFUNCTION("""COMPUTED_VALUE"""),43165)</f>
        <v>43165</v>
      </c>
      <c r="O874" s="4">
        <f ca="1">IFERROR(__xludf.DUMMYFUNCTION("""COMPUTED_VALUE"""),43165)</f>
        <v>43165</v>
      </c>
      <c r="P874">
        <f ca="1">IFERROR(__xludf.DUMMYFUNCTION("""COMPUTED_VALUE"""),3)</f>
        <v>3</v>
      </c>
      <c r="Q874" t="str">
        <f ca="1">IFERROR(__xludf.DUMMYFUNCTION("""COMPUTED_VALUE"""),"silverwoodsekm@gmail.com")</f>
        <v>silverwoodsekm@gmail.com</v>
      </c>
      <c r="R874" s="2" t="s">
        <v>3288</v>
      </c>
    </row>
    <row r="875" spans="1:18" ht="13" x14ac:dyDescent="0.15">
      <c r="A875" s="3">
        <f ca="1">IFERROR(__xludf.DUMMYFUNCTION("""COMPUTED_VALUE"""),43260.7811704513)</f>
        <v>43260.781170451301</v>
      </c>
      <c r="B875" t="str">
        <f ca="1">IFERROR(__xludf.DUMMYFUNCTION("""COMPUTED_VALUE"""),"silverwoodsekm@gmail.com")</f>
        <v>silverwoodsekm@gmail.com</v>
      </c>
      <c r="C875">
        <f ca="1">IFERROR(__xludf.DUMMYFUNCTION("""COMPUTED_VALUE"""),798)</f>
        <v>798</v>
      </c>
      <c r="D875" t="str">
        <f ca="1">IFERROR(__xludf.DUMMYFUNCTION("""COMPUTED_VALUE"""),"POULOSE VAZHAKULANGARA PETER")</f>
        <v>POULOSE VAZHAKULANGARA PETER</v>
      </c>
      <c r="E875">
        <f ca="1">IFERROR(__xludf.DUMMYFUNCTION("""COMPUTED_VALUE"""),9526991110)</f>
        <v>9526991110</v>
      </c>
      <c r="F875" t="str">
        <f ca="1">IFERROR(__xludf.DUMMYFUNCTION("""COMPUTED_VALUE"""),"Ernakulam")</f>
        <v>Ernakulam</v>
      </c>
      <c r="G875" t="str">
        <f ca="1">IFERROR(__xludf.DUMMYFUNCTION("""COMPUTED_VALUE"""),"TATA POWER SOLAR SYSTEMS LTD")</f>
        <v>TATA POWER SOLAR SYSTEMS LTD</v>
      </c>
      <c r="H875">
        <f ca="1">IFERROR(__xludf.DUMMYFUNCTION("""COMPUTED_VALUE"""),20)</f>
        <v>20</v>
      </c>
      <c r="I875" s="4">
        <f ca="1">IFERROR(__xludf.DUMMYFUNCTION("""COMPUTED_VALUE"""),43215)</f>
        <v>43215</v>
      </c>
      <c r="J875">
        <f ca="1">IFERROR(__xludf.DUMMYFUNCTION("""COMPUTED_VALUE"""),5)</f>
        <v>5</v>
      </c>
      <c r="K875">
        <f ca="1">IFERROR(__xludf.DUMMYFUNCTION("""COMPUTED_VALUE"""),1157484004361)</f>
        <v>1157484004361</v>
      </c>
      <c r="L875" t="str">
        <f ca="1">IFERROR(__xludf.DUMMYFUNCTION("""COMPUTED_VALUE"""),"MULANTHURUTHY")</f>
        <v>MULANTHURUTHY</v>
      </c>
      <c r="M875" t="str">
        <f ca="1">IFERROR(__xludf.DUMMYFUNCTION("""COMPUTED_VALUE"""),"I Accept")</f>
        <v>I Accept</v>
      </c>
      <c r="N875" s="4">
        <f ca="1">IFERROR(__xludf.DUMMYFUNCTION("""COMPUTED_VALUE"""),43203)</f>
        <v>43203</v>
      </c>
      <c r="O875" s="4">
        <f ca="1">IFERROR(__xludf.DUMMYFUNCTION("""COMPUTED_VALUE"""),43203)</f>
        <v>43203</v>
      </c>
      <c r="P875">
        <f ca="1">IFERROR(__xludf.DUMMYFUNCTION("""COMPUTED_VALUE"""),5)</f>
        <v>5</v>
      </c>
      <c r="Q875" t="str">
        <f ca="1">IFERROR(__xludf.DUMMYFUNCTION("""COMPUTED_VALUE"""),"silverwoodsekm@gmail.com")</f>
        <v>silverwoodsekm@gmail.com</v>
      </c>
      <c r="R875" s="2" t="s">
        <v>3289</v>
      </c>
    </row>
    <row r="876" spans="1:18" ht="13" x14ac:dyDescent="0.15">
      <c r="A876" s="3">
        <f ca="1">IFERROR(__xludf.DUMMYFUNCTION("""COMPUTED_VALUE"""),43260.784818912)</f>
        <v>43260.784818911998</v>
      </c>
      <c r="B876" t="str">
        <f ca="1">IFERROR(__xludf.DUMMYFUNCTION("""COMPUTED_VALUE"""),"silverwoodsekm@gmail.com")</f>
        <v>silverwoodsekm@gmail.com</v>
      </c>
      <c r="C876">
        <f ca="1">IFERROR(__xludf.DUMMYFUNCTION("""COMPUTED_VALUE"""),953)</f>
        <v>953</v>
      </c>
      <c r="D876" t="str">
        <f ca="1">IFERROR(__xludf.DUMMYFUNCTION("""COMPUTED_VALUE"""),"BALAKRISHNAN P")</f>
        <v>BALAKRISHNAN P</v>
      </c>
      <c r="E876">
        <f ca="1">IFERROR(__xludf.DUMMYFUNCTION("""COMPUTED_VALUE"""),9526991110)</f>
        <v>9526991110</v>
      </c>
      <c r="F876" t="str">
        <f ca="1">IFERROR(__xludf.DUMMYFUNCTION("""COMPUTED_VALUE"""),"Ernakulam")</f>
        <v>Ernakulam</v>
      </c>
      <c r="G876" t="str">
        <f ca="1">IFERROR(__xludf.DUMMYFUNCTION("""COMPUTED_VALUE"""),"TATA POWER SOLAR SYSTEMS LTD")</f>
        <v>TATA POWER SOLAR SYSTEMS LTD</v>
      </c>
      <c r="H876">
        <f ca="1">IFERROR(__xludf.DUMMYFUNCTION("""COMPUTED_VALUE"""),20)</f>
        <v>20</v>
      </c>
      <c r="I876" s="4">
        <f ca="1">IFERROR(__xludf.DUMMYFUNCTION("""COMPUTED_VALUE"""),43224)</f>
        <v>43224</v>
      </c>
      <c r="J876">
        <f ca="1">IFERROR(__xludf.DUMMYFUNCTION("""COMPUTED_VALUE"""),3)</f>
        <v>3</v>
      </c>
      <c r="K876">
        <f ca="1">IFERROR(__xludf.DUMMYFUNCTION("""COMPUTED_VALUE"""),1155571030652)</f>
        <v>1155571030652</v>
      </c>
      <c r="L876" t="str">
        <f ca="1">IFERROR(__xludf.DUMMYFUNCTION("""COMPUTED_VALUE"""),"THRIKKAKARA")</f>
        <v>THRIKKAKARA</v>
      </c>
      <c r="M876" t="str">
        <f ca="1">IFERROR(__xludf.DUMMYFUNCTION("""COMPUTED_VALUE"""),"I Accept")</f>
        <v>I Accept</v>
      </c>
      <c r="N876" s="4">
        <f ca="1">IFERROR(__xludf.DUMMYFUNCTION("""COMPUTED_VALUE"""),43220)</f>
        <v>43220</v>
      </c>
      <c r="O876" s="4">
        <f ca="1">IFERROR(__xludf.DUMMYFUNCTION("""COMPUTED_VALUE"""),43220)</f>
        <v>43220</v>
      </c>
      <c r="P876">
        <f ca="1">IFERROR(__xludf.DUMMYFUNCTION("""COMPUTED_VALUE"""),3)</f>
        <v>3</v>
      </c>
      <c r="Q876" t="str">
        <f ca="1">IFERROR(__xludf.DUMMYFUNCTION("""COMPUTED_VALUE"""),"silverwoodsekm@gmail.com")</f>
        <v>silverwoodsekm@gmail.com</v>
      </c>
      <c r="R876" s="2" t="s">
        <v>3290</v>
      </c>
    </row>
    <row r="877" spans="1:18" ht="13" x14ac:dyDescent="0.15">
      <c r="A877" s="3">
        <f ca="1">IFERROR(__xludf.DUMMYFUNCTION("""COMPUTED_VALUE"""),43260.7886651851)</f>
        <v>43260.7886651851</v>
      </c>
      <c r="B877" t="str">
        <f ca="1">IFERROR(__xludf.DUMMYFUNCTION("""COMPUTED_VALUE"""),"silverwoodsekm@gmail.com")</f>
        <v>silverwoodsekm@gmail.com</v>
      </c>
      <c r="C877">
        <f ca="1">IFERROR(__xludf.DUMMYFUNCTION("""COMPUTED_VALUE"""),307)</f>
        <v>307</v>
      </c>
      <c r="D877" t="str">
        <f ca="1">IFERROR(__xludf.DUMMYFUNCTION("""COMPUTED_VALUE"""),"K K GEORGE")</f>
        <v>K K GEORGE</v>
      </c>
      <c r="E877">
        <f ca="1">IFERROR(__xludf.DUMMYFUNCTION("""COMPUTED_VALUE"""),9526991110)</f>
        <v>9526991110</v>
      </c>
      <c r="F877" t="str">
        <f ca="1">IFERROR(__xludf.DUMMYFUNCTION("""COMPUTED_VALUE"""),"Ernakulam")</f>
        <v>Ernakulam</v>
      </c>
      <c r="G877" t="str">
        <f ca="1">IFERROR(__xludf.DUMMYFUNCTION("""COMPUTED_VALUE"""),"TATA POWER SOLAR SYSTEMS LTD")</f>
        <v>TATA POWER SOLAR SYSTEMS LTD</v>
      </c>
      <c r="H877">
        <f ca="1">IFERROR(__xludf.DUMMYFUNCTION("""COMPUTED_VALUE"""),20)</f>
        <v>20</v>
      </c>
      <c r="I877" s="4">
        <f ca="1">IFERROR(__xludf.DUMMYFUNCTION("""COMPUTED_VALUE"""),43223)</f>
        <v>43223</v>
      </c>
      <c r="J877">
        <f ca="1">IFERROR(__xludf.DUMMYFUNCTION("""COMPUTED_VALUE"""),3)</f>
        <v>3</v>
      </c>
      <c r="K877">
        <f ca="1">IFERROR(__xludf.DUMMYFUNCTION("""COMPUTED_VALUE"""),1155428001917)</f>
        <v>1155428001917</v>
      </c>
      <c r="L877" t="str">
        <f ca="1">IFERROR(__xludf.DUMMYFUNCTION("""COMPUTED_VALUE"""),"GIRINAGAR")</f>
        <v>GIRINAGAR</v>
      </c>
      <c r="M877" t="str">
        <f ca="1">IFERROR(__xludf.DUMMYFUNCTION("""COMPUTED_VALUE"""),"I Accept")</f>
        <v>I Accept</v>
      </c>
      <c r="N877" s="4">
        <f ca="1">IFERROR(__xludf.DUMMYFUNCTION("""COMPUTED_VALUE"""),43146)</f>
        <v>43146</v>
      </c>
      <c r="O877" s="4">
        <f ca="1">IFERROR(__xludf.DUMMYFUNCTION("""COMPUTED_VALUE"""),43146)</f>
        <v>43146</v>
      </c>
      <c r="P877">
        <f ca="1">IFERROR(__xludf.DUMMYFUNCTION("""COMPUTED_VALUE"""),3)</f>
        <v>3</v>
      </c>
      <c r="Q877" t="str">
        <f ca="1">IFERROR(__xludf.DUMMYFUNCTION("""COMPUTED_VALUE"""),"silverwoodsekm@gmail.com")</f>
        <v>silverwoodsekm@gmail.com</v>
      </c>
      <c r="R877" s="2" t="s">
        <v>3291</v>
      </c>
    </row>
    <row r="878" spans="1:18" ht="13" x14ac:dyDescent="0.15">
      <c r="A878" s="3">
        <f ca="1">IFERROR(__xludf.DUMMYFUNCTION("""COMPUTED_VALUE"""),43260.7916998379)</f>
        <v>43260.791699837901</v>
      </c>
      <c r="B878" t="str">
        <f ca="1">IFERROR(__xludf.DUMMYFUNCTION("""COMPUTED_VALUE"""),"silverwoodsekm@gmail.com")</f>
        <v>silverwoodsekm@gmail.com</v>
      </c>
      <c r="C878">
        <f ca="1">IFERROR(__xludf.DUMMYFUNCTION("""COMPUTED_VALUE"""),721)</f>
        <v>721</v>
      </c>
      <c r="D878" t="str">
        <f ca="1">IFERROR(__xludf.DUMMYFUNCTION("""COMPUTED_VALUE"""),"SHINO THOMAS")</f>
        <v>SHINO THOMAS</v>
      </c>
      <c r="E878">
        <f ca="1">IFERROR(__xludf.DUMMYFUNCTION("""COMPUTED_VALUE"""),9526991110)</f>
        <v>9526991110</v>
      </c>
      <c r="F878" t="str">
        <f ca="1">IFERROR(__xludf.DUMMYFUNCTION("""COMPUTED_VALUE"""),"Ernakulam")</f>
        <v>Ernakulam</v>
      </c>
      <c r="G878" t="str">
        <f ca="1">IFERROR(__xludf.DUMMYFUNCTION("""COMPUTED_VALUE"""),"TATA POWER SOLR SYSTEMS LTD")</f>
        <v>TATA POWER SOLR SYSTEMS LTD</v>
      </c>
      <c r="H878">
        <f ca="1">IFERROR(__xludf.DUMMYFUNCTION("""COMPUTED_VALUE"""),20)</f>
        <v>20</v>
      </c>
      <c r="I878" s="4">
        <f ca="1">IFERROR(__xludf.DUMMYFUNCTION("""COMPUTED_VALUE"""),43243)</f>
        <v>43243</v>
      </c>
      <c r="J878">
        <f ca="1">IFERROR(__xludf.DUMMYFUNCTION("""COMPUTED_VALUE"""),5)</f>
        <v>5</v>
      </c>
      <c r="K878">
        <f ca="1">IFERROR(__xludf.DUMMYFUNCTION("""COMPUTED_VALUE"""),1155977028952)</f>
        <v>1155977028952</v>
      </c>
      <c r="L878" t="str">
        <f ca="1">IFERROR(__xludf.DUMMYFUNCTION("""COMPUTED_VALUE"""),"PIRAVOM")</f>
        <v>PIRAVOM</v>
      </c>
      <c r="M878" t="str">
        <f ca="1">IFERROR(__xludf.DUMMYFUNCTION("""COMPUTED_VALUE"""),"I Accept")</f>
        <v>I Accept</v>
      </c>
      <c r="N878" s="4">
        <f ca="1">IFERROR(__xludf.DUMMYFUNCTION("""COMPUTED_VALUE"""),43210)</f>
        <v>43210</v>
      </c>
      <c r="O878" s="4">
        <f ca="1">IFERROR(__xludf.DUMMYFUNCTION("""COMPUTED_VALUE"""),43210)</f>
        <v>43210</v>
      </c>
      <c r="P878">
        <f ca="1">IFERROR(__xludf.DUMMYFUNCTION("""COMPUTED_VALUE"""),5)</f>
        <v>5</v>
      </c>
      <c r="Q878" t="str">
        <f ca="1">IFERROR(__xludf.DUMMYFUNCTION("""COMPUTED_VALUE"""),"silverwoodsekm@gmail.com")</f>
        <v>silverwoodsekm@gmail.com</v>
      </c>
      <c r="R878" s="2" t="s">
        <v>3292</v>
      </c>
    </row>
    <row r="879" spans="1:18" ht="13" x14ac:dyDescent="0.15">
      <c r="A879" s="3">
        <f ca="1">IFERROR(__xludf.DUMMYFUNCTION("""COMPUTED_VALUE"""),43260.7950557986)</f>
        <v>43260.795055798597</v>
      </c>
      <c r="B879" t="str">
        <f ca="1">IFERROR(__xludf.DUMMYFUNCTION("""COMPUTED_VALUE"""),"silverwoodsekm@gmail.com")</f>
        <v>silverwoodsekm@gmail.com</v>
      </c>
      <c r="C879">
        <f ca="1">IFERROR(__xludf.DUMMYFUNCTION("""COMPUTED_VALUE"""),253)</f>
        <v>253</v>
      </c>
      <c r="D879" t="str">
        <f ca="1">IFERROR(__xludf.DUMMYFUNCTION("""COMPUTED_VALUE"""),"C SREEKUMAR")</f>
        <v>C SREEKUMAR</v>
      </c>
      <c r="E879">
        <f ca="1">IFERROR(__xludf.DUMMYFUNCTION("""COMPUTED_VALUE"""),9526992221)</f>
        <v>9526992221</v>
      </c>
      <c r="F879" t="str">
        <f ca="1">IFERROR(__xludf.DUMMYFUNCTION("""COMPUTED_VALUE"""),"Ernakulam")</f>
        <v>Ernakulam</v>
      </c>
      <c r="G879" t="str">
        <f ca="1">IFERROR(__xludf.DUMMYFUNCTION("""COMPUTED_VALUE"""),"TATA POWER SOLAR SYSTEMS LTD")</f>
        <v>TATA POWER SOLAR SYSTEMS LTD</v>
      </c>
      <c r="H879">
        <f ca="1">IFERROR(__xludf.DUMMYFUNCTION("""COMPUTED_VALUE"""),20)</f>
        <v>20</v>
      </c>
      <c r="I879" s="4">
        <f ca="1">IFERROR(__xludf.DUMMYFUNCTION("""COMPUTED_VALUE"""),43210)</f>
        <v>43210</v>
      </c>
      <c r="J879">
        <f ca="1">IFERROR(__xludf.DUMMYFUNCTION("""COMPUTED_VALUE"""),3)</f>
        <v>3</v>
      </c>
      <c r="K879">
        <f ca="1">IFERROR(__xludf.DUMMYFUNCTION("""COMPUTED_VALUE"""),1155451015997)</f>
        <v>1155451015997</v>
      </c>
      <c r="L879" t="str">
        <f ca="1">IFERROR(__xludf.DUMMYFUNCTION("""COMPUTED_VALUE"""),"KALOOR")</f>
        <v>KALOOR</v>
      </c>
      <c r="M879" t="str">
        <f ca="1">IFERROR(__xludf.DUMMYFUNCTION("""COMPUTED_VALUE"""),"I Accept")</f>
        <v>I Accept</v>
      </c>
      <c r="N879" s="4">
        <f ca="1">IFERROR(__xludf.DUMMYFUNCTION("""COMPUTED_VALUE"""),43120)</f>
        <v>43120</v>
      </c>
      <c r="O879" s="4">
        <f ca="1">IFERROR(__xludf.DUMMYFUNCTION("""COMPUTED_VALUE"""),43120)</f>
        <v>43120</v>
      </c>
      <c r="P879">
        <f ca="1">IFERROR(__xludf.DUMMYFUNCTION("""COMPUTED_VALUE"""),3)</f>
        <v>3</v>
      </c>
      <c r="Q879" t="str">
        <f ca="1">IFERROR(__xludf.DUMMYFUNCTION("""COMPUTED_VALUE"""),"silverwoodsekm@gmail.com")</f>
        <v>silverwoodsekm@gmail.com</v>
      </c>
      <c r="R879" s="2" t="s">
        <v>3293</v>
      </c>
    </row>
    <row r="880" spans="1:18" ht="13" x14ac:dyDescent="0.15">
      <c r="A880" s="3">
        <f ca="1">IFERROR(__xludf.DUMMYFUNCTION("""COMPUTED_VALUE"""),43261.3944801041)</f>
        <v>43261.3944801041</v>
      </c>
      <c r="B880" t="str">
        <f ca="1">IFERROR(__xludf.DUMMYFUNCTION("""COMPUTED_VALUE"""),"Vishnuv0095@gmail.com")</f>
        <v>Vishnuv0095@gmail.com</v>
      </c>
      <c r="C880">
        <f ca="1">IFERROR(__xludf.DUMMYFUNCTION("""COMPUTED_VALUE"""),226)</f>
        <v>226</v>
      </c>
      <c r="D880" t="str">
        <f ca="1">IFERROR(__xludf.DUMMYFUNCTION("""COMPUTED_VALUE"""),"N G Gopinathan Nair")</f>
        <v>N G Gopinathan Nair</v>
      </c>
      <c r="E880">
        <f ca="1">IFERROR(__xludf.DUMMYFUNCTION("""COMPUTED_VALUE"""),9646551285)</f>
        <v>9646551285</v>
      </c>
      <c r="F880" t="str">
        <f ca="1">IFERROR(__xludf.DUMMYFUNCTION("""COMPUTED_VALUE"""),"Pathanamthitta")</f>
        <v>Pathanamthitta</v>
      </c>
      <c r="G880" t="str">
        <f ca="1">IFERROR(__xludf.DUMMYFUNCTION("""COMPUTED_VALUE"""),"TATA POWER SOLAR SYSTEMS LTD")</f>
        <v>TATA POWER SOLAR SYSTEMS LTD</v>
      </c>
      <c r="H880">
        <f ca="1">IFERROR(__xludf.DUMMYFUNCTION("""COMPUTED_VALUE"""),20)</f>
        <v>20</v>
      </c>
      <c r="I880" s="4">
        <f ca="1">IFERROR(__xludf.DUMMYFUNCTION("""COMPUTED_VALUE"""),43261)</f>
        <v>43261</v>
      </c>
      <c r="J880">
        <f ca="1">IFERROR(__xludf.DUMMYFUNCTION("""COMPUTED_VALUE"""),3)</f>
        <v>3</v>
      </c>
      <c r="K880">
        <f ca="1">IFERROR(__xludf.DUMMYFUNCTION("""COMPUTED_VALUE"""),1146187004700)</f>
        <v>1146187004700</v>
      </c>
      <c r="L880" t="str">
        <f ca="1">IFERROR(__xludf.DUMMYFUNCTION("""COMPUTED_VALUE"""),"Thottabhagam")</f>
        <v>Thottabhagam</v>
      </c>
      <c r="M880" t="str">
        <f ca="1">IFERROR(__xludf.DUMMYFUNCTION("""COMPUTED_VALUE"""),"I Accept")</f>
        <v>I Accept</v>
      </c>
      <c r="N880" s="4">
        <f ca="1">IFERROR(__xludf.DUMMYFUNCTION("""COMPUTED_VALUE"""),43258)</f>
        <v>43258</v>
      </c>
      <c r="O880" s="4">
        <f ca="1">IFERROR(__xludf.DUMMYFUNCTION("""COMPUTED_VALUE"""),43258)</f>
        <v>43258</v>
      </c>
      <c r="P880">
        <f ca="1">IFERROR(__xludf.DUMMYFUNCTION("""COMPUTED_VALUE"""),3)</f>
        <v>3</v>
      </c>
      <c r="Q880" t="str">
        <f ca="1">IFERROR(__xludf.DUMMYFUNCTION("""COMPUTED_VALUE"""),"vishnuv0095@gmail.com")</f>
        <v>vishnuv0095@gmail.com</v>
      </c>
      <c r="R880" s="2" t="s">
        <v>3294</v>
      </c>
    </row>
    <row r="881" spans="1:18" ht="13" x14ac:dyDescent="0.15">
      <c r="A881" s="3">
        <f ca="1">IFERROR(__xludf.DUMMYFUNCTION("""COMPUTED_VALUE"""),43262.4169668865)</f>
        <v>43262.4169668865</v>
      </c>
      <c r="B881" t="str">
        <f ca="1">IFERROR(__xludf.DUMMYFUNCTION("""COMPUTED_VALUE"""),"solarconnect2018@gmail.com")</f>
        <v>solarconnect2018@gmail.com</v>
      </c>
      <c r="C881">
        <f ca="1">IFERROR(__xludf.DUMMYFUNCTION("""COMPUTED_VALUE"""),1208)</f>
        <v>1208</v>
      </c>
      <c r="D881" t="str">
        <f ca="1">IFERROR(__xludf.DUMMYFUNCTION("""COMPUTED_VALUE"""),"MOIDEEN")</f>
        <v>MOIDEEN</v>
      </c>
      <c r="E881">
        <f ca="1">IFERROR(__xludf.DUMMYFUNCTION("""COMPUTED_VALUE"""),7510448444)</f>
        <v>7510448444</v>
      </c>
      <c r="F881" t="str">
        <f ca="1">IFERROR(__xludf.DUMMYFUNCTION("""COMPUTED_VALUE"""),"Malappuram")</f>
        <v>Malappuram</v>
      </c>
      <c r="G881" t="str">
        <f ca="1">IFERROR(__xludf.DUMMYFUNCTION("""COMPUTED_VALUE"""),"SPECTRUM TECHNO PRODUCTS")</f>
        <v>SPECTRUM TECHNO PRODUCTS</v>
      </c>
      <c r="H881">
        <f ca="1">IFERROR(__xludf.DUMMYFUNCTION("""COMPUTED_VALUE"""),66)</f>
        <v>66</v>
      </c>
      <c r="I881" s="4">
        <f ca="1">IFERROR(__xludf.DUMMYFUNCTION("""COMPUTED_VALUE"""),43260)</f>
        <v>43260</v>
      </c>
      <c r="J881">
        <f ca="1">IFERROR(__xludf.DUMMYFUNCTION("""COMPUTED_VALUE"""),5)</f>
        <v>5</v>
      </c>
      <c r="K881">
        <f ca="1">IFERROR(__xludf.DUMMYFUNCTION("""COMPUTED_VALUE"""),1165799012168)</f>
        <v>1165799012168</v>
      </c>
      <c r="L881" t="str">
        <f ca="1">IFERROR(__xludf.DUMMYFUNCTION("""COMPUTED_VALUE"""),"Venniyoor")</f>
        <v>Venniyoor</v>
      </c>
      <c r="M881" t="str">
        <f ca="1">IFERROR(__xludf.DUMMYFUNCTION("""COMPUTED_VALUE"""),"I Accept")</f>
        <v>I Accept</v>
      </c>
      <c r="N881" s="4">
        <f ca="1">IFERROR(__xludf.DUMMYFUNCTION("""COMPUTED_VALUE"""),43246)</f>
        <v>43246</v>
      </c>
      <c r="O881" s="4">
        <f ca="1">IFERROR(__xludf.DUMMYFUNCTION("""COMPUTED_VALUE"""),43246)</f>
        <v>43246</v>
      </c>
      <c r="P881">
        <f ca="1">IFERROR(__xludf.DUMMYFUNCTION("""COMPUTED_VALUE"""),5)</f>
        <v>5</v>
      </c>
      <c r="Q881" t="str">
        <f ca="1">IFERROR(__xludf.DUMMYFUNCTION("""COMPUTED_VALUE"""),"solarconnect2018@gmail.com")</f>
        <v>solarconnect2018@gmail.com</v>
      </c>
      <c r="R881" s="2" t="s">
        <v>3295</v>
      </c>
    </row>
    <row r="882" spans="1:18" ht="13" x14ac:dyDescent="0.15">
      <c r="A882" s="3">
        <f ca="1">IFERROR(__xludf.DUMMYFUNCTION("""COMPUTED_VALUE"""),43262.4244366666)</f>
        <v>43262.424436666603</v>
      </c>
      <c r="B882" t="str">
        <f ca="1">IFERROR(__xludf.DUMMYFUNCTION("""COMPUTED_VALUE"""),"solarconnect2018@gmail.com")</f>
        <v>solarconnect2018@gmail.com</v>
      </c>
      <c r="C882">
        <f ca="1">IFERROR(__xludf.DUMMYFUNCTION("""COMPUTED_VALUE"""),5)</f>
        <v>5</v>
      </c>
      <c r="D882" t="str">
        <f ca="1">IFERROR(__xludf.DUMMYFUNCTION("""COMPUTED_VALUE"""),"ABDUL RASHEED K")</f>
        <v>ABDUL RASHEED K</v>
      </c>
      <c r="E882">
        <f ca="1">IFERROR(__xludf.DUMMYFUNCTION("""COMPUTED_VALUE"""),8891160631)</f>
        <v>8891160631</v>
      </c>
      <c r="F882" t="str">
        <f ca="1">IFERROR(__xludf.DUMMYFUNCTION("""COMPUTED_VALUE"""),"Palakkad")</f>
        <v>Palakkad</v>
      </c>
      <c r="G882" t="str">
        <f ca="1">IFERROR(__xludf.DUMMYFUNCTION("""COMPUTED_VALUE"""),"SPECTRUM TECHNO PRODUCTS")</f>
        <v>SPECTRUM TECHNO PRODUCTS</v>
      </c>
      <c r="H882">
        <f ca="1">IFERROR(__xludf.DUMMYFUNCTION("""COMPUTED_VALUE"""),66)</f>
        <v>66</v>
      </c>
      <c r="I882" s="4">
        <f ca="1">IFERROR(__xludf.DUMMYFUNCTION("""COMPUTED_VALUE"""),43259)</f>
        <v>43259</v>
      </c>
      <c r="J882">
        <f ca="1">IFERROR(__xludf.DUMMYFUNCTION("""COMPUTED_VALUE"""),5)</f>
        <v>5</v>
      </c>
      <c r="K882">
        <f ca="1">IFERROR(__xludf.DUMMYFUNCTION("""COMPUTED_VALUE"""),1165201009788)</f>
        <v>1165201009788</v>
      </c>
      <c r="L882" t="str">
        <f ca="1">IFERROR(__xludf.DUMMYFUNCTION("""COMPUTED_VALUE"""),"Mannarkkad")</f>
        <v>Mannarkkad</v>
      </c>
      <c r="M882" t="str">
        <f ca="1">IFERROR(__xludf.DUMMYFUNCTION("""COMPUTED_VALUE"""),"I Accept")</f>
        <v>I Accept</v>
      </c>
      <c r="N882" s="4">
        <f ca="1">IFERROR(__xludf.DUMMYFUNCTION("""COMPUTED_VALUE"""),43255)</f>
        <v>43255</v>
      </c>
      <c r="O882" s="4">
        <f ca="1">IFERROR(__xludf.DUMMYFUNCTION("""COMPUTED_VALUE"""),43255)</f>
        <v>43255</v>
      </c>
      <c r="P882">
        <f ca="1">IFERROR(__xludf.DUMMYFUNCTION("""COMPUTED_VALUE"""),5)</f>
        <v>5</v>
      </c>
      <c r="Q882" t="str">
        <f ca="1">IFERROR(__xludf.DUMMYFUNCTION("""COMPUTED_VALUE"""),"solarconnect2018@gmail.com")</f>
        <v>solarconnect2018@gmail.com</v>
      </c>
      <c r="R882" s="2" t="s">
        <v>3296</v>
      </c>
    </row>
    <row r="883" spans="1:18" ht="13" x14ac:dyDescent="0.15">
      <c r="A883" s="3">
        <f ca="1">IFERROR(__xludf.DUMMYFUNCTION("""COMPUTED_VALUE"""),43262.453299456)</f>
        <v>43262.453299456</v>
      </c>
      <c r="B883" t="str">
        <f ca="1">IFERROR(__xludf.DUMMYFUNCTION("""COMPUTED_VALUE"""),"jyothibhavanmlm@gmail.com")</f>
        <v>jyothibhavanmlm@gmail.com</v>
      </c>
      <c r="C883">
        <f ca="1">IFERROR(__xludf.DUMMYFUNCTION("""COMPUTED_VALUE"""),449)</f>
        <v>449</v>
      </c>
      <c r="D883" t="str">
        <f ca="1">IFERROR(__xludf.DUMMYFUNCTION("""COMPUTED_VALUE"""),"Lillykutty jacob")</f>
        <v>Lillykutty jacob</v>
      </c>
      <c r="E883">
        <f ca="1">IFERROR(__xludf.DUMMYFUNCTION("""COMPUTED_VALUE"""),9400253042)</f>
        <v>9400253042</v>
      </c>
      <c r="F883" t="str">
        <f ca="1">IFERROR(__xludf.DUMMYFUNCTION("""COMPUTED_VALUE"""),"Idukki")</f>
        <v>Idukki</v>
      </c>
      <c r="G883" t="str">
        <f ca="1">IFERROR(__xludf.DUMMYFUNCTION("""COMPUTED_VALUE"""),"Tata power solar systems limited")</f>
        <v>Tata power solar systems limited</v>
      </c>
      <c r="H883">
        <f ca="1">IFERROR(__xludf.DUMMYFUNCTION("""COMPUTED_VALUE"""),20)</f>
        <v>20</v>
      </c>
      <c r="I883" s="4">
        <f ca="1">IFERROR(__xludf.DUMMYFUNCTION("""COMPUTED_VALUE"""),43255)</f>
        <v>43255</v>
      </c>
      <c r="J883">
        <f ca="1">IFERROR(__xludf.DUMMYFUNCTION("""COMPUTED_VALUE"""),5)</f>
        <v>5</v>
      </c>
      <c r="K883">
        <f ca="1">IFERROR(__xludf.DUMMYFUNCTION("""COMPUTED_VALUE"""),1156190000928)</f>
        <v>1156190000928</v>
      </c>
      <c r="L883" t="str">
        <f ca="1">IFERROR(__xludf.DUMMYFUNCTION("""COMPUTED_VALUE"""),"Moolamattom")</f>
        <v>Moolamattom</v>
      </c>
      <c r="M883" t="str">
        <f ca="1">IFERROR(__xludf.DUMMYFUNCTION("""COMPUTED_VALUE"""),"I Accept")</f>
        <v>I Accept</v>
      </c>
      <c r="N883" s="4">
        <f ca="1">IFERROR(__xludf.DUMMYFUNCTION("""COMPUTED_VALUE"""),43231)</f>
        <v>43231</v>
      </c>
      <c r="O883" s="4">
        <f ca="1">IFERROR(__xludf.DUMMYFUNCTION("""COMPUTED_VALUE"""),43231)</f>
        <v>43231</v>
      </c>
      <c r="P883">
        <f ca="1">IFERROR(__xludf.DUMMYFUNCTION("""COMPUTED_VALUE"""),5)</f>
        <v>5</v>
      </c>
      <c r="Q883" t="str">
        <f ca="1">IFERROR(__xludf.DUMMYFUNCTION("""COMPUTED_VALUE"""),"binoyjose41@gmail.com")</f>
        <v>binoyjose41@gmail.com</v>
      </c>
      <c r="R883" s="2" t="s">
        <v>3297</v>
      </c>
    </row>
    <row r="884" spans="1:18" ht="13" x14ac:dyDescent="0.15">
      <c r="A884" s="3">
        <f ca="1">IFERROR(__xludf.DUMMYFUNCTION("""COMPUTED_VALUE"""),43262.4790118171)</f>
        <v>43262.4790118171</v>
      </c>
      <c r="B884" t="str">
        <f ca="1">IFERROR(__xludf.DUMMYFUNCTION("""COMPUTED_VALUE"""),"connectdsk@gmail.com")</f>
        <v>connectdsk@gmail.com</v>
      </c>
      <c r="C884">
        <f ca="1">IFERROR(__xludf.DUMMYFUNCTION("""COMPUTED_VALUE"""),1158)</f>
        <v>1158</v>
      </c>
      <c r="D884" t="str">
        <f ca="1">IFERROR(__xludf.DUMMYFUNCTION("""COMPUTED_VALUE"""),"GEETHA G S")</f>
        <v>GEETHA G S</v>
      </c>
      <c r="E884">
        <f ca="1">IFERROR(__xludf.DUMMYFUNCTION("""COMPUTED_VALUE"""),8547564126)</f>
        <v>8547564126</v>
      </c>
      <c r="F884" t="str">
        <f ca="1">IFERROR(__xludf.DUMMYFUNCTION("""COMPUTED_VALUE"""),"Kollam")</f>
        <v>Kollam</v>
      </c>
      <c r="G884" t="str">
        <f ca="1">IFERROR(__xludf.DUMMYFUNCTION("""COMPUTED_VALUE"""),"FERT")</f>
        <v>FERT</v>
      </c>
      <c r="H884">
        <f ca="1">IFERROR(__xludf.DUMMYFUNCTION("""COMPUTED_VALUE"""),27)</f>
        <v>27</v>
      </c>
      <c r="I884" s="4">
        <f ca="1">IFERROR(__xludf.DUMMYFUNCTION("""COMPUTED_VALUE"""),43256)</f>
        <v>43256</v>
      </c>
      <c r="J884">
        <f ca="1">IFERROR(__xludf.DUMMYFUNCTION("""COMPUTED_VALUE"""),3)</f>
        <v>3</v>
      </c>
      <c r="K884">
        <f ca="1">IFERROR(__xludf.DUMMYFUNCTION("""COMPUTED_VALUE"""),1145872000152)</f>
        <v>1145872000152</v>
      </c>
      <c r="L884" t="str">
        <f ca="1">IFERROR(__xludf.DUMMYFUNCTION("""COMPUTED_VALUE"""),"KOTTARAKKARA")</f>
        <v>KOTTARAKKARA</v>
      </c>
      <c r="M884" t="str">
        <f ca="1">IFERROR(__xludf.DUMMYFUNCTION("""COMPUTED_VALUE"""),"I Accept")</f>
        <v>I Accept</v>
      </c>
      <c r="N884" s="4">
        <f ca="1">IFERROR(__xludf.DUMMYFUNCTION("""COMPUTED_VALUE"""),43256)</f>
        <v>43256</v>
      </c>
      <c r="O884" s="4">
        <f ca="1">IFERROR(__xludf.DUMMYFUNCTION("""COMPUTED_VALUE"""),43256)</f>
        <v>43256</v>
      </c>
      <c r="P884">
        <f ca="1">IFERROR(__xludf.DUMMYFUNCTION("""COMPUTED_VALUE"""),3)</f>
        <v>3</v>
      </c>
      <c r="Q884" t="str">
        <f ca="1">IFERROR(__xludf.DUMMYFUNCTION("""COMPUTED_VALUE"""),"connectdsk@gmail.com")</f>
        <v>connectdsk@gmail.com</v>
      </c>
      <c r="R884" s="2" t="s">
        <v>3298</v>
      </c>
    </row>
    <row r="885" spans="1:18" ht="13" x14ac:dyDescent="0.15">
      <c r="A885" s="3">
        <f ca="1">IFERROR(__xludf.DUMMYFUNCTION("""COMPUTED_VALUE"""),43262.4928418865)</f>
        <v>43262.492841886502</v>
      </c>
      <c r="B885" t="str">
        <f ca="1">IFERROR(__xludf.DUMMYFUNCTION("""COMPUTED_VALUE"""),"solarconnect2018@gmail.com")</f>
        <v>solarconnect2018@gmail.com</v>
      </c>
      <c r="C885">
        <f ca="1">IFERROR(__xludf.DUMMYFUNCTION("""COMPUTED_VALUE"""),769)</f>
        <v>769</v>
      </c>
      <c r="D885" t="str">
        <f ca="1">IFERROR(__xludf.DUMMYFUNCTION("""COMPUTED_VALUE"""),"BEENA VARGHESE")</f>
        <v>BEENA VARGHESE</v>
      </c>
      <c r="E885">
        <f ca="1">IFERROR(__xludf.DUMMYFUNCTION("""COMPUTED_VALUE"""),9449811781)</f>
        <v>9449811781</v>
      </c>
      <c r="F885" t="str">
        <f ca="1">IFERROR(__xludf.DUMMYFUNCTION("""COMPUTED_VALUE"""),"Kasaragod")</f>
        <v>Kasaragod</v>
      </c>
      <c r="G885" t="str">
        <f ca="1">IFERROR(__xludf.DUMMYFUNCTION("""COMPUTED_VALUE"""),"SPECTRUM TECHNO PRODUCTS")</f>
        <v>SPECTRUM TECHNO PRODUCTS</v>
      </c>
      <c r="H885">
        <f ca="1">IFERROR(__xludf.DUMMYFUNCTION("""COMPUTED_VALUE"""),66)</f>
        <v>66</v>
      </c>
      <c r="I885" s="4">
        <f ca="1">IFERROR(__xludf.DUMMYFUNCTION("""COMPUTED_VALUE"""),43271)</f>
        <v>43271</v>
      </c>
      <c r="J885">
        <f ca="1">IFERROR(__xludf.DUMMYFUNCTION("""COMPUTED_VALUE"""),3)</f>
        <v>3</v>
      </c>
      <c r="K885">
        <f ca="1">IFERROR(__xludf.DUMMYFUNCTION("""COMPUTED_VALUE"""),1167007001477)</f>
        <v>1167007001477</v>
      </c>
      <c r="L885" t="str">
        <f ca="1">IFERROR(__xludf.DUMMYFUNCTION("""COMPUTED_VALUE"""),"THRIKARIPUR")</f>
        <v>THRIKARIPUR</v>
      </c>
      <c r="M885" t="str">
        <f ca="1">IFERROR(__xludf.DUMMYFUNCTION("""COMPUTED_VALUE"""),"I Accept")</f>
        <v>I Accept</v>
      </c>
      <c r="N885" s="4">
        <f ca="1">IFERROR(__xludf.DUMMYFUNCTION("""COMPUTED_VALUE"""),43186)</f>
        <v>43186</v>
      </c>
      <c r="O885" s="4">
        <f ca="1">IFERROR(__xludf.DUMMYFUNCTION("""COMPUTED_VALUE"""),43186)</f>
        <v>43186</v>
      </c>
      <c r="P885">
        <f ca="1">IFERROR(__xludf.DUMMYFUNCTION("""COMPUTED_VALUE"""),3)</f>
        <v>3</v>
      </c>
      <c r="Q885" t="str">
        <f ca="1">IFERROR(__xludf.DUMMYFUNCTION("""COMPUTED_VALUE"""),"solarconnect2018@gmail.com")</f>
        <v>solarconnect2018@gmail.com</v>
      </c>
      <c r="R885" s="2" t="s">
        <v>3299</v>
      </c>
    </row>
    <row r="886" spans="1:18" ht="13" x14ac:dyDescent="0.15">
      <c r="A886" s="3">
        <f ca="1">IFERROR(__xludf.DUMMYFUNCTION("""COMPUTED_VALUE"""),43262.4966537037)</f>
        <v>43262.496653703703</v>
      </c>
      <c r="B886" t="str">
        <f ca="1">IFERROR(__xludf.DUMMYFUNCTION("""COMPUTED_VALUE"""),"mkmathai@yahoo.com")</f>
        <v>mkmathai@yahoo.com</v>
      </c>
      <c r="C886">
        <f ca="1">IFERROR(__xludf.DUMMYFUNCTION("""COMPUTED_VALUE"""),765)</f>
        <v>765</v>
      </c>
      <c r="D886" t="str">
        <f ca="1">IFERROR(__xludf.DUMMYFUNCTION("""COMPUTED_VALUE"""),"M K Mathai ")</f>
        <v xml:space="preserve">M K Mathai </v>
      </c>
      <c r="E886">
        <f ca="1">IFERROR(__xludf.DUMMYFUNCTION("""COMPUTED_VALUE"""),9447252415)</f>
        <v>9447252415</v>
      </c>
      <c r="F886" t="str">
        <f ca="1">IFERROR(__xludf.DUMMYFUNCTION("""COMPUTED_VALUE"""),"Ernakulam")</f>
        <v>Ernakulam</v>
      </c>
      <c r="G886" t="str">
        <f ca="1">IFERROR(__xludf.DUMMYFUNCTION("""COMPUTED_VALUE"""),"Renewable Energy Solutions Pvt Ltd")</f>
        <v>Renewable Energy Solutions Pvt Ltd</v>
      </c>
      <c r="H886">
        <f ca="1">IFERROR(__xludf.DUMMYFUNCTION("""COMPUTED_VALUE"""),64)</f>
        <v>64</v>
      </c>
      <c r="I886" s="4">
        <f ca="1">IFERROR(__xludf.DUMMYFUNCTION("""COMPUTED_VALUE"""),43200)</f>
        <v>43200</v>
      </c>
      <c r="J886">
        <f ca="1">IFERROR(__xludf.DUMMYFUNCTION("""COMPUTED_VALUE"""),3)</f>
        <v>3</v>
      </c>
      <c r="K886">
        <f ca="1">IFERROR(__xludf.DUMMYFUNCTION("""COMPUTED_VALUE"""),1155484018012)</f>
        <v>1155484018012</v>
      </c>
      <c r="L886" t="str">
        <f ca="1">IFERROR(__xludf.DUMMYFUNCTION("""COMPUTED_VALUE"""),"TRIPUNITHURA")</f>
        <v>TRIPUNITHURA</v>
      </c>
      <c r="M886" t="str">
        <f ca="1">IFERROR(__xludf.DUMMYFUNCTION("""COMPUTED_VALUE"""),"I Accept")</f>
        <v>I Accept</v>
      </c>
      <c r="N886" s="4">
        <f ca="1">IFERROR(__xludf.DUMMYFUNCTION("""COMPUTED_VALUE"""),43262)</f>
        <v>43262</v>
      </c>
      <c r="O886" s="4">
        <f ca="1">IFERROR(__xludf.DUMMYFUNCTION("""COMPUTED_VALUE"""),43262)</f>
        <v>43262</v>
      </c>
      <c r="P886">
        <f ca="1">IFERROR(__xludf.DUMMYFUNCTION("""COMPUTED_VALUE"""),3)</f>
        <v>3</v>
      </c>
      <c r="Q886" t="str">
        <f ca="1">IFERROR(__xludf.DUMMYFUNCTION("""COMPUTED_VALUE"""),"mkmathai@yahoo.com")</f>
        <v>mkmathai@yahoo.com</v>
      </c>
      <c r="R886" s="2" t="s">
        <v>3300</v>
      </c>
    </row>
    <row r="887" spans="1:18" ht="13" x14ac:dyDescent="0.15">
      <c r="A887" s="3">
        <f ca="1">IFERROR(__xludf.DUMMYFUNCTION("""COMPUTED_VALUE"""),43262.514765949)</f>
        <v>43262.514765949003</v>
      </c>
      <c r="B887" t="str">
        <f ca="1">IFERROR(__xludf.DUMMYFUNCTION("""COMPUTED_VALUE"""),"solarconnect2018@gmail.com")</f>
        <v>solarconnect2018@gmail.com</v>
      </c>
      <c r="C887">
        <f ca="1">IFERROR(__xludf.DUMMYFUNCTION("""COMPUTED_VALUE"""),812)</f>
        <v>812</v>
      </c>
      <c r="D887" t="str">
        <f ca="1">IFERROR(__xludf.DUMMYFUNCTION("""COMPUTED_VALUE"""),"TRESA MAJI")</f>
        <v>TRESA MAJI</v>
      </c>
      <c r="E887">
        <f ca="1">IFERROR(__xludf.DUMMYFUNCTION("""COMPUTED_VALUE"""),7012162995)</f>
        <v>7012162995</v>
      </c>
      <c r="F887" t="str">
        <f ca="1">IFERROR(__xludf.DUMMYFUNCTION("""COMPUTED_VALUE"""),"Ernakulam")</f>
        <v>Ernakulam</v>
      </c>
      <c r="G887" t="str">
        <f ca="1">IFERROR(__xludf.DUMMYFUNCTION("""COMPUTED_VALUE"""),"SPECTRUM TECHNO  PRODUCTS")</f>
        <v>SPECTRUM TECHNO  PRODUCTS</v>
      </c>
      <c r="H887">
        <f ca="1">IFERROR(__xludf.DUMMYFUNCTION("""COMPUTED_VALUE"""),66)</f>
        <v>66</v>
      </c>
      <c r="I887" s="4">
        <f ca="1">IFERROR(__xludf.DUMMYFUNCTION("""COMPUTED_VALUE"""),43251)</f>
        <v>43251</v>
      </c>
      <c r="J887">
        <f ca="1">IFERROR(__xludf.DUMMYFUNCTION("""COMPUTED_VALUE"""),3)</f>
        <v>3</v>
      </c>
      <c r="K887">
        <f ca="1">IFERROR(__xludf.DUMMYFUNCTION("""COMPUTED_VALUE"""),1156024034421)</f>
        <v>1156024034421</v>
      </c>
      <c r="L887" t="str">
        <f ca="1">IFERROR(__xludf.DUMMYFUNCTION("""COMPUTED_VALUE"""),"VARAPUZHA")</f>
        <v>VARAPUZHA</v>
      </c>
      <c r="M887" t="str">
        <f ca="1">IFERROR(__xludf.DUMMYFUNCTION("""COMPUTED_VALUE"""),"I Accept")</f>
        <v>I Accept</v>
      </c>
      <c r="N887" s="4">
        <f ca="1">IFERROR(__xludf.DUMMYFUNCTION("""COMPUTED_VALUE"""),43203)</f>
        <v>43203</v>
      </c>
      <c r="O887" s="4">
        <f ca="1">IFERROR(__xludf.DUMMYFUNCTION("""COMPUTED_VALUE"""),43203)</f>
        <v>43203</v>
      </c>
      <c r="P887">
        <f ca="1">IFERROR(__xludf.DUMMYFUNCTION("""COMPUTED_VALUE"""),3)</f>
        <v>3</v>
      </c>
      <c r="Q887" t="str">
        <f ca="1">IFERROR(__xludf.DUMMYFUNCTION("""COMPUTED_VALUE"""),"solarconnect2018@gmail.com")</f>
        <v>solarconnect2018@gmail.com</v>
      </c>
      <c r="R887" s="2" t="s">
        <v>3301</v>
      </c>
    </row>
    <row r="888" spans="1:18" ht="13" x14ac:dyDescent="0.15">
      <c r="A888" s="3">
        <f ca="1">IFERROR(__xludf.DUMMYFUNCTION("""COMPUTED_VALUE"""),43262.5181614236)</f>
        <v>43262.518161423599</v>
      </c>
      <c r="B888" t="str">
        <f ca="1">IFERROR(__xludf.DUMMYFUNCTION("""COMPUTED_VALUE"""),"solarconnect2018@gmail.com")</f>
        <v>solarconnect2018@gmail.com</v>
      </c>
      <c r="C888">
        <f ca="1">IFERROR(__xludf.DUMMYFUNCTION("""COMPUTED_VALUE"""),817)</f>
        <v>817</v>
      </c>
      <c r="D888" t="str">
        <f ca="1">IFERROR(__xludf.DUMMYFUNCTION("""COMPUTED_VALUE"""),"BABU GEORGE")</f>
        <v>BABU GEORGE</v>
      </c>
      <c r="E888">
        <f ca="1">IFERROR(__xludf.DUMMYFUNCTION("""COMPUTED_VALUE"""),7012162995)</f>
        <v>7012162995</v>
      </c>
      <c r="F888" t="str">
        <f ca="1">IFERROR(__xludf.DUMMYFUNCTION("""COMPUTED_VALUE"""),"Ernakulam")</f>
        <v>Ernakulam</v>
      </c>
      <c r="G888" t="str">
        <f ca="1">IFERROR(__xludf.DUMMYFUNCTION("""COMPUTED_VALUE"""),"SPECTRUM TECHNO PRODUCTS")</f>
        <v>SPECTRUM TECHNO PRODUCTS</v>
      </c>
      <c r="H888">
        <f ca="1">IFERROR(__xludf.DUMMYFUNCTION("""COMPUTED_VALUE"""),66)</f>
        <v>66</v>
      </c>
      <c r="I888" s="4">
        <f ca="1">IFERROR(__xludf.DUMMYFUNCTION("""COMPUTED_VALUE"""),43251)</f>
        <v>43251</v>
      </c>
      <c r="J888">
        <f ca="1">IFERROR(__xludf.DUMMYFUNCTION("""COMPUTED_VALUE"""),3)</f>
        <v>3</v>
      </c>
      <c r="K888">
        <f ca="1">IFERROR(__xludf.DUMMYFUNCTION("""COMPUTED_VALUE"""),1156028015216)</f>
        <v>1156028015216</v>
      </c>
      <c r="L888" t="str">
        <f ca="1">IFERROR(__xludf.DUMMYFUNCTION("""COMPUTED_VALUE"""),"VARAPUZHA")</f>
        <v>VARAPUZHA</v>
      </c>
      <c r="M888" t="str">
        <f ca="1">IFERROR(__xludf.DUMMYFUNCTION("""COMPUTED_VALUE"""),"I Accept")</f>
        <v>I Accept</v>
      </c>
      <c r="N888" s="4">
        <f ca="1">IFERROR(__xludf.DUMMYFUNCTION("""COMPUTED_VALUE"""),43203)</f>
        <v>43203</v>
      </c>
      <c r="O888" s="4">
        <f ca="1">IFERROR(__xludf.DUMMYFUNCTION("""COMPUTED_VALUE"""),43203)</f>
        <v>43203</v>
      </c>
      <c r="P888">
        <f ca="1">IFERROR(__xludf.DUMMYFUNCTION("""COMPUTED_VALUE"""),3)</f>
        <v>3</v>
      </c>
      <c r="Q888" t="str">
        <f ca="1">IFERROR(__xludf.DUMMYFUNCTION("""COMPUTED_VALUE"""),"solarconnect2018@gmail.com")</f>
        <v>solarconnect2018@gmail.com</v>
      </c>
      <c r="R888" s="2" t="s">
        <v>3302</v>
      </c>
    </row>
    <row r="889" spans="1:18" ht="13" x14ac:dyDescent="0.15">
      <c r="A889" s="3">
        <f ca="1">IFERROR(__xludf.DUMMYFUNCTION("""COMPUTED_VALUE"""),43262.5242718981)</f>
        <v>43262.524271898103</v>
      </c>
      <c r="B889" t="str">
        <f ca="1">IFERROR(__xludf.DUMMYFUNCTION("""COMPUTED_VALUE"""),"solarconnect2018@gmail.com")</f>
        <v>solarconnect2018@gmail.com</v>
      </c>
      <c r="C889">
        <f ca="1">IFERROR(__xludf.DUMMYFUNCTION("""COMPUTED_VALUE"""),881)</f>
        <v>881</v>
      </c>
      <c r="D889" t="str">
        <f ca="1">IFERROR(__xludf.DUMMYFUNCTION("""COMPUTED_VALUE"""),"BALAKRISHNAN K S")</f>
        <v>BALAKRISHNAN K S</v>
      </c>
      <c r="E889">
        <f ca="1">IFERROR(__xludf.DUMMYFUNCTION("""COMPUTED_VALUE"""),7012162995)</f>
        <v>7012162995</v>
      </c>
      <c r="F889" t="str">
        <f ca="1">IFERROR(__xludf.DUMMYFUNCTION("""COMPUTED_VALUE"""),"Ernakulam")</f>
        <v>Ernakulam</v>
      </c>
      <c r="G889" t="str">
        <f ca="1">IFERROR(__xludf.DUMMYFUNCTION("""COMPUTED_VALUE"""),"SPECTRUM TECHNO PRODUCTS")</f>
        <v>SPECTRUM TECHNO PRODUCTS</v>
      </c>
      <c r="H889">
        <f ca="1">IFERROR(__xludf.DUMMYFUNCTION("""COMPUTED_VALUE"""),66)</f>
        <v>66</v>
      </c>
      <c r="I889" s="4">
        <f ca="1">IFERROR(__xludf.DUMMYFUNCTION("""COMPUTED_VALUE"""),43251)</f>
        <v>43251</v>
      </c>
      <c r="J889">
        <f ca="1">IFERROR(__xludf.DUMMYFUNCTION("""COMPUTED_VALUE"""),3)</f>
        <v>3</v>
      </c>
      <c r="K889">
        <f ca="1">IFERROR(__xludf.DUMMYFUNCTION("""COMPUTED_VALUE"""),1155659012738)</f>
        <v>1155659012738</v>
      </c>
      <c r="L889" t="str">
        <f ca="1">IFERROR(__xludf.DUMMYFUNCTION("""COMPUTED_VALUE"""),"VYPIN")</f>
        <v>VYPIN</v>
      </c>
      <c r="M889" t="str">
        <f ca="1">IFERROR(__xludf.DUMMYFUNCTION("""COMPUTED_VALUE"""),"I Accept")</f>
        <v>I Accept</v>
      </c>
      <c r="N889" s="4">
        <f ca="1">IFERROR(__xludf.DUMMYFUNCTION("""COMPUTED_VALUE"""),43224)</f>
        <v>43224</v>
      </c>
      <c r="O889" s="4">
        <f ca="1">IFERROR(__xludf.DUMMYFUNCTION("""COMPUTED_VALUE"""),43224)</f>
        <v>43224</v>
      </c>
      <c r="P889">
        <f ca="1">IFERROR(__xludf.DUMMYFUNCTION("""COMPUTED_VALUE"""),3)</f>
        <v>3</v>
      </c>
      <c r="Q889" t="str">
        <f ca="1">IFERROR(__xludf.DUMMYFUNCTION("""COMPUTED_VALUE"""),"solarconnect2018@gmail.com")</f>
        <v>solarconnect2018@gmail.com</v>
      </c>
      <c r="R889" s="2" t="s">
        <v>3303</v>
      </c>
    </row>
    <row r="890" spans="1:18" ht="13" x14ac:dyDescent="0.15">
      <c r="A890" s="3">
        <f ca="1">IFERROR(__xludf.DUMMYFUNCTION("""COMPUTED_VALUE"""),43262.5264528588)</f>
        <v>43262.526452858801</v>
      </c>
      <c r="B890" t="str">
        <f ca="1">IFERROR(__xludf.DUMMYFUNCTION("""COMPUTED_VALUE"""),"solarconnect2018@gmail.com")</f>
        <v>solarconnect2018@gmail.com</v>
      </c>
      <c r="C890">
        <f ca="1">IFERROR(__xludf.DUMMYFUNCTION("""COMPUTED_VALUE"""),985)</f>
        <v>985</v>
      </c>
      <c r="D890" t="str">
        <f ca="1">IFERROR(__xludf.DUMMYFUNCTION("""COMPUTED_VALUE"""),"JOBY")</f>
        <v>JOBY</v>
      </c>
      <c r="E890">
        <f ca="1">IFERROR(__xludf.DUMMYFUNCTION("""COMPUTED_VALUE"""),7012162995)</f>
        <v>7012162995</v>
      </c>
      <c r="F890" t="str">
        <f ca="1">IFERROR(__xludf.DUMMYFUNCTION("""COMPUTED_VALUE"""),"Ernakulam")</f>
        <v>Ernakulam</v>
      </c>
      <c r="G890" t="str">
        <f ca="1">IFERROR(__xludf.DUMMYFUNCTION("""COMPUTED_VALUE"""),"SPECTRUM TECHNO PRODUCTS")</f>
        <v>SPECTRUM TECHNO PRODUCTS</v>
      </c>
      <c r="H890">
        <f ca="1">IFERROR(__xludf.DUMMYFUNCTION("""COMPUTED_VALUE"""),66)</f>
        <v>66</v>
      </c>
      <c r="I890" s="4">
        <f ca="1">IFERROR(__xludf.DUMMYFUNCTION("""COMPUTED_VALUE"""),43251)</f>
        <v>43251</v>
      </c>
      <c r="J890">
        <f ca="1">IFERROR(__xludf.DUMMYFUNCTION("""COMPUTED_VALUE"""),3)</f>
        <v>3</v>
      </c>
      <c r="K890">
        <f ca="1">IFERROR(__xludf.DUMMYFUNCTION("""COMPUTED_VALUE"""),1156028005012)</f>
        <v>1156028005012</v>
      </c>
      <c r="L890" t="str">
        <f ca="1">IFERROR(__xludf.DUMMYFUNCTION("""COMPUTED_VALUE"""),"VARAPUZHA")</f>
        <v>VARAPUZHA</v>
      </c>
      <c r="M890" t="str">
        <f ca="1">IFERROR(__xludf.DUMMYFUNCTION("""COMPUTED_VALUE"""),"I Accept")</f>
        <v>I Accept</v>
      </c>
      <c r="N890" s="4">
        <f ca="1">IFERROR(__xludf.DUMMYFUNCTION("""COMPUTED_VALUE"""),43216)</f>
        <v>43216</v>
      </c>
      <c r="O890" s="4">
        <f ca="1">IFERROR(__xludf.DUMMYFUNCTION("""COMPUTED_VALUE"""),43216)</f>
        <v>43216</v>
      </c>
      <c r="P890">
        <f ca="1">IFERROR(__xludf.DUMMYFUNCTION("""COMPUTED_VALUE"""),3)</f>
        <v>3</v>
      </c>
      <c r="Q890" t="str">
        <f ca="1">IFERROR(__xludf.DUMMYFUNCTION("""COMPUTED_VALUE"""),"solarconnect2018@gmail.com")</f>
        <v>solarconnect2018@gmail.com</v>
      </c>
      <c r="R890" s="2" t="s">
        <v>3304</v>
      </c>
    </row>
    <row r="891" spans="1:18" ht="13" x14ac:dyDescent="0.15">
      <c r="A891" s="3">
        <f ca="1">IFERROR(__xludf.DUMMYFUNCTION("""COMPUTED_VALUE"""),43262.5304179745)</f>
        <v>43262.5304179745</v>
      </c>
      <c r="B891" t="str">
        <f ca="1">IFERROR(__xludf.DUMMYFUNCTION("""COMPUTED_VALUE"""),"silverwoodsekm@gmail.com")</f>
        <v>silverwoodsekm@gmail.com</v>
      </c>
      <c r="C891">
        <f ca="1">IFERROR(__xludf.DUMMYFUNCTION("""COMPUTED_VALUE"""),294)</f>
        <v>294</v>
      </c>
      <c r="D891" t="str">
        <f ca="1">IFERROR(__xludf.DUMMYFUNCTION("""COMPUTED_VALUE"""),"P A Paul")</f>
        <v>P A Paul</v>
      </c>
      <c r="E891">
        <f ca="1">IFERROR(__xludf.DUMMYFUNCTION("""COMPUTED_VALUE"""),9526991110)</f>
        <v>9526991110</v>
      </c>
      <c r="F891" t="str">
        <f ca="1">IFERROR(__xludf.DUMMYFUNCTION("""COMPUTED_VALUE"""),"Ernakulam")</f>
        <v>Ernakulam</v>
      </c>
      <c r="G891" t="str">
        <f ca="1">IFERROR(__xludf.DUMMYFUNCTION("""COMPUTED_VALUE"""),"TATA POWER SOLAR SYSTEMS LTD")</f>
        <v>TATA POWER SOLAR SYSTEMS LTD</v>
      </c>
      <c r="H891">
        <f ca="1">IFERROR(__xludf.DUMMYFUNCTION("""COMPUTED_VALUE"""),20)</f>
        <v>20</v>
      </c>
      <c r="I891" s="4">
        <f ca="1">IFERROR(__xludf.DUMMYFUNCTION("""COMPUTED_VALUE"""),43167)</f>
        <v>43167</v>
      </c>
      <c r="J891">
        <f ca="1">IFERROR(__xludf.DUMMYFUNCTION("""COMPUTED_VALUE"""),3)</f>
        <v>3</v>
      </c>
      <c r="K891">
        <f ca="1">IFERROR(__xludf.DUMMYFUNCTION("""COMPUTED_VALUE"""),1155360006531)</f>
        <v>1155360006531</v>
      </c>
      <c r="L891" t="str">
        <f ca="1">IFERROR(__xludf.DUMMYFUNCTION("""COMPUTED_VALUE"""),"KIZHAKKAMBALAM")</f>
        <v>KIZHAKKAMBALAM</v>
      </c>
      <c r="M891" t="str">
        <f ca="1">IFERROR(__xludf.DUMMYFUNCTION("""COMPUTED_VALUE"""),"I Accept")</f>
        <v>I Accept</v>
      </c>
      <c r="N891" s="4">
        <f ca="1">IFERROR(__xludf.DUMMYFUNCTION("""COMPUTED_VALUE"""),43167)</f>
        <v>43167</v>
      </c>
      <c r="O891" s="4">
        <f ca="1">IFERROR(__xludf.DUMMYFUNCTION("""COMPUTED_VALUE"""),43167)</f>
        <v>43167</v>
      </c>
      <c r="P891">
        <f ca="1">IFERROR(__xludf.DUMMYFUNCTION("""COMPUTED_VALUE"""),3)</f>
        <v>3</v>
      </c>
      <c r="Q891" t="str">
        <f ca="1">IFERROR(__xludf.DUMMYFUNCTION("""COMPUTED_VALUE"""),"silverwoodsekm@gmail.com")</f>
        <v>silverwoodsekm@gmail.com</v>
      </c>
      <c r="R891" s="2" t="s">
        <v>3305</v>
      </c>
    </row>
    <row r="892" spans="1:18" ht="13" x14ac:dyDescent="0.15">
      <c r="A892" s="3">
        <f ca="1">IFERROR(__xludf.DUMMYFUNCTION("""COMPUTED_VALUE"""),43262.5351204745)</f>
        <v>43262.535120474502</v>
      </c>
      <c r="B892" t="str">
        <f ca="1">IFERROR(__xludf.DUMMYFUNCTION("""COMPUTED_VALUE"""),"silverwoodsekm@gmail.com")</f>
        <v>silverwoodsekm@gmail.com</v>
      </c>
      <c r="C892">
        <f ca="1">IFERROR(__xludf.DUMMYFUNCTION("""COMPUTED_VALUE"""),516)</f>
        <v>516</v>
      </c>
      <c r="D892" t="str">
        <f ca="1">IFERROR(__xludf.DUMMYFUNCTION("""COMPUTED_VALUE"""),"SABU K THOMAS")</f>
        <v>SABU K THOMAS</v>
      </c>
      <c r="E892">
        <f ca="1">IFERROR(__xludf.DUMMYFUNCTION("""COMPUTED_VALUE"""),9526991110)</f>
        <v>9526991110</v>
      </c>
      <c r="F892" t="str">
        <f ca="1">IFERROR(__xludf.DUMMYFUNCTION("""COMPUTED_VALUE"""),"Ernakulam")</f>
        <v>Ernakulam</v>
      </c>
      <c r="G892" t="str">
        <f ca="1">IFERROR(__xludf.DUMMYFUNCTION("""COMPUTED_VALUE"""),"TATA POWER SOLAR SYSTEMS LTD")</f>
        <v>TATA POWER SOLAR SYSTEMS LTD</v>
      </c>
      <c r="H892">
        <f ca="1">IFERROR(__xludf.DUMMYFUNCTION("""COMPUTED_VALUE"""),20)</f>
        <v>20</v>
      </c>
      <c r="I892" s="4">
        <f ca="1">IFERROR(__xludf.DUMMYFUNCTION("""COMPUTED_VALUE"""),43179)</f>
        <v>43179</v>
      </c>
      <c r="J892">
        <f ca="1">IFERROR(__xludf.DUMMYFUNCTION("""COMPUTED_VALUE"""),3)</f>
        <v>3</v>
      </c>
      <c r="K892">
        <f ca="1">IFERROR(__xludf.DUMMYFUNCTION("""COMPUTED_VALUE"""),1155422009799)</f>
        <v>1155422009799</v>
      </c>
      <c r="L892" t="str">
        <f ca="1">IFERROR(__xludf.DUMMYFUNCTION("""COMPUTED_VALUE"""),"GIRINAGAR")</f>
        <v>GIRINAGAR</v>
      </c>
      <c r="M892" t="str">
        <f ca="1">IFERROR(__xludf.DUMMYFUNCTION("""COMPUTED_VALUE"""),"I Accept")</f>
        <v>I Accept</v>
      </c>
      <c r="N892" s="4">
        <f ca="1">IFERROR(__xludf.DUMMYFUNCTION("""COMPUTED_VALUE"""),43179)</f>
        <v>43179</v>
      </c>
      <c r="O892" s="4">
        <f ca="1">IFERROR(__xludf.DUMMYFUNCTION("""COMPUTED_VALUE"""),43179)</f>
        <v>43179</v>
      </c>
      <c r="P892">
        <f ca="1">IFERROR(__xludf.DUMMYFUNCTION("""COMPUTED_VALUE"""),3)</f>
        <v>3</v>
      </c>
      <c r="Q892" t="str">
        <f ca="1">IFERROR(__xludf.DUMMYFUNCTION("""COMPUTED_VALUE"""),"silverwoodsekm@gmail.com")</f>
        <v>silverwoodsekm@gmail.com</v>
      </c>
      <c r="R892" s="2" t="s">
        <v>3306</v>
      </c>
    </row>
    <row r="893" spans="1:18" ht="13" x14ac:dyDescent="0.15">
      <c r="A893" s="3">
        <f ca="1">IFERROR(__xludf.DUMMYFUNCTION("""COMPUTED_VALUE"""),43262.5496621064)</f>
        <v>43262.549662106401</v>
      </c>
      <c r="B893" t="str">
        <f ca="1">IFERROR(__xludf.DUMMYFUNCTION("""COMPUTED_VALUE"""),"ajuallan9@gmail.com")</f>
        <v>ajuallan9@gmail.com</v>
      </c>
      <c r="C893">
        <f ca="1">IFERROR(__xludf.DUMMYFUNCTION("""COMPUTED_VALUE"""),1042)</f>
        <v>1042</v>
      </c>
      <c r="D893" t="str">
        <f ca="1">IFERROR(__xludf.DUMMYFUNCTION("""COMPUTED_VALUE"""),"ANTONY A J")</f>
        <v>ANTONY A J</v>
      </c>
      <c r="E893">
        <f ca="1">IFERROR(__xludf.DUMMYFUNCTION("""COMPUTED_VALUE"""),8547339264)</f>
        <v>8547339264</v>
      </c>
      <c r="F893" t="str">
        <f ca="1">IFERROR(__xludf.DUMMYFUNCTION("""COMPUTED_VALUE"""),"Kottayam")</f>
        <v>Kottayam</v>
      </c>
      <c r="G893" t="str">
        <f ca="1">IFERROR(__xludf.DUMMYFUNCTION("""COMPUTED_VALUE"""),"TEMCO RENEWABLE ENERGY SOLUTIONS Pvt. Ltd")</f>
        <v>TEMCO RENEWABLE ENERGY SOLUTIONS Pvt. Ltd</v>
      </c>
      <c r="H893">
        <f ca="1">IFERROR(__xludf.DUMMYFUNCTION("""COMPUTED_VALUE"""),30)</f>
        <v>30</v>
      </c>
      <c r="I893" s="4">
        <f ca="1">IFERROR(__xludf.DUMMYFUNCTION("""COMPUTED_VALUE"""),43229)</f>
        <v>43229</v>
      </c>
      <c r="J893">
        <f ca="1">IFERROR(__xludf.DUMMYFUNCTION("""COMPUTED_VALUE"""),2)</f>
        <v>2</v>
      </c>
      <c r="K893">
        <f ca="1">IFERROR(__xludf.DUMMYFUNCTION("""COMPUTED_VALUE"""),1146463001458)</f>
        <v>1146463001458</v>
      </c>
      <c r="L893" t="str">
        <f ca="1">IFERROR(__xludf.DUMMYFUNCTION("""COMPUTED_VALUE"""),"ETTUMANOOR")</f>
        <v>ETTUMANOOR</v>
      </c>
      <c r="M893" t="str">
        <f ca="1">IFERROR(__xludf.DUMMYFUNCTION("""COMPUTED_VALUE"""),"I Accept")</f>
        <v>I Accept</v>
      </c>
      <c r="N893" s="4">
        <f ca="1">IFERROR(__xludf.DUMMYFUNCTION("""COMPUTED_VALUE"""),43202)</f>
        <v>43202</v>
      </c>
      <c r="O893" s="4">
        <f ca="1">IFERROR(__xludf.DUMMYFUNCTION("""COMPUTED_VALUE"""),43202)</f>
        <v>43202</v>
      </c>
      <c r="P893">
        <f ca="1">IFERROR(__xludf.DUMMYFUNCTION("""COMPUTED_VALUE"""),2)</f>
        <v>2</v>
      </c>
      <c r="Q893" t="str">
        <f ca="1">IFERROR(__xludf.DUMMYFUNCTION("""COMPUTED_VALUE"""),"ajuallan9@gmail.com")</f>
        <v>ajuallan9@gmail.com</v>
      </c>
      <c r="R893" s="2" t="s">
        <v>3307</v>
      </c>
    </row>
    <row r="894" spans="1:18" ht="13" x14ac:dyDescent="0.15">
      <c r="A894" s="3">
        <f ca="1">IFERROR(__xludf.DUMMYFUNCTION("""COMPUTED_VALUE"""),43262.5503848842)</f>
        <v>43262.550384884198</v>
      </c>
      <c r="B894" t="str">
        <f ca="1">IFERROR(__xludf.DUMMYFUNCTION("""COMPUTED_VALUE"""),"sales.kodco@gmail.com")</f>
        <v>sales.kodco@gmail.com</v>
      </c>
      <c r="C894">
        <f ca="1">IFERROR(__xludf.DUMMYFUNCTION("""COMPUTED_VALUE"""),646)</f>
        <v>646</v>
      </c>
      <c r="D894" t="str">
        <f ca="1">IFERROR(__xludf.DUMMYFUNCTION("""COMPUTED_VALUE"""),"ALI AKBAR")</f>
        <v>ALI AKBAR</v>
      </c>
      <c r="E894">
        <f ca="1">IFERROR(__xludf.DUMMYFUNCTION("""COMPUTED_VALUE"""),9497714979)</f>
        <v>9497714979</v>
      </c>
      <c r="F894" t="str">
        <f ca="1">IFERROR(__xludf.DUMMYFUNCTION("""COMPUTED_VALUE"""),"Kozhikode")</f>
        <v>Kozhikode</v>
      </c>
      <c r="G894" t="str">
        <f ca="1">IFERROR(__xludf.DUMMYFUNCTION("""COMPUTED_VALUE"""),"TATA POWER SOLAR SYTEMS LTD")</f>
        <v>TATA POWER SOLAR SYTEMS LTD</v>
      </c>
      <c r="H894">
        <f ca="1">IFERROR(__xludf.DUMMYFUNCTION("""COMPUTED_VALUE"""),20)</f>
        <v>20</v>
      </c>
      <c r="I894" s="4">
        <f ca="1">IFERROR(__xludf.DUMMYFUNCTION("""COMPUTED_VALUE"""),43230)</f>
        <v>43230</v>
      </c>
      <c r="J894">
        <f ca="1">IFERROR(__xludf.DUMMYFUNCTION("""COMPUTED_VALUE"""),5)</f>
        <v>5</v>
      </c>
      <c r="K894">
        <f ca="1">IFERROR(__xludf.DUMMYFUNCTION("""COMPUTED_VALUE"""),1165950032462)</f>
        <v>1165950032462</v>
      </c>
      <c r="L894" t="str">
        <f ca="1">IFERROR(__xludf.DUMMYFUNCTION("""COMPUTED_VALUE"""),"6595")</f>
        <v>6595</v>
      </c>
      <c r="M894" t="str">
        <f ca="1">IFERROR(__xludf.DUMMYFUNCTION("""COMPUTED_VALUE"""),"I Accept")</f>
        <v>I Accept</v>
      </c>
      <c r="N894" s="4">
        <f ca="1">IFERROR(__xludf.DUMMYFUNCTION("""COMPUTED_VALUE"""),43164)</f>
        <v>43164</v>
      </c>
      <c r="O894" s="4">
        <f ca="1">IFERROR(__xludf.DUMMYFUNCTION("""COMPUTED_VALUE"""),43164)</f>
        <v>43164</v>
      </c>
      <c r="P894">
        <f ca="1">IFERROR(__xludf.DUMMYFUNCTION("""COMPUTED_VALUE"""),5)</f>
        <v>5</v>
      </c>
      <c r="Q894" t="str">
        <f ca="1">IFERROR(__xludf.DUMMYFUNCTION("""COMPUTED_VALUE"""),"sales.kodco@gmail.com")</f>
        <v>sales.kodco@gmail.com</v>
      </c>
      <c r="R894" s="2" t="s">
        <v>3308</v>
      </c>
    </row>
    <row r="895" spans="1:18" ht="13" x14ac:dyDescent="0.15">
      <c r="A895" s="3">
        <f ca="1">IFERROR(__xludf.DUMMYFUNCTION("""COMPUTED_VALUE"""),43262.550805868)</f>
        <v>43262.550805867999</v>
      </c>
      <c r="B895" t="str">
        <f ca="1">IFERROR(__xludf.DUMMYFUNCTION("""COMPUTED_VALUE"""),"silverwoodsekm@gmail.com")</f>
        <v>silverwoodsekm@gmail.com</v>
      </c>
      <c r="C895">
        <f ca="1">IFERROR(__xludf.DUMMYFUNCTION("""COMPUTED_VALUE"""),175)</f>
        <v>175</v>
      </c>
      <c r="D895" t="str">
        <f ca="1">IFERROR(__xludf.DUMMYFUNCTION("""COMPUTED_VALUE"""),"M C GEORGE")</f>
        <v>M C GEORGE</v>
      </c>
      <c r="E895">
        <f ca="1">IFERROR(__xludf.DUMMYFUNCTION("""COMPUTED_VALUE"""),9526991110)</f>
        <v>9526991110</v>
      </c>
      <c r="F895" t="str">
        <f ca="1">IFERROR(__xludf.DUMMYFUNCTION("""COMPUTED_VALUE"""),"Ernakulam")</f>
        <v>Ernakulam</v>
      </c>
      <c r="G895" t="str">
        <f ca="1">IFERROR(__xludf.DUMMYFUNCTION("""COMPUTED_VALUE"""),"TATA POWER SOLAR SYSTEMS LTD")</f>
        <v>TATA POWER SOLAR SYSTEMS LTD</v>
      </c>
      <c r="H895">
        <f ca="1">IFERROR(__xludf.DUMMYFUNCTION("""COMPUTED_VALUE"""),20)</f>
        <v>20</v>
      </c>
      <c r="I895" s="4">
        <f ca="1">IFERROR(__xludf.DUMMYFUNCTION("""COMPUTED_VALUE"""),43180)</f>
        <v>43180</v>
      </c>
      <c r="J895">
        <f ca="1">IFERROR(__xludf.DUMMYFUNCTION("""COMPUTED_VALUE"""),3)</f>
        <v>3</v>
      </c>
      <c r="K895">
        <f ca="1">IFERROR(__xludf.DUMMYFUNCTION("""COMPUTED_VALUE"""),1155885019792)</f>
        <v>1155885019792</v>
      </c>
      <c r="L895" t="str">
        <f ca="1">IFERROR(__xludf.DUMMYFUNCTION("""COMPUTED_VALUE"""),"KURUPPUMPADY")</f>
        <v>KURUPPUMPADY</v>
      </c>
      <c r="M895" t="str">
        <f ca="1">IFERROR(__xludf.DUMMYFUNCTION("""COMPUTED_VALUE"""),"I Accept")</f>
        <v>I Accept</v>
      </c>
      <c r="N895" s="4">
        <f ca="1">IFERROR(__xludf.DUMMYFUNCTION("""COMPUTED_VALUE"""),43175)</f>
        <v>43175</v>
      </c>
      <c r="O895" s="4">
        <f ca="1">IFERROR(__xludf.DUMMYFUNCTION("""COMPUTED_VALUE"""),43175)</f>
        <v>43175</v>
      </c>
      <c r="P895">
        <f ca="1">IFERROR(__xludf.DUMMYFUNCTION("""COMPUTED_VALUE"""),3)</f>
        <v>3</v>
      </c>
      <c r="Q895" t="str">
        <f ca="1">IFERROR(__xludf.DUMMYFUNCTION("""COMPUTED_VALUE"""),"silverwoodsekm@gmail.com")</f>
        <v>silverwoodsekm@gmail.com</v>
      </c>
      <c r="R895" s="2" t="s">
        <v>3309</v>
      </c>
    </row>
    <row r="896" spans="1:18" ht="13" x14ac:dyDescent="0.15">
      <c r="A896" s="3">
        <f ca="1">IFERROR(__xludf.DUMMYFUNCTION("""COMPUTED_VALUE"""),43262.5552022916)</f>
        <v>43262.555202291602</v>
      </c>
      <c r="B896" t="str">
        <f ca="1">IFERROR(__xludf.DUMMYFUNCTION("""COMPUTED_VALUE"""),"silverwoodsekm@gmail.com")</f>
        <v>silverwoodsekm@gmail.com</v>
      </c>
      <c r="C896">
        <f ca="1">IFERROR(__xludf.DUMMYFUNCTION("""COMPUTED_VALUE"""),685)</f>
        <v>685</v>
      </c>
      <c r="D896" t="str">
        <f ca="1">IFERROR(__xludf.DUMMYFUNCTION("""COMPUTED_VALUE"""),"SURYA S")</f>
        <v>SURYA S</v>
      </c>
      <c r="E896">
        <f ca="1">IFERROR(__xludf.DUMMYFUNCTION("""COMPUTED_VALUE"""),9526992221)</f>
        <v>9526992221</v>
      </c>
      <c r="F896" t="str">
        <f ca="1">IFERROR(__xludf.DUMMYFUNCTION("""COMPUTED_VALUE"""),"Ernakulam")</f>
        <v>Ernakulam</v>
      </c>
      <c r="G896" t="str">
        <f ca="1">IFERROR(__xludf.DUMMYFUNCTION("""COMPUTED_VALUE"""),"TATA POWER SOLAR SYSTEMS LTD")</f>
        <v>TATA POWER SOLAR SYSTEMS LTD</v>
      </c>
      <c r="H896">
        <f ca="1">IFERROR(__xludf.DUMMYFUNCTION("""COMPUTED_VALUE"""),20)</f>
        <v>20</v>
      </c>
      <c r="I896" s="4">
        <f ca="1">IFERROR(__xludf.DUMMYFUNCTION("""COMPUTED_VALUE"""),43218)</f>
        <v>43218</v>
      </c>
      <c r="J896">
        <f ca="1">IFERROR(__xludf.DUMMYFUNCTION("""COMPUTED_VALUE"""),5)</f>
        <v>5</v>
      </c>
      <c r="K896">
        <f ca="1">IFERROR(__xludf.DUMMYFUNCTION("""COMPUTED_VALUE"""),1155537018488)</f>
        <v>1155537018488</v>
      </c>
      <c r="L896" t="str">
        <f ca="1">IFERROR(__xludf.DUMMYFUNCTION("""COMPUTED_VALUE"""),"ARAKKUNNAM")</f>
        <v>ARAKKUNNAM</v>
      </c>
      <c r="M896" t="str">
        <f ca="1">IFERROR(__xludf.DUMMYFUNCTION("""COMPUTED_VALUE"""),"I Accept")</f>
        <v>I Accept</v>
      </c>
      <c r="N896" s="4">
        <f ca="1">IFERROR(__xludf.DUMMYFUNCTION("""COMPUTED_VALUE"""),43216)</f>
        <v>43216</v>
      </c>
      <c r="O896" s="4">
        <f ca="1">IFERROR(__xludf.DUMMYFUNCTION("""COMPUTED_VALUE"""),43216)</f>
        <v>43216</v>
      </c>
      <c r="P896">
        <f ca="1">IFERROR(__xludf.DUMMYFUNCTION("""COMPUTED_VALUE"""),5)</f>
        <v>5</v>
      </c>
      <c r="Q896" t="str">
        <f ca="1">IFERROR(__xludf.DUMMYFUNCTION("""COMPUTED_VALUE"""),"silverwoodsekm@gmail.com")</f>
        <v>silverwoodsekm@gmail.com</v>
      </c>
      <c r="R896" s="2" t="s">
        <v>3310</v>
      </c>
    </row>
    <row r="897" spans="1:18" ht="13" x14ac:dyDescent="0.15">
      <c r="A897" s="3">
        <f ca="1">IFERROR(__xludf.DUMMYFUNCTION("""COMPUTED_VALUE"""),43262.5660603356)</f>
        <v>43262.566060335601</v>
      </c>
      <c r="B897" t="str">
        <f ca="1">IFERROR(__xludf.DUMMYFUNCTION("""COMPUTED_VALUE"""),"silverwoods@gmail.com")</f>
        <v>silverwoods@gmail.com</v>
      </c>
      <c r="C897">
        <f ca="1">IFERROR(__xludf.DUMMYFUNCTION("""COMPUTED_VALUE"""),775)</f>
        <v>775</v>
      </c>
      <c r="D897" t="str">
        <f ca="1">IFERROR(__xludf.DUMMYFUNCTION("""COMPUTED_VALUE"""),"SREEKUMAR C V")</f>
        <v>SREEKUMAR C V</v>
      </c>
      <c r="E897">
        <f ca="1">IFERROR(__xludf.DUMMYFUNCTION("""COMPUTED_VALUE"""),9526992221)</f>
        <v>9526992221</v>
      </c>
      <c r="F897" t="str">
        <f ca="1">IFERROR(__xludf.DUMMYFUNCTION("""COMPUTED_VALUE"""),"Ernakulam")</f>
        <v>Ernakulam</v>
      </c>
      <c r="G897" t="str">
        <f ca="1">IFERROR(__xludf.DUMMYFUNCTION("""COMPUTED_VALUE"""),"TATA POWER SOLAR SYSTEMS LTD")</f>
        <v>TATA POWER SOLAR SYSTEMS LTD</v>
      </c>
      <c r="H897">
        <f ca="1">IFERROR(__xludf.DUMMYFUNCTION("""COMPUTED_VALUE"""),20)</f>
        <v>20</v>
      </c>
      <c r="I897" s="4">
        <f ca="1">IFERROR(__xludf.DUMMYFUNCTION("""COMPUTED_VALUE"""),43187)</f>
        <v>43187</v>
      </c>
      <c r="J897">
        <f ca="1">IFERROR(__xludf.DUMMYFUNCTION("""COMPUTED_VALUE"""),5)</f>
        <v>5</v>
      </c>
      <c r="K897">
        <f ca="1">IFERROR(__xludf.DUMMYFUNCTION("""COMPUTED_VALUE"""),1155448022869)</f>
        <v>1155448022869</v>
      </c>
      <c r="L897" t="str">
        <f ca="1">IFERROR(__xludf.DUMMYFUNCTION("""COMPUTED_VALUE"""),"EDAPPALLY")</f>
        <v>EDAPPALLY</v>
      </c>
      <c r="M897" t="str">
        <f ca="1">IFERROR(__xludf.DUMMYFUNCTION("""COMPUTED_VALUE"""),"I Accept")</f>
        <v>I Accept</v>
      </c>
      <c r="N897" s="4">
        <f ca="1">IFERROR(__xludf.DUMMYFUNCTION("""COMPUTED_VALUE"""),43186)</f>
        <v>43186</v>
      </c>
      <c r="O897" s="4">
        <f ca="1">IFERROR(__xludf.DUMMYFUNCTION("""COMPUTED_VALUE"""),43186)</f>
        <v>43186</v>
      </c>
      <c r="P897">
        <f ca="1">IFERROR(__xludf.DUMMYFUNCTION("""COMPUTED_VALUE"""),5)</f>
        <v>5</v>
      </c>
      <c r="Q897" t="str">
        <f ca="1">IFERROR(__xludf.DUMMYFUNCTION("""COMPUTED_VALUE"""),"silverwoodsekm@gmail.com")</f>
        <v>silverwoodsekm@gmail.com</v>
      </c>
      <c r="R897" s="2" t="s">
        <v>3311</v>
      </c>
    </row>
    <row r="898" spans="1:18" ht="13" x14ac:dyDescent="0.15">
      <c r="A898" s="3">
        <f ca="1">IFERROR(__xludf.DUMMYFUNCTION("""COMPUTED_VALUE"""),43262.5678087847)</f>
        <v>43262.567808784697</v>
      </c>
      <c r="B898" t="str">
        <f ca="1">IFERROR(__xludf.DUMMYFUNCTION("""COMPUTED_VALUE"""),"sales.kodco@gmail.com")</f>
        <v>sales.kodco@gmail.com</v>
      </c>
      <c r="C898">
        <f ca="1">IFERROR(__xludf.DUMMYFUNCTION("""COMPUTED_VALUE"""),978)</f>
        <v>978</v>
      </c>
      <c r="D898" t="str">
        <f ca="1">IFERROR(__xludf.DUMMYFUNCTION("""COMPUTED_VALUE"""),"DR.PREMRAJ")</f>
        <v>DR.PREMRAJ</v>
      </c>
      <c r="E898">
        <f ca="1">IFERROR(__xludf.DUMMYFUNCTION("""COMPUTED_VALUE"""),9947999241)</f>
        <v>9947999241</v>
      </c>
      <c r="F898" t="str">
        <f ca="1">IFERROR(__xludf.DUMMYFUNCTION("""COMPUTED_VALUE"""),"Kozhikode")</f>
        <v>Kozhikode</v>
      </c>
      <c r="G898" t="str">
        <f ca="1">IFERROR(__xludf.DUMMYFUNCTION("""COMPUTED_VALUE"""),"TATA POWER SOLAR SYSTEMS LTD")</f>
        <v>TATA POWER SOLAR SYSTEMS LTD</v>
      </c>
      <c r="H898">
        <f ca="1">IFERROR(__xludf.DUMMYFUNCTION("""COMPUTED_VALUE"""),20)</f>
        <v>20</v>
      </c>
      <c r="I898" s="4">
        <f ca="1">IFERROR(__xludf.DUMMYFUNCTION("""COMPUTED_VALUE"""),43203)</f>
        <v>43203</v>
      </c>
      <c r="J898">
        <f ca="1">IFERROR(__xludf.DUMMYFUNCTION("""COMPUTED_VALUE"""),3)</f>
        <v>3</v>
      </c>
      <c r="K898">
        <f ca="1">IFERROR(__xludf.DUMMYFUNCTION("""COMPUTED_VALUE"""),1166228013407)</f>
        <v>1166228013407</v>
      </c>
      <c r="L898" t="str">
        <f ca="1">IFERROR(__xludf.DUMMYFUNCTION("""COMPUTED_VALUE"""),"6622")</f>
        <v>6622</v>
      </c>
      <c r="M898" t="str">
        <f ca="1">IFERROR(__xludf.DUMMYFUNCTION("""COMPUTED_VALUE"""),"I Accept")</f>
        <v>I Accept</v>
      </c>
      <c r="N898" s="4">
        <f ca="1">IFERROR(__xludf.DUMMYFUNCTION("""COMPUTED_VALUE"""),43196)</f>
        <v>43196</v>
      </c>
      <c r="O898" s="4">
        <f ca="1">IFERROR(__xludf.DUMMYFUNCTION("""COMPUTED_VALUE"""),43203)</f>
        <v>43203</v>
      </c>
      <c r="P898">
        <f ca="1">IFERROR(__xludf.DUMMYFUNCTION("""COMPUTED_VALUE"""),3)</f>
        <v>3</v>
      </c>
      <c r="Q898" t="str">
        <f ca="1">IFERROR(__xludf.DUMMYFUNCTION("""COMPUTED_VALUE"""),"sales.kodco@gmail.com")</f>
        <v>sales.kodco@gmail.com</v>
      </c>
      <c r="R898" s="2" t="s">
        <v>3312</v>
      </c>
    </row>
    <row r="899" spans="1:18" ht="13" x14ac:dyDescent="0.15">
      <c r="A899" s="3">
        <f ca="1">IFERROR(__xludf.DUMMYFUNCTION("""COMPUTED_VALUE"""),43262.5688005208)</f>
        <v>43262.568800520799</v>
      </c>
      <c r="B899" t="str">
        <f ca="1">IFERROR(__xludf.DUMMYFUNCTION("""COMPUTED_VALUE"""),"jyothibhavanmlm@gmail.com")</f>
        <v>jyothibhavanmlm@gmail.com</v>
      </c>
      <c r="C899">
        <f ca="1">IFERROR(__xludf.DUMMYFUNCTION("""COMPUTED_VALUE"""),448)</f>
        <v>448</v>
      </c>
      <c r="D899" t="str">
        <f ca="1">IFERROR(__xludf.DUMMYFUNCTION("""COMPUTED_VALUE"""),"mary vallapilly")</f>
        <v>mary vallapilly</v>
      </c>
      <c r="E899">
        <f ca="1">IFERROR(__xludf.DUMMYFUNCTION("""COMPUTED_VALUE"""),9400253042)</f>
        <v>9400253042</v>
      </c>
      <c r="F899" t="str">
        <f ca="1">IFERROR(__xludf.DUMMYFUNCTION("""COMPUTED_VALUE"""),"Idukki")</f>
        <v>Idukki</v>
      </c>
      <c r="G899" t="str">
        <f ca="1">IFERROR(__xludf.DUMMYFUNCTION("""COMPUTED_VALUE"""),"Tata power solar systems ltd")</f>
        <v>Tata power solar systems ltd</v>
      </c>
      <c r="H899">
        <f ca="1">IFERROR(__xludf.DUMMYFUNCTION("""COMPUTED_VALUE"""),20)</f>
        <v>20</v>
      </c>
      <c r="I899" s="4">
        <f ca="1">IFERROR(__xludf.DUMMYFUNCTION("""COMPUTED_VALUE"""),43255)</f>
        <v>43255</v>
      </c>
      <c r="J899">
        <f ca="1">IFERROR(__xludf.DUMMYFUNCTION("""COMPUTED_VALUE"""),5)</f>
        <v>5</v>
      </c>
      <c r="K899">
        <f ca="1">IFERROR(__xludf.DUMMYFUNCTION("""COMPUTED_VALUE"""),1156199000554)</f>
        <v>1156199000554</v>
      </c>
      <c r="L899" t="str">
        <f ca="1">IFERROR(__xludf.DUMMYFUNCTION("""COMPUTED_VALUE"""),"moolamattom")</f>
        <v>moolamattom</v>
      </c>
      <c r="M899" t="str">
        <f ca="1">IFERROR(__xludf.DUMMYFUNCTION("""COMPUTED_VALUE"""),"I Accept")</f>
        <v>I Accept</v>
      </c>
      <c r="N899" s="4">
        <f ca="1">IFERROR(__xludf.DUMMYFUNCTION("""COMPUTED_VALUE"""),43231)</f>
        <v>43231</v>
      </c>
      <c r="O899" s="4">
        <f ca="1">IFERROR(__xludf.DUMMYFUNCTION("""COMPUTED_VALUE"""),43231)</f>
        <v>43231</v>
      </c>
      <c r="P899">
        <f ca="1">IFERROR(__xludf.DUMMYFUNCTION("""COMPUTED_VALUE"""),5)</f>
        <v>5</v>
      </c>
      <c r="Q899" t="str">
        <f ca="1">IFERROR(__xludf.DUMMYFUNCTION("""COMPUTED_VALUE"""),"binoyjose41@gmail.com")</f>
        <v>binoyjose41@gmail.com</v>
      </c>
      <c r="R899" s="2" t="s">
        <v>3313</v>
      </c>
    </row>
    <row r="900" spans="1:18" ht="13" x14ac:dyDescent="0.15">
      <c r="A900" s="3">
        <f ca="1">IFERROR(__xludf.DUMMYFUNCTION("""COMPUTED_VALUE"""),43262.5698923842)</f>
        <v>43262.569892384199</v>
      </c>
      <c r="B900" t="str">
        <f ca="1">IFERROR(__xludf.DUMMYFUNCTION("""COMPUTED_VALUE"""),"silverwoodsekm@gmail.com")</f>
        <v>silverwoodsekm@gmail.com</v>
      </c>
      <c r="C900">
        <f ca="1">IFERROR(__xludf.DUMMYFUNCTION("""COMPUTED_VALUE"""),1235)</f>
        <v>1235</v>
      </c>
      <c r="D900" t="str">
        <f ca="1">IFERROR(__xludf.DUMMYFUNCTION("""COMPUTED_VALUE"""),"SALIM")</f>
        <v>SALIM</v>
      </c>
      <c r="E900">
        <f ca="1">IFERROR(__xludf.DUMMYFUNCTION("""COMPUTED_VALUE"""),9526991110)</f>
        <v>9526991110</v>
      </c>
      <c r="F900" t="str">
        <f ca="1">IFERROR(__xludf.DUMMYFUNCTION("""COMPUTED_VALUE"""),"Ernakulam")</f>
        <v>Ernakulam</v>
      </c>
      <c r="G900" t="str">
        <f ca="1">IFERROR(__xludf.DUMMYFUNCTION("""COMPUTED_VALUE"""),"TATA POWER SOLAR SYSTEMS LTD")</f>
        <v>TATA POWER SOLAR SYSTEMS LTD</v>
      </c>
      <c r="H900">
        <f ca="1">IFERROR(__xludf.DUMMYFUNCTION("""COMPUTED_VALUE"""),20)</f>
        <v>20</v>
      </c>
      <c r="I900" s="4">
        <f ca="1">IFERROR(__xludf.DUMMYFUNCTION("""COMPUTED_VALUE"""),43250)</f>
        <v>43250</v>
      </c>
      <c r="J900">
        <f ca="1">IFERROR(__xludf.DUMMYFUNCTION("""COMPUTED_VALUE"""),3)</f>
        <v>3</v>
      </c>
      <c r="K900">
        <f ca="1">IFERROR(__xludf.DUMMYFUNCTION("""COMPUTED_VALUE"""),1155692026180)</f>
        <v>1155692026180</v>
      </c>
      <c r="L900" t="str">
        <f ca="1">IFERROR(__xludf.DUMMYFUNCTION("""COMPUTED_VALUE"""),"ALUVA WEST")</f>
        <v>ALUVA WEST</v>
      </c>
      <c r="M900" t="str">
        <f ca="1">IFERROR(__xludf.DUMMYFUNCTION("""COMPUTED_VALUE"""),"I Accept")</f>
        <v>I Accept</v>
      </c>
      <c r="N900" s="4">
        <f ca="1">IFERROR(__xludf.DUMMYFUNCTION("""COMPUTED_VALUE"""),43239)</f>
        <v>43239</v>
      </c>
      <c r="O900" s="4">
        <f ca="1">IFERROR(__xludf.DUMMYFUNCTION("""COMPUTED_VALUE"""),43239)</f>
        <v>43239</v>
      </c>
      <c r="P900">
        <f ca="1">IFERROR(__xludf.DUMMYFUNCTION("""COMPUTED_VALUE"""),3)</f>
        <v>3</v>
      </c>
      <c r="Q900" t="str">
        <f ca="1">IFERROR(__xludf.DUMMYFUNCTION("""COMPUTED_VALUE"""),"silverwoodsekm@gmail.com")</f>
        <v>silverwoodsekm@gmail.com</v>
      </c>
      <c r="R900" s="2" t="s">
        <v>3314</v>
      </c>
    </row>
    <row r="901" spans="1:18" ht="13" x14ac:dyDescent="0.15">
      <c r="A901" s="3">
        <f ca="1">IFERROR(__xludf.DUMMYFUNCTION("""COMPUTED_VALUE"""),43262.5744749652)</f>
        <v>43262.5744749652</v>
      </c>
      <c r="B901" t="str">
        <f ca="1">IFERROR(__xludf.DUMMYFUNCTION("""COMPUTED_VALUE"""),"SILVERWOODSEKM@GMAIL.COM")</f>
        <v>SILVERWOODSEKM@GMAIL.COM</v>
      </c>
      <c r="C901">
        <f ca="1">IFERROR(__xludf.DUMMYFUNCTION("""COMPUTED_VALUE"""),933)</f>
        <v>933</v>
      </c>
      <c r="D901" t="str">
        <f ca="1">IFERROR(__xludf.DUMMYFUNCTION("""COMPUTED_VALUE"""),"VALSAN T M")</f>
        <v>VALSAN T M</v>
      </c>
      <c r="E901">
        <f ca="1">IFERROR(__xludf.DUMMYFUNCTION("""COMPUTED_VALUE"""),9526991110)</f>
        <v>9526991110</v>
      </c>
      <c r="F901" t="str">
        <f ca="1">IFERROR(__xludf.DUMMYFUNCTION("""COMPUTED_VALUE"""),"Ernakulam")</f>
        <v>Ernakulam</v>
      </c>
      <c r="G901" t="str">
        <f ca="1">IFERROR(__xludf.DUMMYFUNCTION("""COMPUTED_VALUE"""),"TATA POWER SOLAR SYSTEMS LTD")</f>
        <v>TATA POWER SOLAR SYSTEMS LTD</v>
      </c>
      <c r="H901">
        <f ca="1">IFERROR(__xludf.DUMMYFUNCTION("""COMPUTED_VALUE"""),20)</f>
        <v>20</v>
      </c>
      <c r="I901" s="4">
        <f ca="1">IFERROR(__xludf.DUMMYFUNCTION("""COMPUTED_VALUE"""),43194)</f>
        <v>43194</v>
      </c>
      <c r="J901">
        <f ca="1">IFERROR(__xludf.DUMMYFUNCTION("""COMPUTED_VALUE"""),3)</f>
        <v>3</v>
      </c>
      <c r="K901">
        <f ca="1">IFERROR(__xludf.DUMMYFUNCTION("""COMPUTED_VALUE"""),1155477016838)</f>
        <v>1155477016838</v>
      </c>
      <c r="L901" t="str">
        <f ca="1">IFERROR(__xludf.DUMMYFUNCTION("""COMPUTED_VALUE"""),"VADUTHALA")</f>
        <v>VADUTHALA</v>
      </c>
      <c r="M901" t="str">
        <f ca="1">IFERROR(__xludf.DUMMYFUNCTION("""COMPUTED_VALUE"""),"I Accept")</f>
        <v>I Accept</v>
      </c>
      <c r="N901" s="4">
        <f ca="1">IFERROR(__xludf.DUMMYFUNCTION("""COMPUTED_VALUE"""),43192)</f>
        <v>43192</v>
      </c>
      <c r="O901" s="4">
        <f ca="1">IFERROR(__xludf.DUMMYFUNCTION("""COMPUTED_VALUE"""),43192)</f>
        <v>43192</v>
      </c>
      <c r="P901">
        <f ca="1">IFERROR(__xludf.DUMMYFUNCTION("""COMPUTED_VALUE"""),3)</f>
        <v>3</v>
      </c>
      <c r="Q901" t="str">
        <f ca="1">IFERROR(__xludf.DUMMYFUNCTION("""COMPUTED_VALUE"""),"silverwoodsekm@gmail.com")</f>
        <v>silverwoodsekm@gmail.com</v>
      </c>
      <c r="R901" s="2" t="s">
        <v>3315</v>
      </c>
    </row>
    <row r="902" spans="1:18" ht="13" x14ac:dyDescent="0.15">
      <c r="A902" s="3">
        <f ca="1">IFERROR(__xludf.DUMMYFUNCTION("""COMPUTED_VALUE"""),43262.5759572106)</f>
        <v>43262.575957210604</v>
      </c>
      <c r="B902" t="str">
        <f ca="1">IFERROR(__xludf.DUMMYFUNCTION("""COMPUTED_VALUE"""),"sales.kodco@gmail.com")</f>
        <v>sales.kodco@gmail.com</v>
      </c>
      <c r="C902">
        <f ca="1">IFERROR(__xludf.DUMMYFUNCTION("""COMPUTED_VALUE"""),910)</f>
        <v>910</v>
      </c>
      <c r="D902" t="str">
        <f ca="1">IFERROR(__xludf.DUMMYFUNCTION("""COMPUTED_VALUE"""),"ABDUL RASHEED")</f>
        <v>ABDUL RASHEED</v>
      </c>
      <c r="E902">
        <f ca="1">IFERROR(__xludf.DUMMYFUNCTION("""COMPUTED_VALUE"""),9947999241)</f>
        <v>9947999241</v>
      </c>
      <c r="F902" t="str">
        <f ca="1">IFERROR(__xludf.DUMMYFUNCTION("""COMPUTED_VALUE"""),"Kozhikode")</f>
        <v>Kozhikode</v>
      </c>
      <c r="G902" t="str">
        <f ca="1">IFERROR(__xludf.DUMMYFUNCTION("""COMPUTED_VALUE"""),"TATA POWER SOLAR SYSTEMS LTD")</f>
        <v>TATA POWER SOLAR SYSTEMS LTD</v>
      </c>
      <c r="H902">
        <f ca="1">IFERROR(__xludf.DUMMYFUNCTION("""COMPUTED_VALUE"""),20)</f>
        <v>20</v>
      </c>
      <c r="I902" s="4">
        <f ca="1">IFERROR(__xludf.DUMMYFUNCTION("""COMPUTED_VALUE"""),43231)</f>
        <v>43231</v>
      </c>
      <c r="J902">
        <f ca="1">IFERROR(__xludf.DUMMYFUNCTION("""COMPUTED_VALUE"""),5)</f>
        <v>5</v>
      </c>
      <c r="K902">
        <f ca="1">IFERROR(__xludf.DUMMYFUNCTION("""COMPUTED_VALUE"""),1167517010892)</f>
        <v>1167517010892</v>
      </c>
      <c r="L902" t="str">
        <f ca="1">IFERROR(__xludf.DUMMYFUNCTION("""COMPUTED_VALUE"""),"6751")</f>
        <v>6751</v>
      </c>
      <c r="M902" t="str">
        <f ca="1">IFERROR(__xludf.DUMMYFUNCTION("""COMPUTED_VALUE"""),"I Accept")</f>
        <v>I Accept</v>
      </c>
      <c r="N902" s="4">
        <f ca="1">IFERROR(__xludf.DUMMYFUNCTION("""COMPUTED_VALUE"""),43216)</f>
        <v>43216</v>
      </c>
      <c r="O902" s="4">
        <f ca="1">IFERROR(__xludf.DUMMYFUNCTION("""COMPUTED_VALUE"""),43221)</f>
        <v>43221</v>
      </c>
      <c r="P902">
        <f ca="1">IFERROR(__xludf.DUMMYFUNCTION("""COMPUTED_VALUE"""),5)</f>
        <v>5</v>
      </c>
      <c r="Q902" t="str">
        <f ca="1">IFERROR(__xludf.DUMMYFUNCTION("""COMPUTED_VALUE"""),"sales.kodco@gmail.com")</f>
        <v>sales.kodco@gmail.com</v>
      </c>
      <c r="R902" s="2" t="s">
        <v>3316</v>
      </c>
    </row>
    <row r="903" spans="1:18" ht="13" x14ac:dyDescent="0.15">
      <c r="A903" s="3">
        <f ca="1">IFERROR(__xludf.DUMMYFUNCTION("""COMPUTED_VALUE"""),43262.5809405324)</f>
        <v>43262.580940532403</v>
      </c>
      <c r="B903" t="str">
        <f ca="1">IFERROR(__xludf.DUMMYFUNCTION("""COMPUTED_VALUE"""),"sales.kodco@gmail.com")</f>
        <v>sales.kodco@gmail.com</v>
      </c>
      <c r="C903">
        <f ca="1">IFERROR(__xludf.DUMMYFUNCTION("""COMPUTED_VALUE"""),979)</f>
        <v>979</v>
      </c>
      <c r="D903" t="str">
        <f ca="1">IFERROR(__xludf.DUMMYFUNCTION("""COMPUTED_VALUE"""),"NITHIN KARUN")</f>
        <v>NITHIN KARUN</v>
      </c>
      <c r="E903">
        <f ca="1">IFERROR(__xludf.DUMMYFUNCTION("""COMPUTED_VALUE"""),9947999241)</f>
        <v>9947999241</v>
      </c>
      <c r="F903" t="str">
        <f ca="1">IFERROR(__xludf.DUMMYFUNCTION("""COMPUTED_VALUE"""),"Kozhikode")</f>
        <v>Kozhikode</v>
      </c>
      <c r="G903" t="str">
        <f ca="1">IFERROR(__xludf.DUMMYFUNCTION("""COMPUTED_VALUE"""),"TATA POWER SOLAR SYTEMS LTD")</f>
        <v>TATA POWER SOLAR SYTEMS LTD</v>
      </c>
      <c r="H903">
        <f ca="1">IFERROR(__xludf.DUMMYFUNCTION("""COMPUTED_VALUE"""),20)</f>
        <v>20</v>
      </c>
      <c r="I903" s="4">
        <f ca="1">IFERROR(__xludf.DUMMYFUNCTION("""COMPUTED_VALUE"""),43259)</f>
        <v>43259</v>
      </c>
      <c r="J903">
        <f ca="1">IFERROR(__xludf.DUMMYFUNCTION("""COMPUTED_VALUE"""),3)</f>
        <v>3</v>
      </c>
      <c r="K903">
        <f ca="1">IFERROR(__xludf.DUMMYFUNCTION("""COMPUTED_VALUE"""),4004243)</f>
        <v>4004243</v>
      </c>
      <c r="L903" t="str">
        <f ca="1">IFERROR(__xludf.DUMMYFUNCTION("""COMPUTED_VALUE"""),"6601")</f>
        <v>6601</v>
      </c>
      <c r="M903" t="str">
        <f ca="1">IFERROR(__xludf.DUMMYFUNCTION("""COMPUTED_VALUE"""),"I Accept")</f>
        <v>I Accept</v>
      </c>
      <c r="N903" s="4">
        <f ca="1">IFERROR(__xludf.DUMMYFUNCTION("""COMPUTED_VALUE"""),43256)</f>
        <v>43256</v>
      </c>
      <c r="O903" s="4">
        <f ca="1">IFERROR(__xludf.DUMMYFUNCTION("""COMPUTED_VALUE"""),43258)</f>
        <v>43258</v>
      </c>
      <c r="P903">
        <f ca="1">IFERROR(__xludf.DUMMYFUNCTION("""COMPUTED_VALUE"""),3)</f>
        <v>3</v>
      </c>
      <c r="Q903" t="str">
        <f ca="1">IFERROR(__xludf.DUMMYFUNCTION("""COMPUTED_VALUE"""),"sales.kodco@gmail.com")</f>
        <v>sales.kodco@gmail.com</v>
      </c>
      <c r="R903" s="2" t="s">
        <v>3317</v>
      </c>
    </row>
    <row r="904" spans="1:18" ht="13" x14ac:dyDescent="0.15">
      <c r="A904" s="3">
        <f ca="1">IFERROR(__xludf.DUMMYFUNCTION("""COMPUTED_VALUE"""),43262.589764699)</f>
        <v>43262.589764698998</v>
      </c>
      <c r="B904" t="str">
        <f ca="1">IFERROR(__xludf.DUMMYFUNCTION("""COMPUTED_VALUE"""),"sales.kodco@gmail.com")</f>
        <v>sales.kodco@gmail.com</v>
      </c>
      <c r="C904">
        <f ca="1">IFERROR(__xludf.DUMMYFUNCTION("""COMPUTED_VALUE"""),975)</f>
        <v>975</v>
      </c>
      <c r="D904" t="str">
        <f ca="1">IFERROR(__xludf.DUMMYFUNCTION("""COMPUTED_VALUE"""),"SANKARA NARAYANAN")</f>
        <v>SANKARA NARAYANAN</v>
      </c>
      <c r="E904">
        <f ca="1">IFERROR(__xludf.DUMMYFUNCTION("""COMPUTED_VALUE"""),9562003335)</f>
        <v>9562003335</v>
      </c>
      <c r="F904" t="str">
        <f ca="1">IFERROR(__xludf.DUMMYFUNCTION("""COMPUTED_VALUE"""),"Kozhikode")</f>
        <v>Kozhikode</v>
      </c>
      <c r="G904" t="str">
        <f ca="1">IFERROR(__xludf.DUMMYFUNCTION("""COMPUTED_VALUE"""),"TATA POWER SOLAR SYSTEMS LTD")</f>
        <v>TATA POWER SOLAR SYSTEMS LTD</v>
      </c>
      <c r="H904">
        <f ca="1">IFERROR(__xludf.DUMMYFUNCTION("""COMPUTED_VALUE"""),20)</f>
        <v>20</v>
      </c>
      <c r="I904" s="4">
        <f ca="1">IFERROR(__xludf.DUMMYFUNCTION("""COMPUTED_VALUE"""),43238)</f>
        <v>43238</v>
      </c>
      <c r="J904">
        <f ca="1">IFERROR(__xludf.DUMMYFUNCTION("""COMPUTED_VALUE"""),3)</f>
        <v>3</v>
      </c>
      <c r="K904">
        <f ca="1">IFERROR(__xludf.DUMMYFUNCTION("""COMPUTED_VALUE"""),1166367000056)</f>
        <v>1166367000056</v>
      </c>
      <c r="L904" t="str">
        <f ca="1">IFERROR(__xludf.DUMMYFUNCTION("""COMPUTED_VALUE"""),"6636")</f>
        <v>6636</v>
      </c>
      <c r="M904" t="str">
        <f ca="1">IFERROR(__xludf.DUMMYFUNCTION("""COMPUTED_VALUE"""),"I Accept")</f>
        <v>I Accept</v>
      </c>
      <c r="N904" s="4">
        <f ca="1">IFERROR(__xludf.DUMMYFUNCTION("""COMPUTED_VALUE"""),43176)</f>
        <v>43176</v>
      </c>
      <c r="O904" s="4">
        <f ca="1">IFERROR(__xludf.DUMMYFUNCTION("""COMPUTED_VALUE"""),43187)</f>
        <v>43187</v>
      </c>
      <c r="P904">
        <f ca="1">IFERROR(__xludf.DUMMYFUNCTION("""COMPUTED_VALUE"""),3)</f>
        <v>3</v>
      </c>
      <c r="Q904" t="str">
        <f ca="1">IFERROR(__xludf.DUMMYFUNCTION("""COMPUTED_VALUE"""),"sales.kodco@gmail.com")</f>
        <v>sales.kodco@gmail.com</v>
      </c>
      <c r="R904" s="2" t="s">
        <v>3318</v>
      </c>
    </row>
    <row r="905" spans="1:18" ht="13" x14ac:dyDescent="0.15">
      <c r="A905" s="3">
        <f ca="1">IFERROR(__xludf.DUMMYFUNCTION("""COMPUTED_VALUE"""),43262.5945177083)</f>
        <v>43262.594517708298</v>
      </c>
      <c r="B905" t="str">
        <f ca="1">IFERROR(__xludf.DUMMYFUNCTION("""COMPUTED_VALUE"""),"sales.kodco@gmail.com")</f>
        <v>sales.kodco@gmail.com</v>
      </c>
      <c r="C905">
        <f ca="1">IFERROR(__xludf.DUMMYFUNCTION("""COMPUTED_VALUE"""),510)</f>
        <v>510</v>
      </c>
      <c r="D905" t="str">
        <f ca="1">IFERROR(__xludf.DUMMYFUNCTION("""COMPUTED_VALUE"""),"ASOKAN NAMBIAR")</f>
        <v>ASOKAN NAMBIAR</v>
      </c>
      <c r="E905">
        <f ca="1">IFERROR(__xludf.DUMMYFUNCTION("""COMPUTED_VALUE"""),9947999241)</f>
        <v>9947999241</v>
      </c>
      <c r="F905" t="str">
        <f ca="1">IFERROR(__xludf.DUMMYFUNCTION("""COMPUTED_VALUE"""),"Kozhikode")</f>
        <v>Kozhikode</v>
      </c>
      <c r="G905" t="str">
        <f ca="1">IFERROR(__xludf.DUMMYFUNCTION("""COMPUTED_VALUE"""),"TATA POWER SOLAR SYSTEMS LTD")</f>
        <v>TATA POWER SOLAR SYSTEMS LTD</v>
      </c>
      <c r="H905">
        <f ca="1">IFERROR(__xludf.DUMMYFUNCTION("""COMPUTED_VALUE"""),20)</f>
        <v>20</v>
      </c>
      <c r="I905" s="4">
        <f ca="1">IFERROR(__xludf.DUMMYFUNCTION("""COMPUTED_VALUE"""),43230)</f>
        <v>43230</v>
      </c>
      <c r="J905">
        <f ca="1">IFERROR(__xludf.DUMMYFUNCTION("""COMPUTED_VALUE"""),3)</f>
        <v>3</v>
      </c>
      <c r="K905">
        <f ca="1">IFERROR(__xludf.DUMMYFUNCTION("""COMPUTED_VALUE"""),1165977013984)</f>
        <v>1165977013984</v>
      </c>
      <c r="L905" t="str">
        <f ca="1">IFERROR(__xludf.DUMMYFUNCTION("""COMPUTED_VALUE"""),"6597")</f>
        <v>6597</v>
      </c>
      <c r="M905" t="str">
        <f ca="1">IFERROR(__xludf.DUMMYFUNCTION("""COMPUTED_VALUE"""),"I Accept")</f>
        <v>I Accept</v>
      </c>
      <c r="N905" s="4">
        <f ca="1">IFERROR(__xludf.DUMMYFUNCTION("""COMPUTED_VALUE"""),43210)</f>
        <v>43210</v>
      </c>
      <c r="O905" s="4">
        <f ca="1">IFERROR(__xludf.DUMMYFUNCTION("""COMPUTED_VALUE"""),43212)</f>
        <v>43212</v>
      </c>
      <c r="P905">
        <f ca="1">IFERROR(__xludf.DUMMYFUNCTION("""COMPUTED_VALUE"""),3)</f>
        <v>3</v>
      </c>
      <c r="Q905" t="str">
        <f ca="1">IFERROR(__xludf.DUMMYFUNCTION("""COMPUTED_VALUE"""),"sales.kodco@gmail.com")</f>
        <v>sales.kodco@gmail.com</v>
      </c>
      <c r="R905" s="2" t="s">
        <v>3319</v>
      </c>
    </row>
    <row r="906" spans="1:18" ht="13" x14ac:dyDescent="0.15">
      <c r="A906" s="3">
        <f ca="1">IFERROR(__xludf.DUMMYFUNCTION("""COMPUTED_VALUE"""),43262.5986151967)</f>
        <v>43262.598615196701</v>
      </c>
      <c r="B906" t="str">
        <f ca="1">IFERROR(__xludf.DUMMYFUNCTION("""COMPUTED_VALUE"""),"silverwoodsekm@gmail.com")</f>
        <v>silverwoodsekm@gmail.com</v>
      </c>
      <c r="C906">
        <f ca="1">IFERROR(__xludf.DUMMYFUNCTION("""COMPUTED_VALUE"""),454)</f>
        <v>454</v>
      </c>
      <c r="D906" t="str">
        <f ca="1">IFERROR(__xludf.DUMMYFUNCTION("""COMPUTED_VALUE"""),"VALSALA KARTHIKAYAN")</f>
        <v>VALSALA KARTHIKAYAN</v>
      </c>
      <c r="E906">
        <f ca="1">IFERROR(__xludf.DUMMYFUNCTION("""COMPUTED_VALUE"""),9526991110)</f>
        <v>9526991110</v>
      </c>
      <c r="F906" t="str">
        <f ca="1">IFERROR(__xludf.DUMMYFUNCTION("""COMPUTED_VALUE"""),"Ernakulam")</f>
        <v>Ernakulam</v>
      </c>
      <c r="G906" t="str">
        <f ca="1">IFERROR(__xludf.DUMMYFUNCTION("""COMPUTED_VALUE"""),"TATA POWER SOLAR SYSTEMS LTD")</f>
        <v>TATA POWER SOLAR SYSTEMS LTD</v>
      </c>
      <c r="H906">
        <f ca="1">IFERROR(__xludf.DUMMYFUNCTION("""COMPUTED_VALUE"""),20)</f>
        <v>20</v>
      </c>
      <c r="I906" s="4">
        <f ca="1">IFERROR(__xludf.DUMMYFUNCTION("""COMPUTED_VALUE"""),43188)</f>
        <v>43188</v>
      </c>
      <c r="J906">
        <f ca="1">IFERROR(__xludf.DUMMYFUNCTION("""COMPUTED_VALUE"""),5)</f>
        <v>5</v>
      </c>
      <c r="K906">
        <f ca="1">IFERROR(__xludf.DUMMYFUNCTION("""COMPUTED_VALUE"""),1155423012490)</f>
        <v>1155423012490</v>
      </c>
      <c r="L906" t="str">
        <f ca="1">IFERROR(__xludf.DUMMYFUNCTION("""COMPUTED_VALUE"""),"GIRINAGAR")</f>
        <v>GIRINAGAR</v>
      </c>
      <c r="M906" t="str">
        <f ca="1">IFERROR(__xludf.DUMMYFUNCTION("""COMPUTED_VALUE"""),"I Accept")</f>
        <v>I Accept</v>
      </c>
      <c r="N906" s="4">
        <f ca="1">IFERROR(__xludf.DUMMYFUNCTION("""COMPUTED_VALUE"""),43181)</f>
        <v>43181</v>
      </c>
      <c r="O906" s="4">
        <f ca="1">IFERROR(__xludf.DUMMYFUNCTION("""COMPUTED_VALUE"""),43181)</f>
        <v>43181</v>
      </c>
      <c r="P906">
        <f ca="1">IFERROR(__xludf.DUMMYFUNCTION("""COMPUTED_VALUE"""),5)</f>
        <v>5</v>
      </c>
      <c r="Q906" t="str">
        <f ca="1">IFERROR(__xludf.DUMMYFUNCTION("""COMPUTED_VALUE"""),"silverwoodsekm@gmail.com")</f>
        <v>silverwoodsekm@gmail.com</v>
      </c>
      <c r="R906" s="2" t="s">
        <v>3320</v>
      </c>
    </row>
    <row r="907" spans="1:18" ht="13" x14ac:dyDescent="0.15">
      <c r="A907" s="3">
        <f ca="1">IFERROR(__xludf.DUMMYFUNCTION("""COMPUTED_VALUE"""),43262.6435066435)</f>
        <v>43262.643506643501</v>
      </c>
      <c r="B907" t="str">
        <f ca="1">IFERROR(__xludf.DUMMYFUNCTION("""COMPUTED_VALUE"""),"solarconnect2018@gmailcom")</f>
        <v>solarconnect2018@gmailcom</v>
      </c>
      <c r="C907">
        <f ca="1">IFERROR(__xludf.DUMMYFUNCTION("""COMPUTED_VALUE"""),894)</f>
        <v>894</v>
      </c>
      <c r="D907" t="str">
        <f ca="1">IFERROR(__xludf.DUMMYFUNCTION("""COMPUTED_VALUE"""),"MOHAMMED ASHRAF")</f>
        <v>MOHAMMED ASHRAF</v>
      </c>
      <c r="E907">
        <f ca="1">IFERROR(__xludf.DUMMYFUNCTION("""COMPUTED_VALUE"""),9037416434)</f>
        <v>9037416434</v>
      </c>
      <c r="F907" t="str">
        <f ca="1">IFERROR(__xludf.DUMMYFUNCTION("""COMPUTED_VALUE"""),"Malappuram")</f>
        <v>Malappuram</v>
      </c>
      <c r="G907" t="str">
        <f ca="1">IFERROR(__xludf.DUMMYFUNCTION("""COMPUTED_VALUE"""),"SPECTRUM TECHNO PRODUCTS")</f>
        <v>SPECTRUM TECHNO PRODUCTS</v>
      </c>
      <c r="H907">
        <f ca="1">IFERROR(__xludf.DUMMYFUNCTION("""COMPUTED_VALUE"""),66)</f>
        <v>66</v>
      </c>
      <c r="I907" s="4">
        <f ca="1">IFERROR(__xludf.DUMMYFUNCTION("""COMPUTED_VALUE"""),43260)</f>
        <v>43260</v>
      </c>
      <c r="J907">
        <f ca="1">IFERROR(__xludf.DUMMYFUNCTION("""COMPUTED_VALUE"""),3)</f>
        <v>3</v>
      </c>
      <c r="K907">
        <f ca="1">IFERROR(__xludf.DUMMYFUNCTION("""COMPUTED_VALUE"""),1165707004862)</f>
        <v>1165707004862</v>
      </c>
      <c r="L907" t="str">
        <f ca="1">IFERROR(__xludf.DUMMYFUNCTION("""COMPUTED_VALUE"""),"PONMUDAM")</f>
        <v>PONMUDAM</v>
      </c>
      <c r="M907" t="str">
        <f ca="1">IFERROR(__xludf.DUMMYFUNCTION("""COMPUTED_VALUE"""),"I Accept")</f>
        <v>I Accept</v>
      </c>
      <c r="N907" s="4">
        <f ca="1">IFERROR(__xludf.DUMMYFUNCTION("""COMPUTED_VALUE"""),43242)</f>
        <v>43242</v>
      </c>
      <c r="O907" s="4">
        <f ca="1">IFERROR(__xludf.DUMMYFUNCTION("""COMPUTED_VALUE"""),43242)</f>
        <v>43242</v>
      </c>
      <c r="P907">
        <f ca="1">IFERROR(__xludf.DUMMYFUNCTION("""COMPUTED_VALUE"""),3)</f>
        <v>3</v>
      </c>
      <c r="Q907" t="str">
        <f ca="1">IFERROR(__xludf.DUMMYFUNCTION("""COMPUTED_VALUE"""),"solarconnect2018@gmail.com")</f>
        <v>solarconnect2018@gmail.com</v>
      </c>
      <c r="R907" s="2" t="s">
        <v>3321</v>
      </c>
    </row>
    <row r="908" spans="1:18" ht="13" x14ac:dyDescent="0.15">
      <c r="A908" s="3">
        <f ca="1">IFERROR(__xludf.DUMMYFUNCTION("""COMPUTED_VALUE"""),43262.6552037268)</f>
        <v>43262.655203726797</v>
      </c>
      <c r="B908" t="str">
        <f ca="1">IFERROR(__xludf.DUMMYFUNCTION("""COMPUTED_VALUE"""),"elsolpowersolutions@gmail.com")</f>
        <v>elsolpowersolutions@gmail.com</v>
      </c>
      <c r="C908">
        <f ca="1">IFERROR(__xludf.DUMMYFUNCTION("""COMPUTED_VALUE"""),679)</f>
        <v>679</v>
      </c>
      <c r="D908" t="str">
        <f ca="1">IFERROR(__xludf.DUMMYFUNCTION("""COMPUTED_VALUE"""),"Geo Paul")</f>
        <v>Geo Paul</v>
      </c>
      <c r="E908">
        <f ca="1">IFERROR(__xludf.DUMMYFUNCTION("""COMPUTED_VALUE"""),8078213924)</f>
        <v>8078213924</v>
      </c>
      <c r="F908" t="str">
        <f ca="1">IFERROR(__xludf.DUMMYFUNCTION("""COMPUTED_VALUE"""),"Ernakulam")</f>
        <v>Ernakulam</v>
      </c>
      <c r="G908" t="str">
        <f ca="1">IFERROR(__xludf.DUMMYFUNCTION("""COMPUTED_VALUE"""),"Renergy systems india pvt ltd")</f>
        <v>Renergy systems india pvt ltd</v>
      </c>
      <c r="H908">
        <f ca="1">IFERROR(__xludf.DUMMYFUNCTION("""COMPUTED_VALUE"""),38)</f>
        <v>38</v>
      </c>
      <c r="I908" s="4">
        <f ca="1">IFERROR(__xludf.DUMMYFUNCTION("""COMPUTED_VALUE"""),43257)</f>
        <v>43257</v>
      </c>
      <c r="J908">
        <f ca="1">IFERROR(__xludf.DUMMYFUNCTION("""COMPUTED_VALUE"""),5)</f>
        <v>5</v>
      </c>
      <c r="K908">
        <f ca="1">IFERROR(__xludf.DUMMYFUNCTION("""COMPUTED_VALUE"""),637)</f>
        <v>637</v>
      </c>
      <c r="L908" t="str">
        <f ca="1">IFERROR(__xludf.DUMMYFUNCTION("""COMPUTED_VALUE"""),"Vazhakulam")</f>
        <v>Vazhakulam</v>
      </c>
      <c r="M908" t="str">
        <f ca="1">IFERROR(__xludf.DUMMYFUNCTION("""COMPUTED_VALUE"""),"I Accept")</f>
        <v>I Accept</v>
      </c>
      <c r="N908" s="4">
        <f ca="1">IFERROR(__xludf.DUMMYFUNCTION("""COMPUTED_VALUE"""),43217)</f>
        <v>43217</v>
      </c>
      <c r="O908" s="4">
        <f ca="1">IFERROR(__xludf.DUMMYFUNCTION("""COMPUTED_VALUE"""),43217)</f>
        <v>43217</v>
      </c>
      <c r="P908">
        <f ca="1">IFERROR(__xludf.DUMMYFUNCTION("""COMPUTED_VALUE"""),5)</f>
        <v>5</v>
      </c>
      <c r="Q908" t="str">
        <f ca="1">IFERROR(__xludf.DUMMYFUNCTION("""COMPUTED_VALUE"""),"elsolpowersolutions@gmail.com")</f>
        <v>elsolpowersolutions@gmail.com</v>
      </c>
      <c r="R908" s="2" t="s">
        <v>3322</v>
      </c>
    </row>
    <row r="909" spans="1:18" ht="13" x14ac:dyDescent="0.15">
      <c r="A909" s="3">
        <f ca="1">IFERROR(__xludf.DUMMYFUNCTION("""COMPUTED_VALUE"""),43262.6644320138)</f>
        <v>43262.6644320138</v>
      </c>
      <c r="B909" t="str">
        <f ca="1">IFERROR(__xludf.DUMMYFUNCTION("""COMPUTED_VALUE"""),"sales.kodco@gmail.com")</f>
        <v>sales.kodco@gmail.com</v>
      </c>
      <c r="C909">
        <f ca="1">IFERROR(__xludf.DUMMYFUNCTION("""COMPUTED_VALUE"""),556)</f>
        <v>556</v>
      </c>
      <c r="D909" t="str">
        <f ca="1">IFERROR(__xludf.DUMMYFUNCTION("""COMPUTED_VALUE"""),"THE PRINCIPAL AL FAROOK RESDNTIAL SENIOR SECONDARY SCHOOL")</f>
        <v>THE PRINCIPAL AL FAROOK RESDNTIAL SENIOR SECONDARY SCHOOL</v>
      </c>
      <c r="E909">
        <f ca="1">IFERROR(__xludf.DUMMYFUNCTION("""COMPUTED_VALUE"""),7736246146)</f>
        <v>7736246146</v>
      </c>
      <c r="F909" t="str">
        <f ca="1">IFERROR(__xludf.DUMMYFUNCTION("""COMPUTED_VALUE"""),"Kozhikode")</f>
        <v>Kozhikode</v>
      </c>
      <c r="G909" t="str">
        <f ca="1">IFERROR(__xludf.DUMMYFUNCTION("""COMPUTED_VALUE"""),"TATA POWER SOLAR SYSTEMS LTD")</f>
        <v>TATA POWER SOLAR SYSTEMS LTD</v>
      </c>
      <c r="H909">
        <f ca="1">IFERROR(__xludf.DUMMYFUNCTION("""COMPUTED_VALUE"""),20)</f>
        <v>20</v>
      </c>
      <c r="I909" s="4">
        <f ca="1">IFERROR(__xludf.DUMMYFUNCTION("""COMPUTED_VALUE"""),43245)</f>
        <v>43245</v>
      </c>
      <c r="J909">
        <f ca="1">IFERROR(__xludf.DUMMYFUNCTION("""COMPUTED_VALUE"""),25)</f>
        <v>25</v>
      </c>
      <c r="K909">
        <f ca="1">IFERROR(__xludf.DUMMYFUNCTION("""COMPUTED_VALUE"""),1166333009126)</f>
        <v>1166333009126</v>
      </c>
      <c r="L909" t="str">
        <f ca="1">IFERROR(__xludf.DUMMYFUNCTION("""COMPUTED_VALUE"""),"6633")</f>
        <v>6633</v>
      </c>
      <c r="M909" t="str">
        <f ca="1">IFERROR(__xludf.DUMMYFUNCTION("""COMPUTED_VALUE"""),"I Accept")</f>
        <v>I Accept</v>
      </c>
      <c r="N909" s="4">
        <f ca="1">IFERROR(__xludf.DUMMYFUNCTION("""COMPUTED_VALUE"""),43249)</f>
        <v>43249</v>
      </c>
      <c r="O909" s="4">
        <f ca="1">IFERROR(__xludf.DUMMYFUNCTION("""COMPUTED_VALUE"""),43251)</f>
        <v>43251</v>
      </c>
      <c r="P909">
        <f ca="1">IFERROR(__xludf.DUMMYFUNCTION("""COMPUTED_VALUE"""),25)</f>
        <v>25</v>
      </c>
      <c r="Q909" t="str">
        <f ca="1">IFERROR(__xludf.DUMMYFUNCTION("""COMPUTED_VALUE"""),"sales.kodco@gmail.com")</f>
        <v>sales.kodco@gmail.com</v>
      </c>
      <c r="R909" s="2" t="s">
        <v>3323</v>
      </c>
    </row>
    <row r="910" spans="1:18" ht="13" x14ac:dyDescent="0.15">
      <c r="A910" s="3">
        <f ca="1">IFERROR(__xludf.DUMMYFUNCTION("""COMPUTED_VALUE"""),43262.6827593171)</f>
        <v>43262.682759317096</v>
      </c>
      <c r="B910" t="str">
        <f ca="1">IFERROR(__xludf.DUMMYFUNCTION("""COMPUTED_VALUE"""),"info@aecosolar.com")</f>
        <v>info@aecosolar.com</v>
      </c>
      <c r="C910">
        <f ca="1">IFERROR(__xludf.DUMMYFUNCTION("""COMPUTED_VALUE"""),876)</f>
        <v>876</v>
      </c>
      <c r="D910" t="str">
        <f ca="1">IFERROR(__xludf.DUMMYFUNCTION("""COMPUTED_VALUE"""),"Rev. Fr. Samuel Kutty")</f>
        <v>Rev. Fr. Samuel Kutty</v>
      </c>
      <c r="E910">
        <f ca="1">IFERROR(__xludf.DUMMYFUNCTION("""COMPUTED_VALUE"""),9946034777)</f>
        <v>9946034777</v>
      </c>
      <c r="F910" t="str">
        <f ca="1">IFERROR(__xludf.DUMMYFUNCTION("""COMPUTED_VALUE"""),"Kollam")</f>
        <v>Kollam</v>
      </c>
      <c r="G910" t="str">
        <f ca="1">IFERROR(__xludf.DUMMYFUNCTION("""COMPUTED_VALUE"""),"Alternate Energy Corporation ")</f>
        <v xml:space="preserve">Alternate Energy Corporation </v>
      </c>
      <c r="H910">
        <f ca="1">IFERROR(__xludf.DUMMYFUNCTION("""COMPUTED_VALUE"""),22)</f>
        <v>22</v>
      </c>
      <c r="I910" s="4">
        <f ca="1">IFERROR(__xludf.DUMMYFUNCTION("""COMPUTED_VALUE"""),43262)</f>
        <v>43262</v>
      </c>
      <c r="J910">
        <f ca="1">IFERROR(__xludf.DUMMYFUNCTION("""COMPUTED_VALUE"""),15)</f>
        <v>15</v>
      </c>
      <c r="K910">
        <f ca="1">IFERROR(__xludf.DUMMYFUNCTION("""COMPUTED_VALUE"""),1145957035261)</f>
        <v>1145957035261</v>
      </c>
      <c r="L910" t="str">
        <f ca="1">IFERROR(__xludf.DUMMYFUNCTION("""COMPUTED_VALUE"""),"4595 Pathanapuram")</f>
        <v>4595 Pathanapuram</v>
      </c>
      <c r="M910" t="str">
        <f ca="1">IFERROR(__xludf.DUMMYFUNCTION("""COMPUTED_VALUE"""),"I Accept")</f>
        <v>I Accept</v>
      </c>
      <c r="N910" s="4">
        <f ca="1">IFERROR(__xludf.DUMMYFUNCTION("""COMPUTED_VALUE"""),43261)</f>
        <v>43261</v>
      </c>
      <c r="O910" s="4">
        <f ca="1">IFERROR(__xludf.DUMMYFUNCTION("""COMPUTED_VALUE"""),43261)</f>
        <v>43261</v>
      </c>
      <c r="P910">
        <f ca="1">IFERROR(__xludf.DUMMYFUNCTION("""COMPUTED_VALUE"""),15)</f>
        <v>15</v>
      </c>
      <c r="Q910" t="str">
        <f ca="1">IFERROR(__xludf.DUMMYFUNCTION("""COMPUTED_VALUE"""),"info@aecosolar.com")</f>
        <v>info@aecosolar.com</v>
      </c>
      <c r="R910" s="2" t="s">
        <v>3324</v>
      </c>
    </row>
    <row r="911" spans="1:18" ht="13" x14ac:dyDescent="0.15">
      <c r="A911" s="3">
        <f ca="1">IFERROR(__xludf.DUMMYFUNCTION("""COMPUTED_VALUE"""),43262.6881586226)</f>
        <v>43262.688158622601</v>
      </c>
      <c r="B911" t="str">
        <f ca="1">IFERROR(__xludf.DUMMYFUNCTION("""COMPUTED_VALUE"""),"sales.kodco@gmail.com")</f>
        <v>sales.kodco@gmail.com</v>
      </c>
      <c r="C911">
        <f ca="1">IFERROR(__xludf.DUMMYFUNCTION("""COMPUTED_VALUE"""),493)</f>
        <v>493</v>
      </c>
      <c r="D911" t="str">
        <f ca="1">IFERROR(__xludf.DUMMYFUNCTION("""COMPUTED_VALUE"""),"AP Muhammed")</f>
        <v>AP Muhammed</v>
      </c>
      <c r="E911">
        <f ca="1">IFERROR(__xludf.DUMMYFUNCTION("""COMPUTED_VALUE"""),9497714979)</f>
        <v>9497714979</v>
      </c>
      <c r="F911" t="str">
        <f ca="1">IFERROR(__xludf.DUMMYFUNCTION("""COMPUTED_VALUE"""),"Kozhikode")</f>
        <v>Kozhikode</v>
      </c>
      <c r="G911" t="str">
        <f ca="1">IFERROR(__xludf.DUMMYFUNCTION("""COMPUTED_VALUE"""),"TATA POWER SOLAR SYSTEMS LTD")</f>
        <v>TATA POWER SOLAR SYSTEMS LTD</v>
      </c>
      <c r="H911">
        <f ca="1">IFERROR(__xludf.DUMMYFUNCTION("""COMPUTED_VALUE"""),20)</f>
        <v>20</v>
      </c>
      <c r="I911" s="4">
        <f ca="1">IFERROR(__xludf.DUMMYFUNCTION("""COMPUTED_VALUE"""),43262)</f>
        <v>43262</v>
      </c>
      <c r="J911">
        <f ca="1">IFERROR(__xludf.DUMMYFUNCTION("""COMPUTED_VALUE"""),3)</f>
        <v>3</v>
      </c>
      <c r="K911">
        <f ca="1">IFERROR(__xludf.DUMMYFUNCTION("""COMPUTED_VALUE"""),1166033018044)</f>
        <v>1166033018044</v>
      </c>
      <c r="L911" t="str">
        <f ca="1">IFERROR(__xludf.DUMMYFUNCTION("""COMPUTED_VALUE"""),"6603")</f>
        <v>6603</v>
      </c>
      <c r="M911" t="str">
        <f ca="1">IFERROR(__xludf.DUMMYFUNCTION("""COMPUTED_VALUE"""),"I Accept")</f>
        <v>I Accept</v>
      </c>
      <c r="N911" s="4">
        <f ca="1">IFERROR(__xludf.DUMMYFUNCTION("""COMPUTED_VALUE"""),43260)</f>
        <v>43260</v>
      </c>
      <c r="O911" s="4">
        <f ca="1">IFERROR(__xludf.DUMMYFUNCTION("""COMPUTED_VALUE"""),43260)</f>
        <v>43260</v>
      </c>
      <c r="P911">
        <f ca="1">IFERROR(__xludf.DUMMYFUNCTION("""COMPUTED_VALUE"""),3)</f>
        <v>3</v>
      </c>
      <c r="Q911" t="str">
        <f ca="1">IFERROR(__xludf.DUMMYFUNCTION("""COMPUTED_VALUE"""),"sales.kodco@gmail.com")</f>
        <v>sales.kodco@gmail.com</v>
      </c>
      <c r="R911" s="2" t="s">
        <v>3325</v>
      </c>
    </row>
    <row r="912" spans="1:18" ht="13" x14ac:dyDescent="0.15">
      <c r="A912" s="3">
        <f ca="1">IFERROR(__xludf.DUMMYFUNCTION("""COMPUTED_VALUE"""),43262.6916486226)</f>
        <v>43262.691648622596</v>
      </c>
      <c r="B912" t="str">
        <f ca="1">IFERROR(__xludf.DUMMYFUNCTION("""COMPUTED_VALUE"""),"sales.kodco@gmail.com")</f>
        <v>sales.kodco@gmail.com</v>
      </c>
      <c r="C912">
        <f ca="1">IFERROR(__xludf.DUMMYFUNCTION("""COMPUTED_VALUE"""),914)</f>
        <v>914</v>
      </c>
      <c r="D912" t="str">
        <f ca="1">IFERROR(__xludf.DUMMYFUNCTION("""COMPUTED_VALUE"""),"Saji kumar V")</f>
        <v>Saji kumar V</v>
      </c>
      <c r="E912">
        <f ca="1">IFERROR(__xludf.DUMMYFUNCTION("""COMPUTED_VALUE"""),9497714979)</f>
        <v>9497714979</v>
      </c>
      <c r="F912" t="str">
        <f ca="1">IFERROR(__xludf.DUMMYFUNCTION("""COMPUTED_VALUE"""),"Kozhikode")</f>
        <v>Kozhikode</v>
      </c>
      <c r="G912" t="str">
        <f ca="1">IFERROR(__xludf.DUMMYFUNCTION("""COMPUTED_VALUE"""),"TATA POWER SOLAR SYSTEMS LTD")</f>
        <v>TATA POWER SOLAR SYSTEMS LTD</v>
      </c>
      <c r="H912">
        <f ca="1">IFERROR(__xludf.DUMMYFUNCTION("""COMPUTED_VALUE"""),20)</f>
        <v>20</v>
      </c>
      <c r="I912" s="4">
        <f ca="1">IFERROR(__xludf.DUMMYFUNCTION("""COMPUTED_VALUE"""),43256)</f>
        <v>43256</v>
      </c>
      <c r="J912">
        <f ca="1">IFERROR(__xludf.DUMMYFUNCTION("""COMPUTED_VALUE"""),5)</f>
        <v>5</v>
      </c>
      <c r="K912">
        <f ca="1">IFERROR(__xludf.DUMMYFUNCTION("""COMPUTED_VALUE"""),10560)</f>
        <v>10560</v>
      </c>
      <c r="L912" t="str">
        <f ca="1">IFERROR(__xludf.DUMMYFUNCTION("""COMPUTED_VALUE"""),"6608")</f>
        <v>6608</v>
      </c>
      <c r="M912" t="str">
        <f ca="1">IFERROR(__xludf.DUMMYFUNCTION("""COMPUTED_VALUE"""),"I Accept")</f>
        <v>I Accept</v>
      </c>
      <c r="N912" s="4">
        <f ca="1">IFERROR(__xludf.DUMMYFUNCTION("""COMPUTED_VALUE"""),43257)</f>
        <v>43257</v>
      </c>
      <c r="O912" s="4">
        <f ca="1">IFERROR(__xludf.DUMMYFUNCTION("""COMPUTED_VALUE"""),43258)</f>
        <v>43258</v>
      </c>
      <c r="P912">
        <f ca="1">IFERROR(__xludf.DUMMYFUNCTION("""COMPUTED_VALUE"""),5)</f>
        <v>5</v>
      </c>
      <c r="Q912" t="str">
        <f ca="1">IFERROR(__xludf.DUMMYFUNCTION("""COMPUTED_VALUE"""),"sales.kodco@gmail.com")</f>
        <v>sales.kodco@gmail.com</v>
      </c>
      <c r="R912" s="2" t="s">
        <v>3326</v>
      </c>
    </row>
    <row r="913" spans="1:18" ht="13" x14ac:dyDescent="0.15">
      <c r="A913" s="3">
        <f ca="1">IFERROR(__xludf.DUMMYFUNCTION("""COMPUTED_VALUE"""),43262.6930784953)</f>
        <v>43262.6930784953</v>
      </c>
      <c r="B913" t="str">
        <f ca="1">IFERROR(__xludf.DUMMYFUNCTION("""COMPUTED_VALUE"""),"nandana2000r@gmail.com")</f>
        <v>nandana2000r@gmail.com</v>
      </c>
      <c r="C913">
        <f ca="1">IFERROR(__xludf.DUMMYFUNCTION("""COMPUTED_VALUE"""),1045)</f>
        <v>1045</v>
      </c>
      <c r="D913" t="str">
        <f ca="1">IFERROR(__xludf.DUMMYFUNCTION("""COMPUTED_VALUE"""),"CARITHAS HOSPITAL")</f>
        <v>CARITHAS HOSPITAL</v>
      </c>
      <c r="E913">
        <f ca="1">IFERROR(__xludf.DUMMYFUNCTION("""COMPUTED_VALUE"""),7558882999)</f>
        <v>7558882999</v>
      </c>
      <c r="F913" t="str">
        <f ca="1">IFERROR(__xludf.DUMMYFUNCTION("""COMPUTED_VALUE"""),"Kottayam")</f>
        <v>Kottayam</v>
      </c>
      <c r="G913" t="str">
        <f ca="1">IFERROR(__xludf.DUMMYFUNCTION("""COMPUTED_VALUE"""),"TATA POWER SOLAR")</f>
        <v>TATA POWER SOLAR</v>
      </c>
      <c r="H913">
        <f ca="1">IFERROR(__xludf.DUMMYFUNCTION("""COMPUTED_VALUE"""),20)</f>
        <v>20</v>
      </c>
      <c r="I913" s="4">
        <f ca="1">IFERROR(__xludf.DUMMYFUNCTION("""COMPUTED_VALUE"""),43237)</f>
        <v>43237</v>
      </c>
      <c r="J913">
        <f ca="1">IFERROR(__xludf.DUMMYFUNCTION("""COMPUTED_VALUE"""),50)</f>
        <v>50</v>
      </c>
      <c r="K913">
        <f ca="1">IFERROR(__xludf.DUMMYFUNCTION("""COMPUTED_VALUE"""),1346460001901)</f>
        <v>1346460001901</v>
      </c>
      <c r="L913" t="str">
        <f ca="1">IFERROR(__xludf.DUMMYFUNCTION("""COMPUTED_VALUE"""),"Ettumanoor")</f>
        <v>Ettumanoor</v>
      </c>
      <c r="M913" t="str">
        <f ca="1">IFERROR(__xludf.DUMMYFUNCTION("""COMPUTED_VALUE"""),"I Accept")</f>
        <v>I Accept</v>
      </c>
      <c r="N913" s="4">
        <f ca="1">IFERROR(__xludf.DUMMYFUNCTION("""COMPUTED_VALUE"""),43236)</f>
        <v>43236</v>
      </c>
      <c r="O913" s="4">
        <f ca="1">IFERROR(__xludf.DUMMYFUNCTION("""COMPUTED_VALUE"""),43236)</f>
        <v>43236</v>
      </c>
      <c r="P913">
        <f ca="1">IFERROR(__xludf.DUMMYFUNCTION("""COMPUTED_VALUE"""),50)</f>
        <v>50</v>
      </c>
      <c r="Q913" t="str">
        <f ca="1">IFERROR(__xludf.DUMMYFUNCTION("""COMPUTED_VALUE"""),"nandana2000r@gmail.com")</f>
        <v>nandana2000r@gmail.com</v>
      </c>
      <c r="R913" s="2" t="s">
        <v>3327</v>
      </c>
    </row>
    <row r="914" spans="1:18" ht="13" x14ac:dyDescent="0.15">
      <c r="A914" s="3">
        <f ca="1">IFERROR(__xludf.DUMMYFUNCTION("""COMPUTED_VALUE"""),43262.6970359953)</f>
        <v>43262.697035995297</v>
      </c>
      <c r="B914" t="str">
        <f ca="1">IFERROR(__xludf.DUMMYFUNCTION("""COMPUTED_VALUE"""),"sales.kodco@gmail.com")</f>
        <v>sales.kodco@gmail.com</v>
      </c>
      <c r="C914">
        <f ca="1">IFERROR(__xludf.DUMMYFUNCTION("""COMPUTED_VALUE"""),514)</f>
        <v>514</v>
      </c>
      <c r="D914" t="str">
        <f ca="1">IFERROR(__xludf.DUMMYFUNCTION("""COMPUTED_VALUE"""),"JOSEPH -P.V")</f>
        <v>JOSEPH -P.V</v>
      </c>
      <c r="E914">
        <f ca="1">IFERROR(__xludf.DUMMYFUNCTION("""COMPUTED_VALUE"""),9947999241)</f>
        <v>9947999241</v>
      </c>
      <c r="F914" t="str">
        <f ca="1">IFERROR(__xludf.DUMMYFUNCTION("""COMPUTED_VALUE"""),"Kozhikode")</f>
        <v>Kozhikode</v>
      </c>
      <c r="G914" t="str">
        <f ca="1">IFERROR(__xludf.DUMMYFUNCTION("""COMPUTED_VALUE"""),"TATA POWER SOLAR SYSTEMS LTD")</f>
        <v>TATA POWER SOLAR SYSTEMS LTD</v>
      </c>
      <c r="H914">
        <f ca="1">IFERROR(__xludf.DUMMYFUNCTION("""COMPUTED_VALUE"""),20)</f>
        <v>20</v>
      </c>
      <c r="I914" s="4">
        <f ca="1">IFERROR(__xludf.DUMMYFUNCTION("""COMPUTED_VALUE"""),43258)</f>
        <v>43258</v>
      </c>
      <c r="J914">
        <f ca="1">IFERROR(__xludf.DUMMYFUNCTION("""COMPUTED_VALUE"""),5)</f>
        <v>5</v>
      </c>
      <c r="K914">
        <f ca="1">IFERROR(__xludf.DUMMYFUNCTION("""COMPUTED_VALUE"""),1166303000476)</f>
        <v>1166303000476</v>
      </c>
      <c r="L914" t="str">
        <f ca="1">IFERROR(__xludf.DUMMYFUNCTION("""COMPUTED_VALUE"""),"6630")</f>
        <v>6630</v>
      </c>
      <c r="M914" t="str">
        <f ca="1">IFERROR(__xludf.DUMMYFUNCTION("""COMPUTED_VALUE"""),"I Accept")</f>
        <v>I Accept</v>
      </c>
      <c r="N914" s="4">
        <f ca="1">IFERROR(__xludf.DUMMYFUNCTION("""COMPUTED_VALUE"""),43214)</f>
        <v>43214</v>
      </c>
      <c r="O914" s="4">
        <f ca="1">IFERROR(__xludf.DUMMYFUNCTION("""COMPUTED_VALUE"""),43246)</f>
        <v>43246</v>
      </c>
      <c r="P914">
        <f ca="1">IFERROR(__xludf.DUMMYFUNCTION("""COMPUTED_VALUE"""),5)</f>
        <v>5</v>
      </c>
      <c r="Q914" t="str">
        <f ca="1">IFERROR(__xludf.DUMMYFUNCTION("""COMPUTED_VALUE"""),"sales.kodco@gmail.com")</f>
        <v>sales.kodco@gmail.com</v>
      </c>
      <c r="R914" s="2" t="s">
        <v>3328</v>
      </c>
    </row>
    <row r="915" spans="1:18" ht="13" x14ac:dyDescent="0.15">
      <c r="A915" s="3">
        <f ca="1">IFERROR(__xludf.DUMMYFUNCTION("""COMPUTED_VALUE"""),43262.6976491435)</f>
        <v>43262.697649143498</v>
      </c>
      <c r="B915" t="str">
        <f ca="1">IFERROR(__xludf.DUMMYFUNCTION("""COMPUTED_VALUE"""),"connectdsk@gmail.com")</f>
        <v>connectdsk@gmail.com</v>
      </c>
      <c r="C915">
        <f ca="1">IFERROR(__xludf.DUMMYFUNCTION("""COMPUTED_VALUE"""),1134)</f>
        <v>1134</v>
      </c>
      <c r="D915" t="str">
        <f ca="1">IFERROR(__xludf.DUMMYFUNCTION("""COMPUTED_VALUE"""),"MOHAMED NAVAS KOPPAPARAMBIL")</f>
        <v>MOHAMED NAVAS KOPPAPARAMBIL</v>
      </c>
      <c r="E915">
        <f ca="1">IFERROR(__xludf.DUMMYFUNCTION("""COMPUTED_VALUE"""),8547564126)</f>
        <v>8547564126</v>
      </c>
      <c r="F915" t="str">
        <f ca="1">IFERROR(__xludf.DUMMYFUNCTION("""COMPUTED_VALUE"""),"Thrissur")</f>
        <v>Thrissur</v>
      </c>
      <c r="G915" t="str">
        <f ca="1">IFERROR(__xludf.DUMMYFUNCTION("""COMPUTED_VALUE"""),"FERT")</f>
        <v>FERT</v>
      </c>
      <c r="H915">
        <f ca="1">IFERROR(__xludf.DUMMYFUNCTION("""COMPUTED_VALUE"""),27)</f>
        <v>27</v>
      </c>
      <c r="I915" s="4">
        <f ca="1">IFERROR(__xludf.DUMMYFUNCTION("""COMPUTED_VALUE"""),43265)</f>
        <v>43265</v>
      </c>
      <c r="J915">
        <f ca="1">IFERROR(__xludf.DUMMYFUNCTION("""COMPUTED_VALUE"""),3)</f>
        <v>3</v>
      </c>
      <c r="K915">
        <f ca="1">IFERROR(__xludf.DUMMYFUNCTION("""COMPUTED_VALUE"""),1156804013818)</f>
        <v>1156804013818</v>
      </c>
      <c r="L915" t="str">
        <f ca="1">IFERROR(__xludf.DUMMYFUNCTION("""COMPUTED_VALUE"""),"VIYYUR")</f>
        <v>VIYYUR</v>
      </c>
      <c r="M915" t="str">
        <f ca="1">IFERROR(__xludf.DUMMYFUNCTION("""COMPUTED_VALUE"""),"I Accept")</f>
        <v>I Accept</v>
      </c>
      <c r="N915" s="4">
        <f ca="1">IFERROR(__xludf.DUMMYFUNCTION("""COMPUTED_VALUE"""),43265)</f>
        <v>43265</v>
      </c>
      <c r="O915" s="4">
        <f ca="1">IFERROR(__xludf.DUMMYFUNCTION("""COMPUTED_VALUE"""),43265)</f>
        <v>43265</v>
      </c>
      <c r="P915">
        <f ca="1">IFERROR(__xludf.DUMMYFUNCTION("""COMPUTED_VALUE"""),3)</f>
        <v>3</v>
      </c>
      <c r="Q915" t="str">
        <f ca="1">IFERROR(__xludf.DUMMYFUNCTION("""COMPUTED_VALUE"""),"connectdsk@gmail.com")</f>
        <v>connectdsk@gmail.com</v>
      </c>
      <c r="R915" s="2" t="s">
        <v>3329</v>
      </c>
    </row>
    <row r="916" spans="1:18" ht="13" x14ac:dyDescent="0.15">
      <c r="A916" s="3">
        <f ca="1">IFERROR(__xludf.DUMMYFUNCTION("""COMPUTED_VALUE"""),43262.7030140277)</f>
        <v>43262.703014027698</v>
      </c>
      <c r="B916" t="str">
        <f ca="1">IFERROR(__xludf.DUMMYFUNCTION("""COMPUTED_VALUE"""),"nandana2000r@gmail.com")</f>
        <v>nandana2000r@gmail.com</v>
      </c>
      <c r="C916">
        <f ca="1">IFERROR(__xludf.DUMMYFUNCTION("""COMPUTED_VALUE"""),1148)</f>
        <v>1148</v>
      </c>
      <c r="D916" t="str">
        <f ca="1">IFERROR(__xludf.DUMMYFUNCTION("""COMPUTED_VALUE"""),"Prasannakumari C P")</f>
        <v>Prasannakumari C P</v>
      </c>
      <c r="E916">
        <f ca="1">IFERROR(__xludf.DUMMYFUNCTION("""COMPUTED_VALUE"""),7558881999)</f>
        <v>7558881999</v>
      </c>
      <c r="F916" t="str">
        <f ca="1">IFERROR(__xludf.DUMMYFUNCTION("""COMPUTED_VALUE"""),"Kottayam")</f>
        <v>Kottayam</v>
      </c>
      <c r="G916" t="str">
        <f ca="1">IFERROR(__xludf.DUMMYFUNCTION("""COMPUTED_VALUE"""),"TATA POWER SOLAR SYSTEMS LTD")</f>
        <v>TATA POWER SOLAR SYSTEMS LTD</v>
      </c>
      <c r="H916">
        <f ca="1">IFERROR(__xludf.DUMMYFUNCTION("""COMPUTED_VALUE"""),20)</f>
        <v>20</v>
      </c>
      <c r="I916" s="4">
        <f ca="1">IFERROR(__xludf.DUMMYFUNCTION("""COMPUTED_VALUE"""),43236)</f>
        <v>43236</v>
      </c>
      <c r="J916">
        <f ca="1">IFERROR(__xludf.DUMMYFUNCTION("""COMPUTED_VALUE"""),5)</f>
        <v>5</v>
      </c>
      <c r="K916">
        <f ca="1">IFERROR(__xludf.DUMMYFUNCTION("""COMPUTED_VALUE"""),1146292001368)</f>
        <v>1146292001368</v>
      </c>
      <c r="L916" t="str">
        <f ca="1">IFERROR(__xludf.DUMMYFUNCTION("""COMPUTED_VALUE"""),"Aymanam")</f>
        <v>Aymanam</v>
      </c>
      <c r="M916" t="str">
        <f ca="1">IFERROR(__xludf.DUMMYFUNCTION("""COMPUTED_VALUE"""),"I Accept")</f>
        <v>I Accept</v>
      </c>
      <c r="N916" s="4">
        <f ca="1">IFERROR(__xludf.DUMMYFUNCTION("""COMPUTED_VALUE"""),43238)</f>
        <v>43238</v>
      </c>
      <c r="O916" s="4">
        <f ca="1">IFERROR(__xludf.DUMMYFUNCTION("""COMPUTED_VALUE"""),43238)</f>
        <v>43238</v>
      </c>
      <c r="P916">
        <f ca="1">IFERROR(__xludf.DUMMYFUNCTION("""COMPUTED_VALUE"""),5)</f>
        <v>5</v>
      </c>
      <c r="Q916" t="str">
        <f ca="1">IFERROR(__xludf.DUMMYFUNCTION("""COMPUTED_VALUE"""),"nandana2000r@gmail.com")</f>
        <v>nandana2000r@gmail.com</v>
      </c>
      <c r="R916" s="2" t="s">
        <v>3330</v>
      </c>
    </row>
    <row r="917" spans="1:18" ht="13" x14ac:dyDescent="0.15">
      <c r="A917" s="3">
        <f ca="1">IFERROR(__xludf.DUMMYFUNCTION("""COMPUTED_VALUE"""),43262.7032905208)</f>
        <v>43262.703290520803</v>
      </c>
      <c r="B917" t="str">
        <f ca="1">IFERROR(__xludf.DUMMYFUNCTION("""COMPUTED_VALUE"""),"vettuvelilstephen@gmail.com")</f>
        <v>vettuvelilstephen@gmail.com</v>
      </c>
      <c r="C917">
        <f ca="1">IFERROR(__xludf.DUMMYFUNCTION("""COMPUTED_VALUE"""),876)</f>
        <v>876</v>
      </c>
      <c r="D917" t="str">
        <f ca="1">IFERROR(__xludf.DUMMYFUNCTION("""COMPUTED_VALUE"""),"Stephen Joseph")</f>
        <v>Stephen Joseph</v>
      </c>
      <c r="E917">
        <f ca="1">IFERROR(__xludf.DUMMYFUNCTION("""COMPUTED_VALUE"""),9946034777)</f>
        <v>9946034777</v>
      </c>
      <c r="F917" t="str">
        <f ca="1">IFERROR(__xludf.DUMMYFUNCTION("""COMPUTED_VALUE"""),"Kottayam")</f>
        <v>Kottayam</v>
      </c>
      <c r="G917" t="str">
        <f ca="1">IFERROR(__xludf.DUMMYFUNCTION("""COMPUTED_VALUE"""),"Alternate Energy Corportion")</f>
        <v>Alternate Energy Corportion</v>
      </c>
      <c r="H917">
        <f ca="1">IFERROR(__xludf.DUMMYFUNCTION("""COMPUTED_VALUE"""),22)</f>
        <v>22</v>
      </c>
      <c r="I917" s="4">
        <f ca="1">IFERROR(__xludf.DUMMYFUNCTION("""COMPUTED_VALUE"""),43262)</f>
        <v>43262</v>
      </c>
      <c r="J917">
        <f ca="1">IFERROR(__xludf.DUMMYFUNCTION("""COMPUTED_VALUE"""),15)</f>
        <v>15</v>
      </c>
      <c r="K917">
        <f ca="1">IFERROR(__xludf.DUMMYFUNCTION("""COMPUTED_VALUE"""),1146355012877)</f>
        <v>1146355012877</v>
      </c>
      <c r="L917" t="str">
        <f ca="1">IFERROR(__xludf.DUMMYFUNCTION("""COMPUTED_VALUE"""),"kottayam east 4635")</f>
        <v>kottayam east 4635</v>
      </c>
      <c r="M917" t="str">
        <f ca="1">IFERROR(__xludf.DUMMYFUNCTION("""COMPUTED_VALUE"""),"I Accept")</f>
        <v>I Accept</v>
      </c>
      <c r="N917" s="4">
        <f ca="1">IFERROR(__xludf.DUMMYFUNCTION("""COMPUTED_VALUE"""),43256)</f>
        <v>43256</v>
      </c>
      <c r="O917" s="4">
        <f ca="1">IFERROR(__xludf.DUMMYFUNCTION("""COMPUTED_VALUE"""),43256)</f>
        <v>43256</v>
      </c>
      <c r="P917">
        <f ca="1">IFERROR(__xludf.DUMMYFUNCTION("""COMPUTED_VALUE"""),15)</f>
        <v>15</v>
      </c>
      <c r="Q917" t="str">
        <f ca="1">IFERROR(__xludf.DUMMYFUNCTION("""COMPUTED_VALUE"""),"vettuvelilstephen@gmail.com")</f>
        <v>vettuvelilstephen@gmail.com</v>
      </c>
      <c r="R917" s="2" t="s">
        <v>3331</v>
      </c>
    </row>
    <row r="918" spans="1:18" ht="13" x14ac:dyDescent="0.15">
      <c r="A918" s="3">
        <f ca="1">IFERROR(__xludf.DUMMYFUNCTION("""COMPUTED_VALUE"""),43262.7072832176)</f>
        <v>43262.707283217598</v>
      </c>
      <c r="B918" t="str">
        <f ca="1">IFERROR(__xludf.DUMMYFUNCTION("""COMPUTED_VALUE"""),"nandana2000r@gmail.com")</f>
        <v>nandana2000r@gmail.com</v>
      </c>
      <c r="C918">
        <f ca="1">IFERROR(__xludf.DUMMYFUNCTION("""COMPUTED_VALUE"""),1149)</f>
        <v>1149</v>
      </c>
      <c r="D918" t="str">
        <f ca="1">IFERROR(__xludf.DUMMYFUNCTION("""COMPUTED_VALUE"""),"Celien George")</f>
        <v>Celien George</v>
      </c>
      <c r="E918">
        <f ca="1">IFERROR(__xludf.DUMMYFUNCTION("""COMPUTED_VALUE"""),7558881999)</f>
        <v>7558881999</v>
      </c>
      <c r="F918" t="str">
        <f ca="1">IFERROR(__xludf.DUMMYFUNCTION("""COMPUTED_VALUE"""),"Kottayam")</f>
        <v>Kottayam</v>
      </c>
      <c r="G918" t="str">
        <f ca="1">IFERROR(__xludf.DUMMYFUNCTION("""COMPUTED_VALUE"""),"TATA POWER SOLAR SYSTEMS LTD")</f>
        <v>TATA POWER SOLAR SYSTEMS LTD</v>
      </c>
      <c r="H918">
        <f ca="1">IFERROR(__xludf.DUMMYFUNCTION("""COMPUTED_VALUE"""),20)</f>
        <v>20</v>
      </c>
      <c r="I918" s="4">
        <f ca="1">IFERROR(__xludf.DUMMYFUNCTION("""COMPUTED_VALUE"""),43238)</f>
        <v>43238</v>
      </c>
      <c r="J918">
        <f ca="1">IFERROR(__xludf.DUMMYFUNCTION("""COMPUTED_VALUE"""),3)</f>
        <v>3</v>
      </c>
      <c r="K918">
        <f ca="1">IFERROR(__xludf.DUMMYFUNCTION("""COMPUTED_VALUE"""),1146493013464)</f>
        <v>1146493013464</v>
      </c>
      <c r="L918" t="str">
        <f ca="1">IFERROR(__xludf.DUMMYFUNCTION("""COMPUTED_VALUE"""),"Kuravilangadu")</f>
        <v>Kuravilangadu</v>
      </c>
      <c r="M918" t="str">
        <f ca="1">IFERROR(__xludf.DUMMYFUNCTION("""COMPUTED_VALUE"""),"I Accept")</f>
        <v>I Accept</v>
      </c>
      <c r="N918" s="4">
        <f ca="1">IFERROR(__xludf.DUMMYFUNCTION("""COMPUTED_VALUE"""),43231)</f>
        <v>43231</v>
      </c>
      <c r="O918" s="4">
        <f ca="1">IFERROR(__xludf.DUMMYFUNCTION("""COMPUTED_VALUE"""),43231)</f>
        <v>43231</v>
      </c>
      <c r="P918">
        <f ca="1">IFERROR(__xludf.DUMMYFUNCTION("""COMPUTED_VALUE"""),3)</f>
        <v>3</v>
      </c>
      <c r="Q918" t="str">
        <f ca="1">IFERROR(__xludf.DUMMYFUNCTION("""COMPUTED_VALUE"""),"nandana2000r@gmail.com")</f>
        <v>nandana2000r@gmail.com</v>
      </c>
      <c r="R918" s="2" t="s">
        <v>3332</v>
      </c>
    </row>
    <row r="919" spans="1:18" ht="13" x14ac:dyDescent="0.15">
      <c r="A919" s="3">
        <f ca="1">IFERROR(__xludf.DUMMYFUNCTION("""COMPUTED_VALUE"""),43262.7073326736)</f>
        <v>43262.707332673599</v>
      </c>
      <c r="B919" t="str">
        <f ca="1">IFERROR(__xludf.DUMMYFUNCTION("""COMPUTED_VALUE"""),"solarconnect2018@gmail.com")</f>
        <v>solarconnect2018@gmail.com</v>
      </c>
      <c r="C919">
        <f ca="1">IFERROR(__xludf.DUMMYFUNCTION("""COMPUTED_VALUE"""),1185)</f>
        <v>1185</v>
      </c>
      <c r="D919" t="str">
        <f ca="1">IFERROR(__xludf.DUMMYFUNCTION("""COMPUTED_VALUE"""),"HAJIRA")</f>
        <v>HAJIRA</v>
      </c>
      <c r="E919">
        <f ca="1">IFERROR(__xludf.DUMMYFUNCTION("""COMPUTED_VALUE"""),7559966183)</f>
        <v>7559966183</v>
      </c>
      <c r="F919" t="str">
        <f ca="1">IFERROR(__xludf.DUMMYFUNCTION("""COMPUTED_VALUE"""),"Kozhikode")</f>
        <v>Kozhikode</v>
      </c>
      <c r="G919" t="str">
        <f ca="1">IFERROR(__xludf.DUMMYFUNCTION("""COMPUTED_VALUE"""),"SPECTRUM TECHNO PRODUCTS")</f>
        <v>SPECTRUM TECHNO PRODUCTS</v>
      </c>
      <c r="H919">
        <f ca="1">IFERROR(__xludf.DUMMYFUNCTION("""COMPUTED_VALUE"""),66)</f>
        <v>66</v>
      </c>
      <c r="I919" s="4">
        <f ca="1">IFERROR(__xludf.DUMMYFUNCTION("""COMPUTED_VALUE"""),43262)</f>
        <v>43262</v>
      </c>
      <c r="J919">
        <f ca="1">IFERROR(__xludf.DUMMYFUNCTION("""COMPUTED_VALUE"""),3)</f>
        <v>3</v>
      </c>
      <c r="K919">
        <f ca="1">IFERROR(__xludf.DUMMYFUNCTION("""COMPUTED_VALUE"""),1166194021628)</f>
        <v>1166194021628</v>
      </c>
      <c r="L919" t="str">
        <f ca="1">IFERROR(__xludf.DUMMYFUNCTION("""COMPUTED_VALUE"""),"QUILANDI NORTH")</f>
        <v>QUILANDI NORTH</v>
      </c>
      <c r="M919" t="str">
        <f ca="1">IFERROR(__xludf.DUMMYFUNCTION("""COMPUTED_VALUE"""),"I Accept")</f>
        <v>I Accept</v>
      </c>
      <c r="N919" s="4">
        <f ca="1">IFERROR(__xludf.DUMMYFUNCTION("""COMPUTED_VALUE"""),43238)</f>
        <v>43238</v>
      </c>
      <c r="O919" s="4">
        <f ca="1">IFERROR(__xludf.DUMMYFUNCTION("""COMPUTED_VALUE"""),43238)</f>
        <v>43238</v>
      </c>
      <c r="P919">
        <f ca="1">IFERROR(__xludf.DUMMYFUNCTION("""COMPUTED_VALUE"""),3)</f>
        <v>3</v>
      </c>
      <c r="Q919" t="str">
        <f ca="1">IFERROR(__xludf.DUMMYFUNCTION("""COMPUTED_VALUE"""),"solarconnect2018@gmail.com")</f>
        <v>solarconnect2018@gmail.com</v>
      </c>
      <c r="R919" s="2" t="s">
        <v>3333</v>
      </c>
    </row>
    <row r="920" spans="1:18" ht="13" x14ac:dyDescent="0.15">
      <c r="A920" s="3">
        <f ca="1">IFERROR(__xludf.DUMMYFUNCTION("""COMPUTED_VALUE"""),43262.7102202083)</f>
        <v>43262.710220208297</v>
      </c>
      <c r="B920" t="str">
        <f ca="1">IFERROR(__xludf.DUMMYFUNCTION("""COMPUTED_VALUE"""),"nandana2000r@gmail.com")</f>
        <v>nandana2000r@gmail.com</v>
      </c>
      <c r="C920">
        <f ca="1">IFERROR(__xludf.DUMMYFUNCTION("""COMPUTED_VALUE"""),1191)</f>
        <v>1191</v>
      </c>
      <c r="D920" t="str">
        <f ca="1">IFERROR(__xludf.DUMMYFUNCTION("""COMPUTED_VALUE"""),"Bindhu Zachariyas")</f>
        <v>Bindhu Zachariyas</v>
      </c>
      <c r="E920">
        <f ca="1">IFERROR(__xludf.DUMMYFUNCTION("""COMPUTED_VALUE"""),7558881999)</f>
        <v>7558881999</v>
      </c>
      <c r="F920" t="str">
        <f ca="1">IFERROR(__xludf.DUMMYFUNCTION("""COMPUTED_VALUE"""),"Kottayam")</f>
        <v>Kottayam</v>
      </c>
      <c r="G920" t="str">
        <f ca="1">IFERROR(__xludf.DUMMYFUNCTION("""COMPUTED_VALUE"""),"TATA POWER SOLAR SYSTEMS LTD")</f>
        <v>TATA POWER SOLAR SYSTEMS LTD</v>
      </c>
      <c r="H920">
        <f ca="1">IFERROR(__xludf.DUMMYFUNCTION("""COMPUTED_VALUE"""),20)</f>
        <v>20</v>
      </c>
      <c r="I920" s="4">
        <f ca="1">IFERROR(__xludf.DUMMYFUNCTION("""COMPUTED_VALUE"""),43243)</f>
        <v>43243</v>
      </c>
      <c r="J920">
        <f ca="1">IFERROR(__xludf.DUMMYFUNCTION("""COMPUTED_VALUE"""),3)</f>
        <v>3</v>
      </c>
      <c r="K920">
        <f ca="1">IFERROR(__xludf.DUMMYFUNCTION("""COMPUTED_VALUE"""),1157070001022)</f>
        <v>1157070001022</v>
      </c>
      <c r="L920" t="str">
        <f ca="1">IFERROR(__xludf.DUMMYFUNCTION("""COMPUTED_VALUE"""),"Pallickathode")</f>
        <v>Pallickathode</v>
      </c>
      <c r="M920" t="str">
        <f ca="1">IFERROR(__xludf.DUMMYFUNCTION("""COMPUTED_VALUE"""),"I Accept")</f>
        <v>I Accept</v>
      </c>
      <c r="N920" s="4">
        <f ca="1">IFERROR(__xludf.DUMMYFUNCTION("""COMPUTED_VALUE"""),43242)</f>
        <v>43242</v>
      </c>
      <c r="O920" s="4">
        <f ca="1">IFERROR(__xludf.DUMMYFUNCTION("""COMPUTED_VALUE"""),43242)</f>
        <v>43242</v>
      </c>
      <c r="P920">
        <f ca="1">IFERROR(__xludf.DUMMYFUNCTION("""COMPUTED_VALUE"""),3)</f>
        <v>3</v>
      </c>
      <c r="Q920" t="str">
        <f ca="1">IFERROR(__xludf.DUMMYFUNCTION("""COMPUTED_VALUE"""),"nandana2000r@gmail.com")</f>
        <v>nandana2000r@gmail.com</v>
      </c>
      <c r="R920" s="2" t="s">
        <v>3334</v>
      </c>
    </row>
    <row r="921" spans="1:18" ht="13" x14ac:dyDescent="0.15">
      <c r="A921" s="3">
        <f ca="1">IFERROR(__xludf.DUMMYFUNCTION("""COMPUTED_VALUE"""),43262.9947178356)</f>
        <v>43262.994717835601</v>
      </c>
      <c r="B921" t="str">
        <f ca="1">IFERROR(__xludf.DUMMYFUNCTION("""COMPUTED_VALUE"""),"silverwoodsekm@gmail.com")</f>
        <v>silverwoodsekm@gmail.com</v>
      </c>
      <c r="C921">
        <f ca="1">IFERROR(__xludf.DUMMYFUNCTION("""COMPUTED_VALUE"""),828)</f>
        <v>828</v>
      </c>
      <c r="D921" t="str">
        <f ca="1">IFERROR(__xludf.DUMMYFUNCTION("""COMPUTED_VALUE"""),"T I RAJU")</f>
        <v>T I RAJU</v>
      </c>
      <c r="E921">
        <f ca="1">IFERROR(__xludf.DUMMYFUNCTION("""COMPUTED_VALUE"""),9526991110)</f>
        <v>9526991110</v>
      </c>
      <c r="F921" t="str">
        <f ca="1">IFERROR(__xludf.DUMMYFUNCTION("""COMPUTED_VALUE"""),"Ernakulam")</f>
        <v>Ernakulam</v>
      </c>
      <c r="G921" t="str">
        <f ca="1">IFERROR(__xludf.DUMMYFUNCTION("""COMPUTED_VALUE"""),"TATA POWER SOLAR SYSTEMS LTD")</f>
        <v>TATA POWER SOLAR SYSTEMS LTD</v>
      </c>
      <c r="H921">
        <f ca="1">IFERROR(__xludf.DUMMYFUNCTION("""COMPUTED_VALUE"""),20)</f>
        <v>20</v>
      </c>
      <c r="I921" s="4">
        <f ca="1">IFERROR(__xludf.DUMMYFUNCTION("""COMPUTED_VALUE"""),43228)</f>
        <v>43228</v>
      </c>
      <c r="J921">
        <f ca="1">IFERROR(__xludf.DUMMYFUNCTION("""COMPUTED_VALUE"""),10)</f>
        <v>10</v>
      </c>
      <c r="K921">
        <f ca="1">IFERROR(__xludf.DUMMYFUNCTION("""COMPUTED_VALUE"""),1155576025258)</f>
        <v>1155576025258</v>
      </c>
      <c r="L921" t="str">
        <f ca="1">IFERROR(__xludf.DUMMYFUNCTION("""COMPUTED_VALUE"""),"THRIKKAKARA")</f>
        <v>THRIKKAKARA</v>
      </c>
      <c r="M921" t="str">
        <f ca="1">IFERROR(__xludf.DUMMYFUNCTION("""COMPUTED_VALUE"""),"I Accept")</f>
        <v>I Accept</v>
      </c>
      <c r="N921" s="4">
        <f ca="1">IFERROR(__xludf.DUMMYFUNCTION("""COMPUTED_VALUE"""),43201)</f>
        <v>43201</v>
      </c>
      <c r="O921" s="4">
        <f ca="1">IFERROR(__xludf.DUMMYFUNCTION("""COMPUTED_VALUE"""),43201)</f>
        <v>43201</v>
      </c>
      <c r="P921">
        <f ca="1">IFERROR(__xludf.DUMMYFUNCTION("""COMPUTED_VALUE"""),10)</f>
        <v>10</v>
      </c>
      <c r="Q921" t="str">
        <f ca="1">IFERROR(__xludf.DUMMYFUNCTION("""COMPUTED_VALUE"""),"silverwoodsekm@gmail.com")</f>
        <v>silverwoodsekm@gmail.com</v>
      </c>
      <c r="R921" s="2" t="s">
        <v>3335</v>
      </c>
    </row>
    <row r="922" spans="1:18" ht="13" x14ac:dyDescent="0.15">
      <c r="A922" s="3">
        <f ca="1">IFERROR(__xludf.DUMMYFUNCTION("""COMPUTED_VALUE"""),43263.329606574)</f>
        <v>43263.329606574</v>
      </c>
      <c r="B922" t="str">
        <f ca="1">IFERROR(__xludf.DUMMYFUNCTION("""COMPUTED_VALUE"""),"technoguardes@gmail.com")</f>
        <v>technoguardes@gmail.com</v>
      </c>
      <c r="C922">
        <f ca="1">IFERROR(__xludf.DUMMYFUNCTION("""COMPUTED_VALUE"""),606)</f>
        <v>606</v>
      </c>
      <c r="D922" t="str">
        <f ca="1">IFERROR(__xludf.DUMMYFUNCTION("""COMPUTED_VALUE"""),"ANTONY T")</f>
        <v>ANTONY T</v>
      </c>
      <c r="E922">
        <f ca="1">IFERROR(__xludf.DUMMYFUNCTION("""COMPUTED_VALUE"""),9400020127)</f>
        <v>9400020127</v>
      </c>
      <c r="F922" t="str">
        <f ca="1">IFERROR(__xludf.DUMMYFUNCTION("""COMPUTED_VALUE"""),"Ernakulam")</f>
        <v>Ernakulam</v>
      </c>
      <c r="G922" t="str">
        <f ca="1">IFERROR(__xludf.DUMMYFUNCTION("""COMPUTED_VALUE"""),"TECHNOGUARDE INDUSREIES")</f>
        <v>TECHNOGUARDE INDUSREIES</v>
      </c>
      <c r="H922">
        <f ca="1">IFERROR(__xludf.DUMMYFUNCTION("""COMPUTED_VALUE"""),56)</f>
        <v>56</v>
      </c>
      <c r="I922" s="4">
        <f ca="1">IFERROR(__xludf.DUMMYFUNCTION("""COMPUTED_VALUE"""),43238)</f>
        <v>43238</v>
      </c>
      <c r="J922">
        <f ca="1">IFERROR(__xludf.DUMMYFUNCTION("""COMPUTED_VALUE"""),2)</f>
        <v>2</v>
      </c>
      <c r="K922">
        <f ca="1">IFERROR(__xludf.DUMMYFUNCTION("""COMPUTED_VALUE"""),1156020005418)</f>
        <v>1156020005418</v>
      </c>
      <c r="L922" t="str">
        <f ca="1">IFERROR(__xludf.DUMMYFUNCTION("""COMPUTED_VALUE"""),"VARAPUZHA")</f>
        <v>VARAPUZHA</v>
      </c>
      <c r="M922" t="str">
        <f ca="1">IFERROR(__xludf.DUMMYFUNCTION("""COMPUTED_VALUE"""),"I Accept")</f>
        <v>I Accept</v>
      </c>
      <c r="N922" s="4">
        <f ca="1">IFERROR(__xludf.DUMMYFUNCTION("""COMPUTED_VALUE"""),43193)</f>
        <v>43193</v>
      </c>
      <c r="O922" s="4">
        <f ca="1">IFERROR(__xludf.DUMMYFUNCTION("""COMPUTED_VALUE"""),43193)</f>
        <v>43193</v>
      </c>
      <c r="P922">
        <f ca="1">IFERROR(__xludf.DUMMYFUNCTION("""COMPUTED_VALUE"""),2)</f>
        <v>2</v>
      </c>
      <c r="Q922" t="str">
        <f ca="1">IFERROR(__xludf.DUMMYFUNCTION("""COMPUTED_VALUE"""),"technoguardes@gmail.com")</f>
        <v>technoguardes@gmail.com</v>
      </c>
      <c r="R922" s="2" t="s">
        <v>3336</v>
      </c>
    </row>
    <row r="923" spans="1:18" ht="13" x14ac:dyDescent="0.15">
      <c r="A923" s="3">
        <f ca="1">IFERROR(__xludf.DUMMYFUNCTION("""COMPUTED_VALUE"""),43263.3429615624)</f>
        <v>43263.342961562397</v>
      </c>
      <c r="B923" t="str">
        <f ca="1">IFERROR(__xludf.DUMMYFUNCTION("""COMPUTED_VALUE"""),"Johnjacob479@gmail.com")</f>
        <v>Johnjacob479@gmail.com</v>
      </c>
      <c r="C923">
        <f ca="1">IFERROR(__xludf.DUMMYFUNCTION("""COMPUTED_VALUE"""),836)</f>
        <v>836</v>
      </c>
      <c r="D923" t="str">
        <f ca="1">IFERROR(__xludf.DUMMYFUNCTION("""COMPUTED_VALUE"""),"Administrator manager Marthoma school ")</f>
        <v xml:space="preserve">Administrator manager Marthoma school </v>
      </c>
      <c r="E923">
        <f ca="1">IFERROR(__xludf.DUMMYFUNCTION("""COMPUTED_VALUE"""),9048615833)</f>
        <v>9048615833</v>
      </c>
      <c r="F923" t="str">
        <f ca="1">IFERROR(__xludf.DUMMYFUNCTION("""COMPUTED_VALUE"""),"Kasaragod")</f>
        <v>Kasaragod</v>
      </c>
      <c r="G923" t="str">
        <f ca="1">IFERROR(__xludf.DUMMYFUNCTION("""COMPUTED_VALUE"""),"Tata power solar ")</f>
        <v xml:space="preserve">Tata power solar </v>
      </c>
      <c r="H923">
        <f ca="1">IFERROR(__xludf.DUMMYFUNCTION("""COMPUTED_VALUE"""),20)</f>
        <v>20</v>
      </c>
      <c r="I923" s="4">
        <f ca="1">IFERROR(__xludf.DUMMYFUNCTION("""COMPUTED_VALUE"""),43263)</f>
        <v>43263</v>
      </c>
      <c r="J923">
        <f ca="1">IFERROR(__xludf.DUMMYFUNCTION("""COMPUTED_VALUE"""),20)</f>
        <v>20</v>
      </c>
      <c r="K923">
        <f ca="1">IFERROR(__xludf.DUMMYFUNCTION("""COMPUTED_VALUE"""),1166788012772)</f>
        <v>1166788012772</v>
      </c>
      <c r="L923" t="str">
        <f ca="1">IFERROR(__xludf.DUMMYFUNCTION("""COMPUTED_VALUE"""),"Cherkala ")</f>
        <v xml:space="preserve">Cherkala </v>
      </c>
      <c r="M923" t="str">
        <f ca="1">IFERROR(__xludf.DUMMYFUNCTION("""COMPUTED_VALUE"""),"I Accept")</f>
        <v>I Accept</v>
      </c>
      <c r="N923" s="4">
        <f ca="1">IFERROR(__xludf.DUMMYFUNCTION("""COMPUTED_VALUE"""),43249)</f>
        <v>43249</v>
      </c>
      <c r="O923" s="4">
        <f ca="1">IFERROR(__xludf.DUMMYFUNCTION("""COMPUTED_VALUE"""),43250)</f>
        <v>43250</v>
      </c>
      <c r="P923">
        <f ca="1">IFERROR(__xludf.DUMMYFUNCTION("""COMPUTED_VALUE"""),20)</f>
        <v>20</v>
      </c>
      <c r="Q923" t="str">
        <f ca="1">IFERROR(__xludf.DUMMYFUNCTION("""COMPUTED_VALUE"""),"Johnjacob479@gmail.com")</f>
        <v>Johnjacob479@gmail.com</v>
      </c>
      <c r="R923" s="2" t="s">
        <v>3337</v>
      </c>
    </row>
    <row r="924" spans="1:18" ht="13" x14ac:dyDescent="0.15">
      <c r="A924" s="3">
        <f ca="1">IFERROR(__xludf.DUMMYFUNCTION("""COMPUTED_VALUE"""),43263.37540125)</f>
        <v>43263.375401249999</v>
      </c>
      <c r="B924" t="str">
        <f ca="1">IFERROR(__xludf.DUMMYFUNCTION("""COMPUTED_VALUE"""),"tpsmalappuram@gmail.com")</f>
        <v>tpsmalappuram@gmail.com</v>
      </c>
      <c r="C924">
        <f ca="1">IFERROR(__xludf.DUMMYFUNCTION("""COMPUTED_VALUE"""),13)</f>
        <v>13</v>
      </c>
      <c r="D924" t="str">
        <f ca="1">IFERROR(__xludf.DUMMYFUNCTION("""COMPUTED_VALUE"""),"SARASWATHY MADHAVAN")</f>
        <v>SARASWATHY MADHAVAN</v>
      </c>
      <c r="E924">
        <f ca="1">IFERROR(__xludf.DUMMYFUNCTION("""COMPUTED_VALUE"""),9442768435)</f>
        <v>9442768435</v>
      </c>
      <c r="F924" t="str">
        <f ca="1">IFERROR(__xludf.DUMMYFUNCTION("""COMPUTED_VALUE"""),"Malappuram")</f>
        <v>Malappuram</v>
      </c>
      <c r="G924" t="str">
        <f ca="1">IFERROR(__xludf.DUMMYFUNCTION("""COMPUTED_VALUE"""),"TATA POWER SOLAR SYSTEMS LTD")</f>
        <v>TATA POWER SOLAR SYSTEMS LTD</v>
      </c>
      <c r="H924">
        <f ca="1">IFERROR(__xludf.DUMMYFUNCTION("""COMPUTED_VALUE"""),20)</f>
        <v>20</v>
      </c>
      <c r="I924" s="4">
        <f ca="1">IFERROR(__xludf.DUMMYFUNCTION("""COMPUTED_VALUE"""),43185)</f>
        <v>43185</v>
      </c>
      <c r="J924">
        <f ca="1">IFERROR(__xludf.DUMMYFUNCTION("""COMPUTED_VALUE"""),3)</f>
        <v>3</v>
      </c>
      <c r="K924">
        <f ca="1">IFERROR(__xludf.DUMMYFUNCTION("""COMPUTED_VALUE"""),1165433021399)</f>
        <v>1165433021399</v>
      </c>
      <c r="L924" t="str">
        <f ca="1">IFERROR(__xludf.DUMMYFUNCTION("""COMPUTED_VALUE"""),"NILAMBUR")</f>
        <v>NILAMBUR</v>
      </c>
      <c r="M924" t="str">
        <f ca="1">IFERROR(__xludf.DUMMYFUNCTION("""COMPUTED_VALUE"""),"I Accept")</f>
        <v>I Accept</v>
      </c>
      <c r="N924" s="4">
        <f ca="1">IFERROR(__xludf.DUMMYFUNCTION("""COMPUTED_VALUE"""),43183)</f>
        <v>43183</v>
      </c>
      <c r="O924" s="4">
        <f ca="1">IFERROR(__xludf.DUMMYFUNCTION("""COMPUTED_VALUE"""),43183)</f>
        <v>43183</v>
      </c>
      <c r="P924">
        <f ca="1">IFERROR(__xludf.DUMMYFUNCTION("""COMPUTED_VALUE"""),3)</f>
        <v>3</v>
      </c>
      <c r="Q924" t="str">
        <f ca="1">IFERROR(__xludf.DUMMYFUNCTION("""COMPUTED_VALUE"""),"tpsmalappuram@gmail.com")</f>
        <v>tpsmalappuram@gmail.com</v>
      </c>
      <c r="R924" s="2" t="s">
        <v>3338</v>
      </c>
    </row>
    <row r="925" spans="1:18" ht="13" x14ac:dyDescent="0.15">
      <c r="A925" s="3">
        <f ca="1">IFERROR(__xludf.DUMMYFUNCTION("""COMPUTED_VALUE"""),43263.391910949)</f>
        <v>43263.391910949002</v>
      </c>
      <c r="B925" t="str">
        <f ca="1">IFERROR(__xludf.DUMMYFUNCTION("""COMPUTED_VALUE"""),"tpsmalappuram@gmail.com")</f>
        <v>tpsmalappuram@gmail.com</v>
      </c>
      <c r="C925">
        <f ca="1">IFERROR(__xludf.DUMMYFUNCTION("""COMPUTED_VALUE"""),206)</f>
        <v>206</v>
      </c>
      <c r="D925" s="22" t="str">
        <f ca="1">IFERROR(__xludf.DUMMYFUNCTION("""COMPUTED_VALUE"""),"SAIDALAVI.EK")</f>
        <v>SAIDALAVI.EK</v>
      </c>
      <c r="E925">
        <f ca="1">IFERROR(__xludf.DUMMYFUNCTION("""COMPUTED_VALUE"""),9447268435)</f>
        <v>9447268435</v>
      </c>
      <c r="F925" t="str">
        <f ca="1">IFERROR(__xludf.DUMMYFUNCTION("""COMPUTED_VALUE"""),"Malappuram")</f>
        <v>Malappuram</v>
      </c>
      <c r="G925" t="str">
        <f ca="1">IFERROR(__xludf.DUMMYFUNCTION("""COMPUTED_VALUE"""),"TATA POWER SOLAR SYSTEMS LTD")</f>
        <v>TATA POWER SOLAR SYSTEMS LTD</v>
      </c>
      <c r="H925">
        <f ca="1">IFERROR(__xludf.DUMMYFUNCTION("""COMPUTED_VALUE"""),20)</f>
        <v>20</v>
      </c>
      <c r="I925" s="4">
        <f ca="1">IFERROR(__xludf.DUMMYFUNCTION("""COMPUTED_VALUE"""),43217)</f>
        <v>43217</v>
      </c>
      <c r="J925">
        <f ca="1">IFERROR(__xludf.DUMMYFUNCTION("""COMPUTED_VALUE"""),10)</f>
        <v>10</v>
      </c>
      <c r="K925">
        <f ca="1">IFERROR(__xludf.DUMMYFUNCTION("""COMPUTED_VALUE"""),1165565028206)</f>
        <v>1165565028206</v>
      </c>
      <c r="L925" t="str">
        <f ca="1">IFERROR(__xludf.DUMMYFUNCTION("""COMPUTED_VALUE"""),"VENGARA")</f>
        <v>VENGARA</v>
      </c>
      <c r="M925" t="str">
        <f ca="1">IFERROR(__xludf.DUMMYFUNCTION("""COMPUTED_VALUE"""),"I Accept")</f>
        <v>I Accept</v>
      </c>
      <c r="N925" s="4">
        <f ca="1">IFERROR(__xludf.DUMMYFUNCTION("""COMPUTED_VALUE"""),43209)</f>
        <v>43209</v>
      </c>
      <c r="O925" s="4">
        <f ca="1">IFERROR(__xludf.DUMMYFUNCTION("""COMPUTED_VALUE"""),43209)</f>
        <v>43209</v>
      </c>
      <c r="P925">
        <f ca="1">IFERROR(__xludf.DUMMYFUNCTION("""COMPUTED_VALUE"""),10)</f>
        <v>10</v>
      </c>
      <c r="Q925" t="str">
        <f ca="1">IFERROR(__xludf.DUMMYFUNCTION("""COMPUTED_VALUE"""),"tpsmalappuram@gmail.com")</f>
        <v>tpsmalappuram@gmail.com</v>
      </c>
      <c r="R925" s="2" t="s">
        <v>3339</v>
      </c>
    </row>
    <row r="926" spans="1:18" ht="13" x14ac:dyDescent="0.15">
      <c r="A926" s="3">
        <f ca="1">IFERROR(__xludf.DUMMYFUNCTION("""COMPUTED_VALUE"""),43263.3959286226)</f>
        <v>43263.395928622602</v>
      </c>
      <c r="B926" t="str">
        <f ca="1">IFERROR(__xludf.DUMMYFUNCTION("""COMPUTED_VALUE"""),"tpsmalappuram@gmail.com")</f>
        <v>tpsmalappuram@gmail.com</v>
      </c>
      <c r="C926">
        <f ca="1">IFERROR(__xludf.DUMMYFUNCTION("""COMPUTED_VALUE"""),207)</f>
        <v>207</v>
      </c>
      <c r="D926" t="str">
        <f ca="1">IFERROR(__xludf.DUMMYFUNCTION("""COMPUTED_VALUE"""),"VK.SANJO")</f>
        <v>VK.SANJO</v>
      </c>
      <c r="E926">
        <f ca="1">IFERROR(__xludf.DUMMYFUNCTION("""COMPUTED_VALUE"""),9447268435)</f>
        <v>9447268435</v>
      </c>
      <c r="F926" t="str">
        <f ca="1">IFERROR(__xludf.DUMMYFUNCTION("""COMPUTED_VALUE"""),"Malappuram")</f>
        <v>Malappuram</v>
      </c>
      <c r="G926" t="str">
        <f ca="1">IFERROR(__xludf.DUMMYFUNCTION("""COMPUTED_VALUE"""),"TATA POWER SOLAR SYSTEMS LTD")</f>
        <v>TATA POWER SOLAR SYSTEMS LTD</v>
      </c>
      <c r="H926">
        <f ca="1">IFERROR(__xludf.DUMMYFUNCTION("""COMPUTED_VALUE"""),20)</f>
        <v>20</v>
      </c>
      <c r="I926" s="4">
        <f ca="1">IFERROR(__xludf.DUMMYFUNCTION("""COMPUTED_VALUE"""),43220)</f>
        <v>43220</v>
      </c>
      <c r="J926">
        <f ca="1">IFERROR(__xludf.DUMMYFUNCTION("""COMPUTED_VALUE"""),10)</f>
        <v>10</v>
      </c>
      <c r="K926">
        <f ca="1">IFERROR(__xludf.DUMMYFUNCTION("""COMPUTED_VALUE"""),1165432023043)</f>
        <v>1165432023043</v>
      </c>
      <c r="L926" t="str">
        <f ca="1">IFERROR(__xludf.DUMMYFUNCTION("""COMPUTED_VALUE"""),"NILAMBUR")</f>
        <v>NILAMBUR</v>
      </c>
      <c r="M926" t="str">
        <f ca="1">IFERROR(__xludf.DUMMYFUNCTION("""COMPUTED_VALUE"""),"I Accept")</f>
        <v>I Accept</v>
      </c>
      <c r="N926" s="4">
        <f ca="1">IFERROR(__xludf.DUMMYFUNCTION("""COMPUTED_VALUE"""),43183)</f>
        <v>43183</v>
      </c>
      <c r="O926" s="4">
        <f ca="1">IFERROR(__xludf.DUMMYFUNCTION("""COMPUTED_VALUE"""),43183)</f>
        <v>43183</v>
      </c>
      <c r="P926">
        <f ca="1">IFERROR(__xludf.DUMMYFUNCTION("""COMPUTED_VALUE"""),10)</f>
        <v>10</v>
      </c>
      <c r="Q926" t="str">
        <f ca="1">IFERROR(__xludf.DUMMYFUNCTION("""COMPUTED_VALUE"""),"tpsmalappuram@gmail.com")</f>
        <v>tpsmalappuram@gmail.com</v>
      </c>
      <c r="R926" s="2" t="s">
        <v>3340</v>
      </c>
    </row>
    <row r="927" spans="1:18" ht="13" x14ac:dyDescent="0.15">
      <c r="A927" s="3">
        <f ca="1">IFERROR(__xludf.DUMMYFUNCTION("""COMPUTED_VALUE"""),43263.4041709027)</f>
        <v>43263.404170902701</v>
      </c>
      <c r="B927" t="str">
        <f ca="1">IFERROR(__xludf.DUMMYFUNCTION("""COMPUTED_VALUE"""),"tpsmalappuram@gmail.com")</f>
        <v>tpsmalappuram@gmail.com</v>
      </c>
      <c r="C927">
        <f ca="1">IFERROR(__xludf.DUMMYFUNCTION("""COMPUTED_VALUE"""),1154)</f>
        <v>1154</v>
      </c>
      <c r="D927" t="str">
        <f ca="1">IFERROR(__xludf.DUMMYFUNCTION("""COMPUTED_VALUE"""),"JAMEELA")</f>
        <v>JAMEELA</v>
      </c>
      <c r="E927">
        <f ca="1">IFERROR(__xludf.DUMMYFUNCTION("""COMPUTED_VALUE"""),9447268435)</f>
        <v>9447268435</v>
      </c>
      <c r="F927" t="str">
        <f ca="1">IFERROR(__xludf.DUMMYFUNCTION("""COMPUTED_VALUE"""),"Malappuram")</f>
        <v>Malappuram</v>
      </c>
      <c r="G927" t="str">
        <f ca="1">IFERROR(__xludf.DUMMYFUNCTION("""COMPUTED_VALUE"""),"TATA POWER SOLAR SYSTEMS LTD")</f>
        <v>TATA POWER SOLAR SYSTEMS LTD</v>
      </c>
      <c r="H927">
        <f ca="1">IFERROR(__xludf.DUMMYFUNCTION("""COMPUTED_VALUE"""),20)</f>
        <v>20</v>
      </c>
      <c r="I927" s="4">
        <f ca="1">IFERROR(__xludf.DUMMYFUNCTION("""COMPUTED_VALUE"""),43208)</f>
        <v>43208</v>
      </c>
      <c r="J927">
        <f ca="1">IFERROR(__xludf.DUMMYFUNCTION("""COMPUTED_VALUE"""),3)</f>
        <v>3</v>
      </c>
      <c r="K927">
        <f ca="1">IFERROR(__xludf.DUMMYFUNCTION("""COMPUTED_VALUE"""),1165542026389)</f>
        <v>1165542026389</v>
      </c>
      <c r="L927" t="str">
        <f ca="1">IFERROR(__xludf.DUMMYFUNCTION("""COMPUTED_VALUE"""),"VELLUVAMBRAM")</f>
        <v>VELLUVAMBRAM</v>
      </c>
      <c r="M927" t="str">
        <f ca="1">IFERROR(__xludf.DUMMYFUNCTION("""COMPUTED_VALUE"""),"I Accept")</f>
        <v>I Accept</v>
      </c>
      <c r="N927" s="4">
        <f ca="1">IFERROR(__xludf.DUMMYFUNCTION("""COMPUTED_VALUE"""),43188)</f>
        <v>43188</v>
      </c>
      <c r="O927" s="4">
        <f ca="1">IFERROR(__xludf.DUMMYFUNCTION("""COMPUTED_VALUE"""),43188)</f>
        <v>43188</v>
      </c>
      <c r="P927">
        <f ca="1">IFERROR(__xludf.DUMMYFUNCTION("""COMPUTED_VALUE"""),3)</f>
        <v>3</v>
      </c>
      <c r="Q927" t="str">
        <f ca="1">IFERROR(__xludf.DUMMYFUNCTION("""COMPUTED_VALUE"""),"tpsmalappuram@gmail.com")</f>
        <v>tpsmalappuram@gmail.com</v>
      </c>
      <c r="R927" s="2" t="s">
        <v>3341</v>
      </c>
    </row>
    <row r="928" spans="1:18" ht="13" x14ac:dyDescent="0.15">
      <c r="A928" s="3">
        <f ca="1">IFERROR(__xludf.DUMMYFUNCTION("""COMPUTED_VALUE"""),43263.4183785416)</f>
        <v>43263.418378541603</v>
      </c>
      <c r="B928" t="str">
        <f ca="1">IFERROR(__xludf.DUMMYFUNCTION("""COMPUTED_VALUE"""),"tpsmalappuram@gmail.com")</f>
        <v>tpsmalappuram@gmail.com</v>
      </c>
      <c r="C928">
        <f ca="1">IFERROR(__xludf.DUMMYFUNCTION("""COMPUTED_VALUE"""),928)</f>
        <v>928</v>
      </c>
      <c r="D928" t="str">
        <f ca="1">IFERROR(__xludf.DUMMYFUNCTION("""COMPUTED_VALUE"""),"PREMANANDAN NADUTHODY")</f>
        <v>PREMANANDAN NADUTHODY</v>
      </c>
      <c r="E928">
        <f ca="1">IFERROR(__xludf.DUMMYFUNCTION("""COMPUTED_VALUE"""),9447268435)</f>
        <v>9447268435</v>
      </c>
      <c r="F928" t="str">
        <f ca="1">IFERROR(__xludf.DUMMYFUNCTION("""COMPUTED_VALUE"""),"Malappuram")</f>
        <v>Malappuram</v>
      </c>
      <c r="G928" t="str">
        <f ca="1">IFERROR(__xludf.DUMMYFUNCTION("""COMPUTED_VALUE"""),"TATA POWER SOLAR SYSTEMS LTD")</f>
        <v>TATA POWER SOLAR SYSTEMS LTD</v>
      </c>
      <c r="H928">
        <f ca="1">IFERROR(__xludf.DUMMYFUNCTION("""COMPUTED_VALUE"""),20)</f>
        <v>20</v>
      </c>
      <c r="I928" s="4">
        <f ca="1">IFERROR(__xludf.DUMMYFUNCTION("""COMPUTED_VALUE"""),43189)</f>
        <v>43189</v>
      </c>
      <c r="J928">
        <f ca="1">IFERROR(__xludf.DUMMYFUNCTION("""COMPUTED_VALUE"""),3)</f>
        <v>3</v>
      </c>
      <c r="K928">
        <f ca="1">IFERROR(__xludf.DUMMYFUNCTION("""COMPUTED_VALUE"""),1165552032224)</f>
        <v>1165552032224</v>
      </c>
      <c r="L928" t="str">
        <f ca="1">IFERROR(__xludf.DUMMYFUNCTION("""COMPUTED_VALUE"""),"MALAPPURAM EAST")</f>
        <v>MALAPPURAM EAST</v>
      </c>
      <c r="M928" t="str">
        <f ca="1">IFERROR(__xludf.DUMMYFUNCTION("""COMPUTED_VALUE"""),"I Accept")</f>
        <v>I Accept</v>
      </c>
      <c r="N928" s="4">
        <f ca="1">IFERROR(__xludf.DUMMYFUNCTION("""COMPUTED_VALUE"""),43241)</f>
        <v>43241</v>
      </c>
      <c r="O928" s="4">
        <f ca="1">IFERROR(__xludf.DUMMYFUNCTION("""COMPUTED_VALUE"""),43241)</f>
        <v>43241</v>
      </c>
      <c r="P928">
        <f ca="1">IFERROR(__xludf.DUMMYFUNCTION("""COMPUTED_VALUE"""),3)</f>
        <v>3</v>
      </c>
      <c r="Q928" t="str">
        <f ca="1">IFERROR(__xludf.DUMMYFUNCTION("""COMPUTED_VALUE"""),"tpsmalappuram@gmail.com")</f>
        <v>tpsmalappuram@gmail.com</v>
      </c>
      <c r="R928" s="2" t="s">
        <v>3342</v>
      </c>
    </row>
    <row r="929" spans="1:18" ht="13" x14ac:dyDescent="0.15">
      <c r="A929" s="3">
        <f ca="1">IFERROR(__xludf.DUMMYFUNCTION("""COMPUTED_VALUE"""),43263.4226101388)</f>
        <v>43263.422610138798</v>
      </c>
      <c r="B929" t="str">
        <f ca="1">IFERROR(__xludf.DUMMYFUNCTION("""COMPUTED_VALUE"""),"tpsmalappuram@gmail.com")</f>
        <v>tpsmalappuram@gmail.com</v>
      </c>
      <c r="C929">
        <f ca="1">IFERROR(__xludf.DUMMYFUNCTION("""COMPUTED_VALUE"""),1151)</f>
        <v>1151</v>
      </c>
      <c r="D929" t="str">
        <f ca="1">IFERROR(__xludf.DUMMYFUNCTION("""COMPUTED_VALUE"""),"DHARMAPALAN.P")</f>
        <v>DHARMAPALAN.P</v>
      </c>
      <c r="E929">
        <f ca="1">IFERROR(__xludf.DUMMYFUNCTION("""COMPUTED_VALUE"""),9447268435)</f>
        <v>9447268435</v>
      </c>
      <c r="F929" t="str">
        <f ca="1">IFERROR(__xludf.DUMMYFUNCTION("""COMPUTED_VALUE"""),"Malappuram")</f>
        <v>Malappuram</v>
      </c>
      <c r="G929" t="str">
        <f ca="1">IFERROR(__xludf.DUMMYFUNCTION("""COMPUTED_VALUE"""),"TATA POWER SOLAR SYSTEMS LTD")</f>
        <v>TATA POWER SOLAR SYSTEMS LTD</v>
      </c>
      <c r="H929">
        <f ca="1">IFERROR(__xludf.DUMMYFUNCTION("""COMPUTED_VALUE"""),20)</f>
        <v>20</v>
      </c>
      <c r="I929" s="4">
        <f ca="1">IFERROR(__xludf.DUMMYFUNCTION("""COMPUTED_VALUE"""),43241)</f>
        <v>43241</v>
      </c>
      <c r="J929">
        <f ca="1">IFERROR(__xludf.DUMMYFUNCTION("""COMPUTED_VALUE"""),5)</f>
        <v>5</v>
      </c>
      <c r="K929">
        <f ca="1">IFERROR(__xludf.DUMMYFUNCTION("""COMPUTED_VALUE"""),1167106016575)</f>
        <v>1167106016575</v>
      </c>
      <c r="L929" t="str">
        <f ca="1">IFERROR(__xludf.DUMMYFUNCTION("""COMPUTED_VALUE"""),"THAZHEKODE")</f>
        <v>THAZHEKODE</v>
      </c>
      <c r="M929" t="str">
        <f ca="1">IFERROR(__xludf.DUMMYFUNCTION("""COMPUTED_VALUE"""),"I Accept")</f>
        <v>I Accept</v>
      </c>
      <c r="N929" s="4">
        <f ca="1">IFERROR(__xludf.DUMMYFUNCTION("""COMPUTED_VALUE"""),43224)</f>
        <v>43224</v>
      </c>
      <c r="O929" s="4">
        <f ca="1">IFERROR(__xludf.DUMMYFUNCTION("""COMPUTED_VALUE"""),43224)</f>
        <v>43224</v>
      </c>
      <c r="P929">
        <f ca="1">IFERROR(__xludf.DUMMYFUNCTION("""COMPUTED_VALUE"""),5)</f>
        <v>5</v>
      </c>
      <c r="Q929" t="str">
        <f ca="1">IFERROR(__xludf.DUMMYFUNCTION("""COMPUTED_VALUE"""),"tpsmalappuram@gmail.com")</f>
        <v>tpsmalappuram@gmail.com</v>
      </c>
      <c r="R929" s="2" t="s">
        <v>3343</v>
      </c>
    </row>
    <row r="930" spans="1:18" ht="13" x14ac:dyDescent="0.15">
      <c r="A930" s="3">
        <f ca="1">IFERROR(__xludf.DUMMYFUNCTION("""COMPUTED_VALUE"""),43263.4263792245)</f>
        <v>43263.426379224496</v>
      </c>
      <c r="B930" t="str">
        <f ca="1">IFERROR(__xludf.DUMMYFUNCTION("""COMPUTED_VALUE"""),"solarconnect2018@gmail.com")</f>
        <v>solarconnect2018@gmail.com</v>
      </c>
      <c r="C930">
        <f ca="1">IFERROR(__xludf.DUMMYFUNCTION("""COMPUTED_VALUE"""),1121)</f>
        <v>1121</v>
      </c>
      <c r="D930" t="str">
        <f ca="1">IFERROR(__xludf.DUMMYFUNCTION("""COMPUTED_VALUE"""),"JANARDHANAN P P")</f>
        <v>JANARDHANAN P P</v>
      </c>
      <c r="E930">
        <f ca="1">IFERROR(__xludf.DUMMYFUNCTION("""COMPUTED_VALUE"""),7012610990)</f>
        <v>7012610990</v>
      </c>
      <c r="F930" t="str">
        <f ca="1">IFERROR(__xludf.DUMMYFUNCTION("""COMPUTED_VALUE"""),"Kannur")</f>
        <v>Kannur</v>
      </c>
      <c r="G930" t="str">
        <f ca="1">IFERROR(__xludf.DUMMYFUNCTION("""COMPUTED_VALUE"""),"SPECTRUM TECHNO PRODUCTS")</f>
        <v>SPECTRUM TECHNO PRODUCTS</v>
      </c>
      <c r="H930">
        <f ca="1">IFERROR(__xludf.DUMMYFUNCTION("""COMPUTED_VALUE"""),66)</f>
        <v>66</v>
      </c>
      <c r="I930" s="4">
        <f ca="1">IFERROR(__xludf.DUMMYFUNCTION("""COMPUTED_VALUE"""),43262)</f>
        <v>43262</v>
      </c>
      <c r="J930">
        <f ca="1">IFERROR(__xludf.DUMMYFUNCTION("""COMPUTED_VALUE"""),3)</f>
        <v>3</v>
      </c>
      <c r="K930">
        <f ca="1">IFERROR(__xludf.DUMMYFUNCTION("""COMPUTED_VALUE"""),1166518005060)</f>
        <v>1166518005060</v>
      </c>
      <c r="L930" t="str">
        <f ca="1">IFERROR(__xludf.DUMMYFUNCTION("""COMPUTED_VALUE"""),"KARIVELLUR")</f>
        <v>KARIVELLUR</v>
      </c>
      <c r="M930" t="str">
        <f ca="1">IFERROR(__xludf.DUMMYFUNCTION("""COMPUTED_VALUE"""),"I Accept")</f>
        <v>I Accept</v>
      </c>
      <c r="N930" s="4">
        <f ca="1">IFERROR(__xludf.DUMMYFUNCTION("""COMPUTED_VALUE"""),43223)</f>
        <v>43223</v>
      </c>
      <c r="O930" s="4">
        <f ca="1">IFERROR(__xludf.DUMMYFUNCTION("""COMPUTED_VALUE"""),43223)</f>
        <v>43223</v>
      </c>
      <c r="P930">
        <f ca="1">IFERROR(__xludf.DUMMYFUNCTION("""COMPUTED_VALUE"""),3)</f>
        <v>3</v>
      </c>
      <c r="Q930" t="str">
        <f ca="1">IFERROR(__xludf.DUMMYFUNCTION("""COMPUTED_VALUE"""),"solarconnect2018@gmail.com")</f>
        <v>solarconnect2018@gmail.com</v>
      </c>
      <c r="R930" s="2" t="s">
        <v>3344</v>
      </c>
    </row>
    <row r="931" spans="1:18" ht="13" x14ac:dyDescent="0.15">
      <c r="A931" s="3">
        <f ca="1">IFERROR(__xludf.DUMMYFUNCTION("""COMPUTED_VALUE"""),43263.4272110648)</f>
        <v>43263.427211064802</v>
      </c>
      <c r="B931" t="str">
        <f ca="1">IFERROR(__xludf.DUMMYFUNCTION("""COMPUTED_VALUE"""),"tpsmalappuram@gmail.com")</f>
        <v>tpsmalappuram@gmail.com</v>
      </c>
      <c r="C931">
        <f ca="1">IFERROR(__xludf.DUMMYFUNCTION("""COMPUTED_VALUE"""),929)</f>
        <v>929</v>
      </c>
      <c r="D931" s="22" t="str">
        <f ca="1">IFERROR(__xludf.DUMMYFUNCTION("""COMPUTED_VALUE"""),"Dr.VIJAY.PG")</f>
        <v>Dr.VIJAY.PG</v>
      </c>
      <c r="E931">
        <f ca="1">IFERROR(__xludf.DUMMYFUNCTION("""COMPUTED_VALUE"""),9447268435)</f>
        <v>9447268435</v>
      </c>
      <c r="F931" t="str">
        <f ca="1">IFERROR(__xludf.DUMMYFUNCTION("""COMPUTED_VALUE"""),"Malappuram")</f>
        <v>Malappuram</v>
      </c>
      <c r="G931" t="str">
        <f ca="1">IFERROR(__xludf.DUMMYFUNCTION("""COMPUTED_VALUE"""),"TATA POWER SOLAR SYSTEMS LTD")</f>
        <v>TATA POWER SOLAR SYSTEMS LTD</v>
      </c>
      <c r="H931">
        <f ca="1">IFERROR(__xludf.DUMMYFUNCTION("""COMPUTED_VALUE"""),20)</f>
        <v>20</v>
      </c>
      <c r="I931" s="4">
        <f ca="1">IFERROR(__xludf.DUMMYFUNCTION("""COMPUTED_VALUE"""),43250)</f>
        <v>43250</v>
      </c>
      <c r="J931">
        <f ca="1">IFERROR(__xludf.DUMMYFUNCTION("""COMPUTED_VALUE"""),3)</f>
        <v>3</v>
      </c>
      <c r="K931">
        <f ca="1">IFERROR(__xludf.DUMMYFUNCTION("""COMPUTED_VALUE"""),1167108014286)</f>
        <v>1167108014286</v>
      </c>
      <c r="L931" t="str">
        <f ca="1">IFERROR(__xludf.DUMMYFUNCTION("""COMPUTED_VALUE"""),"THAZHEKODE")</f>
        <v>THAZHEKODE</v>
      </c>
      <c r="M931" t="str">
        <f ca="1">IFERROR(__xludf.DUMMYFUNCTION("""COMPUTED_VALUE"""),"I Accept")</f>
        <v>I Accept</v>
      </c>
      <c r="N931" s="4">
        <f ca="1">IFERROR(__xludf.DUMMYFUNCTION("""COMPUTED_VALUE"""),43224)</f>
        <v>43224</v>
      </c>
      <c r="O931" s="4">
        <f ca="1">IFERROR(__xludf.DUMMYFUNCTION("""COMPUTED_VALUE"""),43224)</f>
        <v>43224</v>
      </c>
      <c r="P931">
        <f ca="1">IFERROR(__xludf.DUMMYFUNCTION("""COMPUTED_VALUE"""),5)</f>
        <v>5</v>
      </c>
      <c r="Q931" t="str">
        <f ca="1">IFERROR(__xludf.DUMMYFUNCTION("""COMPUTED_VALUE"""),"tpsmalappuram@gmail.com")</f>
        <v>tpsmalappuram@gmail.com</v>
      </c>
      <c r="R931" s="2" t="s">
        <v>3345</v>
      </c>
    </row>
    <row r="932" spans="1:18" ht="13" x14ac:dyDescent="0.15">
      <c r="A932" s="3">
        <f ca="1">IFERROR(__xludf.DUMMYFUNCTION("""COMPUTED_VALUE"""),43263.4286800347)</f>
        <v>43263.428680034704</v>
      </c>
      <c r="B932" t="str">
        <f ca="1">IFERROR(__xludf.DUMMYFUNCTION("""COMPUTED_VALUE"""),"sissybijoykpt@gmail.com")</f>
        <v>sissybijoykpt@gmail.com</v>
      </c>
      <c r="C932">
        <f ca="1">IFERROR(__xludf.DUMMYFUNCTION("""COMPUTED_VALUE"""),414)</f>
        <v>414</v>
      </c>
      <c r="D932" t="str">
        <f ca="1">IFERROR(__xludf.DUMMYFUNCTION("""COMPUTED_VALUE"""),"sissy bijoy")</f>
        <v>sissy bijoy</v>
      </c>
      <c r="E932">
        <f ca="1">IFERROR(__xludf.DUMMYFUNCTION("""COMPUTED_VALUE"""),9496386298)</f>
        <v>9496386298</v>
      </c>
      <c r="F932" t="str">
        <f ca="1">IFERROR(__xludf.DUMMYFUNCTION("""COMPUTED_VALUE"""),"Wayanad")</f>
        <v>Wayanad</v>
      </c>
      <c r="G932" t="str">
        <f ca="1">IFERROR(__xludf.DUMMYFUNCTION("""COMPUTED_VALUE"""),"tata power solar")</f>
        <v>tata power solar</v>
      </c>
      <c r="H932">
        <f ca="1">IFERROR(__xludf.DUMMYFUNCTION("""COMPUTED_VALUE"""),20)</f>
        <v>20</v>
      </c>
      <c r="I932" s="4">
        <f ca="1">IFERROR(__xludf.DUMMYFUNCTION("""COMPUTED_VALUE"""),43221)</f>
        <v>43221</v>
      </c>
      <c r="J932">
        <f ca="1">IFERROR(__xludf.DUMMYFUNCTION("""COMPUTED_VALUE"""),5)</f>
        <v>5</v>
      </c>
      <c r="K932">
        <f ca="1">IFERROR(__xludf.DUMMYFUNCTION("""COMPUTED_VALUE"""),1165869006206)</f>
        <v>1165869006206</v>
      </c>
      <c r="L932" t="str">
        <f ca="1">IFERROR(__xludf.DUMMYFUNCTION("""COMPUTED_VALUE"""),"kalpetta")</f>
        <v>kalpetta</v>
      </c>
      <c r="M932" t="str">
        <f ca="1">IFERROR(__xludf.DUMMYFUNCTION("""COMPUTED_VALUE"""),"I Accept")</f>
        <v>I Accept</v>
      </c>
      <c r="N932" s="4">
        <f ca="1">IFERROR(__xludf.DUMMYFUNCTION("""COMPUTED_VALUE"""),43221)</f>
        <v>43221</v>
      </c>
      <c r="O932" s="4">
        <f ca="1">IFERROR(__xludf.DUMMYFUNCTION("""COMPUTED_VALUE"""),43221)</f>
        <v>43221</v>
      </c>
      <c r="P932">
        <f ca="1">IFERROR(__xludf.DUMMYFUNCTION("""COMPUTED_VALUE"""),5)</f>
        <v>5</v>
      </c>
      <c r="Q932" t="str">
        <f ca="1">IFERROR(__xludf.DUMMYFUNCTION("""COMPUTED_VALUE"""),"sissybijoykpt@gmail.com")</f>
        <v>sissybijoykpt@gmail.com</v>
      </c>
      <c r="R932" s="2" t="s">
        <v>3346</v>
      </c>
    </row>
    <row r="933" spans="1:18" ht="13" x14ac:dyDescent="0.15">
      <c r="A933" s="3">
        <f ca="1">IFERROR(__xludf.DUMMYFUNCTION("""COMPUTED_VALUE"""),43263.4288897569)</f>
        <v>43263.428889756899</v>
      </c>
      <c r="B933" t="str">
        <f ca="1">IFERROR(__xludf.DUMMYFUNCTION("""COMPUTED_VALUE"""),"kmatewalexander@yahoo.com")</f>
        <v>kmatewalexander@yahoo.com</v>
      </c>
      <c r="C933">
        <f ca="1">IFERROR(__xludf.DUMMYFUNCTION("""COMPUTED_VALUE"""),383)</f>
        <v>383</v>
      </c>
      <c r="D933" t="str">
        <f ca="1">IFERROR(__xludf.DUMMYFUNCTION("""COMPUTED_VALUE"""),"K M Alexander")</f>
        <v>K M Alexander</v>
      </c>
      <c r="E933">
        <f ca="1">IFERROR(__xludf.DUMMYFUNCTION("""COMPUTED_VALUE"""),9847361122)</f>
        <v>9847361122</v>
      </c>
      <c r="F933" t="str">
        <f ca="1">IFERROR(__xludf.DUMMYFUNCTION("""COMPUTED_VALUE"""),"Ernakulam")</f>
        <v>Ernakulam</v>
      </c>
      <c r="G933" t="str">
        <f ca="1">IFERROR(__xludf.DUMMYFUNCTION("""COMPUTED_VALUE"""),"enArka India Pvt Ltd")</f>
        <v>enArka India Pvt Ltd</v>
      </c>
      <c r="H933">
        <f ca="1">IFERROR(__xludf.DUMMYFUNCTION("""COMPUTED_VALUE"""),17)</f>
        <v>17</v>
      </c>
      <c r="I933" s="4">
        <f ca="1">IFERROR(__xludf.DUMMYFUNCTION("""COMPUTED_VALUE"""),43262)</f>
        <v>43262</v>
      </c>
      <c r="J933">
        <f ca="1">IFERROR(__xludf.DUMMYFUNCTION("""COMPUTED_VALUE"""),5)</f>
        <v>5</v>
      </c>
      <c r="K933">
        <f ca="1">IFERROR(__xludf.DUMMYFUNCTION("""COMPUTED_VALUE"""),1155976028142)</f>
        <v>1155976028142</v>
      </c>
      <c r="L933" t="str">
        <f ca="1">IFERROR(__xludf.DUMMYFUNCTION("""COMPUTED_VALUE"""),"Piravom")</f>
        <v>Piravom</v>
      </c>
      <c r="M933" t="str">
        <f ca="1">IFERROR(__xludf.DUMMYFUNCTION("""COMPUTED_VALUE"""),"I Accept")</f>
        <v>I Accept</v>
      </c>
      <c r="N933" s="4">
        <f ca="1">IFERROR(__xludf.DUMMYFUNCTION("""COMPUTED_VALUE"""),43084)</f>
        <v>43084</v>
      </c>
      <c r="O933" s="4">
        <f ca="1">IFERROR(__xludf.DUMMYFUNCTION("""COMPUTED_VALUE"""),43084)</f>
        <v>43084</v>
      </c>
      <c r="P933">
        <f ca="1">IFERROR(__xludf.DUMMYFUNCTION("""COMPUTED_VALUE"""),6)</f>
        <v>6</v>
      </c>
      <c r="Q933" t="str">
        <f ca="1">IFERROR(__xludf.DUMMYFUNCTION("""COMPUTED_VALUE"""),"rajumootheadan@gmail.com")</f>
        <v>rajumootheadan@gmail.com</v>
      </c>
      <c r="R933" s="2" t="s">
        <v>3347</v>
      </c>
    </row>
    <row r="934" spans="1:18" ht="13" x14ac:dyDescent="0.15">
      <c r="A934" s="3">
        <f ca="1">IFERROR(__xludf.DUMMYFUNCTION("""COMPUTED_VALUE"""),43263.4328896527)</f>
        <v>43263.4328896527</v>
      </c>
      <c r="B934" t="str">
        <f ca="1">IFERROR(__xludf.DUMMYFUNCTION("""COMPUTED_VALUE"""),"kurivillajoseph873@gmail.com")</f>
        <v>kurivillajoseph873@gmail.com</v>
      </c>
      <c r="C934">
        <f ca="1">IFERROR(__xludf.DUMMYFUNCTION("""COMPUTED_VALUE"""),416)</f>
        <v>416</v>
      </c>
      <c r="D934" t="str">
        <f ca="1">IFERROR(__xludf.DUMMYFUNCTION("""COMPUTED_VALUE"""),"kuruvilla joseph")</f>
        <v>kuruvilla joseph</v>
      </c>
      <c r="E934">
        <f ca="1">IFERROR(__xludf.DUMMYFUNCTION("""COMPUTED_VALUE"""),85470386389)</f>
        <v>85470386389</v>
      </c>
      <c r="F934" t="str">
        <f ca="1">IFERROR(__xludf.DUMMYFUNCTION("""COMPUTED_VALUE"""),"Wayanad")</f>
        <v>Wayanad</v>
      </c>
      <c r="G934" t="str">
        <f ca="1">IFERROR(__xludf.DUMMYFUNCTION("""COMPUTED_VALUE"""),"tata power solar")</f>
        <v>tata power solar</v>
      </c>
      <c r="H934">
        <f ca="1">IFERROR(__xludf.DUMMYFUNCTION("""COMPUTED_VALUE"""),20)</f>
        <v>20</v>
      </c>
      <c r="I934" s="4">
        <f ca="1">IFERROR(__xludf.DUMMYFUNCTION("""COMPUTED_VALUE"""),43145)</f>
        <v>43145</v>
      </c>
      <c r="J934">
        <f ca="1">IFERROR(__xludf.DUMMYFUNCTION("""COMPUTED_VALUE"""),20)</f>
        <v>20</v>
      </c>
      <c r="K934">
        <f ca="1">IFERROR(__xludf.DUMMYFUNCTION("""COMPUTED_VALUE"""),1165885002376)</f>
        <v>1165885002376</v>
      </c>
      <c r="L934" t="str">
        <f ca="1">IFERROR(__xludf.DUMMYFUNCTION("""COMPUTED_VALUE"""),"meppadi")</f>
        <v>meppadi</v>
      </c>
      <c r="M934" t="str">
        <f ca="1">IFERROR(__xludf.DUMMYFUNCTION("""COMPUTED_VALUE"""),"I Accept")</f>
        <v>I Accept</v>
      </c>
      <c r="N934" s="4">
        <f ca="1">IFERROR(__xludf.DUMMYFUNCTION("""COMPUTED_VALUE"""),43259)</f>
        <v>43259</v>
      </c>
      <c r="O934" s="4">
        <f ca="1">IFERROR(__xludf.DUMMYFUNCTION("""COMPUTED_VALUE"""),43259)</f>
        <v>43259</v>
      </c>
      <c r="P934">
        <f ca="1">IFERROR(__xludf.DUMMYFUNCTION("""COMPUTED_VALUE"""),20)</f>
        <v>20</v>
      </c>
      <c r="Q934" t="str">
        <f ca="1">IFERROR(__xludf.DUMMYFUNCTION("""COMPUTED_VALUE"""),"kurivillajoseph873@gmail.com")</f>
        <v>kurivillajoseph873@gmail.com</v>
      </c>
      <c r="R934" s="2" t="s">
        <v>3348</v>
      </c>
    </row>
    <row r="935" spans="1:18" ht="13" x14ac:dyDescent="0.15">
      <c r="A935" s="3">
        <f ca="1">IFERROR(__xludf.DUMMYFUNCTION("""COMPUTED_VALUE"""),43263.4360090393)</f>
        <v>43263.436009039302</v>
      </c>
      <c r="B935" t="str">
        <f ca="1">IFERROR(__xludf.DUMMYFUNCTION("""COMPUTED_VALUE"""),"tpsmalappuram@gmail.com")</f>
        <v>tpsmalappuram@gmail.com</v>
      </c>
      <c r="C935">
        <f ca="1">IFERROR(__xludf.DUMMYFUNCTION("""COMPUTED_VALUE"""),1103)</f>
        <v>1103</v>
      </c>
      <c r="D935" t="str">
        <f ca="1">IFERROR(__xludf.DUMMYFUNCTION("""COMPUTED_VALUE"""),"HAMZA.M")</f>
        <v>HAMZA.M</v>
      </c>
      <c r="E935">
        <f ca="1">IFERROR(__xludf.DUMMYFUNCTION("""COMPUTED_VALUE"""),9447268435)</f>
        <v>9447268435</v>
      </c>
      <c r="F935" t="str">
        <f ca="1">IFERROR(__xludf.DUMMYFUNCTION("""COMPUTED_VALUE"""),"Malappuram")</f>
        <v>Malappuram</v>
      </c>
      <c r="G935" t="str">
        <f ca="1">IFERROR(__xludf.DUMMYFUNCTION("""COMPUTED_VALUE"""),"TATA POWER SOLAR SYSTEMS LTD")</f>
        <v>TATA POWER SOLAR SYSTEMS LTD</v>
      </c>
      <c r="H935">
        <f ca="1">IFERROR(__xludf.DUMMYFUNCTION("""COMPUTED_VALUE"""),20)</f>
        <v>20</v>
      </c>
      <c r="I935" s="4">
        <f ca="1">IFERROR(__xludf.DUMMYFUNCTION("""COMPUTED_VALUE"""),43251)</f>
        <v>43251</v>
      </c>
      <c r="J935">
        <f ca="1">IFERROR(__xludf.DUMMYFUNCTION("""COMPUTED_VALUE"""),5)</f>
        <v>5</v>
      </c>
      <c r="K935">
        <f ca="1">IFERROR(__xludf.DUMMYFUNCTION("""COMPUTED_VALUE"""),1165627008710)</f>
        <v>1165627008710</v>
      </c>
      <c r="L935" t="str">
        <f ca="1">IFERROR(__xludf.DUMMYFUNCTION("""COMPUTED_VALUE"""),"PERINTHALMANNA")</f>
        <v>PERINTHALMANNA</v>
      </c>
      <c r="M935" t="str">
        <f ca="1">IFERROR(__xludf.DUMMYFUNCTION("""COMPUTED_VALUE"""),"I Accept")</f>
        <v>I Accept</v>
      </c>
      <c r="N935" s="4">
        <f ca="1">IFERROR(__xludf.DUMMYFUNCTION("""COMPUTED_VALUE"""),43237)</f>
        <v>43237</v>
      </c>
      <c r="O935" s="4">
        <f ca="1">IFERROR(__xludf.DUMMYFUNCTION("""COMPUTED_VALUE"""),43237)</f>
        <v>43237</v>
      </c>
      <c r="P935">
        <f ca="1">IFERROR(__xludf.DUMMYFUNCTION("""COMPUTED_VALUE"""),5)</f>
        <v>5</v>
      </c>
      <c r="Q935" t="str">
        <f ca="1">IFERROR(__xludf.DUMMYFUNCTION("""COMPUTED_VALUE"""),"tpsmalappuram@gmail.com")</f>
        <v>tpsmalappuram@gmail.com</v>
      </c>
      <c r="R935" s="2" t="s">
        <v>3349</v>
      </c>
    </row>
    <row r="936" spans="1:18" ht="13" x14ac:dyDescent="0.15">
      <c r="A936" s="3">
        <f ca="1">IFERROR(__xludf.DUMMYFUNCTION("""COMPUTED_VALUE"""),43263.4374468865)</f>
        <v>43263.437446886499</v>
      </c>
      <c r="B936" t="str">
        <f ca="1">IFERROR(__xludf.DUMMYFUNCTION("""COMPUTED_VALUE"""),"kjjamejoseph@gmail.com")</f>
        <v>kjjamejoseph@gmail.com</v>
      </c>
      <c r="C936">
        <f ca="1">IFERROR(__xludf.DUMMYFUNCTION("""COMPUTED_VALUE"""),415)</f>
        <v>415</v>
      </c>
      <c r="D936" t="str">
        <f ca="1">IFERROR(__xludf.DUMMYFUNCTION("""COMPUTED_VALUE"""),"jamesjoseph")</f>
        <v>jamesjoseph</v>
      </c>
      <c r="E936">
        <f ca="1">IFERROR(__xludf.DUMMYFUNCTION("""COMPUTED_VALUE"""),9496386298)</f>
        <v>9496386298</v>
      </c>
      <c r="F936" t="str">
        <f ca="1">IFERROR(__xludf.DUMMYFUNCTION("""COMPUTED_VALUE"""),"Wayanad")</f>
        <v>Wayanad</v>
      </c>
      <c r="G936" t="str">
        <f ca="1">IFERROR(__xludf.DUMMYFUNCTION("""COMPUTED_VALUE"""),"tata power solar")</f>
        <v>tata power solar</v>
      </c>
      <c r="H936">
        <f ca="1">IFERROR(__xludf.DUMMYFUNCTION("""COMPUTED_VALUE"""),20)</f>
        <v>20</v>
      </c>
      <c r="I936" s="4">
        <f ca="1">IFERROR(__xludf.DUMMYFUNCTION("""COMPUTED_VALUE"""),43157)</f>
        <v>43157</v>
      </c>
      <c r="J936">
        <f ca="1">IFERROR(__xludf.DUMMYFUNCTION("""COMPUTED_VALUE"""),3)</f>
        <v>3</v>
      </c>
      <c r="K936">
        <f ca="1">IFERROR(__xludf.DUMMYFUNCTION("""COMPUTED_VALUE"""),1165900009628)</f>
        <v>1165900009628</v>
      </c>
      <c r="L936" t="str">
        <f ca="1">IFERROR(__xludf.DUMMYFUNCTION("""COMPUTED_VALUE"""),"panamaram")</f>
        <v>panamaram</v>
      </c>
      <c r="M936" t="str">
        <f ca="1">IFERROR(__xludf.DUMMYFUNCTION("""COMPUTED_VALUE"""),"I Accept")</f>
        <v>I Accept</v>
      </c>
      <c r="N936" s="4">
        <f ca="1">IFERROR(__xludf.DUMMYFUNCTION("""COMPUTED_VALUE"""),43157)</f>
        <v>43157</v>
      </c>
      <c r="O936" s="4">
        <f ca="1">IFERROR(__xludf.DUMMYFUNCTION("""COMPUTED_VALUE"""),43157)</f>
        <v>43157</v>
      </c>
      <c r="P936">
        <f ca="1">IFERROR(__xludf.DUMMYFUNCTION("""COMPUTED_VALUE"""),3)</f>
        <v>3</v>
      </c>
      <c r="Q936" t="str">
        <f ca="1">IFERROR(__xludf.DUMMYFUNCTION("""COMPUTED_VALUE"""),"kjjamejoseph@gmail.com")</f>
        <v>kjjamejoseph@gmail.com</v>
      </c>
      <c r="R936" s="2" t="s">
        <v>3350</v>
      </c>
    </row>
    <row r="937" spans="1:18" ht="13" x14ac:dyDescent="0.15">
      <c r="A937" s="3">
        <f ca="1">IFERROR(__xludf.DUMMYFUNCTION("""COMPUTED_VALUE"""),43263.4434390856)</f>
        <v>43263.443439085597</v>
      </c>
      <c r="B937" t="str">
        <f ca="1">IFERROR(__xludf.DUMMYFUNCTION("""COMPUTED_VALUE"""),"naufeltms@gmail.com")</f>
        <v>naufeltms@gmail.com</v>
      </c>
      <c r="C937">
        <f ca="1">IFERROR(__xludf.DUMMYFUNCTION("""COMPUTED_VALUE"""),238)</f>
        <v>238</v>
      </c>
      <c r="D937" t="str">
        <f ca="1">IFERROR(__xludf.DUMMYFUNCTION("""COMPUTED_VALUE"""),"noufal.t")</f>
        <v>noufal.t</v>
      </c>
      <c r="E937">
        <f ca="1">IFERROR(__xludf.DUMMYFUNCTION("""COMPUTED_VALUE"""),8547038639)</f>
        <v>8547038639</v>
      </c>
      <c r="F937" t="str">
        <f ca="1">IFERROR(__xludf.DUMMYFUNCTION("""COMPUTED_VALUE"""),"Wayanad")</f>
        <v>Wayanad</v>
      </c>
      <c r="G937" t="str">
        <f ca="1">IFERROR(__xludf.DUMMYFUNCTION("""COMPUTED_VALUE"""),"tata power solar")</f>
        <v>tata power solar</v>
      </c>
      <c r="H937">
        <f ca="1">IFERROR(__xludf.DUMMYFUNCTION("""COMPUTED_VALUE"""),20)</f>
        <v>20</v>
      </c>
      <c r="I937" s="4">
        <f ca="1">IFERROR(__xludf.DUMMYFUNCTION("""COMPUTED_VALUE"""),43171)</f>
        <v>43171</v>
      </c>
      <c r="J937">
        <f ca="1">IFERROR(__xludf.DUMMYFUNCTION("""COMPUTED_VALUE"""),5)</f>
        <v>5</v>
      </c>
      <c r="K937">
        <f ca="1">IFERROR(__xludf.DUMMYFUNCTION("""COMPUTED_VALUE"""),1167207021311)</f>
        <v>1167207021311</v>
      </c>
      <c r="L937" t="str">
        <f ca="1">IFERROR(__xludf.DUMMYFUNCTION("""COMPUTED_VALUE"""),"meenangadi")</f>
        <v>meenangadi</v>
      </c>
      <c r="M937" t="str">
        <f ca="1">IFERROR(__xludf.DUMMYFUNCTION("""COMPUTED_VALUE"""),"I Accept")</f>
        <v>I Accept</v>
      </c>
      <c r="N937" s="4">
        <f ca="1">IFERROR(__xludf.DUMMYFUNCTION("""COMPUTED_VALUE"""),43171)</f>
        <v>43171</v>
      </c>
      <c r="O937" s="4">
        <f ca="1">IFERROR(__xludf.DUMMYFUNCTION("""COMPUTED_VALUE"""),43171)</f>
        <v>43171</v>
      </c>
      <c r="P937">
        <f ca="1">IFERROR(__xludf.DUMMYFUNCTION("""COMPUTED_VALUE"""),5)</f>
        <v>5</v>
      </c>
      <c r="Q937" t="str">
        <f ca="1">IFERROR(__xludf.DUMMYFUNCTION("""COMPUTED_VALUE"""),"naufeltms@gmail.com")</f>
        <v>naufeltms@gmail.com</v>
      </c>
      <c r="R937" s="2" t="s">
        <v>3351</v>
      </c>
    </row>
    <row r="938" spans="1:18" ht="13" x14ac:dyDescent="0.15">
      <c r="A938" s="3">
        <f ca="1">IFERROR(__xludf.DUMMYFUNCTION("""COMPUTED_VALUE"""),43263.4477440046)</f>
        <v>43263.447744004603</v>
      </c>
      <c r="B938" t="str">
        <f ca="1">IFERROR(__xludf.DUMMYFUNCTION("""COMPUTED_VALUE"""),"mgmhssmndy1990@gmail.com")</f>
        <v>mgmhssmndy1990@gmail.com</v>
      </c>
      <c r="C938">
        <f ca="1">IFERROR(__xludf.DUMMYFUNCTION("""COMPUTED_VALUE"""),972)</f>
        <v>972</v>
      </c>
      <c r="D938" t="str">
        <f ca="1">IFERROR(__xludf.DUMMYFUNCTION("""COMPUTED_VALUE"""),"manager(fr.zachariah.vm)")</f>
        <v>manager(fr.zachariah.vm)</v>
      </c>
      <c r="E938">
        <f ca="1">IFERROR(__xludf.DUMMYFUNCTION("""COMPUTED_VALUE"""),9496386298)</f>
        <v>9496386298</v>
      </c>
      <c r="F938" t="str">
        <f ca="1">IFERROR(__xludf.DUMMYFUNCTION("""COMPUTED_VALUE"""),"Wayanad")</f>
        <v>Wayanad</v>
      </c>
      <c r="G938" t="str">
        <f ca="1">IFERROR(__xludf.DUMMYFUNCTION("""COMPUTED_VALUE"""),"TATA POWER SOLAR SYSTEMS LTD")</f>
        <v>TATA POWER SOLAR SYSTEMS LTD</v>
      </c>
      <c r="H938">
        <f ca="1">IFERROR(__xludf.DUMMYFUNCTION("""COMPUTED_VALUE"""),20)</f>
        <v>20</v>
      </c>
      <c r="I938" s="4">
        <f ca="1">IFERROR(__xludf.DUMMYFUNCTION("""COMPUTED_VALUE"""),43234)</f>
        <v>43234</v>
      </c>
      <c r="J938">
        <f ca="1">IFERROR(__xludf.DUMMYFUNCTION("""COMPUTED_VALUE"""),10)</f>
        <v>10</v>
      </c>
      <c r="K938">
        <f ca="1">IFERROR(__xludf.DUMMYFUNCTION("""COMPUTED_VALUE"""),1165890017054)</f>
        <v>1165890017054</v>
      </c>
      <c r="L938" t="str">
        <f ca="1">IFERROR(__xludf.DUMMYFUNCTION("""COMPUTED_VALUE"""),"MANANTHAVADY")</f>
        <v>MANANTHAVADY</v>
      </c>
      <c r="M938" t="str">
        <f ca="1">IFERROR(__xludf.DUMMYFUNCTION("""COMPUTED_VALUE"""),"I Accept")</f>
        <v>I Accept</v>
      </c>
      <c r="N938" s="4">
        <f ca="1">IFERROR(__xludf.DUMMYFUNCTION("""COMPUTED_VALUE"""),43234)</f>
        <v>43234</v>
      </c>
      <c r="O938" s="4">
        <f ca="1">IFERROR(__xludf.DUMMYFUNCTION("""COMPUTED_VALUE"""),43234)</f>
        <v>43234</v>
      </c>
      <c r="P938">
        <f ca="1">IFERROR(__xludf.DUMMYFUNCTION("""COMPUTED_VALUE"""),10)</f>
        <v>10</v>
      </c>
      <c r="Q938" t="str">
        <f ca="1">IFERROR(__xludf.DUMMYFUNCTION("""COMPUTED_VALUE"""),"mgmhssmndy1990@gmail.com")</f>
        <v>mgmhssmndy1990@gmail.com</v>
      </c>
      <c r="R938" s="2" t="s">
        <v>3352</v>
      </c>
    </row>
    <row r="939" spans="1:18" ht="13" x14ac:dyDescent="0.15">
      <c r="A939" s="3">
        <f ca="1">IFERROR(__xludf.DUMMYFUNCTION("""COMPUTED_VALUE"""),43263.4509973726)</f>
        <v>43263.450997372602</v>
      </c>
      <c r="B939" t="str">
        <f ca="1">IFERROR(__xludf.DUMMYFUNCTION("""COMPUTED_VALUE"""),"tpsmalappuram@gmail.com")</f>
        <v>tpsmalappuram@gmail.com</v>
      </c>
      <c r="C939">
        <f ca="1">IFERROR(__xludf.DUMMYFUNCTION("""COMPUTED_VALUE"""),1194)</f>
        <v>1194</v>
      </c>
      <c r="D939" t="str">
        <f ca="1">IFERROR(__xludf.DUMMYFUNCTION("""COMPUTED_VALUE"""),"JAFAR MUNDAMBRA")</f>
        <v>JAFAR MUNDAMBRA</v>
      </c>
      <c r="E939">
        <f ca="1">IFERROR(__xludf.DUMMYFUNCTION("""COMPUTED_VALUE"""),9447268435)</f>
        <v>9447268435</v>
      </c>
      <c r="F939" t="str">
        <f ca="1">IFERROR(__xludf.DUMMYFUNCTION("""COMPUTED_VALUE"""),"Malappuram")</f>
        <v>Malappuram</v>
      </c>
      <c r="G939" t="str">
        <f ca="1">IFERROR(__xludf.DUMMYFUNCTION("""COMPUTED_VALUE"""),"TATA POWER SOLAR SYSTEMS LTD")</f>
        <v>TATA POWER SOLAR SYSTEMS LTD</v>
      </c>
      <c r="H939">
        <f ca="1">IFERROR(__xludf.DUMMYFUNCTION("""COMPUTED_VALUE"""),20)</f>
        <v>20</v>
      </c>
      <c r="I939" s="4">
        <f ca="1">IFERROR(__xludf.DUMMYFUNCTION("""COMPUTED_VALUE"""),43225)</f>
        <v>43225</v>
      </c>
      <c r="J939">
        <f ca="1">IFERROR(__xludf.DUMMYFUNCTION("""COMPUTED_VALUE"""),3)</f>
        <v>3</v>
      </c>
      <c r="K939">
        <f ca="1">IFERROR(__xludf.DUMMYFUNCTION("""COMPUTED_VALUE"""),1165496022351)</f>
        <v>1165496022351</v>
      </c>
      <c r="L939" t="str">
        <f ca="1">IFERROR(__xludf.DUMMYFUNCTION("""COMPUTED_VALUE"""),"AREEKODE")</f>
        <v>AREEKODE</v>
      </c>
      <c r="M939" t="str">
        <f ca="1">IFERROR(__xludf.DUMMYFUNCTION("""COMPUTED_VALUE"""),"I Accept")</f>
        <v>I Accept</v>
      </c>
      <c r="N939" s="4">
        <f ca="1">IFERROR(__xludf.DUMMYFUNCTION("""COMPUTED_VALUE"""),43175)</f>
        <v>43175</v>
      </c>
      <c r="O939" s="4">
        <f ca="1">IFERROR(__xludf.DUMMYFUNCTION("""COMPUTED_VALUE"""),43175)</f>
        <v>43175</v>
      </c>
      <c r="P939">
        <f ca="1">IFERROR(__xludf.DUMMYFUNCTION("""COMPUTED_VALUE"""),3)</f>
        <v>3</v>
      </c>
      <c r="Q939" t="str">
        <f ca="1">IFERROR(__xludf.DUMMYFUNCTION("""COMPUTED_VALUE"""),"tpsmalappuram@gmail.com")</f>
        <v>tpsmalappuram@gmail.com</v>
      </c>
      <c r="R939" s="2" t="s">
        <v>3353</v>
      </c>
    </row>
    <row r="940" spans="1:18" ht="13" x14ac:dyDescent="0.15">
      <c r="A940" s="3">
        <f ca="1">IFERROR(__xludf.DUMMYFUNCTION("""COMPUTED_VALUE"""),43263.4563801967)</f>
        <v>43263.456380196702</v>
      </c>
      <c r="B940" t="str">
        <f ca="1">IFERROR(__xludf.DUMMYFUNCTION("""COMPUTED_VALUE"""),"stmaryssby@gmail.com")</f>
        <v>stmaryssby@gmail.com</v>
      </c>
      <c r="C940">
        <f ca="1">IFERROR(__xludf.DUMMYFUNCTION("""COMPUTED_VALUE"""),104)</f>
        <v>104</v>
      </c>
      <c r="D940" t="str">
        <f ca="1">IFERROR(__xludf.DUMMYFUNCTION("""COMPUTED_VALUE"""),"principal,st.mary's college")</f>
        <v>principal,st.mary's college</v>
      </c>
      <c r="E940">
        <f ca="1">IFERROR(__xludf.DUMMYFUNCTION("""COMPUTED_VALUE"""),8547038639)</f>
        <v>8547038639</v>
      </c>
      <c r="F940" t="str">
        <f ca="1">IFERROR(__xludf.DUMMYFUNCTION("""COMPUTED_VALUE"""),"Wayanad")</f>
        <v>Wayanad</v>
      </c>
      <c r="G940" t="str">
        <f ca="1">IFERROR(__xludf.DUMMYFUNCTION("""COMPUTED_VALUE"""),"TATA POWER SOLAR SYSTEMS LTD")</f>
        <v>TATA POWER SOLAR SYSTEMS LTD</v>
      </c>
      <c r="H940">
        <f ca="1">IFERROR(__xludf.DUMMYFUNCTION("""COMPUTED_VALUE"""),20)</f>
        <v>20</v>
      </c>
      <c r="I940" s="4">
        <f ca="1">IFERROR(__xludf.DUMMYFUNCTION("""COMPUTED_VALUE"""),43236)</f>
        <v>43236</v>
      </c>
      <c r="J940">
        <f ca="1">IFERROR(__xludf.DUMMYFUNCTION("""COMPUTED_VALUE"""),20)</f>
        <v>20</v>
      </c>
      <c r="K940">
        <f ca="1">IFERROR(__xludf.DUMMYFUNCTION("""COMPUTED_VALUE"""),1165922000254)</f>
        <v>1165922000254</v>
      </c>
      <c r="L940" t="str">
        <f ca="1">IFERROR(__xludf.DUMMYFUNCTION("""COMPUTED_VALUE"""),"SULTHAN BATHERY")</f>
        <v>SULTHAN BATHERY</v>
      </c>
      <c r="M940" t="str">
        <f ca="1">IFERROR(__xludf.DUMMYFUNCTION("""COMPUTED_VALUE"""),"I Accept")</f>
        <v>I Accept</v>
      </c>
      <c r="N940" s="4">
        <f ca="1">IFERROR(__xludf.DUMMYFUNCTION("""COMPUTED_VALUE"""),43236)</f>
        <v>43236</v>
      </c>
      <c r="O940" s="4">
        <f ca="1">IFERROR(__xludf.DUMMYFUNCTION("""COMPUTED_VALUE"""),43236)</f>
        <v>43236</v>
      </c>
      <c r="P940">
        <f ca="1">IFERROR(__xludf.DUMMYFUNCTION("""COMPUTED_VALUE"""),20)</f>
        <v>20</v>
      </c>
      <c r="Q940" t="str">
        <f ca="1">IFERROR(__xludf.DUMMYFUNCTION("""COMPUTED_VALUE"""),"stmaryssby@gmail.com")</f>
        <v>stmaryssby@gmail.com</v>
      </c>
      <c r="R940" s="2" t="s">
        <v>3354</v>
      </c>
    </row>
    <row r="941" spans="1:18" ht="13" x14ac:dyDescent="0.15">
      <c r="A941" s="3">
        <f ca="1">IFERROR(__xludf.DUMMYFUNCTION("""COMPUTED_VALUE"""),43263.4685475694)</f>
        <v>43263.468547569399</v>
      </c>
      <c r="B941" t="str">
        <f ca="1">IFERROR(__xludf.DUMMYFUNCTION("""COMPUTED_VALUE"""),"ajeethkalyani1989@gmail.com")</f>
        <v>ajeethkalyani1989@gmail.com</v>
      </c>
      <c r="C941">
        <f ca="1">IFERROR(__xludf.DUMMYFUNCTION("""COMPUTED_VALUE"""),973)</f>
        <v>973</v>
      </c>
      <c r="D941" t="str">
        <f ca="1">IFERROR(__xludf.DUMMYFUNCTION("""COMPUTED_VALUE"""),"AJEETH .PK")</f>
        <v>AJEETH .PK</v>
      </c>
      <c r="E941">
        <f ca="1">IFERROR(__xludf.DUMMYFUNCTION("""COMPUTED_VALUE"""),8547038639)</f>
        <v>8547038639</v>
      </c>
      <c r="F941" t="str">
        <f ca="1">IFERROR(__xludf.DUMMYFUNCTION("""COMPUTED_VALUE"""),"Wayanad")</f>
        <v>Wayanad</v>
      </c>
      <c r="G941" t="str">
        <f ca="1">IFERROR(__xludf.DUMMYFUNCTION("""COMPUTED_VALUE"""),"TATA POWER SOLAR SYSTEMS LTD")</f>
        <v>TATA POWER SOLAR SYSTEMS LTD</v>
      </c>
      <c r="H941">
        <f ca="1">IFERROR(__xludf.DUMMYFUNCTION("""COMPUTED_VALUE"""),20)</f>
        <v>20</v>
      </c>
      <c r="I941" s="4">
        <f ca="1">IFERROR(__xludf.DUMMYFUNCTION("""COMPUTED_VALUE"""),43238)</f>
        <v>43238</v>
      </c>
      <c r="J941">
        <f ca="1">IFERROR(__xludf.DUMMYFUNCTION("""COMPUTED_VALUE"""),3)</f>
        <v>3</v>
      </c>
      <c r="K941">
        <f ca="1">IFERROR(__xludf.DUMMYFUNCTION("""COMPUTED_VALUE"""),1165863037373)</f>
        <v>1165863037373</v>
      </c>
      <c r="L941" t="str">
        <f ca="1">IFERROR(__xludf.DUMMYFUNCTION("""COMPUTED_VALUE"""),"KALPETTA")</f>
        <v>KALPETTA</v>
      </c>
      <c r="M941" t="str">
        <f ca="1">IFERROR(__xludf.DUMMYFUNCTION("""COMPUTED_VALUE"""),"I Accept")</f>
        <v>I Accept</v>
      </c>
      <c r="N941" s="4">
        <f ca="1">IFERROR(__xludf.DUMMYFUNCTION("""COMPUTED_VALUE"""),43238)</f>
        <v>43238</v>
      </c>
      <c r="O941" s="4">
        <f ca="1">IFERROR(__xludf.DUMMYFUNCTION("""COMPUTED_VALUE"""),43238)</f>
        <v>43238</v>
      </c>
      <c r="P941">
        <f ca="1">IFERROR(__xludf.DUMMYFUNCTION("""COMPUTED_VALUE"""),3)</f>
        <v>3</v>
      </c>
      <c r="Q941" t="str">
        <f ca="1">IFERROR(__xludf.DUMMYFUNCTION("""COMPUTED_VALUE"""),"ajeethkalyani1989@gmail.com")</f>
        <v>ajeethkalyani1989@gmail.com</v>
      </c>
      <c r="R941" s="2" t="s">
        <v>3355</v>
      </c>
    </row>
    <row r="942" spans="1:18" ht="13" x14ac:dyDescent="0.15">
      <c r="A942" s="3">
        <f ca="1">IFERROR(__xludf.DUMMYFUNCTION("""COMPUTED_VALUE"""),43263.4747750347)</f>
        <v>43263.474775034701</v>
      </c>
      <c r="B942" t="str">
        <f ca="1">IFERROR(__xludf.DUMMYFUNCTION("""COMPUTED_VALUE"""),"fr.mathewdepaul123@gmail.com")</f>
        <v>fr.mathewdepaul123@gmail.com</v>
      </c>
      <c r="C942">
        <f ca="1">IFERROR(__xludf.DUMMYFUNCTION("""COMPUTED_VALUE"""),24)</f>
        <v>24</v>
      </c>
      <c r="D942" t="str">
        <f ca="1">IFERROR(__xludf.DUMMYFUNCTION("""COMPUTED_VALUE"""),"Director(fr.mathew perumattikunnel)")</f>
        <v>Director(fr.mathew perumattikunnel)</v>
      </c>
      <c r="E942">
        <f ca="1">IFERROR(__xludf.DUMMYFUNCTION("""COMPUTED_VALUE"""),9496386298)</f>
        <v>9496386298</v>
      </c>
      <c r="F942" t="str">
        <f ca="1">IFERROR(__xludf.DUMMYFUNCTION("""COMPUTED_VALUE"""),"Wayanad")</f>
        <v>Wayanad</v>
      </c>
      <c r="G942" t="str">
        <f ca="1">IFERROR(__xludf.DUMMYFUNCTION("""COMPUTED_VALUE"""),"TATA POWER SOLAR SYSTEMS LTD")</f>
        <v>TATA POWER SOLAR SYSTEMS LTD</v>
      </c>
      <c r="H942">
        <f ca="1">IFERROR(__xludf.DUMMYFUNCTION("""COMPUTED_VALUE"""),20)</f>
        <v>20</v>
      </c>
      <c r="I942" s="4">
        <f ca="1">IFERROR(__xludf.DUMMYFUNCTION("""COMPUTED_VALUE"""),43235)</f>
        <v>43235</v>
      </c>
      <c r="J942">
        <f ca="1">IFERROR(__xludf.DUMMYFUNCTION("""COMPUTED_VALUE"""),30)</f>
        <v>30</v>
      </c>
      <c r="K942">
        <f ca="1">IFERROR(__xludf.DUMMYFUNCTION("""COMPUTED_VALUE"""),1165866013753)</f>
        <v>1165866013753</v>
      </c>
      <c r="L942" t="str">
        <f ca="1">IFERROR(__xludf.DUMMYFUNCTION("""COMPUTED_VALUE"""),"KALPETTA")</f>
        <v>KALPETTA</v>
      </c>
      <c r="M942" t="str">
        <f ca="1">IFERROR(__xludf.DUMMYFUNCTION("""COMPUTED_VALUE"""),"I Accept")</f>
        <v>I Accept</v>
      </c>
      <c r="N942" s="4">
        <f ca="1">IFERROR(__xludf.DUMMYFUNCTION("""COMPUTED_VALUE"""),43454)</f>
        <v>43454</v>
      </c>
      <c r="O942" s="4">
        <f ca="1">IFERROR(__xludf.DUMMYFUNCTION("""COMPUTED_VALUE"""),43454)</f>
        <v>43454</v>
      </c>
      <c r="P942">
        <f ca="1">IFERROR(__xludf.DUMMYFUNCTION("""COMPUTED_VALUE"""),30)</f>
        <v>30</v>
      </c>
      <c r="Q942" t="str">
        <f ca="1">IFERROR(__xludf.DUMMYFUNCTION("""COMPUTED_VALUE"""),"fr.mathewdepaul123@gmail.com")</f>
        <v>fr.mathewdepaul123@gmail.com</v>
      </c>
      <c r="R942" s="2" t="s">
        <v>3356</v>
      </c>
    </row>
    <row r="943" spans="1:18" ht="13" x14ac:dyDescent="0.15">
      <c r="A943" s="3">
        <f ca="1">IFERROR(__xludf.DUMMYFUNCTION("""COMPUTED_VALUE"""),43263.4864592708)</f>
        <v>43263.486459270804</v>
      </c>
      <c r="B943" t="str">
        <f ca="1">IFERROR(__xludf.DUMMYFUNCTION("""COMPUTED_VALUE"""),"prajeeshkurup5151@gmail.com")</f>
        <v>prajeeshkurup5151@gmail.com</v>
      </c>
      <c r="C943">
        <f ca="1">IFERROR(__xludf.DUMMYFUNCTION("""COMPUTED_VALUE"""),291)</f>
        <v>291</v>
      </c>
      <c r="D943" t="str">
        <f ca="1">IFERROR(__xludf.DUMMYFUNCTION("""COMPUTED_VALUE"""),"SAJAN GEORGE")</f>
        <v>SAJAN GEORGE</v>
      </c>
      <c r="E943">
        <f ca="1">IFERROR(__xludf.DUMMYFUNCTION("""COMPUTED_VALUE"""),8086416676)</f>
        <v>8086416676</v>
      </c>
      <c r="F943" t="str">
        <f ca="1">IFERROR(__xludf.DUMMYFUNCTION("""COMPUTED_VALUE"""),"Kozhikode")</f>
        <v>Kozhikode</v>
      </c>
      <c r="G943" t="str">
        <f ca="1">IFERROR(__xludf.DUMMYFUNCTION("""COMPUTED_VALUE"""),"TATA POWER SOLAR SYSTEMS LTD")</f>
        <v>TATA POWER SOLAR SYSTEMS LTD</v>
      </c>
      <c r="H943">
        <f ca="1">IFERROR(__xludf.DUMMYFUNCTION("""COMPUTED_VALUE"""),20)</f>
        <v>20</v>
      </c>
      <c r="I943" s="4">
        <f ca="1">IFERROR(__xludf.DUMMYFUNCTION("""COMPUTED_VALUE"""),43236)</f>
        <v>43236</v>
      </c>
      <c r="J943">
        <f ca="1">IFERROR(__xludf.DUMMYFUNCTION("""COMPUTED_VALUE"""),5)</f>
        <v>5</v>
      </c>
      <c r="K943">
        <f ca="1">IFERROR(__xludf.DUMMYFUNCTION("""COMPUTED_VALUE"""),1166044016677)</f>
        <v>1166044016677</v>
      </c>
      <c r="L943" t="str">
        <f ca="1">IFERROR(__xludf.DUMMYFUNCTION("""COMPUTED_VALUE"""),"6604")</f>
        <v>6604</v>
      </c>
      <c r="M943" t="str">
        <f ca="1">IFERROR(__xludf.DUMMYFUNCTION("""COMPUTED_VALUE"""),"I Accept")</f>
        <v>I Accept</v>
      </c>
      <c r="N943" s="4">
        <f ca="1">IFERROR(__xludf.DUMMYFUNCTION("""COMPUTED_VALUE"""),43213)</f>
        <v>43213</v>
      </c>
      <c r="O943" s="4">
        <f ca="1">IFERROR(__xludf.DUMMYFUNCTION("""COMPUTED_VALUE"""),43217)</f>
        <v>43217</v>
      </c>
      <c r="P943">
        <f ca="1">IFERROR(__xludf.DUMMYFUNCTION("""COMPUTED_VALUE"""),5)</f>
        <v>5</v>
      </c>
      <c r="Q943" t="str">
        <f ca="1">IFERROR(__xludf.DUMMYFUNCTION("""COMPUTED_VALUE"""),"prajeeshkurup5151@gmail.com")</f>
        <v>prajeeshkurup5151@gmail.com</v>
      </c>
      <c r="R943" s="2" t="s">
        <v>3357</v>
      </c>
    </row>
    <row r="944" spans="1:18" ht="13" x14ac:dyDescent="0.15">
      <c r="A944" s="3">
        <f ca="1">IFERROR(__xludf.DUMMYFUNCTION("""COMPUTED_VALUE"""),43263.4955498032)</f>
        <v>43263.4955498032</v>
      </c>
      <c r="B944" t="str">
        <f ca="1">IFERROR(__xludf.DUMMYFUNCTION("""COMPUTED_VALUE"""),"shiljith.pd@gmail.com")</f>
        <v>shiljith.pd@gmail.com</v>
      </c>
      <c r="C944">
        <f ca="1">IFERROR(__xludf.DUMMYFUNCTION("""COMPUTED_VALUE"""),274)</f>
        <v>274</v>
      </c>
      <c r="D944" t="str">
        <f ca="1">IFERROR(__xludf.DUMMYFUNCTION("""COMPUTED_VALUE"""),"THE DIRECTOR,FR.MATHEW PULIMOOTTIL")</f>
        <v>THE DIRECTOR,FR.MATHEW PULIMOOTTIL</v>
      </c>
      <c r="E944">
        <f ca="1">IFERROR(__xludf.DUMMYFUNCTION("""COMPUTED_VALUE"""),9947999241)</f>
        <v>9947999241</v>
      </c>
      <c r="F944" t="str">
        <f ca="1">IFERROR(__xludf.DUMMYFUNCTION("""COMPUTED_VALUE"""),"Kozhikode")</f>
        <v>Kozhikode</v>
      </c>
      <c r="G944" t="str">
        <f ca="1">IFERROR(__xludf.DUMMYFUNCTION("""COMPUTED_VALUE"""),"TATA POWER SOLAR SYSTEMS LTD")</f>
        <v>TATA POWER SOLAR SYSTEMS LTD</v>
      </c>
      <c r="H944">
        <f ca="1">IFERROR(__xludf.DUMMYFUNCTION("""COMPUTED_VALUE"""),20)</f>
        <v>20</v>
      </c>
      <c r="I944" s="4">
        <f ca="1">IFERROR(__xludf.DUMMYFUNCTION("""COMPUTED_VALUE"""),43252)</f>
        <v>43252</v>
      </c>
      <c r="J944">
        <f ca="1">IFERROR(__xludf.DUMMYFUNCTION("""COMPUTED_VALUE"""),20)</f>
        <v>20</v>
      </c>
      <c r="K944">
        <f ca="1">IFERROR(__xludf.DUMMYFUNCTION("""COMPUTED_VALUE"""),1166055018453)</f>
        <v>1166055018453</v>
      </c>
      <c r="L944" t="str">
        <f ca="1">IFERROR(__xludf.DUMMYFUNCTION("""COMPUTED_VALUE"""),"6605")</f>
        <v>6605</v>
      </c>
      <c r="M944" t="str">
        <f ca="1">IFERROR(__xludf.DUMMYFUNCTION("""COMPUTED_VALUE"""),"I Accept")</f>
        <v>I Accept</v>
      </c>
      <c r="N944" s="4">
        <f ca="1">IFERROR(__xludf.DUMMYFUNCTION("""COMPUTED_VALUE"""),43212)</f>
        <v>43212</v>
      </c>
      <c r="O944" s="4">
        <f ca="1">IFERROR(__xludf.DUMMYFUNCTION("""COMPUTED_VALUE"""),43216)</f>
        <v>43216</v>
      </c>
      <c r="P944">
        <f ca="1">IFERROR(__xludf.DUMMYFUNCTION("""COMPUTED_VALUE"""),20)</f>
        <v>20</v>
      </c>
      <c r="Q944" t="str">
        <f ca="1">IFERROR(__xludf.DUMMYFUNCTION("""COMPUTED_VALUE"""),"shiljith.pd@gmail.com")</f>
        <v>shiljith.pd@gmail.com</v>
      </c>
      <c r="R944" s="2" t="s">
        <v>3358</v>
      </c>
    </row>
    <row r="945" spans="1:18" ht="13" x14ac:dyDescent="0.15">
      <c r="A945" s="3">
        <f ca="1">IFERROR(__xludf.DUMMYFUNCTION("""COMPUTED_VALUE"""),43263.5031066087)</f>
        <v>43263.503106608703</v>
      </c>
      <c r="B945" t="str">
        <f ca="1">IFERROR(__xludf.DUMMYFUNCTION("""COMPUTED_VALUE"""),"sales.kodco@gmail.com")</f>
        <v>sales.kodco@gmail.com</v>
      </c>
      <c r="C945">
        <f ca="1">IFERROR(__xludf.DUMMYFUNCTION("""COMPUTED_VALUE"""),9497714979)</f>
        <v>9497714979</v>
      </c>
      <c r="D945" t="str">
        <f ca="1">IFERROR(__xludf.DUMMYFUNCTION("""COMPUTED_VALUE"""),"1231")</f>
        <v>1231</v>
      </c>
      <c r="E945">
        <f ca="1">IFERROR(__xludf.DUMMYFUNCTION("""COMPUTED_VALUE"""),9497714979)</f>
        <v>9497714979</v>
      </c>
      <c r="F945" t="str">
        <f ca="1">IFERROR(__xludf.DUMMYFUNCTION("""COMPUTED_VALUE"""),"Kozhikode")</f>
        <v>Kozhikode</v>
      </c>
      <c r="G945" t="str">
        <f ca="1">IFERROR(__xludf.DUMMYFUNCTION("""COMPUTED_VALUE"""),"TATA POWER SOLAR SYSTEMS LTD")</f>
        <v>TATA POWER SOLAR SYSTEMS LTD</v>
      </c>
      <c r="H945">
        <f ca="1">IFERROR(__xludf.DUMMYFUNCTION("""COMPUTED_VALUE"""),20)</f>
        <v>20</v>
      </c>
      <c r="I945" s="4">
        <f ca="1">IFERROR(__xludf.DUMMYFUNCTION("""COMPUTED_VALUE"""),43250)</f>
        <v>43250</v>
      </c>
      <c r="J945">
        <f ca="1">IFERROR(__xludf.DUMMYFUNCTION("""COMPUTED_VALUE"""),10)</f>
        <v>10</v>
      </c>
      <c r="K945">
        <f ca="1">IFERROR(__xludf.DUMMYFUNCTION("""COMPUTED_VALUE"""),116775003877)</f>
        <v>116775003877</v>
      </c>
      <c r="L945" t="str">
        <f ca="1">IFERROR(__xludf.DUMMYFUNCTION("""COMPUTED_VALUE"""),"6777")</f>
        <v>6777</v>
      </c>
      <c r="M945" t="str">
        <f ca="1">IFERROR(__xludf.DUMMYFUNCTION("""COMPUTED_VALUE"""),"I Accept")</f>
        <v>I Accept</v>
      </c>
      <c r="N945" s="4">
        <f ca="1">IFERROR(__xludf.DUMMYFUNCTION("""COMPUTED_VALUE"""),43236)</f>
        <v>43236</v>
      </c>
      <c r="O945" s="4">
        <f ca="1">IFERROR(__xludf.DUMMYFUNCTION("""COMPUTED_VALUE"""),43237)</f>
        <v>43237</v>
      </c>
      <c r="P945">
        <f ca="1">IFERROR(__xludf.DUMMYFUNCTION("""COMPUTED_VALUE"""),10)</f>
        <v>10</v>
      </c>
      <c r="Q945" t="str">
        <f ca="1">IFERROR(__xludf.DUMMYFUNCTION("""COMPUTED_VALUE"""),"sales.kodco@gmail.com")</f>
        <v>sales.kodco@gmail.com</v>
      </c>
      <c r="R945" s="2" t="s">
        <v>3359</v>
      </c>
    </row>
    <row r="946" spans="1:18" ht="13" x14ac:dyDescent="0.15">
      <c r="A946" s="3">
        <f ca="1">IFERROR(__xludf.DUMMYFUNCTION("""COMPUTED_VALUE"""),43263.5031281597)</f>
        <v>43263.503128159697</v>
      </c>
      <c r="B946" t="str">
        <f ca="1">IFERROR(__xludf.DUMMYFUNCTION("""COMPUTED_VALUE"""),"shakeskurian@gmail.com")</f>
        <v>shakeskurian@gmail.com</v>
      </c>
      <c r="C946">
        <f ca="1">IFERROR(__xludf.DUMMYFUNCTION("""COMPUTED_VALUE"""),1161)</f>
        <v>1161</v>
      </c>
      <c r="D946" t="str">
        <f ca="1">IFERROR(__xludf.DUMMYFUNCTION("""COMPUTED_VALUE"""),"Provincial Superior")</f>
        <v>Provincial Superior</v>
      </c>
      <c r="E946">
        <f ca="1">IFERROR(__xludf.DUMMYFUNCTION("""COMPUTED_VALUE"""),9526023144)</f>
        <v>9526023144</v>
      </c>
      <c r="F946" t="str">
        <f ca="1">IFERROR(__xludf.DUMMYFUNCTION("""COMPUTED_VALUE"""),"Kottayam")</f>
        <v>Kottayam</v>
      </c>
      <c r="G946" t="str">
        <f ca="1">IFERROR(__xludf.DUMMYFUNCTION("""COMPUTED_VALUE"""),"ECOMATE ENERGY SOLUTIONS ")</f>
        <v xml:space="preserve">ECOMATE ENERGY SOLUTIONS </v>
      </c>
      <c r="H946">
        <f ca="1">IFERROR(__xludf.DUMMYFUNCTION("""COMPUTED_VALUE"""),33)</f>
        <v>33</v>
      </c>
      <c r="I946" s="4">
        <f ca="1">IFERROR(__xludf.DUMMYFUNCTION("""COMPUTED_VALUE"""),43244)</f>
        <v>43244</v>
      </c>
      <c r="J946">
        <f ca="1">IFERROR(__xludf.DUMMYFUNCTION("""COMPUTED_VALUE"""),3)</f>
        <v>3</v>
      </c>
      <c r="K946">
        <f ca="1">IFERROR(__xludf.DUMMYFUNCTION("""COMPUTED_VALUE"""),1156246003909)</f>
        <v>1156246003909</v>
      </c>
      <c r="L946" t="str">
        <f ca="1">IFERROR(__xludf.DUMMYFUNCTION("""COMPUTED_VALUE"""),"PALA")</f>
        <v>PALA</v>
      </c>
      <c r="M946" t="str">
        <f ca="1">IFERROR(__xludf.DUMMYFUNCTION("""COMPUTED_VALUE"""),"I Accept")</f>
        <v>I Accept</v>
      </c>
      <c r="N946" s="4">
        <f ca="1">IFERROR(__xludf.DUMMYFUNCTION("""COMPUTED_VALUE"""),43253)</f>
        <v>43253</v>
      </c>
      <c r="O946" s="4">
        <f ca="1">IFERROR(__xludf.DUMMYFUNCTION("""COMPUTED_VALUE"""),43253)</f>
        <v>43253</v>
      </c>
      <c r="P946">
        <f ca="1">IFERROR(__xludf.DUMMYFUNCTION("""COMPUTED_VALUE"""),3)</f>
        <v>3</v>
      </c>
      <c r="Q946" t="str">
        <f ca="1">IFERROR(__xludf.DUMMYFUNCTION("""COMPUTED_VALUE"""),"shakeskurian@gmail.com")</f>
        <v>shakeskurian@gmail.com</v>
      </c>
      <c r="R946" s="2" t="s">
        <v>3360</v>
      </c>
    </row>
    <row r="947" spans="1:18" ht="13" x14ac:dyDescent="0.15">
      <c r="A947" s="3">
        <f ca="1">IFERROR(__xludf.DUMMYFUNCTION("""COMPUTED_VALUE"""),43263.5054020949)</f>
        <v>43263.505402094903</v>
      </c>
      <c r="B947" t="str">
        <f ca="1">IFERROR(__xludf.DUMMYFUNCTION("""COMPUTED_VALUE"""),"sales.kodco@gmail.com")</f>
        <v>sales.kodco@gmail.com</v>
      </c>
      <c r="C947">
        <f ca="1">IFERROR(__xludf.DUMMYFUNCTION("""COMPUTED_VALUE"""),1231)</f>
        <v>1231</v>
      </c>
      <c r="D947" t="str">
        <f ca="1">IFERROR(__xludf.DUMMYFUNCTION("""COMPUTED_VALUE"""),"YAKKOOB P")</f>
        <v>YAKKOOB P</v>
      </c>
      <c r="E947">
        <f ca="1">IFERROR(__xludf.DUMMYFUNCTION("""COMPUTED_VALUE"""),7736246146)</f>
        <v>7736246146</v>
      </c>
      <c r="F947" t="str">
        <f ca="1">IFERROR(__xludf.DUMMYFUNCTION("""COMPUTED_VALUE"""),"Kozhikode")</f>
        <v>Kozhikode</v>
      </c>
      <c r="G947" t="str">
        <f ca="1">IFERROR(__xludf.DUMMYFUNCTION("""COMPUTED_VALUE"""),"TATA POWER SOLAR SYSTEMS LTD")</f>
        <v>TATA POWER SOLAR SYSTEMS LTD</v>
      </c>
      <c r="H947">
        <f ca="1">IFERROR(__xludf.DUMMYFUNCTION("""COMPUTED_VALUE"""),20)</f>
        <v>20</v>
      </c>
      <c r="I947" s="4">
        <f ca="1">IFERROR(__xludf.DUMMYFUNCTION("""COMPUTED_VALUE"""),43237)</f>
        <v>43237</v>
      </c>
      <c r="J947">
        <f ca="1">IFERROR(__xludf.DUMMYFUNCTION("""COMPUTED_VALUE"""),10)</f>
        <v>10</v>
      </c>
      <c r="K947">
        <f ca="1">IFERROR(__xludf.DUMMYFUNCTION("""COMPUTED_VALUE"""),116775003877)</f>
        <v>116775003877</v>
      </c>
      <c r="L947" t="str">
        <f ca="1">IFERROR(__xludf.DUMMYFUNCTION("""COMPUTED_VALUE"""),"6777")</f>
        <v>6777</v>
      </c>
      <c r="M947" t="str">
        <f ca="1">IFERROR(__xludf.DUMMYFUNCTION("""COMPUTED_VALUE"""),"I Accept")</f>
        <v>I Accept</v>
      </c>
      <c r="N947" s="4">
        <f ca="1">IFERROR(__xludf.DUMMYFUNCTION("""COMPUTED_VALUE"""),43244)</f>
        <v>43244</v>
      </c>
      <c r="O947" s="4">
        <f ca="1">IFERROR(__xludf.DUMMYFUNCTION("""COMPUTED_VALUE"""),43244)</f>
        <v>43244</v>
      </c>
      <c r="P947">
        <f ca="1">IFERROR(__xludf.DUMMYFUNCTION("""COMPUTED_VALUE"""),10)</f>
        <v>10</v>
      </c>
      <c r="Q947" t="str">
        <f ca="1">IFERROR(__xludf.DUMMYFUNCTION("""COMPUTED_VALUE"""),"sales.kodco@gmail.com")</f>
        <v>sales.kodco@gmail.com</v>
      </c>
      <c r="R947" s="2" t="s">
        <v>3361</v>
      </c>
    </row>
    <row r="948" spans="1:18" ht="13" x14ac:dyDescent="0.15">
      <c r="A948" s="3">
        <f ca="1">IFERROR(__xludf.DUMMYFUNCTION("""COMPUTED_VALUE"""),43263.5174388194)</f>
        <v>43263.517438819399</v>
      </c>
      <c r="B948" t="str">
        <f ca="1">IFERROR(__xludf.DUMMYFUNCTION("""COMPUTED_VALUE"""),"tpsmalappuram@gmail.com")</f>
        <v>tpsmalappuram@gmail.com</v>
      </c>
      <c r="C948">
        <f ca="1">IFERROR(__xludf.DUMMYFUNCTION("""COMPUTED_VALUE"""),1156)</f>
        <v>1156</v>
      </c>
      <c r="D948" t="str">
        <f ca="1">IFERROR(__xludf.DUMMYFUNCTION("""COMPUTED_VALUE"""),"ANOOP NARAYANAN")</f>
        <v>ANOOP NARAYANAN</v>
      </c>
      <c r="E948">
        <f ca="1">IFERROR(__xludf.DUMMYFUNCTION("""COMPUTED_VALUE"""),9447268435)</f>
        <v>9447268435</v>
      </c>
      <c r="F948" t="str">
        <f ca="1">IFERROR(__xludf.DUMMYFUNCTION("""COMPUTED_VALUE"""),"Malappuram")</f>
        <v>Malappuram</v>
      </c>
      <c r="G948" t="str">
        <f ca="1">IFERROR(__xludf.DUMMYFUNCTION("""COMPUTED_VALUE"""),"TATA POWER SOLAR SYSTEMS LTD.")</f>
        <v>TATA POWER SOLAR SYSTEMS LTD.</v>
      </c>
      <c r="H948">
        <f ca="1">IFERROR(__xludf.DUMMYFUNCTION("""COMPUTED_VALUE"""),20)</f>
        <v>20</v>
      </c>
      <c r="I948" s="4">
        <f ca="1">IFERROR(__xludf.DUMMYFUNCTION("""COMPUTED_VALUE"""),43241)</f>
        <v>43241</v>
      </c>
      <c r="J948">
        <f ca="1">IFERROR(__xludf.DUMMYFUNCTION("""COMPUTED_VALUE"""),3)</f>
        <v>3</v>
      </c>
      <c r="K948">
        <f ca="1">IFERROR(__xludf.DUMMYFUNCTION("""COMPUTED_VALUE"""),1165438018931)</f>
        <v>1165438018931</v>
      </c>
      <c r="L948" t="str">
        <f ca="1">IFERROR(__xludf.DUMMYFUNCTION("""COMPUTED_VALUE"""),"NILAMBUR")</f>
        <v>NILAMBUR</v>
      </c>
      <c r="M948" t="str">
        <f ca="1">IFERROR(__xludf.DUMMYFUNCTION("""COMPUTED_VALUE"""),"I Accept")</f>
        <v>I Accept</v>
      </c>
      <c r="N948" s="4">
        <f ca="1">IFERROR(__xludf.DUMMYFUNCTION("""COMPUTED_VALUE"""),43251)</f>
        <v>43251</v>
      </c>
      <c r="O948" s="4">
        <f ca="1">IFERROR(__xludf.DUMMYFUNCTION("""COMPUTED_VALUE"""),43251)</f>
        <v>43251</v>
      </c>
      <c r="P948">
        <f ca="1">IFERROR(__xludf.DUMMYFUNCTION("""COMPUTED_VALUE"""),3)</f>
        <v>3</v>
      </c>
      <c r="Q948" t="str">
        <f ca="1">IFERROR(__xludf.DUMMYFUNCTION("""COMPUTED_VALUE"""),"tpsmalappuram@gmail.com")</f>
        <v>tpsmalappuram@gmail.com</v>
      </c>
      <c r="R948" s="2" t="s">
        <v>3362</v>
      </c>
    </row>
    <row r="949" spans="1:18" ht="13" x14ac:dyDescent="0.15">
      <c r="A949" s="3">
        <f ca="1">IFERROR(__xludf.DUMMYFUNCTION("""COMPUTED_VALUE"""),43263.5421890509)</f>
        <v>43263.542189050902</v>
      </c>
      <c r="B949" t="str">
        <f ca="1">IFERROR(__xludf.DUMMYFUNCTION("""COMPUTED_VALUE"""),"tpsmalappuram@gmail.com")</f>
        <v>tpsmalappuram@gmail.com</v>
      </c>
      <c r="C949">
        <f ca="1">IFERROR(__xludf.DUMMYFUNCTION("""COMPUTED_VALUE"""),504)</f>
        <v>504</v>
      </c>
      <c r="D949" t="str">
        <f ca="1">IFERROR(__xludf.DUMMYFUNCTION("""COMPUTED_VALUE"""),"KUMARAN")</f>
        <v>KUMARAN</v>
      </c>
      <c r="E949">
        <f ca="1">IFERROR(__xludf.DUMMYFUNCTION("""COMPUTED_VALUE"""),9447268435)</f>
        <v>9447268435</v>
      </c>
      <c r="F949" t="str">
        <f ca="1">IFERROR(__xludf.DUMMYFUNCTION("""COMPUTED_VALUE"""),"Malappuram")</f>
        <v>Malappuram</v>
      </c>
      <c r="G949" t="str">
        <f ca="1">IFERROR(__xludf.DUMMYFUNCTION("""COMPUTED_VALUE"""),"TATA POWER SOLAR SYSTEMS LTD")</f>
        <v>TATA POWER SOLAR SYSTEMS LTD</v>
      </c>
      <c r="H949">
        <f ca="1">IFERROR(__xludf.DUMMYFUNCTION("""COMPUTED_VALUE"""),20)</f>
        <v>20</v>
      </c>
      <c r="I949" s="4">
        <f ca="1">IFERROR(__xludf.DUMMYFUNCTION("""COMPUTED_VALUE"""),43241)</f>
        <v>43241</v>
      </c>
      <c r="J949">
        <f ca="1">IFERROR(__xludf.DUMMYFUNCTION("""COMPUTED_VALUE"""),3)</f>
        <v>3</v>
      </c>
      <c r="K949">
        <f ca="1">IFERROR(__xludf.DUMMYFUNCTION("""COMPUTED_VALUE"""),1165762001602)</f>
        <v>1165762001602</v>
      </c>
      <c r="L949" t="str">
        <f ca="1">IFERROR(__xludf.DUMMYFUNCTION("""COMPUTED_VALUE"""),"THANUR")</f>
        <v>THANUR</v>
      </c>
      <c r="M949" t="str">
        <f ca="1">IFERROR(__xludf.DUMMYFUNCTION("""COMPUTED_VALUE"""),"I Accept")</f>
        <v>I Accept</v>
      </c>
      <c r="N949" s="4">
        <f ca="1">IFERROR(__xludf.DUMMYFUNCTION("""COMPUTED_VALUE"""),43253)</f>
        <v>43253</v>
      </c>
      <c r="O949" s="4">
        <f ca="1">IFERROR(__xludf.DUMMYFUNCTION("""COMPUTED_VALUE"""),43253)</f>
        <v>43253</v>
      </c>
      <c r="P949">
        <f ca="1">IFERROR(__xludf.DUMMYFUNCTION("""COMPUTED_VALUE"""),3)</f>
        <v>3</v>
      </c>
      <c r="Q949" t="str">
        <f ca="1">IFERROR(__xludf.DUMMYFUNCTION("""COMPUTED_VALUE"""),"tpsmalappuram@gmail.com")</f>
        <v>tpsmalappuram@gmail.com</v>
      </c>
      <c r="R949" s="2" t="s">
        <v>3363</v>
      </c>
    </row>
    <row r="950" spans="1:18" ht="13" x14ac:dyDescent="0.15">
      <c r="A950" s="3">
        <f ca="1">IFERROR(__xludf.DUMMYFUNCTION("""COMPUTED_VALUE"""),43263.5516916203)</f>
        <v>43263.551691620298</v>
      </c>
      <c r="B950" t="str">
        <f ca="1">IFERROR(__xludf.DUMMYFUNCTION("""COMPUTED_VALUE"""),"noorakshaya@gmail.com")</f>
        <v>noorakshaya@gmail.com</v>
      </c>
      <c r="C950">
        <f ca="1">IFERROR(__xludf.DUMMYFUNCTION("""COMPUTED_VALUE"""),367)</f>
        <v>367</v>
      </c>
      <c r="D950" t="str">
        <f ca="1">IFERROR(__xludf.DUMMYFUNCTION("""COMPUTED_VALUE"""),"Sabeel salahuddin")</f>
        <v>Sabeel salahuddin</v>
      </c>
      <c r="E950">
        <f ca="1">IFERROR(__xludf.DUMMYFUNCTION("""COMPUTED_VALUE"""),9645322221)</f>
        <v>9645322221</v>
      </c>
      <c r="F950" t="str">
        <f ca="1">IFERROR(__xludf.DUMMYFUNCTION("""COMPUTED_VALUE"""),"Thiruvananthapuram")</f>
        <v>Thiruvananthapuram</v>
      </c>
      <c r="G950" t="str">
        <f ca="1">IFERROR(__xludf.DUMMYFUNCTION("""COMPUTED_VALUE"""),"Renergy Systems India Pvt Ltd")</f>
        <v>Renergy Systems India Pvt Ltd</v>
      </c>
      <c r="H950">
        <f ca="1">IFERROR(__xludf.DUMMYFUNCTION("""COMPUTED_VALUE"""),38)</f>
        <v>38</v>
      </c>
      <c r="I950" s="4">
        <f ca="1">IFERROR(__xludf.DUMMYFUNCTION("""COMPUTED_VALUE"""),43263)</f>
        <v>43263</v>
      </c>
      <c r="J950">
        <f ca="1">IFERROR(__xludf.DUMMYFUNCTION("""COMPUTED_VALUE"""),3)</f>
        <v>3</v>
      </c>
      <c r="K950">
        <f ca="1">IFERROR(__xludf.DUMMYFUNCTION("""COMPUTED_VALUE"""),1145318025871)</f>
        <v>1145318025871</v>
      </c>
      <c r="L950" t="str">
        <f ca="1">IFERROR(__xludf.DUMMYFUNCTION("""COMPUTED_VALUE"""),"Attingal")</f>
        <v>Attingal</v>
      </c>
      <c r="M950" t="str">
        <f ca="1">IFERROR(__xludf.DUMMYFUNCTION("""COMPUTED_VALUE"""),"I Accept")</f>
        <v>I Accept</v>
      </c>
      <c r="N950" s="4">
        <f ca="1">IFERROR(__xludf.DUMMYFUNCTION("""COMPUTED_VALUE"""),43160)</f>
        <v>43160</v>
      </c>
      <c r="O950" s="4">
        <f ca="1">IFERROR(__xludf.DUMMYFUNCTION("""COMPUTED_VALUE"""),43160)</f>
        <v>43160</v>
      </c>
      <c r="P950">
        <f ca="1">IFERROR(__xludf.DUMMYFUNCTION("""COMPUTED_VALUE"""),3)</f>
        <v>3</v>
      </c>
      <c r="Q950" t="str">
        <f ca="1">IFERROR(__xludf.DUMMYFUNCTION("""COMPUTED_VALUE"""),"noorakshaya@gmail.com")</f>
        <v>noorakshaya@gmail.com</v>
      </c>
      <c r="R950" s="2" t="s">
        <v>3364</v>
      </c>
    </row>
    <row r="951" spans="1:18" ht="13" x14ac:dyDescent="0.15">
      <c r="A951" s="3">
        <f ca="1">IFERROR(__xludf.DUMMYFUNCTION("""COMPUTED_VALUE"""),43263.5567916898)</f>
        <v>43263.5567916898</v>
      </c>
      <c r="B951" t="str">
        <f ca="1">IFERROR(__xludf.DUMMYFUNCTION("""COMPUTED_VALUE"""),"solarconnect2018@gmail.com")</f>
        <v>solarconnect2018@gmail.com</v>
      </c>
      <c r="C951">
        <f ca="1">IFERROR(__xludf.DUMMYFUNCTION("""COMPUTED_VALUE"""),841)</f>
        <v>841</v>
      </c>
      <c r="D951" t="str">
        <f ca="1">IFERROR(__xludf.DUMMYFUNCTION("""COMPUTED_VALUE"""),"SHOUKKATHALI")</f>
        <v>SHOUKKATHALI</v>
      </c>
      <c r="E951">
        <f ca="1">IFERROR(__xludf.DUMMYFUNCTION("""COMPUTED_VALUE"""),9839559739)</f>
        <v>9839559739</v>
      </c>
      <c r="F951" t="str">
        <f ca="1">IFERROR(__xludf.DUMMYFUNCTION("""COMPUTED_VALUE"""),"Kozhikode")</f>
        <v>Kozhikode</v>
      </c>
      <c r="G951" t="str">
        <f ca="1">IFERROR(__xludf.DUMMYFUNCTION("""COMPUTED_VALUE"""),"SPECTRUM TECHNO PRODUCTS")</f>
        <v>SPECTRUM TECHNO PRODUCTS</v>
      </c>
      <c r="H951">
        <f ca="1">IFERROR(__xludf.DUMMYFUNCTION("""COMPUTED_VALUE"""),66)</f>
        <v>66</v>
      </c>
      <c r="I951" s="4">
        <f ca="1">IFERROR(__xludf.DUMMYFUNCTION("""COMPUTED_VALUE"""),43263)</f>
        <v>43263</v>
      </c>
      <c r="J951">
        <f ca="1">IFERROR(__xludf.DUMMYFUNCTION("""COMPUTED_VALUE"""),3)</f>
        <v>3</v>
      </c>
      <c r="K951">
        <f ca="1">IFERROR(__xludf.DUMMYFUNCTION("""COMPUTED_VALUE"""),15591)</f>
        <v>15591</v>
      </c>
      <c r="L951" t="str">
        <f ca="1">IFERROR(__xludf.DUMMYFUNCTION("""COMPUTED_VALUE"""),"AYANCHERY")</f>
        <v>AYANCHERY</v>
      </c>
      <c r="M951" t="str">
        <f ca="1">IFERROR(__xludf.DUMMYFUNCTION("""COMPUTED_VALUE"""),"I Accept")</f>
        <v>I Accept</v>
      </c>
      <c r="N951" s="4">
        <f ca="1">IFERROR(__xludf.DUMMYFUNCTION("""COMPUTED_VALUE"""),43262)</f>
        <v>43262</v>
      </c>
      <c r="O951" s="4">
        <f ca="1">IFERROR(__xludf.DUMMYFUNCTION("""COMPUTED_VALUE"""),43262)</f>
        <v>43262</v>
      </c>
      <c r="P951">
        <f ca="1">IFERROR(__xludf.DUMMYFUNCTION("""COMPUTED_VALUE"""),3)</f>
        <v>3</v>
      </c>
      <c r="Q951" t="str">
        <f ca="1">IFERROR(__xludf.DUMMYFUNCTION("""COMPUTED_VALUE"""),"solarconnect2018@gmail.com")</f>
        <v>solarconnect2018@gmail.com</v>
      </c>
      <c r="R951" s="2" t="s">
        <v>3365</v>
      </c>
    </row>
    <row r="952" spans="1:18" ht="13" x14ac:dyDescent="0.15">
      <c r="A952" s="3">
        <f ca="1">IFERROR(__xludf.DUMMYFUNCTION("""COMPUTED_VALUE"""),43263.5801560648)</f>
        <v>43263.580156064803</v>
      </c>
      <c r="B952" t="str">
        <f ca="1">IFERROR(__xludf.DUMMYFUNCTION("""COMPUTED_VALUE"""),"solarconnect2018@gmail.com")</f>
        <v>solarconnect2018@gmail.com</v>
      </c>
      <c r="C952">
        <f ca="1">IFERROR(__xludf.DUMMYFUNCTION("""COMPUTED_VALUE"""),1027)</f>
        <v>1027</v>
      </c>
      <c r="D952" t="str">
        <f ca="1">IFERROR(__xludf.DUMMYFUNCTION("""COMPUTED_VALUE"""),"POULOSE")</f>
        <v>POULOSE</v>
      </c>
      <c r="E952">
        <f ca="1">IFERROR(__xludf.DUMMYFUNCTION("""COMPUTED_VALUE"""),9744425365)</f>
        <v>9744425365</v>
      </c>
      <c r="F952" t="str">
        <f ca="1">IFERROR(__xludf.DUMMYFUNCTION("""COMPUTED_VALUE"""),"Ernakulam")</f>
        <v>Ernakulam</v>
      </c>
      <c r="G952" t="str">
        <f ca="1">IFERROR(__xludf.DUMMYFUNCTION("""COMPUTED_VALUE"""),"SPECTRUM TECHNO PRODUCTS")</f>
        <v>SPECTRUM TECHNO PRODUCTS</v>
      </c>
      <c r="H952">
        <f ca="1">IFERROR(__xludf.DUMMYFUNCTION("""COMPUTED_VALUE"""),66)</f>
        <v>66</v>
      </c>
      <c r="I952" s="4">
        <f ca="1">IFERROR(__xludf.DUMMYFUNCTION("""COMPUTED_VALUE"""),43243)</f>
        <v>43243</v>
      </c>
      <c r="J952">
        <f ca="1">IFERROR(__xludf.DUMMYFUNCTION("""COMPUTED_VALUE"""),3)</f>
        <v>3</v>
      </c>
      <c r="K952">
        <f ca="1">IFERROR(__xludf.DUMMYFUNCTION("""COMPUTED_VALUE"""),1155869012520)</f>
        <v>1155869012520</v>
      </c>
      <c r="L952" t="str">
        <f ca="1">IFERROR(__xludf.DUMMYFUNCTION("""COMPUTED_VALUE"""),"KIZHAKKAMBALAM")</f>
        <v>KIZHAKKAMBALAM</v>
      </c>
      <c r="M952" t="str">
        <f ca="1">IFERROR(__xludf.DUMMYFUNCTION("""COMPUTED_VALUE"""),"I Accept")</f>
        <v>I Accept</v>
      </c>
      <c r="N952" s="4">
        <f ca="1">IFERROR(__xludf.DUMMYFUNCTION("""COMPUTED_VALUE"""),43256)</f>
        <v>43256</v>
      </c>
      <c r="O952" s="4">
        <f ca="1">IFERROR(__xludf.DUMMYFUNCTION("""COMPUTED_VALUE"""),43256)</f>
        <v>43256</v>
      </c>
      <c r="P952">
        <f ca="1">IFERROR(__xludf.DUMMYFUNCTION("""COMPUTED_VALUE"""),3)</f>
        <v>3</v>
      </c>
      <c r="Q952" t="str">
        <f ca="1">IFERROR(__xludf.DUMMYFUNCTION("""COMPUTED_VALUE"""),"solarconnect2018@gmail.com")</f>
        <v>solarconnect2018@gmail.com</v>
      </c>
      <c r="R952" s="2" t="s">
        <v>3366</v>
      </c>
    </row>
    <row r="953" spans="1:18" ht="13" x14ac:dyDescent="0.15">
      <c r="A953" s="3">
        <f ca="1">IFERROR(__xludf.DUMMYFUNCTION("""COMPUTED_VALUE"""),43263.587292824)</f>
        <v>43263.587292823999</v>
      </c>
      <c r="B953" t="str">
        <f ca="1">IFERROR(__xludf.DUMMYFUNCTION("""COMPUTED_VALUE"""),"tpsmalappuram@gmail.com")</f>
        <v>tpsmalappuram@gmail.com</v>
      </c>
      <c r="C953">
        <f ca="1">IFERROR(__xludf.DUMMYFUNCTION("""COMPUTED_VALUE"""),1103)</f>
        <v>1103</v>
      </c>
      <c r="D953" t="str">
        <f ca="1">IFERROR(__xludf.DUMMYFUNCTION("""COMPUTED_VALUE"""),"ABDUL AZEEZ.K")</f>
        <v>ABDUL AZEEZ.K</v>
      </c>
      <c r="E953">
        <f ca="1">IFERROR(__xludf.DUMMYFUNCTION("""COMPUTED_VALUE"""),9447268435)</f>
        <v>9447268435</v>
      </c>
      <c r="F953" t="str">
        <f ca="1">IFERROR(__xludf.DUMMYFUNCTION("""COMPUTED_VALUE"""),"Malappuram")</f>
        <v>Malappuram</v>
      </c>
      <c r="G953" t="str">
        <f ca="1">IFERROR(__xludf.DUMMYFUNCTION("""COMPUTED_VALUE"""),"TATA POWER SOLAR SYSTEMS LTD")</f>
        <v>TATA POWER SOLAR SYSTEMS LTD</v>
      </c>
      <c r="H953">
        <f ca="1">IFERROR(__xludf.DUMMYFUNCTION("""COMPUTED_VALUE"""),20)</f>
        <v>20</v>
      </c>
      <c r="I953" s="4">
        <f ca="1">IFERROR(__xludf.DUMMYFUNCTION("""COMPUTED_VALUE"""),43230)</f>
        <v>43230</v>
      </c>
      <c r="J953">
        <f ca="1">IFERROR(__xludf.DUMMYFUNCTION("""COMPUTED_VALUE"""),3)</f>
        <v>3</v>
      </c>
      <c r="K953">
        <f ca="1">IFERROR(__xludf.DUMMYFUNCTION("""COMPUTED_VALUE"""),1167414003842)</f>
        <v>1167414003842</v>
      </c>
      <c r="L953" t="str">
        <f ca="1">IFERROR(__xludf.DUMMYFUNCTION("""COMPUTED_VALUE"""),"KADUNGATHUKUNDU")</f>
        <v>KADUNGATHUKUNDU</v>
      </c>
      <c r="M953" t="str">
        <f ca="1">IFERROR(__xludf.DUMMYFUNCTION("""COMPUTED_VALUE"""),"I Accept")</f>
        <v>I Accept</v>
      </c>
      <c r="N953" s="4">
        <f ca="1">IFERROR(__xludf.DUMMYFUNCTION("""COMPUTED_VALUE"""),43236)</f>
        <v>43236</v>
      </c>
      <c r="O953" s="4">
        <f ca="1">IFERROR(__xludf.DUMMYFUNCTION("""COMPUTED_VALUE"""),43236)</f>
        <v>43236</v>
      </c>
      <c r="P953">
        <f ca="1">IFERROR(__xludf.DUMMYFUNCTION("""COMPUTED_VALUE"""),3)</f>
        <v>3</v>
      </c>
      <c r="Q953" t="str">
        <f ca="1">IFERROR(__xludf.DUMMYFUNCTION("""COMPUTED_VALUE"""),"tpsmalappuram@gmail.com")</f>
        <v>tpsmalappuram@gmail.com</v>
      </c>
      <c r="R953" s="2" t="s">
        <v>3367</v>
      </c>
    </row>
    <row r="954" spans="1:18" ht="13" x14ac:dyDescent="0.15">
      <c r="A954" s="3">
        <f ca="1">IFERROR(__xludf.DUMMYFUNCTION("""COMPUTED_VALUE"""),43263.5983376967)</f>
        <v>43263.598337696698</v>
      </c>
      <c r="B954" t="str">
        <f ca="1">IFERROR(__xludf.DUMMYFUNCTION("""COMPUTED_VALUE"""),"tpsmalappuram@gmail.com")</f>
        <v>tpsmalappuram@gmail.com</v>
      </c>
      <c r="C954">
        <f ca="1">IFERROR(__xludf.DUMMYFUNCTION("""COMPUTED_VALUE"""),927)</f>
        <v>927</v>
      </c>
      <c r="D954" t="str">
        <f ca="1">IFERROR(__xludf.DUMMYFUNCTION("""COMPUTED_VALUE"""),"SHOUKATH ALI")</f>
        <v>SHOUKATH ALI</v>
      </c>
      <c r="E954">
        <f ca="1">IFERROR(__xludf.DUMMYFUNCTION("""COMPUTED_VALUE"""),9447268435)</f>
        <v>9447268435</v>
      </c>
      <c r="F954" t="str">
        <f ca="1">IFERROR(__xludf.DUMMYFUNCTION("""COMPUTED_VALUE"""),"Malappuram")</f>
        <v>Malappuram</v>
      </c>
      <c r="G954" t="str">
        <f ca="1">IFERROR(__xludf.DUMMYFUNCTION("""COMPUTED_VALUE"""),"TATA POWER SOLAR SYSTEMS LTD")</f>
        <v>TATA POWER SOLAR SYSTEMS LTD</v>
      </c>
      <c r="H954">
        <f ca="1">IFERROR(__xludf.DUMMYFUNCTION("""COMPUTED_VALUE"""),20)</f>
        <v>20</v>
      </c>
      <c r="I954" s="4">
        <f ca="1">IFERROR(__xludf.DUMMYFUNCTION("""COMPUTED_VALUE"""),43263)</f>
        <v>43263</v>
      </c>
      <c r="J954">
        <f ca="1">IFERROR(__xludf.DUMMYFUNCTION("""COMPUTED_VALUE"""),3)</f>
        <v>3</v>
      </c>
      <c r="K954">
        <f ca="1">IFERROR(__xludf.DUMMYFUNCTION("""COMPUTED_VALUE"""),1165575037895)</f>
        <v>1165575037895</v>
      </c>
      <c r="L954" t="str">
        <f ca="1">IFERROR(__xludf.DUMMYFUNCTION("""COMPUTED_VALUE"""),"KOTTAKKAL")</f>
        <v>KOTTAKKAL</v>
      </c>
      <c r="M954" t="str">
        <f ca="1">IFERROR(__xludf.DUMMYFUNCTION("""COMPUTED_VALUE"""),"I Accept")</f>
        <v>I Accept</v>
      </c>
      <c r="N954" s="4">
        <f ca="1">IFERROR(__xludf.DUMMYFUNCTION("""COMPUTED_VALUE"""),43263)</f>
        <v>43263</v>
      </c>
      <c r="O954" s="4">
        <f ca="1">IFERROR(__xludf.DUMMYFUNCTION("""COMPUTED_VALUE"""),43263)</f>
        <v>43263</v>
      </c>
      <c r="P954">
        <f ca="1">IFERROR(__xludf.DUMMYFUNCTION("""COMPUTED_VALUE"""),3)</f>
        <v>3</v>
      </c>
      <c r="Q954" t="str">
        <f ca="1">IFERROR(__xludf.DUMMYFUNCTION("""COMPUTED_VALUE"""),"tpsmalappuram@gmail.com")</f>
        <v>tpsmalappuram@gmail.com</v>
      </c>
      <c r="R954" s="2" t="s">
        <v>3368</v>
      </c>
    </row>
    <row r="955" spans="1:18" ht="13" x14ac:dyDescent="0.15">
      <c r="A955" s="3">
        <f ca="1">IFERROR(__xludf.DUMMYFUNCTION("""COMPUTED_VALUE"""),43263.6220009953)</f>
        <v>43263.622000995303</v>
      </c>
      <c r="B955" t="str">
        <f ca="1">IFERROR(__xludf.DUMMYFUNCTION("""COMPUTED_VALUE"""),"nandana2000r@gmail.com")</f>
        <v>nandana2000r@gmail.com</v>
      </c>
      <c r="C955">
        <f ca="1">IFERROR(__xludf.DUMMYFUNCTION("""COMPUTED_VALUE"""),558)</f>
        <v>558</v>
      </c>
      <c r="D955" t="str">
        <f ca="1">IFERROR(__xludf.DUMMYFUNCTION("""COMPUTED_VALUE"""),"KV SEBASTIAN")</f>
        <v>KV SEBASTIAN</v>
      </c>
      <c r="E955">
        <f ca="1">IFERROR(__xludf.DUMMYFUNCTION("""COMPUTED_VALUE"""),7558881999)</f>
        <v>7558881999</v>
      </c>
      <c r="F955" t="str">
        <f ca="1">IFERROR(__xludf.DUMMYFUNCTION("""COMPUTED_VALUE"""),"Kottayam")</f>
        <v>Kottayam</v>
      </c>
      <c r="G955" t="str">
        <f ca="1">IFERROR(__xludf.DUMMYFUNCTION("""COMPUTED_VALUE"""),"20")</f>
        <v>20</v>
      </c>
      <c r="H955">
        <f ca="1">IFERROR(__xludf.DUMMYFUNCTION("""COMPUTED_VALUE"""),20)</f>
        <v>20</v>
      </c>
      <c r="I955" s="4">
        <f ca="1">IFERROR(__xludf.DUMMYFUNCTION("""COMPUTED_VALUE"""),43161)</f>
        <v>43161</v>
      </c>
      <c r="J955">
        <f ca="1">IFERROR(__xludf.DUMMYFUNCTION("""COMPUTED_VALUE"""),3)</f>
        <v>3</v>
      </c>
      <c r="K955">
        <f ca="1">IFERROR(__xludf.DUMMYFUNCTION("""COMPUTED_VALUE"""),1146643010326)</f>
        <v>1146643010326</v>
      </c>
      <c r="L955" t="str">
        <f ca="1">IFERROR(__xludf.DUMMYFUNCTION("""COMPUTED_VALUE"""),"Athirampuzha")</f>
        <v>Athirampuzha</v>
      </c>
      <c r="M955" t="str">
        <f ca="1">IFERROR(__xludf.DUMMYFUNCTION("""COMPUTED_VALUE"""),"I Accept")</f>
        <v>I Accept</v>
      </c>
      <c r="N955" s="4">
        <f ca="1">IFERROR(__xludf.DUMMYFUNCTION("""COMPUTED_VALUE"""),43263)</f>
        <v>43263</v>
      </c>
      <c r="O955" s="4">
        <f ca="1">IFERROR(__xludf.DUMMYFUNCTION("""COMPUTED_VALUE"""),43263)</f>
        <v>43263</v>
      </c>
      <c r="P955">
        <f ca="1">IFERROR(__xludf.DUMMYFUNCTION("""COMPUTED_VALUE"""),3)</f>
        <v>3</v>
      </c>
      <c r="Q955" t="str">
        <f ca="1">IFERROR(__xludf.DUMMYFUNCTION("""COMPUTED_VALUE"""),"nandana2000r@gmail.com")</f>
        <v>nandana2000r@gmail.com</v>
      </c>
      <c r="R955" s="2" t="s">
        <v>3369</v>
      </c>
    </row>
    <row r="956" spans="1:18" ht="13" x14ac:dyDescent="0.15">
      <c r="A956" s="3">
        <f ca="1">IFERROR(__xludf.DUMMYFUNCTION("""COMPUTED_VALUE"""),43263.6246513425)</f>
        <v>43263.624651342499</v>
      </c>
      <c r="B956" t="str">
        <f ca="1">IFERROR(__xludf.DUMMYFUNCTION("""COMPUTED_VALUE"""),"tpsmalappuram@gmail.com")</f>
        <v>tpsmalappuram@gmail.com</v>
      </c>
      <c r="C956">
        <f ca="1">IFERROR(__xludf.DUMMYFUNCTION("""COMPUTED_VALUE"""),1152)</f>
        <v>1152</v>
      </c>
      <c r="D956" t="str">
        <f ca="1">IFERROR(__xludf.DUMMYFUNCTION("""COMPUTED_VALUE"""),"KUNHALAVI HAJI.KP")</f>
        <v>KUNHALAVI HAJI.KP</v>
      </c>
      <c r="E956">
        <f ca="1">IFERROR(__xludf.DUMMYFUNCTION("""COMPUTED_VALUE"""),9447268435)</f>
        <v>9447268435</v>
      </c>
      <c r="F956" t="str">
        <f ca="1">IFERROR(__xludf.DUMMYFUNCTION("""COMPUTED_VALUE"""),"Malappuram")</f>
        <v>Malappuram</v>
      </c>
      <c r="G956" t="str">
        <f ca="1">IFERROR(__xludf.DUMMYFUNCTION("""COMPUTED_VALUE"""),"TATA POWER SOLAR SYSTEMS LTD")</f>
        <v>TATA POWER SOLAR SYSTEMS LTD</v>
      </c>
      <c r="H956">
        <f ca="1">IFERROR(__xludf.DUMMYFUNCTION("""COMPUTED_VALUE"""),20)</f>
        <v>20</v>
      </c>
      <c r="I956" s="4">
        <f ca="1">IFERROR(__xludf.DUMMYFUNCTION("""COMPUTED_VALUE"""),43239)</f>
        <v>43239</v>
      </c>
      <c r="J956">
        <f ca="1">IFERROR(__xludf.DUMMYFUNCTION("""COMPUTED_VALUE"""),3)</f>
        <v>3</v>
      </c>
      <c r="K956">
        <f ca="1">IFERROR(__xludf.DUMMYFUNCTION("""COMPUTED_VALUE"""),1168083002647)</f>
        <v>1168083002647</v>
      </c>
      <c r="L956" t="str">
        <f ca="1">IFERROR(__xludf.DUMMYFUNCTION("""COMPUTED_VALUE"""),"OORAKAM")</f>
        <v>OORAKAM</v>
      </c>
      <c r="M956" t="str">
        <f ca="1">IFERROR(__xludf.DUMMYFUNCTION("""COMPUTED_VALUE"""),"I Accept")</f>
        <v>I Accept</v>
      </c>
      <c r="N956" s="4">
        <f ca="1">IFERROR(__xludf.DUMMYFUNCTION("""COMPUTED_VALUE"""),43250)</f>
        <v>43250</v>
      </c>
      <c r="O956" s="4">
        <f ca="1">IFERROR(__xludf.DUMMYFUNCTION("""COMPUTED_VALUE"""),43250)</f>
        <v>43250</v>
      </c>
      <c r="P956">
        <f ca="1">IFERROR(__xludf.DUMMYFUNCTION("""COMPUTED_VALUE"""),3)</f>
        <v>3</v>
      </c>
      <c r="Q956" t="str">
        <f ca="1">IFERROR(__xludf.DUMMYFUNCTION("""COMPUTED_VALUE"""),"tpsmalappuram@gmail.com")</f>
        <v>tpsmalappuram@gmail.com</v>
      </c>
      <c r="R956" s="2" t="s">
        <v>3370</v>
      </c>
    </row>
    <row r="957" spans="1:18" ht="13" x14ac:dyDescent="0.15">
      <c r="A957" s="3">
        <f ca="1">IFERROR(__xludf.DUMMYFUNCTION("""COMPUTED_VALUE"""),43263.6284582754)</f>
        <v>43263.628458275401</v>
      </c>
      <c r="B957" t="str">
        <f ca="1">IFERROR(__xludf.DUMMYFUNCTION("""COMPUTED_VALUE"""),"nandana2000r@gmail.com")</f>
        <v>nandana2000r@gmail.com</v>
      </c>
      <c r="C957">
        <f ca="1">IFERROR(__xludf.DUMMYFUNCTION("""COMPUTED_VALUE"""),558)</f>
        <v>558</v>
      </c>
      <c r="D957" t="str">
        <f ca="1">IFERROR(__xludf.DUMMYFUNCTION("""COMPUTED_VALUE"""),"KV SEBASTIAN")</f>
        <v>KV SEBASTIAN</v>
      </c>
      <c r="E957">
        <f ca="1">IFERROR(__xludf.DUMMYFUNCTION("""COMPUTED_VALUE"""),7558881999)</f>
        <v>7558881999</v>
      </c>
      <c r="F957" t="str">
        <f ca="1">IFERROR(__xludf.DUMMYFUNCTION("""COMPUTED_VALUE"""),"Kottayam")</f>
        <v>Kottayam</v>
      </c>
      <c r="G957" t="str">
        <f ca="1">IFERROR(__xludf.DUMMYFUNCTION("""COMPUTED_VALUE"""),"TATA POWER SOLAR SYSTEMS LTD")</f>
        <v>TATA POWER SOLAR SYSTEMS LTD</v>
      </c>
      <c r="H957">
        <f ca="1">IFERROR(__xludf.DUMMYFUNCTION("""COMPUTED_VALUE"""),20)</f>
        <v>20</v>
      </c>
      <c r="I957" s="4">
        <f ca="1">IFERROR(__xludf.DUMMYFUNCTION("""COMPUTED_VALUE"""),43161)</f>
        <v>43161</v>
      </c>
      <c r="J957">
        <f ca="1">IFERROR(__xludf.DUMMYFUNCTION("""COMPUTED_VALUE"""),3)</f>
        <v>3</v>
      </c>
      <c r="K957">
        <f ca="1">IFERROR(__xludf.DUMMYFUNCTION("""COMPUTED_VALUE"""),1146643010326)</f>
        <v>1146643010326</v>
      </c>
      <c r="L957" t="str">
        <f ca="1">IFERROR(__xludf.DUMMYFUNCTION("""COMPUTED_VALUE"""),"ATHIRAMPUZHA")</f>
        <v>ATHIRAMPUZHA</v>
      </c>
      <c r="M957" t="str">
        <f ca="1">IFERROR(__xludf.DUMMYFUNCTION("""COMPUTED_VALUE"""),"I Accept")</f>
        <v>I Accept</v>
      </c>
      <c r="N957" s="4">
        <f ca="1">IFERROR(__xludf.DUMMYFUNCTION("""COMPUTED_VALUE"""),43263)</f>
        <v>43263</v>
      </c>
      <c r="O957" s="4">
        <f ca="1">IFERROR(__xludf.DUMMYFUNCTION("""COMPUTED_VALUE"""),43263)</f>
        <v>43263</v>
      </c>
      <c r="P957">
        <f ca="1">IFERROR(__xludf.DUMMYFUNCTION("""COMPUTED_VALUE"""),3)</f>
        <v>3</v>
      </c>
      <c r="Q957" t="str">
        <f ca="1">IFERROR(__xludf.DUMMYFUNCTION("""COMPUTED_VALUE"""),"nandana2000r@gmail.com")</f>
        <v>nandana2000r@gmail.com</v>
      </c>
      <c r="R957" s="2" t="s">
        <v>3371</v>
      </c>
    </row>
    <row r="958" spans="1:18" ht="13" x14ac:dyDescent="0.15">
      <c r="A958" s="3">
        <f ca="1">IFERROR(__xludf.DUMMYFUNCTION("""COMPUTED_VALUE"""),43263.6354481365)</f>
        <v>43263.635448136498</v>
      </c>
      <c r="B958" t="str">
        <f ca="1">IFERROR(__xludf.DUMMYFUNCTION("""COMPUTED_VALUE"""),"solarconnect2018@gmail.com")</f>
        <v>solarconnect2018@gmail.com</v>
      </c>
      <c r="C958">
        <f ca="1">IFERROR(__xludf.DUMMYFUNCTION("""COMPUTED_VALUE"""),1119)</f>
        <v>1119</v>
      </c>
      <c r="D958" t="str">
        <f ca="1">IFERROR(__xludf.DUMMYFUNCTION("""COMPUTED_VALUE"""),"LALITHA SUGATHAN")</f>
        <v>LALITHA SUGATHAN</v>
      </c>
      <c r="E958">
        <f ca="1">IFERROR(__xludf.DUMMYFUNCTION("""COMPUTED_VALUE"""),7012334211)</f>
        <v>7012334211</v>
      </c>
      <c r="F958" t="str">
        <f ca="1">IFERROR(__xludf.DUMMYFUNCTION("""COMPUTED_VALUE"""),"Kottayam")</f>
        <v>Kottayam</v>
      </c>
      <c r="G958" t="str">
        <f ca="1">IFERROR(__xludf.DUMMYFUNCTION("""COMPUTED_VALUE"""),"SPECTRUM TECHNO PRODUCTS")</f>
        <v>SPECTRUM TECHNO PRODUCTS</v>
      </c>
      <c r="H958">
        <f ca="1">IFERROR(__xludf.DUMMYFUNCTION("""COMPUTED_VALUE"""),66)</f>
        <v>66</v>
      </c>
      <c r="I958" s="4">
        <f ca="1">IFERROR(__xludf.DUMMYFUNCTION("""COMPUTED_VALUE"""),43258)</f>
        <v>43258</v>
      </c>
      <c r="J958">
        <f ca="1">IFERROR(__xludf.DUMMYFUNCTION("""COMPUTED_VALUE"""),5)</f>
        <v>5</v>
      </c>
      <c r="K958">
        <f ca="1">IFERROR(__xludf.DUMMYFUNCTION("""COMPUTED_VALUE"""),1146363026477)</f>
        <v>1146363026477</v>
      </c>
      <c r="L958" t="str">
        <f ca="1">IFERROR(__xludf.DUMMYFUNCTION("""COMPUTED_VALUE"""),"CHANGANASSERY")</f>
        <v>CHANGANASSERY</v>
      </c>
      <c r="M958" t="str">
        <f ca="1">IFERROR(__xludf.DUMMYFUNCTION("""COMPUTED_VALUE"""),"I Accept")</f>
        <v>I Accept</v>
      </c>
      <c r="N958" s="4">
        <f ca="1">IFERROR(__xludf.DUMMYFUNCTION("""COMPUTED_VALUE"""),43263)</f>
        <v>43263</v>
      </c>
      <c r="O958" s="4">
        <f ca="1">IFERROR(__xludf.DUMMYFUNCTION("""COMPUTED_VALUE"""),43263)</f>
        <v>43263</v>
      </c>
      <c r="P958">
        <f ca="1">IFERROR(__xludf.DUMMYFUNCTION("""COMPUTED_VALUE"""),5)</f>
        <v>5</v>
      </c>
      <c r="Q958" t="str">
        <f ca="1">IFERROR(__xludf.DUMMYFUNCTION("""COMPUTED_VALUE"""),"solarconnect2018@gmail.com")</f>
        <v>solarconnect2018@gmail.com</v>
      </c>
      <c r="R958" s="2" t="s">
        <v>3372</v>
      </c>
    </row>
    <row r="959" spans="1:18" ht="13" x14ac:dyDescent="0.15">
      <c r="A959" s="3">
        <f ca="1">IFERROR(__xludf.DUMMYFUNCTION("""COMPUTED_VALUE"""),43263.6537768865)</f>
        <v>43263.653776886502</v>
      </c>
      <c r="B959" t="str">
        <f ca="1">IFERROR(__xludf.DUMMYFUNCTION("""COMPUTED_VALUE"""),"solarconnect2018@gmail.com")</f>
        <v>solarconnect2018@gmail.com</v>
      </c>
      <c r="C959">
        <f ca="1">IFERROR(__xludf.DUMMYFUNCTION("""COMPUTED_VALUE"""),897)</f>
        <v>897</v>
      </c>
      <c r="D959" t="str">
        <f ca="1">IFERROR(__xludf.DUMMYFUNCTION("""COMPUTED_VALUE"""),"RAHIM")</f>
        <v>RAHIM</v>
      </c>
      <c r="E959">
        <f ca="1">IFERROR(__xludf.DUMMYFUNCTION("""COMPUTED_VALUE"""),9746615668)</f>
        <v>9746615668</v>
      </c>
      <c r="F959" t="str">
        <f ca="1">IFERROR(__xludf.DUMMYFUNCTION("""COMPUTED_VALUE"""),"Ernakulam")</f>
        <v>Ernakulam</v>
      </c>
      <c r="G959" t="str">
        <f ca="1">IFERROR(__xludf.DUMMYFUNCTION("""COMPUTED_VALUE"""),"SPECTRUM TECHNO PRODUCTS")</f>
        <v>SPECTRUM TECHNO PRODUCTS</v>
      </c>
      <c r="H959">
        <f ca="1">IFERROR(__xludf.DUMMYFUNCTION("""COMPUTED_VALUE"""),66)</f>
        <v>66</v>
      </c>
      <c r="I959" s="4">
        <f ca="1">IFERROR(__xludf.DUMMYFUNCTION("""COMPUTED_VALUE"""),43215)</f>
        <v>43215</v>
      </c>
      <c r="J959">
        <f ca="1">IFERROR(__xludf.DUMMYFUNCTION("""COMPUTED_VALUE"""),3)</f>
        <v>3</v>
      </c>
      <c r="K959">
        <f ca="1">IFERROR(__xludf.DUMMYFUNCTION("""COMPUTED_VALUE"""),1155592008684)</f>
        <v>1155592008684</v>
      </c>
      <c r="L959" t="str">
        <f ca="1">IFERROR(__xludf.DUMMYFUNCTION("""COMPUTED_VALUE"""),"PALLURUTHY")</f>
        <v>PALLURUTHY</v>
      </c>
      <c r="M959" t="str">
        <f ca="1">IFERROR(__xludf.DUMMYFUNCTION("""COMPUTED_VALUE"""),"I Accept")</f>
        <v>I Accept</v>
      </c>
      <c r="N959" s="4">
        <f ca="1">IFERROR(__xludf.DUMMYFUNCTION("""COMPUTED_VALUE"""),43263)</f>
        <v>43263</v>
      </c>
      <c r="O959" s="4">
        <f ca="1">IFERROR(__xludf.DUMMYFUNCTION("""COMPUTED_VALUE"""),43263)</f>
        <v>43263</v>
      </c>
      <c r="P959">
        <f ca="1">IFERROR(__xludf.DUMMYFUNCTION("""COMPUTED_VALUE"""),3)</f>
        <v>3</v>
      </c>
      <c r="Q959" t="str">
        <f ca="1">IFERROR(__xludf.DUMMYFUNCTION("""COMPUTED_VALUE"""),"solarconnect2018@gmail.com")</f>
        <v>solarconnect2018@gmail.com</v>
      </c>
      <c r="R959" s="2" t="s">
        <v>3373</v>
      </c>
    </row>
    <row r="960" spans="1:18" ht="13" x14ac:dyDescent="0.15">
      <c r="A960" s="3">
        <f ca="1">IFERROR(__xludf.DUMMYFUNCTION("""COMPUTED_VALUE"""),43263.6583527662)</f>
        <v>43263.658352766201</v>
      </c>
      <c r="B960" t="str">
        <f ca="1">IFERROR(__xludf.DUMMYFUNCTION("""COMPUTED_VALUE"""),"connectdsk@gmail.com")</f>
        <v>connectdsk@gmail.com</v>
      </c>
      <c r="C960">
        <f ca="1">IFERROR(__xludf.DUMMYFUNCTION("""COMPUTED_VALUE"""),1129)</f>
        <v>1129</v>
      </c>
      <c r="D960" t="str">
        <f ca="1">IFERROR(__xludf.DUMMYFUNCTION("""COMPUTED_VALUE"""),"T SAILESHKUMAR")</f>
        <v>T SAILESHKUMAR</v>
      </c>
      <c r="E960">
        <f ca="1">IFERROR(__xludf.DUMMYFUNCTION("""COMPUTED_VALUE"""),8547564126)</f>
        <v>8547564126</v>
      </c>
      <c r="F960" t="str">
        <f ca="1">IFERROR(__xludf.DUMMYFUNCTION("""COMPUTED_VALUE"""),"Kollam")</f>
        <v>Kollam</v>
      </c>
      <c r="G960" t="str">
        <f ca="1">IFERROR(__xludf.DUMMYFUNCTION("""COMPUTED_VALUE"""),"FERT")</f>
        <v>FERT</v>
      </c>
      <c r="H960">
        <f ca="1">IFERROR(__xludf.DUMMYFUNCTION("""COMPUTED_VALUE"""),27)</f>
        <v>27</v>
      </c>
      <c r="I960" s="4">
        <f ca="1">IFERROR(__xludf.DUMMYFUNCTION("""COMPUTED_VALUE"""),43263)</f>
        <v>43263</v>
      </c>
      <c r="J960">
        <f ca="1">IFERROR(__xludf.DUMMYFUNCTION("""COMPUTED_VALUE"""),3)</f>
        <v>3</v>
      </c>
      <c r="K960">
        <f ca="1">IFERROR(__xludf.DUMMYFUNCTION("""COMPUTED_VALUE"""),1145935030123)</f>
        <v>1145935030123</v>
      </c>
      <c r="L960" t="str">
        <f ca="1">IFERROR(__xludf.DUMMYFUNCTION("""COMPUTED_VALUE"""),"PUNALUR")</f>
        <v>PUNALUR</v>
      </c>
      <c r="M960" t="str">
        <f ca="1">IFERROR(__xludf.DUMMYFUNCTION("""COMPUTED_VALUE"""),"I Accept")</f>
        <v>I Accept</v>
      </c>
      <c r="N960" s="4">
        <f ca="1">IFERROR(__xludf.DUMMYFUNCTION("""COMPUTED_VALUE"""),43263)</f>
        <v>43263</v>
      </c>
      <c r="O960" s="4">
        <f ca="1">IFERROR(__xludf.DUMMYFUNCTION("""COMPUTED_VALUE"""),43263)</f>
        <v>43263</v>
      </c>
      <c r="P960">
        <f ca="1">IFERROR(__xludf.DUMMYFUNCTION("""COMPUTED_VALUE"""),3)</f>
        <v>3</v>
      </c>
      <c r="Q960" t="str">
        <f ca="1">IFERROR(__xludf.DUMMYFUNCTION("""COMPUTED_VALUE"""),"connectdsk@gmail.com")</f>
        <v>connectdsk@gmail.com</v>
      </c>
      <c r="R960" s="2" t="s">
        <v>3374</v>
      </c>
    </row>
    <row r="961" spans="1:18" ht="13" x14ac:dyDescent="0.15">
      <c r="A961" s="3">
        <f ca="1">IFERROR(__xludf.DUMMYFUNCTION("""COMPUTED_VALUE"""),43263.6613061921)</f>
        <v>43263.661306192102</v>
      </c>
      <c r="B961" t="str">
        <f ca="1">IFERROR(__xludf.DUMMYFUNCTION("""COMPUTED_VALUE"""),"tpsmalappuram@gmail.com")</f>
        <v>tpsmalappuram@gmail.com</v>
      </c>
      <c r="C961">
        <f ca="1">IFERROR(__xludf.DUMMYFUNCTION("""COMPUTED_VALUE"""),1153)</f>
        <v>1153</v>
      </c>
      <c r="D961" t="str">
        <f ca="1">IFERROR(__xludf.DUMMYFUNCTION("""COMPUTED_VALUE"""),"BALKEES")</f>
        <v>BALKEES</v>
      </c>
      <c r="E961">
        <f ca="1">IFERROR(__xludf.DUMMYFUNCTION("""COMPUTED_VALUE"""),9447268435)</f>
        <v>9447268435</v>
      </c>
      <c r="F961" t="str">
        <f ca="1">IFERROR(__xludf.DUMMYFUNCTION("""COMPUTED_VALUE"""),"Palakkad")</f>
        <v>Palakkad</v>
      </c>
      <c r="G961" t="str">
        <f ca="1">IFERROR(__xludf.DUMMYFUNCTION("""COMPUTED_VALUE"""),"TATA POWER SOLAR SYSTEM LTD")</f>
        <v>TATA POWER SOLAR SYSTEM LTD</v>
      </c>
      <c r="H961">
        <f ca="1">IFERROR(__xludf.DUMMYFUNCTION("""COMPUTED_VALUE"""),20)</f>
        <v>20</v>
      </c>
      <c r="I961" s="4">
        <f ca="1">IFERROR(__xludf.DUMMYFUNCTION("""COMPUTED_VALUE"""),43263)</f>
        <v>43263</v>
      </c>
      <c r="J961">
        <f ca="1">IFERROR(__xludf.DUMMYFUNCTION("""COMPUTED_VALUE"""),10)</f>
        <v>10</v>
      </c>
      <c r="K961">
        <f ca="1">IFERROR(__xludf.DUMMYFUNCTION("""COMPUTED_VALUE"""),1165216030815)</f>
        <v>1165216030815</v>
      </c>
      <c r="L961" t="str">
        <f ca="1">IFERROR(__xludf.DUMMYFUNCTION("""COMPUTED_VALUE"""),"ALANALLUR")</f>
        <v>ALANALLUR</v>
      </c>
      <c r="M961" t="str">
        <f ca="1">IFERROR(__xludf.DUMMYFUNCTION("""COMPUTED_VALUE"""),"I Accept")</f>
        <v>I Accept</v>
      </c>
      <c r="N961" s="4">
        <f ca="1">IFERROR(__xludf.DUMMYFUNCTION("""COMPUTED_VALUE"""),43263)</f>
        <v>43263</v>
      </c>
      <c r="O961" s="4">
        <f ca="1">IFERROR(__xludf.DUMMYFUNCTION("""COMPUTED_VALUE"""),43263)</f>
        <v>43263</v>
      </c>
      <c r="P961">
        <f ca="1">IFERROR(__xludf.DUMMYFUNCTION("""COMPUTED_VALUE"""),10)</f>
        <v>10</v>
      </c>
      <c r="Q961" t="str">
        <f ca="1">IFERROR(__xludf.DUMMYFUNCTION("""COMPUTED_VALUE"""),"tpsmalappuram@gmail.com")</f>
        <v>tpsmalappuram@gmail.com</v>
      </c>
      <c r="R961" s="2" t="s">
        <v>3375</v>
      </c>
    </row>
    <row r="962" spans="1:18" ht="13" x14ac:dyDescent="0.15">
      <c r="A962" s="3">
        <f ca="1">IFERROR(__xludf.DUMMYFUNCTION("""COMPUTED_VALUE"""),43263.6686956828)</f>
        <v>43263.668695682798</v>
      </c>
      <c r="B962" t="str">
        <f ca="1">IFERROR(__xludf.DUMMYFUNCTION("""COMPUTED_VALUE"""),"sales.kodco@gmail.com")</f>
        <v>sales.kodco@gmail.com</v>
      </c>
      <c r="C962">
        <f ca="1">IFERROR(__xludf.DUMMYFUNCTION("""COMPUTED_VALUE"""),535)</f>
        <v>535</v>
      </c>
      <c r="D962" t="str">
        <f ca="1">IFERROR(__xludf.DUMMYFUNCTION("""COMPUTED_VALUE"""),"Nisha")</f>
        <v>Nisha</v>
      </c>
      <c r="E962">
        <f ca="1">IFERROR(__xludf.DUMMYFUNCTION("""COMPUTED_VALUE"""),9497714979)</f>
        <v>9497714979</v>
      </c>
      <c r="F962" t="str">
        <f ca="1">IFERROR(__xludf.DUMMYFUNCTION("""COMPUTED_VALUE"""),"Kozhikode")</f>
        <v>Kozhikode</v>
      </c>
      <c r="G962" t="str">
        <f ca="1">IFERROR(__xludf.DUMMYFUNCTION("""COMPUTED_VALUE"""),"TATA POWER SOLAR SYSTEMS LTD")</f>
        <v>TATA POWER SOLAR SYSTEMS LTD</v>
      </c>
      <c r="H962">
        <f ca="1">IFERROR(__xludf.DUMMYFUNCTION("""COMPUTED_VALUE"""),20)</f>
        <v>20</v>
      </c>
      <c r="I962" s="4">
        <f ca="1">IFERROR(__xludf.DUMMYFUNCTION("""COMPUTED_VALUE"""),43262)</f>
        <v>43262</v>
      </c>
      <c r="J962">
        <f ca="1">IFERROR(__xludf.DUMMYFUNCTION("""COMPUTED_VALUE"""),15)</f>
        <v>15</v>
      </c>
      <c r="K962">
        <f ca="1">IFERROR(__xludf.DUMMYFUNCTION("""COMPUTED_VALUE"""),5687)</f>
        <v>5687</v>
      </c>
      <c r="L962" t="str">
        <f ca="1">IFERROR(__xludf.DUMMYFUNCTION("""COMPUTED_VALUE"""),"6744")</f>
        <v>6744</v>
      </c>
      <c r="M962" t="str">
        <f ca="1">IFERROR(__xludf.DUMMYFUNCTION("""COMPUTED_VALUE"""),"I Accept")</f>
        <v>I Accept</v>
      </c>
      <c r="N962" s="4">
        <f ca="1">IFERROR(__xludf.DUMMYFUNCTION("""COMPUTED_VALUE"""),43258)</f>
        <v>43258</v>
      </c>
      <c r="O962" s="4">
        <f ca="1">IFERROR(__xludf.DUMMYFUNCTION("""COMPUTED_VALUE"""),43258)</f>
        <v>43258</v>
      </c>
      <c r="P962">
        <f ca="1">IFERROR(__xludf.DUMMYFUNCTION("""COMPUTED_VALUE"""),15)</f>
        <v>15</v>
      </c>
      <c r="Q962" t="str">
        <f ca="1">IFERROR(__xludf.DUMMYFUNCTION("""COMPUTED_VALUE"""),"sales.kodco@gmail.com")</f>
        <v>sales.kodco@gmail.com</v>
      </c>
      <c r="R962" s="2" t="s">
        <v>3376</v>
      </c>
    </row>
    <row r="963" spans="1:18" ht="13" x14ac:dyDescent="0.15">
      <c r="A963" s="3">
        <f ca="1">IFERROR(__xludf.DUMMYFUNCTION("""COMPUTED_VALUE"""),43263.6744236342)</f>
        <v>43263.674423634198</v>
      </c>
      <c r="B963" t="str">
        <f ca="1">IFERROR(__xludf.DUMMYFUNCTION("""COMPUTED_VALUE"""),"connectdsk@gmail.com")</f>
        <v>connectdsk@gmail.com</v>
      </c>
      <c r="C963">
        <f ca="1">IFERROR(__xludf.DUMMYFUNCTION("""COMPUTED_VALUE"""),1133)</f>
        <v>1133</v>
      </c>
      <c r="D963" t="str">
        <f ca="1">IFERROR(__xludf.DUMMYFUNCTION("""COMPUTED_VALUE"""),"MATHUNNI P V")</f>
        <v>MATHUNNI P V</v>
      </c>
      <c r="E963">
        <f ca="1">IFERROR(__xludf.DUMMYFUNCTION("""COMPUTED_VALUE"""),8547564126)</f>
        <v>8547564126</v>
      </c>
      <c r="F963" t="str">
        <f ca="1">IFERROR(__xludf.DUMMYFUNCTION("""COMPUTED_VALUE"""),"Thrissur")</f>
        <v>Thrissur</v>
      </c>
      <c r="G963" t="str">
        <f ca="1">IFERROR(__xludf.DUMMYFUNCTION("""COMPUTED_VALUE"""),"FERT")</f>
        <v>FERT</v>
      </c>
      <c r="H963">
        <f ca="1">IFERROR(__xludf.DUMMYFUNCTION("""COMPUTED_VALUE"""),27)</f>
        <v>27</v>
      </c>
      <c r="I963" s="4">
        <f ca="1">IFERROR(__xludf.DUMMYFUNCTION("""COMPUTED_VALUE"""),43263)</f>
        <v>43263</v>
      </c>
      <c r="J963">
        <f ca="1">IFERROR(__xludf.DUMMYFUNCTION("""COMPUTED_VALUE"""),3)</f>
        <v>3</v>
      </c>
      <c r="K963">
        <f ca="1">IFERROR(__xludf.DUMMYFUNCTION("""COMPUTED_VALUE"""),1156772004646)</f>
        <v>1156772004646</v>
      </c>
      <c r="L963" t="str">
        <f ca="1">IFERROR(__xludf.DUMMYFUNCTION("""COMPUTED_VALUE"""),"NADATHARA")</f>
        <v>NADATHARA</v>
      </c>
      <c r="M963" t="str">
        <f ca="1">IFERROR(__xludf.DUMMYFUNCTION("""COMPUTED_VALUE"""),"I Accept")</f>
        <v>I Accept</v>
      </c>
      <c r="N963" s="4">
        <f ca="1">IFERROR(__xludf.DUMMYFUNCTION("""COMPUTED_VALUE"""),43263)</f>
        <v>43263</v>
      </c>
      <c r="O963" s="4">
        <f ca="1">IFERROR(__xludf.DUMMYFUNCTION("""COMPUTED_VALUE"""),43263)</f>
        <v>43263</v>
      </c>
      <c r="P963">
        <f ca="1">IFERROR(__xludf.DUMMYFUNCTION("""COMPUTED_VALUE"""),3)</f>
        <v>3</v>
      </c>
      <c r="Q963" t="str">
        <f ca="1">IFERROR(__xludf.DUMMYFUNCTION("""COMPUTED_VALUE"""),"connectdsk@gmail.com")</f>
        <v>connectdsk@gmail.com</v>
      </c>
      <c r="R963" s="2" t="s">
        <v>3377</v>
      </c>
    </row>
    <row r="964" spans="1:18" ht="13" x14ac:dyDescent="0.15">
      <c r="A964" s="3">
        <f ca="1">IFERROR(__xludf.DUMMYFUNCTION("""COMPUTED_VALUE"""),43263.6754927546)</f>
        <v>43263.675492754599</v>
      </c>
      <c r="B964" t="str">
        <f ca="1">IFERROR(__xludf.DUMMYFUNCTION("""COMPUTED_VALUE"""),"greensolar595@gmail.com")</f>
        <v>greensolar595@gmail.com</v>
      </c>
      <c r="C964">
        <f ca="1">IFERROR(__xludf.DUMMYFUNCTION("""COMPUTED_VALUE"""),1089)</f>
        <v>1089</v>
      </c>
      <c r="D964" t="str">
        <f ca="1">IFERROR(__xludf.DUMMYFUNCTION("""COMPUTED_VALUE"""),"Thomas K P")</f>
        <v>Thomas K P</v>
      </c>
      <c r="E964">
        <f ca="1">IFERROR(__xludf.DUMMYFUNCTION("""COMPUTED_VALUE"""),8589019033)</f>
        <v>8589019033</v>
      </c>
      <c r="F964" t="str">
        <f ca="1">IFERROR(__xludf.DUMMYFUNCTION("""COMPUTED_VALUE"""),"Thrissur")</f>
        <v>Thrissur</v>
      </c>
      <c r="G964" t="str">
        <f ca="1">IFERROR(__xludf.DUMMYFUNCTION("""COMPUTED_VALUE"""),"Greenroof Solar Pvt Ltd")</f>
        <v>Greenroof Solar Pvt Ltd</v>
      </c>
      <c r="H964">
        <f ca="1">IFERROR(__xludf.DUMMYFUNCTION("""COMPUTED_VALUE"""),24)</f>
        <v>24</v>
      </c>
      <c r="I964" s="4">
        <f ca="1">IFERROR(__xludf.DUMMYFUNCTION("""COMPUTED_VALUE"""),43235)</f>
        <v>43235</v>
      </c>
      <c r="J964">
        <f ca="1">IFERROR(__xludf.DUMMYFUNCTION("""COMPUTED_VALUE"""),3)</f>
        <v>3</v>
      </c>
      <c r="K964">
        <f ca="1">IFERROR(__xludf.DUMMYFUNCTION("""COMPUTED_VALUE"""),1156519008979)</f>
        <v>1156519008979</v>
      </c>
      <c r="L964" t="str">
        <f ca="1">IFERROR(__xludf.DUMMYFUNCTION("""COMPUTED_VALUE"""),"Chalakudy")</f>
        <v>Chalakudy</v>
      </c>
      <c r="M964" t="str">
        <f ca="1">IFERROR(__xludf.DUMMYFUNCTION("""COMPUTED_VALUE"""),"I Accept")</f>
        <v>I Accept</v>
      </c>
      <c r="N964" s="4">
        <f ca="1">IFERROR(__xludf.DUMMYFUNCTION("""COMPUTED_VALUE"""),43263)</f>
        <v>43263</v>
      </c>
      <c r="O964" s="4">
        <f ca="1">IFERROR(__xludf.DUMMYFUNCTION("""COMPUTED_VALUE"""),43263)</f>
        <v>43263</v>
      </c>
      <c r="P964">
        <f ca="1">IFERROR(__xludf.DUMMYFUNCTION("""COMPUTED_VALUE"""),3)</f>
        <v>3</v>
      </c>
      <c r="Q964" t="str">
        <f ca="1">IFERROR(__xludf.DUMMYFUNCTION("""COMPUTED_VALUE"""),"greensolar595@gmail.com")</f>
        <v>greensolar595@gmail.com</v>
      </c>
      <c r="R964" s="2" t="s">
        <v>3378</v>
      </c>
    </row>
    <row r="965" spans="1:18" ht="13" x14ac:dyDescent="0.15">
      <c r="A965" s="3">
        <f ca="1">IFERROR(__xludf.DUMMYFUNCTION("""COMPUTED_VALUE"""),43263.6781950925)</f>
        <v>43263.6781950925</v>
      </c>
      <c r="B965" t="str">
        <f ca="1">IFERROR(__xludf.DUMMYFUNCTION("""COMPUTED_VALUE"""),"nandana2000r@gmail.com")</f>
        <v>nandana2000r@gmail.com</v>
      </c>
      <c r="C965">
        <f ca="1">IFERROR(__xludf.DUMMYFUNCTION("""COMPUTED_VALUE"""),1066)</f>
        <v>1066</v>
      </c>
      <c r="D965" t="str">
        <f ca="1">IFERROR(__xludf.DUMMYFUNCTION("""COMPUTED_VALUE"""),"RADHAKRISHNAN P")</f>
        <v>RADHAKRISHNAN P</v>
      </c>
      <c r="E965">
        <f ca="1">IFERROR(__xludf.DUMMYFUNCTION("""COMPUTED_VALUE"""),7558881999)</f>
        <v>7558881999</v>
      </c>
      <c r="F965" t="str">
        <f ca="1">IFERROR(__xludf.DUMMYFUNCTION("""COMPUTED_VALUE"""),"Kottayam")</f>
        <v>Kottayam</v>
      </c>
      <c r="G965" t="str">
        <f ca="1">IFERROR(__xludf.DUMMYFUNCTION("""COMPUTED_VALUE"""),"TATA POWER SOLAR SYSTEMS LTD")</f>
        <v>TATA POWER SOLAR SYSTEMS LTD</v>
      </c>
      <c r="H965">
        <f ca="1">IFERROR(__xludf.DUMMYFUNCTION("""COMPUTED_VALUE"""),20)</f>
        <v>20</v>
      </c>
      <c r="I965" s="4">
        <f ca="1">IFERROR(__xludf.DUMMYFUNCTION("""COMPUTED_VALUE"""),43227)</f>
        <v>43227</v>
      </c>
      <c r="J965">
        <f ca="1">IFERROR(__xludf.DUMMYFUNCTION("""COMPUTED_VALUE"""),3)</f>
        <v>3</v>
      </c>
      <c r="K965">
        <f ca="1">IFERROR(__xludf.DUMMYFUNCTION("""COMPUTED_VALUE"""),1156288008348)</f>
        <v>1156288008348</v>
      </c>
      <c r="L965" t="str">
        <f ca="1">IFERROR(__xludf.DUMMYFUNCTION("""COMPUTED_VALUE"""),"MARANGATTUPALLY")</f>
        <v>MARANGATTUPALLY</v>
      </c>
      <c r="M965" t="str">
        <f ca="1">IFERROR(__xludf.DUMMYFUNCTION("""COMPUTED_VALUE"""),"I Accept")</f>
        <v>I Accept</v>
      </c>
      <c r="N965" s="4">
        <f ca="1">IFERROR(__xludf.DUMMYFUNCTION("""COMPUTED_VALUE"""),43263)</f>
        <v>43263</v>
      </c>
      <c r="O965" s="4">
        <f ca="1">IFERROR(__xludf.DUMMYFUNCTION("""COMPUTED_VALUE"""),43263)</f>
        <v>43263</v>
      </c>
      <c r="P965">
        <f ca="1">IFERROR(__xludf.DUMMYFUNCTION("""COMPUTED_VALUE"""),3)</f>
        <v>3</v>
      </c>
      <c r="Q965" t="str">
        <f ca="1">IFERROR(__xludf.DUMMYFUNCTION("""COMPUTED_VALUE"""),"nandana2000r@gmail.com")</f>
        <v>nandana2000r@gmail.com</v>
      </c>
      <c r="R965" s="2" t="s">
        <v>3379</v>
      </c>
    </row>
    <row r="966" spans="1:18" ht="13" x14ac:dyDescent="0.15">
      <c r="A966" s="3">
        <f ca="1">IFERROR(__xludf.DUMMYFUNCTION("""COMPUTED_VALUE"""),43263.6785336226)</f>
        <v>43263.678533622602</v>
      </c>
      <c r="B966" t="str">
        <f ca="1">IFERROR(__xludf.DUMMYFUNCTION("""COMPUTED_VALUE"""),"jacobnangelimalil@gmail.com")</f>
        <v>jacobnangelimalil@gmail.com</v>
      </c>
      <c r="C966">
        <f ca="1">IFERROR(__xludf.DUMMYFUNCTION("""COMPUTED_VALUE"""),1196)</f>
        <v>1196</v>
      </c>
      <c r="D966" t="str">
        <f ca="1">IFERROR(__xludf.DUMMYFUNCTION("""COMPUTED_VALUE"""),"Fr. Jacob Nangelimalil")</f>
        <v>Fr. Jacob Nangelimalil</v>
      </c>
      <c r="E966">
        <f ca="1">IFERROR(__xludf.DUMMYFUNCTION("""COMPUTED_VALUE"""),9446867273)</f>
        <v>9446867273</v>
      </c>
      <c r="F966" t="str">
        <f ca="1">IFERROR(__xludf.DUMMYFUNCTION("""COMPUTED_VALUE"""),"Idukki")</f>
        <v>Idukki</v>
      </c>
      <c r="G966" t="str">
        <f ca="1">IFERROR(__xludf.DUMMYFUNCTION("""COMPUTED_VALUE"""),"Alternate Energy Corporation ")</f>
        <v xml:space="preserve">Alternate Energy Corporation </v>
      </c>
      <c r="H966">
        <f ca="1">IFERROR(__xludf.DUMMYFUNCTION("""COMPUTED_VALUE"""),22)</f>
        <v>22</v>
      </c>
      <c r="I966" s="4">
        <f ca="1">IFERROR(__xludf.DUMMYFUNCTION("""COMPUTED_VALUE"""),43263)</f>
        <v>43263</v>
      </c>
      <c r="J966">
        <f ca="1">IFERROR(__xludf.DUMMYFUNCTION("""COMPUTED_VALUE"""),15)</f>
        <v>15</v>
      </c>
      <c r="K966">
        <f ca="1">IFERROR(__xludf.DUMMYFUNCTION("""COMPUTED_VALUE"""),1156224013403)</f>
        <v>1156224013403</v>
      </c>
      <c r="L966" t="str">
        <f ca="1">IFERROR(__xludf.DUMMYFUNCTION("""COMPUTED_VALUE"""),"vannapuram ")</f>
        <v xml:space="preserve">vannapuram </v>
      </c>
      <c r="M966" t="str">
        <f ca="1">IFERROR(__xludf.DUMMYFUNCTION("""COMPUTED_VALUE"""),"I Accept")</f>
        <v>I Accept</v>
      </c>
      <c r="N966" s="4">
        <f ca="1">IFERROR(__xludf.DUMMYFUNCTION("""COMPUTED_VALUE"""),43263)</f>
        <v>43263</v>
      </c>
      <c r="O966" s="4">
        <f ca="1">IFERROR(__xludf.DUMMYFUNCTION("""COMPUTED_VALUE"""),43263)</f>
        <v>43263</v>
      </c>
      <c r="P966">
        <f ca="1">IFERROR(__xludf.DUMMYFUNCTION("""COMPUTED_VALUE"""),15)</f>
        <v>15</v>
      </c>
      <c r="Q966" t="str">
        <f ca="1">IFERROR(__xludf.DUMMYFUNCTION("""COMPUTED_VALUE"""),"jacobnangelimalil@gmail.com")</f>
        <v>jacobnangelimalil@gmail.com</v>
      </c>
      <c r="R966" s="2" t="s">
        <v>3380</v>
      </c>
    </row>
    <row r="967" spans="1:18" ht="13" x14ac:dyDescent="0.15">
      <c r="A967" s="3">
        <f ca="1">IFERROR(__xludf.DUMMYFUNCTION("""COMPUTED_VALUE"""),43263.679030787)</f>
        <v>43263.679030787003</v>
      </c>
      <c r="B967" t="str">
        <f ca="1">IFERROR(__xludf.DUMMYFUNCTION("""COMPUTED_VALUE"""),"tps malappuram@gmail.com")</f>
        <v>tps malappuram@gmail.com</v>
      </c>
      <c r="C967">
        <f ca="1">IFERROR(__xludf.DUMMYFUNCTION("""COMPUTED_VALUE"""),1155)</f>
        <v>1155</v>
      </c>
      <c r="D967" t="str">
        <f ca="1">IFERROR(__xludf.DUMMYFUNCTION("""COMPUTED_VALUE"""),"ABDUL MAJEED.K")</f>
        <v>ABDUL MAJEED.K</v>
      </c>
      <c r="E967">
        <f ca="1">IFERROR(__xludf.DUMMYFUNCTION("""COMPUTED_VALUE"""),9447268435)</f>
        <v>9447268435</v>
      </c>
      <c r="F967" t="str">
        <f ca="1">IFERROR(__xludf.DUMMYFUNCTION("""COMPUTED_VALUE"""),"Malappuram")</f>
        <v>Malappuram</v>
      </c>
      <c r="G967" t="str">
        <f ca="1">IFERROR(__xludf.DUMMYFUNCTION("""COMPUTED_VALUE"""),"TATA POWER SOLAR SYSTEMS LTD")</f>
        <v>TATA POWER SOLAR SYSTEMS LTD</v>
      </c>
      <c r="H967">
        <f ca="1">IFERROR(__xludf.DUMMYFUNCTION("""COMPUTED_VALUE"""),20)</f>
        <v>20</v>
      </c>
      <c r="I967" s="4">
        <f ca="1">IFERROR(__xludf.DUMMYFUNCTION("""COMPUTED_VALUE"""),43263)</f>
        <v>43263</v>
      </c>
      <c r="J967">
        <f ca="1">IFERROR(__xludf.DUMMYFUNCTION("""COMPUTED_VALUE"""),10)</f>
        <v>10</v>
      </c>
      <c r="K967">
        <f ca="1">IFERROR(__xludf.DUMMYFUNCTION("""COMPUTED_VALUE"""),1165596032300)</f>
        <v>1165596032300</v>
      </c>
      <c r="L967" t="str">
        <f ca="1">IFERROR(__xludf.DUMMYFUNCTION("""COMPUTED_VALUE"""),"WANDOOR")</f>
        <v>WANDOOR</v>
      </c>
      <c r="M967" t="str">
        <f ca="1">IFERROR(__xludf.DUMMYFUNCTION("""COMPUTED_VALUE"""),"I Accept")</f>
        <v>I Accept</v>
      </c>
      <c r="N967" s="4">
        <f ca="1">IFERROR(__xludf.DUMMYFUNCTION("""COMPUTED_VALUE"""),43222)</f>
        <v>43222</v>
      </c>
      <c r="O967" s="4">
        <f ca="1">IFERROR(__xludf.DUMMYFUNCTION("""COMPUTED_VALUE"""),43222)</f>
        <v>43222</v>
      </c>
      <c r="P967">
        <f ca="1">IFERROR(__xludf.DUMMYFUNCTION("""COMPUTED_VALUE"""),10)</f>
        <v>10</v>
      </c>
      <c r="Q967" t="str">
        <f ca="1">IFERROR(__xludf.DUMMYFUNCTION("""COMPUTED_VALUE"""),"tpsmalappuram@gmail.com")</f>
        <v>tpsmalappuram@gmail.com</v>
      </c>
      <c r="R967" s="2" t="s">
        <v>3381</v>
      </c>
    </row>
    <row r="968" spans="1:18" ht="13" x14ac:dyDescent="0.15">
      <c r="A968" s="3">
        <f ca="1">IFERROR(__xludf.DUMMYFUNCTION("""COMPUTED_VALUE"""),43263.6997123726)</f>
        <v>43263.699712372603</v>
      </c>
      <c r="B968" t="str">
        <f ca="1">IFERROR(__xludf.DUMMYFUNCTION("""COMPUTED_VALUE"""),"nandana2000r@gmail.com")</f>
        <v>nandana2000r@gmail.com</v>
      </c>
      <c r="C968">
        <f ca="1">IFERROR(__xludf.DUMMYFUNCTION("""COMPUTED_VALUE"""),1190)</f>
        <v>1190</v>
      </c>
      <c r="D968" t="str">
        <f ca="1">IFERROR(__xludf.DUMMYFUNCTION("""COMPUTED_VALUE"""),"ABRAHAM MATHEW")</f>
        <v>ABRAHAM MATHEW</v>
      </c>
      <c r="E968">
        <f ca="1">IFERROR(__xludf.DUMMYFUNCTION("""COMPUTED_VALUE"""),7558881999)</f>
        <v>7558881999</v>
      </c>
      <c r="F968" t="str">
        <f ca="1">IFERROR(__xludf.DUMMYFUNCTION("""COMPUTED_VALUE"""),"Kottayam")</f>
        <v>Kottayam</v>
      </c>
      <c r="G968" t="str">
        <f ca="1">IFERROR(__xludf.DUMMYFUNCTION("""COMPUTED_VALUE"""),"TATA POWER SOLAR SYSTEMS LTD")</f>
        <v>TATA POWER SOLAR SYSTEMS LTD</v>
      </c>
      <c r="H968">
        <f ca="1">IFERROR(__xludf.DUMMYFUNCTION("""COMPUTED_VALUE"""),20)</f>
        <v>20</v>
      </c>
      <c r="I968" s="4">
        <f ca="1">IFERROR(__xludf.DUMMYFUNCTION("""COMPUTED_VALUE"""),43250)</f>
        <v>43250</v>
      </c>
      <c r="J968">
        <f ca="1">IFERROR(__xludf.DUMMYFUNCTION("""COMPUTED_VALUE"""),3)</f>
        <v>3</v>
      </c>
      <c r="K968">
        <f ca="1">IFERROR(__xludf.DUMMYFUNCTION("""COMPUTED_VALUE"""),1156261003239)</f>
        <v>1156261003239</v>
      </c>
      <c r="L968" t="str">
        <f ca="1">IFERROR(__xludf.DUMMYFUNCTION("""COMPUTED_VALUE"""),"PAIKA")</f>
        <v>PAIKA</v>
      </c>
      <c r="M968" t="str">
        <f ca="1">IFERROR(__xludf.DUMMYFUNCTION("""COMPUTED_VALUE"""),"I Accept")</f>
        <v>I Accept</v>
      </c>
      <c r="N968" s="4">
        <f ca="1">IFERROR(__xludf.DUMMYFUNCTION("""COMPUTED_VALUE"""),43263)</f>
        <v>43263</v>
      </c>
      <c r="O968" s="4">
        <f ca="1">IFERROR(__xludf.DUMMYFUNCTION("""COMPUTED_VALUE"""),43263)</f>
        <v>43263</v>
      </c>
      <c r="P968">
        <f ca="1">IFERROR(__xludf.DUMMYFUNCTION("""COMPUTED_VALUE"""),3)</f>
        <v>3</v>
      </c>
      <c r="Q968" t="str">
        <f ca="1">IFERROR(__xludf.DUMMYFUNCTION("""COMPUTED_VALUE"""),"nandana2000r@gmail.com")</f>
        <v>nandana2000r@gmail.com</v>
      </c>
      <c r="R968" s="2" t="s">
        <v>3382</v>
      </c>
    </row>
    <row r="969" spans="1:18" ht="13" x14ac:dyDescent="0.15">
      <c r="A969" s="3">
        <f ca="1">IFERROR(__xludf.DUMMYFUNCTION("""COMPUTED_VALUE"""),43263.7084294097)</f>
        <v>43263.7084294097</v>
      </c>
      <c r="B969" t="str">
        <f ca="1">IFERROR(__xludf.DUMMYFUNCTION("""COMPUTED_VALUE"""),"greensolar595@gmail.com")</f>
        <v>greensolar595@gmail.com</v>
      </c>
      <c r="C969">
        <f ca="1">IFERROR(__xludf.DUMMYFUNCTION("""COMPUTED_VALUE"""),1238)</f>
        <v>1238</v>
      </c>
      <c r="D969" t="str">
        <f ca="1">IFERROR(__xludf.DUMMYFUNCTION("""COMPUTED_VALUE"""),"Mrs. Radhamani")</f>
        <v>Mrs. Radhamani</v>
      </c>
      <c r="E969">
        <f ca="1">IFERROR(__xludf.DUMMYFUNCTION("""COMPUTED_VALUE"""),8589019035)</f>
        <v>8589019035</v>
      </c>
      <c r="F969" t="str">
        <f ca="1">IFERROR(__xludf.DUMMYFUNCTION("""COMPUTED_VALUE"""),"Idukki")</f>
        <v>Idukki</v>
      </c>
      <c r="G969" t="str">
        <f ca="1">IFERROR(__xludf.DUMMYFUNCTION("""COMPUTED_VALUE"""),"Greenroof Solar Pvt Ltd")</f>
        <v>Greenroof Solar Pvt Ltd</v>
      </c>
      <c r="H969">
        <f ca="1">IFERROR(__xludf.DUMMYFUNCTION("""COMPUTED_VALUE"""),24)</f>
        <v>24</v>
      </c>
      <c r="I969" s="4">
        <f ca="1">IFERROR(__xludf.DUMMYFUNCTION("""COMPUTED_VALUE"""),43263)</f>
        <v>43263</v>
      </c>
      <c r="J969">
        <f ca="1">IFERROR(__xludf.DUMMYFUNCTION("""COMPUTED_VALUE"""),3)</f>
        <v>3</v>
      </c>
      <c r="K969">
        <f ca="1">IFERROR(__xludf.DUMMYFUNCTION("""COMPUTED_VALUE"""),1156207012361)</f>
        <v>1156207012361</v>
      </c>
      <c r="L969" t="str">
        <f ca="1">IFERROR(__xludf.DUMMYFUNCTION("""COMPUTED_VALUE"""),"Thodupuzha")</f>
        <v>Thodupuzha</v>
      </c>
      <c r="M969" t="str">
        <f ca="1">IFERROR(__xludf.DUMMYFUNCTION("""COMPUTED_VALUE"""),"I Accept")</f>
        <v>I Accept</v>
      </c>
      <c r="N969" s="4">
        <f ca="1">IFERROR(__xludf.DUMMYFUNCTION("""COMPUTED_VALUE"""),43263)</f>
        <v>43263</v>
      </c>
      <c r="O969" s="4">
        <f ca="1">IFERROR(__xludf.DUMMYFUNCTION("""COMPUTED_VALUE"""),43263)</f>
        <v>43263</v>
      </c>
      <c r="P969">
        <f ca="1">IFERROR(__xludf.DUMMYFUNCTION("""COMPUTED_VALUE"""),3)</f>
        <v>3</v>
      </c>
      <c r="Q969" t="str">
        <f ca="1">IFERROR(__xludf.DUMMYFUNCTION("""COMPUTED_VALUE"""),"greensolar595@gmail.com")</f>
        <v>greensolar595@gmail.com</v>
      </c>
      <c r="R969" s="2" t="s">
        <v>3383</v>
      </c>
    </row>
    <row r="970" spans="1:18" ht="13" x14ac:dyDescent="0.15">
      <c r="A970" s="3">
        <f ca="1">IFERROR(__xludf.DUMMYFUNCTION("""COMPUTED_VALUE"""),43263.7246654282)</f>
        <v>43263.724665428199</v>
      </c>
      <c r="B970" t="str">
        <f ca="1">IFERROR(__xludf.DUMMYFUNCTION("""COMPUTED_VALUE"""),"nandana2000r@gmail.com")</f>
        <v>nandana2000r@gmail.com</v>
      </c>
      <c r="C970">
        <f ca="1">IFERROR(__xludf.DUMMYFUNCTION("""COMPUTED_VALUE"""),1086)</f>
        <v>1086</v>
      </c>
      <c r="D970" t="str">
        <f ca="1">IFERROR(__xludf.DUMMYFUNCTION("""COMPUTED_VALUE"""),"SEBASTIAN P JOSEPH")</f>
        <v>SEBASTIAN P JOSEPH</v>
      </c>
      <c r="E970">
        <f ca="1">IFERROR(__xludf.DUMMYFUNCTION("""COMPUTED_VALUE"""),7558881999)</f>
        <v>7558881999</v>
      </c>
      <c r="F970" t="str">
        <f ca="1">IFERROR(__xludf.DUMMYFUNCTION("""COMPUTED_VALUE"""),"Kottayam")</f>
        <v>Kottayam</v>
      </c>
      <c r="G970" t="str">
        <f ca="1">IFERROR(__xludf.DUMMYFUNCTION("""COMPUTED_VALUE"""),"TATA POWER SOLAR SYSTEMS LTD")</f>
        <v>TATA POWER SOLAR SYSTEMS LTD</v>
      </c>
      <c r="H970">
        <f ca="1">IFERROR(__xludf.DUMMYFUNCTION("""COMPUTED_VALUE"""),20)</f>
        <v>20</v>
      </c>
      <c r="I970" s="4">
        <f ca="1">IFERROR(__xludf.DUMMYFUNCTION("""COMPUTED_VALUE"""),43259)</f>
        <v>43259</v>
      </c>
      <c r="J970">
        <f ca="1">IFERROR(__xludf.DUMMYFUNCTION("""COMPUTED_VALUE"""),2)</f>
        <v>2</v>
      </c>
      <c r="K970">
        <f ca="1">IFERROR(__xludf.DUMMYFUNCTION("""COMPUTED_VALUE"""),1146414024045)</f>
        <v>1146414024045</v>
      </c>
      <c r="L970" t="str">
        <f ca="1">IFERROR(__xludf.DUMMYFUNCTION("""COMPUTED_VALUE"""),"KARUKACHAL")</f>
        <v>KARUKACHAL</v>
      </c>
      <c r="M970" t="str">
        <f ca="1">IFERROR(__xludf.DUMMYFUNCTION("""COMPUTED_VALUE"""),"I Accept")</f>
        <v>I Accept</v>
      </c>
      <c r="N970" s="4">
        <f ca="1">IFERROR(__xludf.DUMMYFUNCTION("""COMPUTED_VALUE"""),43243)</f>
        <v>43243</v>
      </c>
      <c r="O970" s="4">
        <f ca="1">IFERROR(__xludf.DUMMYFUNCTION("""COMPUTED_VALUE"""),43243)</f>
        <v>43243</v>
      </c>
      <c r="P970">
        <f ca="1">IFERROR(__xludf.DUMMYFUNCTION("""COMPUTED_VALUE"""),2)</f>
        <v>2</v>
      </c>
      <c r="Q970" t="str">
        <f ca="1">IFERROR(__xludf.DUMMYFUNCTION("""COMPUTED_VALUE"""),"nandana2000r@gmail.com")</f>
        <v>nandana2000r@gmail.com</v>
      </c>
      <c r="R970" s="2" t="s">
        <v>3384</v>
      </c>
    </row>
    <row r="971" spans="1:18" ht="13" x14ac:dyDescent="0.15">
      <c r="A971" s="3">
        <f ca="1">IFERROR(__xludf.DUMMYFUNCTION("""COMPUTED_VALUE"""),43263.7432375462)</f>
        <v>43263.743237546201</v>
      </c>
      <c r="B971" t="str">
        <f ca="1">IFERROR(__xludf.DUMMYFUNCTION("""COMPUTED_VALUE"""),"nandana2000r@gmail.com")</f>
        <v>nandana2000r@gmail.com</v>
      </c>
      <c r="C971">
        <f ca="1">IFERROR(__xludf.DUMMYFUNCTION("""COMPUTED_VALUE"""),1242)</f>
        <v>1242</v>
      </c>
      <c r="D971" t="str">
        <f ca="1">IFERROR(__xludf.DUMMYFUNCTION("""COMPUTED_VALUE"""),"GEETHA S")</f>
        <v>GEETHA S</v>
      </c>
      <c r="E971">
        <f ca="1">IFERROR(__xludf.DUMMYFUNCTION("""COMPUTED_VALUE"""),7558881999)</f>
        <v>7558881999</v>
      </c>
      <c r="F971" t="str">
        <f ca="1">IFERROR(__xludf.DUMMYFUNCTION("""COMPUTED_VALUE"""),"Kottayam")</f>
        <v>Kottayam</v>
      </c>
      <c r="G971" t="str">
        <f ca="1">IFERROR(__xludf.DUMMYFUNCTION("""COMPUTED_VALUE"""),"TATA POWER SOLAR SYSTEMS LTD")</f>
        <v>TATA POWER SOLAR SYSTEMS LTD</v>
      </c>
      <c r="H971">
        <f ca="1">IFERROR(__xludf.DUMMYFUNCTION("""COMPUTED_VALUE"""),20)</f>
        <v>20</v>
      </c>
      <c r="I971" s="4">
        <f ca="1">IFERROR(__xludf.DUMMYFUNCTION("""COMPUTED_VALUE"""),43228)</f>
        <v>43228</v>
      </c>
      <c r="J971">
        <f ca="1">IFERROR(__xludf.DUMMYFUNCTION("""COMPUTED_VALUE"""),3)</f>
        <v>3</v>
      </c>
      <c r="K971">
        <f ca="1">IFERROR(__xludf.DUMMYFUNCTION("""COMPUTED_VALUE"""),1146457001934)</f>
        <v>1146457001934</v>
      </c>
      <c r="L971" t="str">
        <f ca="1">IFERROR(__xludf.DUMMYFUNCTION("""COMPUTED_VALUE"""),"THALAYAZHAM")</f>
        <v>THALAYAZHAM</v>
      </c>
      <c r="M971" t="str">
        <f ca="1">IFERROR(__xludf.DUMMYFUNCTION("""COMPUTED_VALUE"""),"I Accept")</f>
        <v>I Accept</v>
      </c>
      <c r="N971" s="4">
        <f ca="1">IFERROR(__xludf.DUMMYFUNCTION("""COMPUTED_VALUE"""),43263)</f>
        <v>43263</v>
      </c>
      <c r="O971" s="4">
        <f ca="1">IFERROR(__xludf.DUMMYFUNCTION("""COMPUTED_VALUE"""),43263)</f>
        <v>43263</v>
      </c>
      <c r="P971">
        <f ca="1">IFERROR(__xludf.DUMMYFUNCTION("""COMPUTED_VALUE"""),3)</f>
        <v>3</v>
      </c>
      <c r="Q971" t="str">
        <f ca="1">IFERROR(__xludf.DUMMYFUNCTION("""COMPUTED_VALUE"""),"nandana2000r@gmail.com")</f>
        <v>nandana2000r@gmail.com</v>
      </c>
      <c r="R971" s="2" t="s">
        <v>3385</v>
      </c>
    </row>
    <row r="972" spans="1:18" ht="13" x14ac:dyDescent="0.15">
      <c r="A972" s="3">
        <f ca="1">IFERROR(__xludf.DUMMYFUNCTION("""COMPUTED_VALUE"""),43263.7566463078)</f>
        <v>43263.756646307796</v>
      </c>
      <c r="B972" t="str">
        <f ca="1">IFERROR(__xludf.DUMMYFUNCTION("""COMPUTED_VALUE"""),"nandana2000r@gmail.com")</f>
        <v>nandana2000r@gmail.com</v>
      </c>
      <c r="C972">
        <f ca="1">IFERROR(__xludf.DUMMYFUNCTION("""COMPUTED_VALUE"""),1189)</f>
        <v>1189</v>
      </c>
      <c r="D972" t="str">
        <f ca="1">IFERROR(__xludf.DUMMYFUNCTION("""COMPUTED_VALUE"""),"SOBHANAKUMARI PS")</f>
        <v>SOBHANAKUMARI PS</v>
      </c>
      <c r="E972">
        <f ca="1">IFERROR(__xludf.DUMMYFUNCTION("""COMPUTED_VALUE"""),7558881999)</f>
        <v>7558881999</v>
      </c>
      <c r="F972" t="str">
        <f ca="1">IFERROR(__xludf.DUMMYFUNCTION("""COMPUTED_VALUE"""),"Kottayam")</f>
        <v>Kottayam</v>
      </c>
      <c r="G972" t="str">
        <f ca="1">IFERROR(__xludf.DUMMYFUNCTION("""COMPUTED_VALUE"""),"TATA POWER SOLAR SYSTEMS LTD")</f>
        <v>TATA POWER SOLAR SYSTEMS LTD</v>
      </c>
      <c r="H972">
        <f ca="1">IFERROR(__xludf.DUMMYFUNCTION("""COMPUTED_VALUE"""),20)</f>
        <v>20</v>
      </c>
      <c r="I972" s="4">
        <f ca="1">IFERROR(__xludf.DUMMYFUNCTION("""COMPUTED_VALUE"""),43253)</f>
        <v>43253</v>
      </c>
      <c r="J972">
        <f ca="1">IFERROR(__xludf.DUMMYFUNCTION("""COMPUTED_VALUE"""),10)</f>
        <v>10</v>
      </c>
      <c r="K972">
        <f ca="1">IFERROR(__xludf.DUMMYFUNCTION("""COMPUTED_VALUE"""),1146253011322)</f>
        <v>1146253011322</v>
      </c>
      <c r="L972" t="str">
        <f ca="1">IFERROR(__xludf.DUMMYFUNCTION("""COMPUTED_VALUE"""),"PALLOM")</f>
        <v>PALLOM</v>
      </c>
      <c r="M972" t="str">
        <f ca="1">IFERROR(__xludf.DUMMYFUNCTION("""COMPUTED_VALUE"""),"I Accept")</f>
        <v>I Accept</v>
      </c>
      <c r="N972" s="4">
        <f ca="1">IFERROR(__xludf.DUMMYFUNCTION("""COMPUTED_VALUE"""),43259)</f>
        <v>43259</v>
      </c>
      <c r="O972" s="4">
        <f ca="1">IFERROR(__xludf.DUMMYFUNCTION("""COMPUTED_VALUE"""),43259)</f>
        <v>43259</v>
      </c>
      <c r="P972">
        <f ca="1">IFERROR(__xludf.DUMMYFUNCTION("""COMPUTED_VALUE"""),10)</f>
        <v>10</v>
      </c>
      <c r="Q972" t="str">
        <f ca="1">IFERROR(__xludf.DUMMYFUNCTION("""COMPUTED_VALUE"""),"nandana2000r@gmail.com")</f>
        <v>nandana2000r@gmail.com</v>
      </c>
      <c r="R972" s="2" t="s">
        <v>3386</v>
      </c>
    </row>
    <row r="973" spans="1:18" ht="13" x14ac:dyDescent="0.15">
      <c r="A973" s="3">
        <f ca="1">IFERROR(__xludf.DUMMYFUNCTION("""COMPUTED_VALUE"""),43263.7625426504)</f>
        <v>43263.762542650402</v>
      </c>
      <c r="B973" t="str">
        <f ca="1">IFERROR(__xludf.DUMMYFUNCTION("""COMPUTED_VALUE"""),"nandana2000r@gmail.com")</f>
        <v>nandana2000r@gmail.com</v>
      </c>
      <c r="C973">
        <f ca="1">IFERROR(__xludf.DUMMYFUNCTION("""COMPUTED_VALUE"""),1240)</f>
        <v>1240</v>
      </c>
      <c r="D973" t="str">
        <f ca="1">IFERROR(__xludf.DUMMYFUNCTION("""COMPUTED_VALUE"""),"AVIRAH JOSEPH")</f>
        <v>AVIRAH JOSEPH</v>
      </c>
      <c r="E973">
        <f ca="1">IFERROR(__xludf.DUMMYFUNCTION("""COMPUTED_VALUE"""),7558881999)</f>
        <v>7558881999</v>
      </c>
      <c r="F973" t="str">
        <f ca="1">IFERROR(__xludf.DUMMYFUNCTION("""COMPUTED_VALUE"""),"Kottayam")</f>
        <v>Kottayam</v>
      </c>
      <c r="G973" t="str">
        <f ca="1">IFERROR(__xludf.DUMMYFUNCTION("""COMPUTED_VALUE"""),"TATA POWER SOLAR SYSTEMS LTD")</f>
        <v>TATA POWER SOLAR SYSTEMS LTD</v>
      </c>
      <c r="H973">
        <f ca="1">IFERROR(__xludf.DUMMYFUNCTION("""COMPUTED_VALUE"""),20)</f>
        <v>20</v>
      </c>
      <c r="I973" s="4">
        <f ca="1">IFERROR(__xludf.DUMMYFUNCTION("""COMPUTED_VALUE"""),43262)</f>
        <v>43262</v>
      </c>
      <c r="J973">
        <f ca="1">IFERROR(__xludf.DUMMYFUNCTION("""COMPUTED_VALUE"""),3)</f>
        <v>3</v>
      </c>
      <c r="K973">
        <f ca="1">IFERROR(__xludf.DUMMYFUNCTION("""COMPUTED_VALUE"""),1146321000528)</f>
        <v>1146321000528</v>
      </c>
      <c r="L973" t="str">
        <f ca="1">IFERROR(__xludf.DUMMYFUNCTION("""COMPUTED_VALUE"""),"AYARKUNNAM")</f>
        <v>AYARKUNNAM</v>
      </c>
      <c r="M973" t="str">
        <f ca="1">IFERROR(__xludf.DUMMYFUNCTION("""COMPUTED_VALUE"""),"I Accept")</f>
        <v>I Accept</v>
      </c>
      <c r="N973" s="4">
        <f ca="1">IFERROR(__xludf.DUMMYFUNCTION("""COMPUTED_VALUE"""),43263)</f>
        <v>43263</v>
      </c>
      <c r="O973" s="4">
        <f ca="1">IFERROR(__xludf.DUMMYFUNCTION("""COMPUTED_VALUE"""),43263)</f>
        <v>43263</v>
      </c>
      <c r="P973">
        <f ca="1">IFERROR(__xludf.DUMMYFUNCTION("""COMPUTED_VALUE"""),3)</f>
        <v>3</v>
      </c>
      <c r="Q973" t="str">
        <f ca="1">IFERROR(__xludf.DUMMYFUNCTION("""COMPUTED_VALUE"""),"nandana2000r@gmail.com")</f>
        <v>nandana2000r@gmail.com</v>
      </c>
      <c r="R973" s="2" t="s">
        <v>3387</v>
      </c>
    </row>
    <row r="974" spans="1:18" ht="13" x14ac:dyDescent="0.15">
      <c r="A974" s="3">
        <f ca="1">IFERROR(__xludf.DUMMYFUNCTION("""COMPUTED_VALUE"""),43263.7777916319)</f>
        <v>43263.777791631903</v>
      </c>
      <c r="B974" t="str">
        <f ca="1">IFERROR(__xludf.DUMMYFUNCTION("""COMPUTED_VALUE"""),"nandana2000r@gmail.com")</f>
        <v>nandana2000r@gmail.com</v>
      </c>
      <c r="C974">
        <f ca="1">IFERROR(__xludf.DUMMYFUNCTION("""COMPUTED_VALUE"""),95141)</f>
        <v>95141</v>
      </c>
      <c r="D974" t="str">
        <f ca="1">IFERROR(__xludf.DUMMYFUNCTION("""COMPUTED_VALUE"""),"SANTHOSH MP")</f>
        <v>SANTHOSH MP</v>
      </c>
      <c r="E974">
        <f ca="1">IFERROR(__xludf.DUMMYFUNCTION("""COMPUTED_VALUE"""),7558881999)</f>
        <v>7558881999</v>
      </c>
      <c r="F974" t="str">
        <f ca="1">IFERROR(__xludf.DUMMYFUNCTION("""COMPUTED_VALUE"""),"Kottayam")</f>
        <v>Kottayam</v>
      </c>
      <c r="G974" t="str">
        <f ca="1">IFERROR(__xludf.DUMMYFUNCTION("""COMPUTED_VALUE"""),"TATA POWER SOLAR SYSTEMS LTD")</f>
        <v>TATA POWER SOLAR SYSTEMS LTD</v>
      </c>
      <c r="H974">
        <f ca="1">IFERROR(__xludf.DUMMYFUNCTION("""COMPUTED_VALUE"""),20)</f>
        <v>20</v>
      </c>
      <c r="I974" s="4">
        <f ca="1">IFERROR(__xludf.DUMMYFUNCTION("""COMPUTED_VALUE"""),43259)</f>
        <v>43259</v>
      </c>
      <c r="J974">
        <f ca="1">IFERROR(__xludf.DUMMYFUNCTION("""COMPUTED_VALUE"""),3)</f>
        <v>3</v>
      </c>
      <c r="K974">
        <f ca="1">IFERROR(__xludf.DUMMYFUNCTION("""COMPUTED_VALUE"""),1146502000134)</f>
        <v>1146502000134</v>
      </c>
      <c r="L974" t="str">
        <f ca="1">IFERROR(__xludf.DUMMYFUNCTION("""COMPUTED_VALUE"""),"THALAYOLAPARAMBU")</f>
        <v>THALAYOLAPARAMBU</v>
      </c>
      <c r="M974" t="str">
        <f ca="1">IFERROR(__xludf.DUMMYFUNCTION("""COMPUTED_VALUE"""),"I Accept")</f>
        <v>I Accept</v>
      </c>
      <c r="N974" s="4">
        <f ca="1">IFERROR(__xludf.DUMMYFUNCTION("""COMPUTED_VALUE"""),43263)</f>
        <v>43263</v>
      </c>
      <c r="O974" s="4">
        <f ca="1">IFERROR(__xludf.DUMMYFUNCTION("""COMPUTED_VALUE"""),43263)</f>
        <v>43263</v>
      </c>
      <c r="P974">
        <f ca="1">IFERROR(__xludf.DUMMYFUNCTION("""COMPUTED_VALUE"""),3)</f>
        <v>3</v>
      </c>
      <c r="Q974" t="str">
        <f ca="1">IFERROR(__xludf.DUMMYFUNCTION("""COMPUTED_VALUE"""),"nandana2000r@gmail.com")</f>
        <v>nandana2000r@gmail.com</v>
      </c>
      <c r="R974" s="2" t="s">
        <v>3388</v>
      </c>
    </row>
    <row r="975" spans="1:18" ht="13" x14ac:dyDescent="0.15">
      <c r="A975" s="3">
        <f ca="1">IFERROR(__xludf.DUMMYFUNCTION("""COMPUTED_VALUE"""),43263.9541268749)</f>
        <v>43263.954126874902</v>
      </c>
      <c r="B975" t="str">
        <f ca="1">IFERROR(__xludf.DUMMYFUNCTION("""COMPUTED_VALUE"""),"rejivp3712@gmail.com")</f>
        <v>rejivp3712@gmail.com</v>
      </c>
      <c r="C975">
        <f ca="1">IFERROR(__xludf.DUMMYFUNCTION("""COMPUTED_VALUE"""),198)</f>
        <v>198</v>
      </c>
      <c r="D975" t="str">
        <f ca="1">IFERROR(__xludf.DUMMYFUNCTION("""COMPUTED_VALUE"""),"Reji V P")</f>
        <v>Reji V P</v>
      </c>
      <c r="E975">
        <f ca="1">IFERROR(__xludf.DUMMYFUNCTION("""COMPUTED_VALUE"""),9846395555)</f>
        <v>9846395555</v>
      </c>
      <c r="F975" t="str">
        <f ca="1">IFERROR(__xludf.DUMMYFUNCTION("""COMPUTED_VALUE"""),"Ernakulam")</f>
        <v>Ernakulam</v>
      </c>
      <c r="G975" t="str">
        <f ca="1">IFERROR(__xludf.DUMMYFUNCTION("""COMPUTED_VALUE"""),"Renewable Energy Solutions Pvt Ltd")</f>
        <v>Renewable Energy Solutions Pvt Ltd</v>
      </c>
      <c r="H975">
        <f ca="1">IFERROR(__xludf.DUMMYFUNCTION("""COMPUTED_VALUE"""),64)</f>
        <v>64</v>
      </c>
      <c r="I975" s="4">
        <f ca="1">IFERROR(__xludf.DUMMYFUNCTION("""COMPUTED_VALUE"""),43200)</f>
        <v>43200</v>
      </c>
      <c r="J975">
        <f ca="1">IFERROR(__xludf.DUMMYFUNCTION("""COMPUTED_VALUE"""),2)</f>
        <v>2</v>
      </c>
      <c r="K975">
        <f ca="1">IFERROR(__xludf.DUMMYFUNCTION("""COMPUTED_VALUE"""),1155863019689)</f>
        <v>1155863019689</v>
      </c>
      <c r="L975" t="str">
        <f ca="1">IFERROR(__xludf.DUMMYFUNCTION("""COMPUTED_VALUE"""),"KIZHAKKAMBALAM")</f>
        <v>KIZHAKKAMBALAM</v>
      </c>
      <c r="M975" t="str">
        <f ca="1">IFERROR(__xludf.DUMMYFUNCTION("""COMPUTED_VALUE"""),"I Accept")</f>
        <v>I Accept</v>
      </c>
      <c r="N975" s="4">
        <f ca="1">IFERROR(__xludf.DUMMYFUNCTION("""COMPUTED_VALUE"""),43262)</f>
        <v>43262</v>
      </c>
      <c r="O975" s="4">
        <f ca="1">IFERROR(__xludf.DUMMYFUNCTION("""COMPUTED_VALUE"""),43262)</f>
        <v>43262</v>
      </c>
      <c r="P975">
        <f ca="1">IFERROR(__xludf.DUMMYFUNCTION("""COMPUTED_VALUE"""),2)</f>
        <v>2</v>
      </c>
      <c r="Q975" t="str">
        <f ca="1">IFERROR(__xludf.DUMMYFUNCTION("""COMPUTED_VALUE"""),"rejivp3712@gmail.com")</f>
        <v>rejivp3712@gmail.com</v>
      </c>
      <c r="R975" s="2" t="s">
        <v>3389</v>
      </c>
    </row>
    <row r="976" spans="1:18" ht="13" x14ac:dyDescent="0.15">
      <c r="A976" s="3">
        <f ca="1">IFERROR(__xludf.DUMMYFUNCTION("""COMPUTED_VALUE"""),43263.9557695833)</f>
        <v>43263.955769583299</v>
      </c>
      <c r="B976" t="str">
        <f ca="1">IFERROR(__xludf.DUMMYFUNCTION("""COMPUTED_VALUE"""),"josephabraham@bharatpetroleum.in")</f>
        <v>josephabraham@bharatpetroleum.in</v>
      </c>
      <c r="C976">
        <f ca="1">IFERROR(__xludf.DUMMYFUNCTION("""COMPUTED_VALUE"""),1135)</f>
        <v>1135</v>
      </c>
      <c r="D976" t="str">
        <f ca="1">IFERROR(__xludf.DUMMYFUNCTION("""COMPUTED_VALUE"""),"Joseph Abraham")</f>
        <v>Joseph Abraham</v>
      </c>
      <c r="E976">
        <f ca="1">IFERROR(__xludf.DUMMYFUNCTION("""COMPUTED_VALUE"""),9846395555)</f>
        <v>9846395555</v>
      </c>
      <c r="F976" t="str">
        <f ca="1">IFERROR(__xludf.DUMMYFUNCTION("""COMPUTED_VALUE"""),"Ernakulam")</f>
        <v>Ernakulam</v>
      </c>
      <c r="G976" t="str">
        <f ca="1">IFERROR(__xludf.DUMMYFUNCTION("""COMPUTED_VALUE"""),"Renewable Energy Solutions Pvt Ltd")</f>
        <v>Renewable Energy Solutions Pvt Ltd</v>
      </c>
      <c r="H976">
        <f ca="1">IFERROR(__xludf.DUMMYFUNCTION("""COMPUTED_VALUE"""),64)</f>
        <v>64</v>
      </c>
      <c r="I976" s="4">
        <f ca="1">IFERROR(__xludf.DUMMYFUNCTION("""COMPUTED_VALUE"""),43263)</f>
        <v>43263</v>
      </c>
      <c r="J976">
        <f ca="1">IFERROR(__xludf.DUMMYFUNCTION("""COMPUTED_VALUE"""),2)</f>
        <v>2</v>
      </c>
      <c r="K976">
        <f ca="1">IFERROR(__xludf.DUMMYFUNCTION("""COMPUTED_VALUE"""),1155516007064)</f>
        <v>1155516007064</v>
      </c>
      <c r="L976" t="str">
        <f ca="1">IFERROR(__xludf.DUMMYFUNCTION("""COMPUTED_VALUE"""),"CHOTTANIKKARA")</f>
        <v>CHOTTANIKKARA</v>
      </c>
      <c r="M976" t="str">
        <f ca="1">IFERROR(__xludf.DUMMYFUNCTION("""COMPUTED_VALUE"""),"I Accept")</f>
        <v>I Accept</v>
      </c>
      <c r="N976" s="4">
        <f ca="1">IFERROR(__xludf.DUMMYFUNCTION("""COMPUTED_VALUE"""),43262)</f>
        <v>43262</v>
      </c>
      <c r="O976" s="4">
        <f ca="1">IFERROR(__xludf.DUMMYFUNCTION("""COMPUTED_VALUE"""),43262)</f>
        <v>43262</v>
      </c>
      <c r="P976">
        <f ca="1">IFERROR(__xludf.DUMMYFUNCTION("""COMPUTED_VALUE"""),2)</f>
        <v>2</v>
      </c>
      <c r="Q976" t="str">
        <f ca="1">IFERROR(__xludf.DUMMYFUNCTION("""COMPUTED_VALUE"""),"josephabraham@bharatpetroleum.in")</f>
        <v>josephabraham@bharatpetroleum.in</v>
      </c>
      <c r="R976" s="2" t="s">
        <v>3390</v>
      </c>
    </row>
    <row r="977" spans="1:18" ht="13" x14ac:dyDescent="0.15">
      <c r="A977" s="3">
        <f ca="1">IFERROR(__xludf.DUMMYFUNCTION("""COMPUTED_VALUE"""),43263.9574302314)</f>
        <v>43263.957430231399</v>
      </c>
      <c r="B977" t="str">
        <f ca="1">IFERROR(__xludf.DUMMYFUNCTION("""COMPUTED_VALUE"""),"vinodkumarv@bharatpetroleum.in")</f>
        <v>vinodkumarv@bharatpetroleum.in</v>
      </c>
      <c r="C977">
        <f ca="1">IFERROR(__xludf.DUMMYFUNCTION("""COMPUTED_VALUE"""),1211)</f>
        <v>1211</v>
      </c>
      <c r="D977" t="str">
        <f ca="1">IFERROR(__xludf.DUMMYFUNCTION("""COMPUTED_VALUE"""),"Vinod Kumar V")</f>
        <v>Vinod Kumar V</v>
      </c>
      <c r="E977">
        <f ca="1">IFERROR(__xludf.DUMMYFUNCTION("""COMPUTED_VALUE"""),9846395555)</f>
        <v>9846395555</v>
      </c>
      <c r="F977" t="str">
        <f ca="1">IFERROR(__xludf.DUMMYFUNCTION("""COMPUTED_VALUE"""),"Ernakulam")</f>
        <v>Ernakulam</v>
      </c>
      <c r="G977" t="str">
        <f ca="1">IFERROR(__xludf.DUMMYFUNCTION("""COMPUTED_VALUE"""),"Renewable Energy Solutions Pvt Ltd")</f>
        <v>Renewable Energy Solutions Pvt Ltd</v>
      </c>
      <c r="H977">
        <f ca="1">IFERROR(__xludf.DUMMYFUNCTION("""COMPUTED_VALUE"""),64)</f>
        <v>64</v>
      </c>
      <c r="I977" s="4">
        <f ca="1">IFERROR(__xludf.DUMMYFUNCTION("""COMPUTED_VALUE"""),43263)</f>
        <v>43263</v>
      </c>
      <c r="J977">
        <f ca="1">IFERROR(__xludf.DUMMYFUNCTION("""COMPUTED_VALUE"""),5)</f>
        <v>5</v>
      </c>
      <c r="K977">
        <f ca="1">IFERROR(__xludf.DUMMYFUNCTION("""COMPUTED_VALUE"""),1155453013365)</f>
        <v>1155453013365</v>
      </c>
      <c r="L977" t="str">
        <f ca="1">IFERROR(__xludf.DUMMYFUNCTION("""COMPUTED_VALUE"""),"KALOOR")</f>
        <v>KALOOR</v>
      </c>
      <c r="M977" t="str">
        <f ca="1">IFERROR(__xludf.DUMMYFUNCTION("""COMPUTED_VALUE"""),"I Accept")</f>
        <v>I Accept</v>
      </c>
      <c r="N977" s="4">
        <f ca="1">IFERROR(__xludf.DUMMYFUNCTION("""COMPUTED_VALUE"""),43262)</f>
        <v>43262</v>
      </c>
      <c r="O977" s="4">
        <f ca="1">IFERROR(__xludf.DUMMYFUNCTION("""COMPUTED_VALUE"""),43262)</f>
        <v>43262</v>
      </c>
      <c r="P977">
        <f ca="1">IFERROR(__xludf.DUMMYFUNCTION("""COMPUTED_VALUE"""),5)</f>
        <v>5</v>
      </c>
      <c r="Q977" t="str">
        <f ca="1">IFERROR(__xludf.DUMMYFUNCTION("""COMPUTED_VALUE"""),"vinodkumarv@bharatpetroleum.in")</f>
        <v>vinodkumarv@bharatpetroleum.in</v>
      </c>
      <c r="R977" s="2" t="s">
        <v>3391</v>
      </c>
    </row>
    <row r="978" spans="1:18" ht="13" x14ac:dyDescent="0.15">
      <c r="A978" s="3">
        <f ca="1">IFERROR(__xludf.DUMMYFUNCTION("""COMPUTED_VALUE"""),43263.9618921759)</f>
        <v>43263.961892175903</v>
      </c>
      <c r="B978" t="str">
        <f ca="1">IFERROR(__xludf.DUMMYFUNCTION("""COMPUTED_VALUE"""),"vishnuv0095@gmail.com")</f>
        <v>vishnuv0095@gmail.com</v>
      </c>
      <c r="C978">
        <f ca="1">IFERROR(__xludf.DUMMYFUNCTION("""COMPUTED_VALUE"""),125)</f>
        <v>125</v>
      </c>
      <c r="D978" t="str">
        <f ca="1">IFERROR(__xludf.DUMMYFUNCTION("""COMPUTED_VALUE"""),"Salu tomy kurian")</f>
        <v>Salu tomy kurian</v>
      </c>
      <c r="E978">
        <f ca="1">IFERROR(__xludf.DUMMYFUNCTION("""COMPUTED_VALUE"""),9742926990)</f>
        <v>9742926990</v>
      </c>
      <c r="F978" t="str">
        <f ca="1">IFERROR(__xludf.DUMMYFUNCTION("""COMPUTED_VALUE"""),"Alappuzha")</f>
        <v>Alappuzha</v>
      </c>
      <c r="G978" t="str">
        <f ca="1">IFERROR(__xludf.DUMMYFUNCTION("""COMPUTED_VALUE"""),"TATA POWER SOLAR SYSTEMS LTD")</f>
        <v>TATA POWER SOLAR SYSTEMS LTD</v>
      </c>
      <c r="H978">
        <f ca="1">IFERROR(__xludf.DUMMYFUNCTION("""COMPUTED_VALUE"""),20)</f>
        <v>20</v>
      </c>
      <c r="I978" s="4">
        <f ca="1">IFERROR(__xludf.DUMMYFUNCTION("""COMPUTED_VALUE"""),43230)</f>
        <v>43230</v>
      </c>
      <c r="J978">
        <f ca="1">IFERROR(__xludf.DUMMYFUNCTION("""COMPUTED_VALUE"""),3)</f>
        <v>3</v>
      </c>
      <c r="K978">
        <f ca="1">IFERROR(__xludf.DUMMYFUNCTION("""COMPUTED_VALUE"""),1155417005244)</f>
        <v>1155417005244</v>
      </c>
      <c r="L978" t="str">
        <f ca="1">IFERROR(__xludf.DUMMYFUNCTION("""COMPUTED_VALUE"""),"Cherthala")</f>
        <v>Cherthala</v>
      </c>
      <c r="M978" t="str">
        <f ca="1">IFERROR(__xludf.DUMMYFUNCTION("""COMPUTED_VALUE"""),"I Accept")</f>
        <v>I Accept</v>
      </c>
      <c r="N978" s="4">
        <f ca="1">IFERROR(__xludf.DUMMYFUNCTION("""COMPUTED_VALUE"""),43184)</f>
        <v>43184</v>
      </c>
      <c r="O978" s="4">
        <f ca="1">IFERROR(__xludf.DUMMYFUNCTION("""COMPUTED_VALUE"""),43184)</f>
        <v>43184</v>
      </c>
      <c r="P978">
        <f ca="1">IFERROR(__xludf.DUMMYFUNCTION("""COMPUTED_VALUE"""),3)</f>
        <v>3</v>
      </c>
      <c r="Q978" t="str">
        <f ca="1">IFERROR(__xludf.DUMMYFUNCTION("""COMPUTED_VALUE"""),"vishnuv0095@gmail.com")</f>
        <v>vishnuv0095@gmail.com</v>
      </c>
      <c r="R978" s="2" t="s">
        <v>3392</v>
      </c>
    </row>
    <row r="979" spans="1:18" ht="13" x14ac:dyDescent="0.15">
      <c r="A979" s="3">
        <f ca="1">IFERROR(__xludf.DUMMYFUNCTION("""COMPUTED_VALUE"""),43264.3375625115)</f>
        <v>43264.3375625115</v>
      </c>
      <c r="B979" t="str">
        <f ca="1">IFERROR(__xludf.DUMMYFUNCTION("""COMPUTED_VALUE"""),"Vishnuv0095@gmail.com")</f>
        <v>Vishnuv0095@gmail.com</v>
      </c>
      <c r="C979">
        <f ca="1">IFERROR(__xludf.DUMMYFUNCTION("""COMPUTED_VALUE"""),125)</f>
        <v>125</v>
      </c>
      <c r="D979" t="str">
        <f ca="1">IFERROR(__xludf.DUMMYFUNCTION("""COMPUTED_VALUE"""),"Salu tomy kurian ")</f>
        <v xml:space="preserve">Salu tomy kurian </v>
      </c>
      <c r="E979">
        <f ca="1">IFERROR(__xludf.DUMMYFUNCTION("""COMPUTED_VALUE"""),9742926990)</f>
        <v>9742926990</v>
      </c>
      <c r="F979" t="str">
        <f ca="1">IFERROR(__xludf.DUMMYFUNCTION("""COMPUTED_VALUE"""),"Alappuzha")</f>
        <v>Alappuzha</v>
      </c>
      <c r="G979" t="str">
        <f ca="1">IFERROR(__xludf.DUMMYFUNCTION("""COMPUTED_VALUE"""),"TATA POWER SOLAR SYSTEMS LTD")</f>
        <v>TATA POWER SOLAR SYSTEMS LTD</v>
      </c>
      <c r="H979">
        <f ca="1">IFERROR(__xludf.DUMMYFUNCTION("""COMPUTED_VALUE"""),20)</f>
        <v>20</v>
      </c>
      <c r="I979" s="4">
        <f ca="1">IFERROR(__xludf.DUMMYFUNCTION("""COMPUTED_VALUE"""),43195)</f>
        <v>43195</v>
      </c>
      <c r="J979">
        <f ca="1">IFERROR(__xludf.DUMMYFUNCTION("""COMPUTED_VALUE"""),3)</f>
        <v>3</v>
      </c>
      <c r="K979">
        <f ca="1">IFERROR(__xludf.DUMMYFUNCTION("""COMPUTED_VALUE"""),5027224)</f>
        <v>5027224</v>
      </c>
      <c r="L979" t="str">
        <f ca="1">IFERROR(__xludf.DUMMYFUNCTION("""COMPUTED_VALUE"""),"Cherthala")</f>
        <v>Cherthala</v>
      </c>
      <c r="M979" t="str">
        <f ca="1">IFERROR(__xludf.DUMMYFUNCTION("""COMPUTED_VALUE"""),"I Accept")</f>
        <v>I Accept</v>
      </c>
      <c r="N979" s="4">
        <f ca="1">IFERROR(__xludf.DUMMYFUNCTION("""COMPUTED_VALUE"""),43193)</f>
        <v>43193</v>
      </c>
      <c r="O979" s="4">
        <f ca="1">IFERROR(__xludf.DUMMYFUNCTION("""COMPUTED_VALUE"""),43193)</f>
        <v>43193</v>
      </c>
      <c r="P979">
        <f ca="1">IFERROR(__xludf.DUMMYFUNCTION("""COMPUTED_VALUE"""),3)</f>
        <v>3</v>
      </c>
      <c r="Q979" t="str">
        <f ca="1">IFERROR(__xludf.DUMMYFUNCTION("""COMPUTED_VALUE"""),"vishnuv0095@gmail.com")</f>
        <v>vishnuv0095@gmail.com</v>
      </c>
      <c r="R979" s="2" t="s">
        <v>3393</v>
      </c>
    </row>
    <row r="980" spans="1:18" ht="13" x14ac:dyDescent="0.15">
      <c r="A980" s="3">
        <f ca="1">IFERROR(__xludf.DUMMYFUNCTION("""COMPUTED_VALUE"""),43264.3659562731)</f>
        <v>43264.365956273097</v>
      </c>
      <c r="B980" t="str">
        <f ca="1">IFERROR(__xludf.DUMMYFUNCTION("""COMPUTED_VALUE"""),"technoguardes@gmail.com")</f>
        <v>technoguardes@gmail.com</v>
      </c>
      <c r="C980">
        <f ca="1">IFERROR(__xludf.DUMMYFUNCTION("""COMPUTED_VALUE"""),1163)</f>
        <v>1163</v>
      </c>
      <c r="D980" t="str">
        <f ca="1">IFERROR(__xludf.DUMMYFUNCTION("""COMPUTED_VALUE"""),"MOLLY VARGHESE")</f>
        <v>MOLLY VARGHESE</v>
      </c>
      <c r="E980">
        <f ca="1">IFERROR(__xludf.DUMMYFUNCTION("""COMPUTED_VALUE"""),9400020127)</f>
        <v>9400020127</v>
      </c>
      <c r="F980" t="str">
        <f ca="1">IFERROR(__xludf.DUMMYFUNCTION("""COMPUTED_VALUE"""),"Ernakulam")</f>
        <v>Ernakulam</v>
      </c>
      <c r="G980" t="str">
        <f ca="1">IFERROR(__xludf.DUMMYFUNCTION("""COMPUTED_VALUE"""),"TECHNOGUARD INDUSTRIES")</f>
        <v>TECHNOGUARD INDUSTRIES</v>
      </c>
      <c r="H980">
        <f ca="1">IFERROR(__xludf.DUMMYFUNCTION("""COMPUTED_VALUE"""),56)</f>
        <v>56</v>
      </c>
      <c r="I980" s="4">
        <f ca="1">IFERROR(__xludf.DUMMYFUNCTION("""COMPUTED_VALUE"""),43263)</f>
        <v>43263</v>
      </c>
      <c r="J980">
        <f ca="1">IFERROR(__xludf.DUMMYFUNCTION("""COMPUTED_VALUE"""),5)</f>
        <v>5</v>
      </c>
      <c r="K980">
        <f ca="1">IFERROR(__xludf.DUMMYFUNCTION("""COMPUTED_VALUE"""),1156052013441)</f>
        <v>1156052013441</v>
      </c>
      <c r="L980" t="str">
        <f ca="1">IFERROR(__xludf.DUMMYFUNCTION("""COMPUTED_VALUE"""),"CHERAI")</f>
        <v>CHERAI</v>
      </c>
      <c r="M980" t="str">
        <f ca="1">IFERROR(__xludf.DUMMYFUNCTION("""COMPUTED_VALUE"""),"I Accept")</f>
        <v>I Accept</v>
      </c>
      <c r="N980" s="4">
        <f ca="1">IFERROR(__xludf.DUMMYFUNCTION("""COMPUTED_VALUE"""),43248)</f>
        <v>43248</v>
      </c>
      <c r="O980" s="4">
        <f ca="1">IFERROR(__xludf.DUMMYFUNCTION("""COMPUTED_VALUE"""),43248)</f>
        <v>43248</v>
      </c>
      <c r="P980">
        <f ca="1">IFERROR(__xludf.DUMMYFUNCTION("""COMPUTED_VALUE"""),5)</f>
        <v>5</v>
      </c>
      <c r="Q980" t="str">
        <f ca="1">IFERROR(__xludf.DUMMYFUNCTION("""COMPUTED_VALUE"""),"technoguardes@gmail.com")</f>
        <v>technoguardes@gmail.com</v>
      </c>
      <c r="R980" s="2" t="s">
        <v>3394</v>
      </c>
    </row>
    <row r="981" spans="1:18" ht="13" x14ac:dyDescent="0.15">
      <c r="A981" s="3">
        <f ca="1">IFERROR(__xludf.DUMMYFUNCTION("""COMPUTED_VALUE"""),43264.3694540393)</f>
        <v>43264.369454039297</v>
      </c>
      <c r="B981" t="str">
        <f ca="1">IFERROR(__xludf.DUMMYFUNCTION("""COMPUTED_VALUE"""),"technoguardes@gmail.com")</f>
        <v>technoguardes@gmail.com</v>
      </c>
      <c r="C981">
        <f ca="1">IFERROR(__xludf.DUMMYFUNCTION("""COMPUTED_VALUE"""),1163)</f>
        <v>1163</v>
      </c>
      <c r="D981" t="str">
        <f ca="1">IFERROR(__xludf.DUMMYFUNCTION("""COMPUTED_VALUE"""),"MOLLY BERNABAS")</f>
        <v>MOLLY BERNABAS</v>
      </c>
      <c r="E981">
        <f ca="1">IFERROR(__xludf.DUMMYFUNCTION("""COMPUTED_VALUE"""),9400020127)</f>
        <v>9400020127</v>
      </c>
      <c r="F981" t="str">
        <f ca="1">IFERROR(__xludf.DUMMYFUNCTION("""COMPUTED_VALUE"""),"Ernakulam")</f>
        <v>Ernakulam</v>
      </c>
      <c r="G981" t="str">
        <f ca="1">IFERROR(__xludf.DUMMYFUNCTION("""COMPUTED_VALUE"""),"TECHNOGUARD INDUSTRIES")</f>
        <v>TECHNOGUARD INDUSTRIES</v>
      </c>
      <c r="H981">
        <f ca="1">IFERROR(__xludf.DUMMYFUNCTION("""COMPUTED_VALUE"""),56)</f>
        <v>56</v>
      </c>
      <c r="I981" s="4">
        <f ca="1">IFERROR(__xludf.DUMMYFUNCTION("""COMPUTED_VALUE"""),43263)</f>
        <v>43263</v>
      </c>
      <c r="J981">
        <f ca="1">IFERROR(__xludf.DUMMYFUNCTION("""COMPUTED_VALUE"""),5)</f>
        <v>5</v>
      </c>
      <c r="K981">
        <f ca="1">IFERROR(__xludf.DUMMYFUNCTION("""COMPUTED_VALUE"""),1156052013441)</f>
        <v>1156052013441</v>
      </c>
      <c r="L981" t="str">
        <f ca="1">IFERROR(__xludf.DUMMYFUNCTION("""COMPUTED_VALUE"""),"CHERAI")</f>
        <v>CHERAI</v>
      </c>
      <c r="M981" t="str">
        <f ca="1">IFERROR(__xludf.DUMMYFUNCTION("""COMPUTED_VALUE"""),"I Accept")</f>
        <v>I Accept</v>
      </c>
      <c r="N981" s="4">
        <f ca="1">IFERROR(__xludf.DUMMYFUNCTION("""COMPUTED_VALUE"""),43248)</f>
        <v>43248</v>
      </c>
      <c r="O981" s="4">
        <f ca="1">IFERROR(__xludf.DUMMYFUNCTION("""COMPUTED_VALUE"""),43248)</f>
        <v>43248</v>
      </c>
      <c r="P981">
        <f ca="1">IFERROR(__xludf.DUMMYFUNCTION("""COMPUTED_VALUE"""),5)</f>
        <v>5</v>
      </c>
      <c r="Q981" t="str">
        <f ca="1">IFERROR(__xludf.DUMMYFUNCTION("""COMPUTED_VALUE"""),"technoguardes@gmail.com")</f>
        <v>technoguardes@gmail.com</v>
      </c>
      <c r="R981" s="2" t="s">
        <v>3395</v>
      </c>
    </row>
    <row r="982" spans="1:18" ht="13" x14ac:dyDescent="0.15">
      <c r="A982" s="3">
        <f ca="1">IFERROR(__xludf.DUMMYFUNCTION("""COMPUTED_VALUE"""),43264.3970257291)</f>
        <v>43264.3970257291</v>
      </c>
      <c r="B982" t="str">
        <f ca="1">IFERROR(__xludf.DUMMYFUNCTION("""COMPUTED_VALUE"""),"arunmamachan.prime@gmail.com")</f>
        <v>arunmamachan.prime@gmail.com</v>
      </c>
      <c r="C982">
        <f ca="1">IFERROR(__xludf.DUMMYFUNCTION("""COMPUTED_VALUE"""),904)</f>
        <v>904</v>
      </c>
      <c r="D982" t="str">
        <f ca="1">IFERROR(__xludf.DUMMYFUNCTION("""COMPUTED_VALUE"""),"Hamza pary")</f>
        <v>Hamza pary</v>
      </c>
      <c r="E982">
        <f ca="1">IFERROR(__xludf.DUMMYFUNCTION("""COMPUTED_VALUE"""),9446393399)</f>
        <v>9446393399</v>
      </c>
      <c r="F982" t="str">
        <f ca="1">IFERROR(__xludf.DUMMYFUNCTION("""COMPUTED_VALUE"""),"Malappuram")</f>
        <v>Malappuram</v>
      </c>
      <c r="G982" t="str">
        <f ca="1">IFERROR(__xludf.DUMMYFUNCTION("""COMPUTED_VALUE"""),"Renergy systems india pvt ltd")</f>
        <v>Renergy systems india pvt ltd</v>
      </c>
      <c r="H982">
        <f ca="1">IFERROR(__xludf.DUMMYFUNCTION("""COMPUTED_VALUE"""),38)</f>
        <v>38</v>
      </c>
      <c r="I982" s="4">
        <f ca="1">IFERROR(__xludf.DUMMYFUNCTION("""COMPUTED_VALUE"""),43263)</f>
        <v>43263</v>
      </c>
      <c r="J982">
        <f ca="1">IFERROR(__xludf.DUMMYFUNCTION("""COMPUTED_VALUE"""),5)</f>
        <v>5</v>
      </c>
      <c r="K982">
        <f ca="1">IFERROR(__xludf.DUMMYFUNCTION("""COMPUTED_VALUE"""),1167802007847)</f>
        <v>1167802007847</v>
      </c>
      <c r="L982" t="str">
        <f ca="1">IFERROR(__xludf.DUMMYFUNCTION("""COMPUTED_VALUE"""),"Malappuram west")</f>
        <v>Malappuram west</v>
      </c>
      <c r="M982" t="str">
        <f ca="1">IFERROR(__xludf.DUMMYFUNCTION("""COMPUTED_VALUE"""),"I Accept")</f>
        <v>I Accept</v>
      </c>
      <c r="N982" s="4">
        <f ca="1">IFERROR(__xludf.DUMMYFUNCTION("""COMPUTED_VALUE"""),43218)</f>
        <v>43218</v>
      </c>
      <c r="O982" s="4">
        <f ca="1">IFERROR(__xludf.DUMMYFUNCTION("""COMPUTED_VALUE"""),43218)</f>
        <v>43218</v>
      </c>
      <c r="P982">
        <f ca="1">IFERROR(__xludf.DUMMYFUNCTION("""COMPUTED_VALUE"""),5)</f>
        <v>5</v>
      </c>
      <c r="Q982" t="str">
        <f ca="1">IFERROR(__xludf.DUMMYFUNCTION("""COMPUTED_VALUE"""),"arunmamachan.prime@gmail.com")</f>
        <v>arunmamachan.prime@gmail.com</v>
      </c>
      <c r="R982" s="2" t="s">
        <v>3396</v>
      </c>
    </row>
    <row r="983" spans="1:18" ht="13" x14ac:dyDescent="0.15">
      <c r="A983" s="3">
        <f ca="1">IFERROR(__xludf.DUMMYFUNCTION("""COMPUTED_VALUE"""),43264.4612811921)</f>
        <v>43264.461281192103</v>
      </c>
      <c r="B983" t="str">
        <f ca="1">IFERROR(__xludf.DUMMYFUNCTION("""COMPUTED_VALUE"""),"sales.kodco@gmail.com")</f>
        <v>sales.kodco@gmail.com</v>
      </c>
      <c r="C983">
        <f ca="1">IFERROR(__xludf.DUMMYFUNCTION("""COMPUTED_VALUE"""),56)</f>
        <v>56</v>
      </c>
      <c r="D983" t="str">
        <f ca="1">IFERROR(__xludf.DUMMYFUNCTION("""COMPUTED_VALUE"""),"SATHAR P")</f>
        <v>SATHAR P</v>
      </c>
      <c r="E983">
        <f ca="1">IFERROR(__xludf.DUMMYFUNCTION("""COMPUTED_VALUE"""),9605003339)</f>
        <v>9605003339</v>
      </c>
      <c r="F983" t="str">
        <f ca="1">IFERROR(__xludf.DUMMYFUNCTION("""COMPUTED_VALUE"""),"Kozhikode")</f>
        <v>Kozhikode</v>
      </c>
      <c r="G983" t="str">
        <f ca="1">IFERROR(__xludf.DUMMYFUNCTION("""COMPUTED_VALUE"""),"TATA POWER SOLAR SYSTEMS LTD")</f>
        <v>TATA POWER SOLAR SYSTEMS LTD</v>
      </c>
      <c r="H983">
        <f ca="1">IFERROR(__xludf.DUMMYFUNCTION("""COMPUTED_VALUE"""),20)</f>
        <v>20</v>
      </c>
      <c r="I983" s="4">
        <f ca="1">IFERROR(__xludf.DUMMYFUNCTION("""COMPUTED_VALUE"""),43257)</f>
        <v>43257</v>
      </c>
      <c r="J983">
        <f ca="1">IFERROR(__xludf.DUMMYFUNCTION("""COMPUTED_VALUE"""),5)</f>
        <v>5</v>
      </c>
      <c r="K983">
        <f ca="1">IFERROR(__xludf.DUMMYFUNCTION("""COMPUTED_VALUE"""),34567)</f>
        <v>34567</v>
      </c>
      <c r="L983" t="str">
        <f ca="1">IFERROR(__xludf.DUMMYFUNCTION("""COMPUTED_VALUE"""),"6662")</f>
        <v>6662</v>
      </c>
      <c r="M983" t="str">
        <f ca="1">IFERROR(__xludf.DUMMYFUNCTION("""COMPUTED_VALUE"""),"I Accept")</f>
        <v>I Accept</v>
      </c>
      <c r="N983" s="4">
        <f ca="1">IFERROR(__xludf.DUMMYFUNCTION("""COMPUTED_VALUE"""),43244)</f>
        <v>43244</v>
      </c>
      <c r="O983" s="4">
        <f ca="1">IFERROR(__xludf.DUMMYFUNCTION("""COMPUTED_VALUE"""),43253)</f>
        <v>43253</v>
      </c>
      <c r="P983">
        <f ca="1">IFERROR(__xludf.DUMMYFUNCTION("""COMPUTED_VALUE"""),5)</f>
        <v>5</v>
      </c>
      <c r="Q983" t="str">
        <f ca="1">IFERROR(__xludf.DUMMYFUNCTION("""COMPUTED_VALUE"""),"sales.kodco@gmail.com")</f>
        <v>sales.kodco@gmail.com</v>
      </c>
      <c r="R983" s="2" t="s">
        <v>3397</v>
      </c>
    </row>
    <row r="984" spans="1:18" ht="13" x14ac:dyDescent="0.15">
      <c r="A984" s="3">
        <f ca="1">IFERROR(__xludf.DUMMYFUNCTION("""COMPUTED_VALUE"""),43264.5163551967)</f>
        <v>43264.516355196698</v>
      </c>
      <c r="B984" t="str">
        <f ca="1">IFERROR(__xludf.DUMMYFUNCTION("""COMPUTED_VALUE"""),"githabk@gmail.com")</f>
        <v>githabk@gmail.com</v>
      </c>
      <c r="C984">
        <f ca="1">IFERROR(__xludf.DUMMYFUNCTION("""COMPUTED_VALUE"""),998)</f>
        <v>998</v>
      </c>
      <c r="D984" t="str">
        <f ca="1">IFERROR(__xludf.DUMMYFUNCTION("""COMPUTED_VALUE"""),"BALAKRISHNAN.T.S")</f>
        <v>BALAKRISHNAN.T.S</v>
      </c>
      <c r="E984">
        <f ca="1">IFERROR(__xludf.DUMMYFUNCTION("""COMPUTED_VALUE"""),9447022937)</f>
        <v>9447022937</v>
      </c>
      <c r="F984" t="str">
        <f ca="1">IFERROR(__xludf.DUMMYFUNCTION("""COMPUTED_VALUE"""),"Palakkad")</f>
        <v>Palakkad</v>
      </c>
      <c r="G984" t="str">
        <f ca="1">IFERROR(__xludf.DUMMYFUNCTION("""COMPUTED_VALUE"""),"TATA POWER SOLAR SYSTEM LTD")</f>
        <v>TATA POWER SOLAR SYSTEM LTD</v>
      </c>
      <c r="H984">
        <f ca="1">IFERROR(__xludf.DUMMYFUNCTION("""COMPUTED_VALUE"""),20)</f>
        <v>20</v>
      </c>
      <c r="I984" s="4">
        <f ca="1">IFERROR(__xludf.DUMMYFUNCTION("""COMPUTED_VALUE"""),43256)</f>
        <v>43256</v>
      </c>
      <c r="J984">
        <f ca="1">IFERROR(__xludf.DUMMYFUNCTION("""COMPUTED_VALUE"""),3)</f>
        <v>3</v>
      </c>
      <c r="K984">
        <f ca="1">IFERROR(__xludf.DUMMYFUNCTION("""COMPUTED_VALUE"""),1165042010089)</f>
        <v>1165042010089</v>
      </c>
      <c r="L984" t="str">
        <f ca="1">IFERROR(__xludf.DUMMYFUNCTION("""COMPUTED_VALUE"""),"TATTAMANGALAM")</f>
        <v>TATTAMANGALAM</v>
      </c>
      <c r="M984" t="str">
        <f ca="1">IFERROR(__xludf.DUMMYFUNCTION("""COMPUTED_VALUE"""),"I Accept")</f>
        <v>I Accept</v>
      </c>
      <c r="N984" s="4">
        <f ca="1">IFERROR(__xludf.DUMMYFUNCTION("""COMPUTED_VALUE"""),43257)</f>
        <v>43257</v>
      </c>
      <c r="O984" s="4">
        <f ca="1">IFERROR(__xludf.DUMMYFUNCTION("""COMPUTED_VALUE"""),43257)</f>
        <v>43257</v>
      </c>
      <c r="P984">
        <f ca="1">IFERROR(__xludf.DUMMYFUNCTION("""COMPUTED_VALUE"""),3)</f>
        <v>3</v>
      </c>
      <c r="Q984" t="str">
        <f ca="1">IFERROR(__xludf.DUMMYFUNCTION("""COMPUTED_VALUE"""),"githabk@gmail.com")</f>
        <v>githabk@gmail.com</v>
      </c>
      <c r="R984" s="2" t="s">
        <v>3398</v>
      </c>
    </row>
    <row r="985" spans="1:18" ht="13" x14ac:dyDescent="0.15">
      <c r="A985" s="3">
        <f ca="1">IFERROR(__xludf.DUMMYFUNCTION("""COMPUTED_VALUE"""),43264.5187676504)</f>
        <v>43264.518767650399</v>
      </c>
      <c r="B985" t="str">
        <f ca="1">IFERROR(__xludf.DUMMYFUNCTION("""COMPUTED_VALUE"""),"dasanddaswatersupply11@gmail.com")</f>
        <v>dasanddaswatersupply11@gmail.com</v>
      </c>
      <c r="C985">
        <f ca="1">IFERROR(__xludf.DUMMYFUNCTION("""COMPUTED_VALUE"""),759)</f>
        <v>759</v>
      </c>
      <c r="D985" s="22" t="str">
        <f ca="1">IFERROR(__xludf.DUMMYFUNCTION("""COMPUTED_VALUE"""),"MURALIDAS.PK")</f>
        <v>MURALIDAS.PK</v>
      </c>
      <c r="E985">
        <f ca="1">IFERROR(__xludf.DUMMYFUNCTION("""COMPUTED_VALUE"""),8891352714)</f>
        <v>8891352714</v>
      </c>
      <c r="F985" t="str">
        <f ca="1">IFERROR(__xludf.DUMMYFUNCTION("""COMPUTED_VALUE"""),"Palakkad")</f>
        <v>Palakkad</v>
      </c>
      <c r="G985" t="str">
        <f ca="1">IFERROR(__xludf.DUMMYFUNCTION("""COMPUTED_VALUE"""),"TAT POWER SOLAR SYSTEM LTD")</f>
        <v>TAT POWER SOLAR SYSTEM LTD</v>
      </c>
      <c r="H985">
        <f ca="1">IFERROR(__xludf.DUMMYFUNCTION("""COMPUTED_VALUE"""),20)</f>
        <v>20</v>
      </c>
      <c r="I985" s="4">
        <f ca="1">IFERROR(__xludf.DUMMYFUNCTION("""COMPUTED_VALUE"""),43203)</f>
        <v>43203</v>
      </c>
      <c r="J985">
        <f ca="1">IFERROR(__xludf.DUMMYFUNCTION("""COMPUTED_VALUE"""),3)</f>
        <v>3</v>
      </c>
      <c r="K985">
        <f ca="1">IFERROR(__xludf.DUMMYFUNCTION("""COMPUTED_VALUE"""),1165299003137)</f>
        <v>1165299003137</v>
      </c>
      <c r="L985" t="str">
        <f ca="1">IFERROR(__xludf.DUMMYFUNCTION("""COMPUTED_VALUE"""),"MARUTHA ROAD")</f>
        <v>MARUTHA ROAD</v>
      </c>
      <c r="M985" t="str">
        <f ca="1">IFERROR(__xludf.DUMMYFUNCTION("""COMPUTED_VALUE"""),"I Accept")</f>
        <v>I Accept</v>
      </c>
      <c r="N985" s="4">
        <f ca="1">IFERROR(__xludf.DUMMYFUNCTION("""COMPUTED_VALUE"""),43262)</f>
        <v>43262</v>
      </c>
      <c r="O985" s="4">
        <f ca="1">IFERROR(__xludf.DUMMYFUNCTION("""COMPUTED_VALUE"""),43262)</f>
        <v>43262</v>
      </c>
      <c r="P985">
        <f ca="1">IFERROR(__xludf.DUMMYFUNCTION("""COMPUTED_VALUE"""),3)</f>
        <v>3</v>
      </c>
      <c r="Q985" t="str">
        <f ca="1">IFERROR(__xludf.DUMMYFUNCTION("""COMPUTED_VALUE"""),"dasanddaswatersupply11@gmail.com")</f>
        <v>dasanddaswatersupply11@gmail.com</v>
      </c>
      <c r="R985" s="2" t="s">
        <v>3399</v>
      </c>
    </row>
    <row r="986" spans="1:18" ht="13" x14ac:dyDescent="0.15">
      <c r="A986" s="3">
        <f ca="1">IFERROR(__xludf.DUMMYFUNCTION("""COMPUTED_VALUE"""),43264.5318260648)</f>
        <v>43264.531826064798</v>
      </c>
      <c r="B986" t="str">
        <f ca="1">IFERROR(__xludf.DUMMYFUNCTION("""COMPUTED_VALUE"""),"snobinaugustine@gmail.com")</f>
        <v>snobinaugustine@gmail.com</v>
      </c>
      <c r="C986">
        <f ca="1">IFERROR(__xludf.DUMMYFUNCTION("""COMPUTED_VALUE"""),788)</f>
        <v>788</v>
      </c>
      <c r="D986" t="str">
        <f ca="1">IFERROR(__xludf.DUMMYFUNCTION("""COMPUTED_VALUE"""),"Padmakumari")</f>
        <v>Padmakumari</v>
      </c>
      <c r="E986">
        <f ca="1">IFERROR(__xludf.DUMMYFUNCTION("""COMPUTED_VALUE"""),9447129230)</f>
        <v>9447129230</v>
      </c>
      <c r="F986" t="str">
        <f ca="1">IFERROR(__xludf.DUMMYFUNCTION("""COMPUTED_VALUE"""),"Thiruvananthapuram")</f>
        <v>Thiruvananthapuram</v>
      </c>
      <c r="G986" t="str">
        <f ca="1">IFERROR(__xludf.DUMMYFUNCTION("""COMPUTED_VALUE"""),"Tata Power Solar Systems LTD")</f>
        <v>Tata Power Solar Systems LTD</v>
      </c>
      <c r="H986">
        <f ca="1">IFERROR(__xludf.DUMMYFUNCTION("""COMPUTED_VALUE"""),20)</f>
        <v>20</v>
      </c>
      <c r="I986" s="4">
        <f ca="1">IFERROR(__xludf.DUMMYFUNCTION("""COMPUTED_VALUE"""),43206)</f>
        <v>43206</v>
      </c>
      <c r="J986">
        <f ca="1">IFERROR(__xludf.DUMMYFUNCTION("""COMPUTED_VALUE"""),10)</f>
        <v>10</v>
      </c>
      <c r="K986">
        <f ca="1">IFERROR(__xludf.DUMMYFUNCTION("""COMPUTED_VALUE"""),1145330003241)</f>
        <v>1145330003241</v>
      </c>
      <c r="L986" t="str">
        <f ca="1">IFERROR(__xludf.DUMMYFUNCTION("""COMPUTED_VALUE"""),"Kallambalam")</f>
        <v>Kallambalam</v>
      </c>
      <c r="M986" t="str">
        <f ca="1">IFERROR(__xludf.DUMMYFUNCTION("""COMPUTED_VALUE"""),"I Accept")</f>
        <v>I Accept</v>
      </c>
      <c r="N986" s="4">
        <f ca="1">IFERROR(__xludf.DUMMYFUNCTION("""COMPUTED_VALUE"""),43262)</f>
        <v>43262</v>
      </c>
      <c r="O986" s="4">
        <f ca="1">IFERROR(__xludf.DUMMYFUNCTION("""COMPUTED_VALUE"""),43262)</f>
        <v>43262</v>
      </c>
      <c r="P986">
        <f ca="1">IFERROR(__xludf.DUMMYFUNCTION("""COMPUTED_VALUE"""),10)</f>
        <v>10</v>
      </c>
      <c r="Q986" t="str">
        <f ca="1">IFERROR(__xludf.DUMMYFUNCTION("""COMPUTED_VALUE"""),"snobinaugustine@gmail.com")</f>
        <v>snobinaugustine@gmail.com</v>
      </c>
      <c r="R986" s="2" t="s">
        <v>3400</v>
      </c>
    </row>
    <row r="987" spans="1:18" ht="13" x14ac:dyDescent="0.15">
      <c r="A987" s="3">
        <f ca="1">IFERROR(__xludf.DUMMYFUNCTION("""COMPUTED_VALUE"""),43264.5368129745)</f>
        <v>43264.536812974497</v>
      </c>
      <c r="B987" t="str">
        <f ca="1">IFERROR(__xludf.DUMMYFUNCTION("""COMPUTED_VALUE"""),"mvsasikumarmenon@gmail.com")</f>
        <v>mvsasikumarmenon@gmail.com</v>
      </c>
      <c r="C987">
        <f ca="1">IFERROR(__xludf.DUMMYFUNCTION("""COMPUTED_VALUE"""),387)</f>
        <v>387</v>
      </c>
      <c r="D987" t="str">
        <f ca="1">IFERROR(__xludf.DUMMYFUNCTION("""COMPUTED_VALUE"""),"M V Sasikumar")</f>
        <v>M V Sasikumar</v>
      </c>
      <c r="E987">
        <f ca="1">IFERROR(__xludf.DUMMYFUNCTION("""COMPUTED_VALUE"""),9447253738)</f>
        <v>9447253738</v>
      </c>
      <c r="F987" t="str">
        <f ca="1">IFERROR(__xludf.DUMMYFUNCTION("""COMPUTED_VALUE"""),"Thiruvananthapuram")</f>
        <v>Thiruvananthapuram</v>
      </c>
      <c r="G987" t="str">
        <f ca="1">IFERROR(__xludf.DUMMYFUNCTION("""COMPUTED_VALUE"""),"Tata Power Solar Systems LTD")</f>
        <v>Tata Power Solar Systems LTD</v>
      </c>
      <c r="H987">
        <f ca="1">IFERROR(__xludf.DUMMYFUNCTION("""COMPUTED_VALUE"""),20)</f>
        <v>20</v>
      </c>
      <c r="I987" s="4">
        <f ca="1">IFERROR(__xludf.DUMMYFUNCTION("""COMPUTED_VALUE"""),43178)</f>
        <v>43178</v>
      </c>
      <c r="J987">
        <f ca="1">IFERROR(__xludf.DUMMYFUNCTION("""COMPUTED_VALUE"""),2)</f>
        <v>2</v>
      </c>
      <c r="K987">
        <f ca="1">IFERROR(__xludf.DUMMYFUNCTION("""COMPUTED_VALUE"""),1145097018570)</f>
        <v>1145097018570</v>
      </c>
      <c r="L987" t="str">
        <f ca="1">IFERROR(__xludf.DUMMYFUNCTION("""COMPUTED_VALUE"""),"Vattiyoorkavu")</f>
        <v>Vattiyoorkavu</v>
      </c>
      <c r="M987" t="str">
        <f ca="1">IFERROR(__xludf.DUMMYFUNCTION("""COMPUTED_VALUE"""),"I Accept")</f>
        <v>I Accept</v>
      </c>
      <c r="N987" s="4">
        <f ca="1">IFERROR(__xludf.DUMMYFUNCTION("""COMPUTED_VALUE"""),43223)</f>
        <v>43223</v>
      </c>
      <c r="O987" s="4">
        <f ca="1">IFERROR(__xludf.DUMMYFUNCTION("""COMPUTED_VALUE"""),43223)</f>
        <v>43223</v>
      </c>
      <c r="P987">
        <f ca="1">IFERROR(__xludf.DUMMYFUNCTION("""COMPUTED_VALUE"""),3)</f>
        <v>3</v>
      </c>
      <c r="Q987" t="str">
        <f ca="1">IFERROR(__xludf.DUMMYFUNCTION("""COMPUTED_VALUE"""),"mvsasikumarmenon@gmail.com")</f>
        <v>mvsasikumarmenon@gmail.com</v>
      </c>
      <c r="R987" s="2" t="s">
        <v>3401</v>
      </c>
    </row>
    <row r="988" spans="1:18" ht="13" x14ac:dyDescent="0.15">
      <c r="A988" s="3">
        <f ca="1">IFERROR(__xludf.DUMMYFUNCTION("""COMPUTED_VALUE"""),43264.5564371527)</f>
        <v>43264.5564371527</v>
      </c>
      <c r="B988" t="str">
        <f ca="1">IFERROR(__xludf.DUMMYFUNCTION("""COMPUTED_VALUE"""),"snobinaugustine@gmail.com")</f>
        <v>snobinaugustine@gmail.com</v>
      </c>
      <c r="C988">
        <f ca="1">IFERROR(__xludf.DUMMYFUNCTION("""COMPUTED_VALUE"""),861)</f>
        <v>861</v>
      </c>
      <c r="D988" t="str">
        <f ca="1">IFERROR(__xludf.DUMMYFUNCTION("""COMPUTED_VALUE"""),"The President - Skyline Plaza Owners Association ")</f>
        <v xml:space="preserve">The President - Skyline Plaza Owners Association </v>
      </c>
      <c r="E988">
        <f ca="1">IFERROR(__xludf.DUMMYFUNCTION("""COMPUTED_VALUE"""),9947180808)</f>
        <v>9947180808</v>
      </c>
      <c r="F988" t="str">
        <f ca="1">IFERROR(__xludf.DUMMYFUNCTION("""COMPUTED_VALUE"""),"Thiruvananthapuram")</f>
        <v>Thiruvananthapuram</v>
      </c>
      <c r="G988" t="str">
        <f ca="1">IFERROR(__xludf.DUMMYFUNCTION("""COMPUTED_VALUE"""),"Tata Power Solar Systems LTD")</f>
        <v>Tata Power Solar Systems LTD</v>
      </c>
      <c r="H988">
        <f ca="1">IFERROR(__xludf.DUMMYFUNCTION("""COMPUTED_VALUE"""),20)</f>
        <v>20</v>
      </c>
      <c r="I988" s="4">
        <f ca="1">IFERROR(__xludf.DUMMYFUNCTION("""COMPUTED_VALUE"""),43265)</f>
        <v>43265</v>
      </c>
      <c r="J988">
        <f ca="1">IFERROR(__xludf.DUMMYFUNCTION("""COMPUTED_VALUE"""),3)</f>
        <v>3</v>
      </c>
      <c r="K988">
        <f ca="1">IFERROR(__xludf.DUMMYFUNCTION("""COMPUTED_VALUE"""),1145076010464)</f>
        <v>1145076010464</v>
      </c>
      <c r="L988" t="str">
        <f ca="1">IFERROR(__xludf.DUMMYFUNCTION("""COMPUTED_VALUE"""),"Vellayambalam")</f>
        <v>Vellayambalam</v>
      </c>
      <c r="M988" t="str">
        <f ca="1">IFERROR(__xludf.DUMMYFUNCTION("""COMPUTED_VALUE"""),"I Accept")</f>
        <v>I Accept</v>
      </c>
      <c r="N988" s="4">
        <f ca="1">IFERROR(__xludf.DUMMYFUNCTION("""COMPUTED_VALUE"""),43236)</f>
        <v>43236</v>
      </c>
      <c r="O988" s="4">
        <f ca="1">IFERROR(__xludf.DUMMYFUNCTION("""COMPUTED_VALUE"""),43236)</f>
        <v>43236</v>
      </c>
      <c r="P988">
        <f ca="1">IFERROR(__xludf.DUMMYFUNCTION("""COMPUTED_VALUE"""),3)</f>
        <v>3</v>
      </c>
      <c r="Q988" t="str">
        <f ca="1">IFERROR(__xludf.DUMMYFUNCTION("""COMPUTED_VALUE"""),"snobinaugustine@gmail.com")</f>
        <v>snobinaugustine@gmail.com</v>
      </c>
      <c r="R988" s="2" t="s">
        <v>3402</v>
      </c>
    </row>
    <row r="989" spans="1:18" ht="13" x14ac:dyDescent="0.15">
      <c r="A989" s="3">
        <f ca="1">IFERROR(__xludf.DUMMYFUNCTION("""COMPUTED_VALUE"""),43264.5712508564)</f>
        <v>43264.571250856403</v>
      </c>
      <c r="B989" t="str">
        <f ca="1">IFERROR(__xludf.DUMMYFUNCTION("""COMPUTED_VALUE"""),"info@wattsun.in")</f>
        <v>info@wattsun.in</v>
      </c>
      <c r="C989">
        <f ca="1">IFERROR(__xludf.DUMMYFUNCTION("""COMPUTED_VALUE"""),1124)</f>
        <v>1124</v>
      </c>
      <c r="D989" t="str">
        <f ca="1">IFERROR(__xludf.DUMMYFUNCTION("""COMPUTED_VALUE"""),"Biju C Oommen")</f>
        <v>Biju C Oommen</v>
      </c>
      <c r="E989">
        <f ca="1">IFERROR(__xludf.DUMMYFUNCTION("""COMPUTED_VALUE"""),9072666513)</f>
        <v>9072666513</v>
      </c>
      <c r="F989" t="str">
        <f ca="1">IFERROR(__xludf.DUMMYFUNCTION("""COMPUTED_VALUE"""),"Thiruvananthapuram")</f>
        <v>Thiruvananthapuram</v>
      </c>
      <c r="G989" t="str">
        <f ca="1">IFERROR(__xludf.DUMMYFUNCTION("""COMPUTED_VALUE"""),"M/S Wattsun Energy India Private Limited")</f>
        <v>M/S Wattsun Energy India Private Limited</v>
      </c>
      <c r="H989">
        <f ca="1">IFERROR(__xludf.DUMMYFUNCTION("""COMPUTED_VALUE"""),54)</f>
        <v>54</v>
      </c>
      <c r="I989" s="4">
        <f ca="1">IFERROR(__xludf.DUMMYFUNCTION("""COMPUTED_VALUE"""),43264)</f>
        <v>43264</v>
      </c>
      <c r="J989">
        <f ca="1">IFERROR(__xludf.DUMMYFUNCTION("""COMPUTED_VALUE"""),3)</f>
        <v>3</v>
      </c>
      <c r="K989">
        <f ca="1">IFERROR(__xludf.DUMMYFUNCTION("""COMPUTED_VALUE"""),1145072008545)</f>
        <v>1145072008545</v>
      </c>
      <c r="L989" t="str">
        <f ca="1">IFERROR(__xludf.DUMMYFUNCTION("""COMPUTED_VALUE"""),"Vellayambalam")</f>
        <v>Vellayambalam</v>
      </c>
      <c r="M989" t="str">
        <f ca="1">IFERROR(__xludf.DUMMYFUNCTION("""COMPUTED_VALUE"""),"I Accept")</f>
        <v>I Accept</v>
      </c>
      <c r="N989" s="4">
        <f ca="1">IFERROR(__xludf.DUMMYFUNCTION("""COMPUTED_VALUE"""),43236)</f>
        <v>43236</v>
      </c>
      <c r="O989" s="4">
        <f ca="1">IFERROR(__xludf.DUMMYFUNCTION("""COMPUTED_VALUE"""),43236)</f>
        <v>43236</v>
      </c>
      <c r="P989">
        <f ca="1">IFERROR(__xludf.DUMMYFUNCTION("""COMPUTED_VALUE"""),3)</f>
        <v>3</v>
      </c>
      <c r="Q989" t="str">
        <f ca="1">IFERROR(__xludf.DUMMYFUNCTION("""COMPUTED_VALUE"""),"info@wattsun.in")</f>
        <v>info@wattsun.in</v>
      </c>
      <c r="R989" s="2" t="s">
        <v>3403</v>
      </c>
    </row>
    <row r="990" spans="1:18" ht="13" x14ac:dyDescent="0.15">
      <c r="A990" s="3">
        <f ca="1">IFERROR(__xludf.DUMMYFUNCTION("""COMPUTED_VALUE"""),43264.5776394213)</f>
        <v>43264.577639421303</v>
      </c>
      <c r="B990" t="str">
        <f ca="1">IFERROR(__xludf.DUMMYFUNCTION("""COMPUTED_VALUE"""),"jose.dilip@gmail.com")</f>
        <v>jose.dilip@gmail.com</v>
      </c>
      <c r="C990">
        <f ca="1">IFERROR(__xludf.DUMMYFUNCTION("""COMPUTED_VALUE"""),701)</f>
        <v>701</v>
      </c>
      <c r="D990" t="str">
        <f ca="1">IFERROR(__xludf.DUMMYFUNCTION("""COMPUTED_VALUE"""),"L.LALITHAMBIKA")</f>
        <v>L.LALITHAMBIKA</v>
      </c>
      <c r="E990">
        <f ca="1">IFERROR(__xludf.DUMMYFUNCTION("""COMPUTED_VALUE"""),8137874406)</f>
        <v>8137874406</v>
      </c>
      <c r="F990" t="str">
        <f ca="1">IFERROR(__xludf.DUMMYFUNCTION("""COMPUTED_VALUE"""),"Thiruvananthapuram")</f>
        <v>Thiruvananthapuram</v>
      </c>
      <c r="G990" t="str">
        <f ca="1">IFERROR(__xludf.DUMMYFUNCTION("""COMPUTED_VALUE"""),"SOLGEN ENERGY PVT LTD")</f>
        <v>SOLGEN ENERGY PVT LTD</v>
      </c>
      <c r="H990">
        <f ca="1">IFERROR(__xludf.DUMMYFUNCTION("""COMPUTED_VALUE"""),42)</f>
        <v>42</v>
      </c>
      <c r="I990" s="4">
        <f ca="1">IFERROR(__xludf.DUMMYFUNCTION("""COMPUTED_VALUE"""),43255)</f>
        <v>43255</v>
      </c>
      <c r="J990">
        <f ca="1">IFERROR(__xludf.DUMMYFUNCTION("""COMPUTED_VALUE"""),5)</f>
        <v>5</v>
      </c>
      <c r="K990">
        <f ca="1">IFERROR(__xludf.DUMMYFUNCTION("""COMPUTED_VALUE"""),1145191022501)</f>
        <v>1145191022501</v>
      </c>
      <c r="L990" t="str">
        <f ca="1">IFERROR(__xludf.DUMMYFUNCTION("""COMPUTED_VALUE"""),"SREEKARIYAM")</f>
        <v>SREEKARIYAM</v>
      </c>
      <c r="M990" t="str">
        <f ca="1">IFERROR(__xludf.DUMMYFUNCTION("""COMPUTED_VALUE"""),"I Accept")</f>
        <v>I Accept</v>
      </c>
      <c r="N990" s="4">
        <f ca="1">IFERROR(__xludf.DUMMYFUNCTION("""COMPUTED_VALUE"""),43231)</f>
        <v>43231</v>
      </c>
      <c r="O990" s="4">
        <f ca="1">IFERROR(__xludf.DUMMYFUNCTION("""COMPUTED_VALUE"""),43231)</f>
        <v>43231</v>
      </c>
      <c r="P990">
        <f ca="1">IFERROR(__xludf.DUMMYFUNCTION("""COMPUTED_VALUE"""),5)</f>
        <v>5</v>
      </c>
      <c r="Q990" t="str">
        <f ca="1">IFERROR(__xludf.DUMMYFUNCTION("""COMPUTED_VALUE"""),"jose.dilip@gmail.com")</f>
        <v>jose.dilip@gmail.com</v>
      </c>
      <c r="R990" s="2" t="s">
        <v>3404</v>
      </c>
    </row>
    <row r="991" spans="1:18" ht="13" x14ac:dyDescent="0.15">
      <c r="A991" s="3">
        <f ca="1">IFERROR(__xludf.DUMMYFUNCTION("""COMPUTED_VALUE"""),43264.5959734606)</f>
        <v>43264.5959734606</v>
      </c>
      <c r="B991" t="str">
        <f ca="1">IFERROR(__xludf.DUMMYFUNCTION("""COMPUTED_VALUE"""),"jose.dilip@gmail.com")</f>
        <v>jose.dilip@gmail.com</v>
      </c>
      <c r="C991">
        <f ca="1">IFERROR(__xludf.DUMMYFUNCTION("""COMPUTED_VALUE"""),845)</f>
        <v>845</v>
      </c>
      <c r="D991" t="str">
        <f ca="1">IFERROR(__xludf.DUMMYFUNCTION("""COMPUTED_VALUE"""),"SUBHASH T")</f>
        <v>SUBHASH T</v>
      </c>
      <c r="E991">
        <f ca="1">IFERROR(__xludf.DUMMYFUNCTION("""COMPUTED_VALUE"""),8137874406)</f>
        <v>8137874406</v>
      </c>
      <c r="F991" t="str">
        <f ca="1">IFERROR(__xludf.DUMMYFUNCTION("""COMPUTED_VALUE"""),"Pathanamthitta")</f>
        <v>Pathanamthitta</v>
      </c>
      <c r="G991" t="str">
        <f ca="1">IFERROR(__xludf.DUMMYFUNCTION("""COMPUTED_VALUE"""),"SOLGEN ENERGY PVT LTD")</f>
        <v>SOLGEN ENERGY PVT LTD</v>
      </c>
      <c r="H991">
        <f ca="1">IFERROR(__xludf.DUMMYFUNCTION("""COMPUTED_VALUE"""),42)</f>
        <v>42</v>
      </c>
      <c r="I991" s="4">
        <f ca="1">IFERROR(__xludf.DUMMYFUNCTION("""COMPUTED_VALUE"""),43264)</f>
        <v>43264</v>
      </c>
      <c r="J991">
        <f ca="1">IFERROR(__xludf.DUMMYFUNCTION("""COMPUTED_VALUE"""),10)</f>
        <v>10</v>
      </c>
      <c r="K991">
        <f ca="1">IFERROR(__xludf.DUMMYFUNCTION("""COMPUTED_VALUE"""),1146096028497)</f>
        <v>1146096028497</v>
      </c>
      <c r="L991" t="str">
        <f ca="1">IFERROR(__xludf.DUMMYFUNCTION("""COMPUTED_VALUE"""),"ADOOR")</f>
        <v>ADOOR</v>
      </c>
      <c r="M991" t="str">
        <f ca="1">IFERROR(__xludf.DUMMYFUNCTION("""COMPUTED_VALUE"""),"I Accept")</f>
        <v>I Accept</v>
      </c>
      <c r="N991" s="4">
        <f ca="1">IFERROR(__xludf.DUMMYFUNCTION("""COMPUTED_VALUE"""),43222)</f>
        <v>43222</v>
      </c>
      <c r="O991" s="4">
        <f ca="1">IFERROR(__xludf.DUMMYFUNCTION("""COMPUTED_VALUE"""),43222)</f>
        <v>43222</v>
      </c>
      <c r="P991">
        <f ca="1">IFERROR(__xludf.DUMMYFUNCTION("""COMPUTED_VALUE"""),10)</f>
        <v>10</v>
      </c>
      <c r="Q991" t="str">
        <f ca="1">IFERROR(__xludf.DUMMYFUNCTION("""COMPUTED_VALUE"""),"jose.dilip@gmail.com")</f>
        <v>jose.dilip@gmail.com</v>
      </c>
      <c r="R991" s="2" t="s">
        <v>3405</v>
      </c>
    </row>
    <row r="992" spans="1:18" ht="13" x14ac:dyDescent="0.15">
      <c r="A992" s="3">
        <f ca="1">IFERROR(__xludf.DUMMYFUNCTION("""COMPUTED_VALUE"""),43264.6222815972)</f>
        <v>43264.6222815972</v>
      </c>
      <c r="B992" t="str">
        <f ca="1">IFERROR(__xludf.DUMMYFUNCTION("""COMPUTED_VALUE"""),"SILVERWOODSEKM@GMAIL.COM")</f>
        <v>SILVERWOODSEKM@GMAIL.COM</v>
      </c>
      <c r="C992">
        <f ca="1">IFERROR(__xludf.DUMMYFUNCTION("""COMPUTED_VALUE"""),961)</f>
        <v>961</v>
      </c>
      <c r="D992" t="str">
        <f ca="1">IFERROR(__xludf.DUMMYFUNCTION("""COMPUTED_VALUE"""),"VIJAYAKUMAR B")</f>
        <v>VIJAYAKUMAR B</v>
      </c>
      <c r="E992">
        <f ca="1">IFERROR(__xludf.DUMMYFUNCTION("""COMPUTED_VALUE"""),9526991110)</f>
        <v>9526991110</v>
      </c>
      <c r="F992" t="str">
        <f ca="1">IFERROR(__xludf.DUMMYFUNCTION("""COMPUTED_VALUE"""),"Ernakulam")</f>
        <v>Ernakulam</v>
      </c>
      <c r="G992" t="str">
        <f ca="1">IFERROR(__xludf.DUMMYFUNCTION("""COMPUTED_VALUE"""),"TATA POWER SOLAR SYSTEMS LTD")</f>
        <v>TATA POWER SOLAR SYSTEMS LTD</v>
      </c>
      <c r="H992">
        <f ca="1">IFERROR(__xludf.DUMMYFUNCTION("""COMPUTED_VALUE"""),20)</f>
        <v>20</v>
      </c>
      <c r="I992" s="4">
        <f ca="1">IFERROR(__xludf.DUMMYFUNCTION("""COMPUTED_VALUE"""),43252)</f>
        <v>43252</v>
      </c>
      <c r="J992">
        <f ca="1">IFERROR(__xludf.DUMMYFUNCTION("""COMPUTED_VALUE"""),5)</f>
        <v>5</v>
      </c>
      <c r="K992">
        <f ca="1">IFERROR(__xludf.DUMMYFUNCTION("""COMPUTED_VALUE"""),1155449014223)</f>
        <v>1155449014223</v>
      </c>
      <c r="L992" t="str">
        <f ca="1">IFERROR(__xludf.DUMMYFUNCTION("""COMPUTED_VALUE"""),"EDAPPALLY")</f>
        <v>EDAPPALLY</v>
      </c>
      <c r="M992" t="str">
        <f ca="1">IFERROR(__xludf.DUMMYFUNCTION("""COMPUTED_VALUE"""),"I Accept")</f>
        <v>I Accept</v>
      </c>
      <c r="N992" s="4">
        <f ca="1">IFERROR(__xludf.DUMMYFUNCTION("""COMPUTED_VALUE"""),43252)</f>
        <v>43252</v>
      </c>
      <c r="O992" s="4">
        <f ca="1">IFERROR(__xludf.DUMMYFUNCTION("""COMPUTED_VALUE"""),43252)</f>
        <v>43252</v>
      </c>
      <c r="P992">
        <f ca="1">IFERROR(__xludf.DUMMYFUNCTION("""COMPUTED_VALUE"""),5)</f>
        <v>5</v>
      </c>
      <c r="Q992" t="str">
        <f ca="1">IFERROR(__xludf.DUMMYFUNCTION("""COMPUTED_VALUE"""),"silverwoodsekm@gmail.com")</f>
        <v>silverwoodsekm@gmail.com</v>
      </c>
      <c r="R992" s="2" t="s">
        <v>3406</v>
      </c>
    </row>
    <row r="993" spans="1:18" ht="13" x14ac:dyDescent="0.15">
      <c r="A993" s="3">
        <f ca="1">IFERROR(__xludf.DUMMYFUNCTION("""COMPUTED_VALUE"""),43264.662655787)</f>
        <v>43264.662655786997</v>
      </c>
      <c r="B993" t="str">
        <f ca="1">IFERROR(__xludf.DUMMYFUNCTION("""COMPUTED_VALUE"""),"alanbabu9999@gmail.com")</f>
        <v>alanbabu9999@gmail.com</v>
      </c>
      <c r="C993">
        <f ca="1">IFERROR(__xludf.DUMMYFUNCTION("""COMPUTED_VALUE"""),944)</f>
        <v>944</v>
      </c>
      <c r="D993" t="str">
        <f ca="1">IFERROR(__xludf.DUMMYFUNCTION("""COMPUTED_VALUE"""),"BABU M J")</f>
        <v>BABU M J</v>
      </c>
      <c r="E993">
        <f ca="1">IFERROR(__xludf.DUMMYFUNCTION("""COMPUTED_VALUE"""),7592009246)</f>
        <v>7592009246</v>
      </c>
      <c r="F993" t="str">
        <f ca="1">IFERROR(__xludf.DUMMYFUNCTION("""COMPUTED_VALUE"""),"Thiruvananthapuram")</f>
        <v>Thiruvananthapuram</v>
      </c>
      <c r="G993" t="str">
        <f ca="1">IFERROR(__xludf.DUMMYFUNCTION("""COMPUTED_VALUE"""),"SMART SOLAR HOMES")</f>
        <v>SMART SOLAR HOMES</v>
      </c>
      <c r="H993">
        <f ca="1">IFERROR(__xludf.DUMMYFUNCTION("""COMPUTED_VALUE"""),65)</f>
        <v>65</v>
      </c>
      <c r="I993" s="4">
        <f ca="1">IFERROR(__xludf.DUMMYFUNCTION("""COMPUTED_VALUE"""),43264)</f>
        <v>43264</v>
      </c>
      <c r="J993">
        <f ca="1">IFERROR(__xludf.DUMMYFUNCTION("""COMPUTED_VALUE"""),20)</f>
        <v>20</v>
      </c>
      <c r="K993">
        <f ca="1">IFERROR(__xludf.DUMMYFUNCTION("""COMPUTED_VALUE"""),1145187025181)</f>
        <v>1145187025181</v>
      </c>
      <c r="L993" t="str">
        <f ca="1">IFERROR(__xludf.DUMMYFUNCTION("""COMPUTED_VALUE"""),"NALANCHIRA")</f>
        <v>NALANCHIRA</v>
      </c>
      <c r="M993" t="str">
        <f ca="1">IFERROR(__xludf.DUMMYFUNCTION("""COMPUTED_VALUE"""),"I Accept")</f>
        <v>I Accept</v>
      </c>
      <c r="N993" s="4">
        <f ca="1">IFERROR(__xludf.DUMMYFUNCTION("""COMPUTED_VALUE"""),43235)</f>
        <v>43235</v>
      </c>
      <c r="O993" s="4">
        <f ca="1">IFERROR(__xludf.DUMMYFUNCTION("""COMPUTED_VALUE"""),43235)</f>
        <v>43235</v>
      </c>
      <c r="P993">
        <f ca="1">IFERROR(__xludf.DUMMYFUNCTION("""COMPUTED_VALUE"""),20)</f>
        <v>20</v>
      </c>
      <c r="Q993" t="str">
        <f ca="1">IFERROR(__xludf.DUMMYFUNCTION("""COMPUTED_VALUE"""),"alanbabu9999@gmail.com")</f>
        <v>alanbabu9999@gmail.com</v>
      </c>
      <c r="R993" s="2" t="s">
        <v>3407</v>
      </c>
    </row>
    <row r="994" spans="1:18" ht="13" x14ac:dyDescent="0.15">
      <c r="A994" s="3">
        <f ca="1">IFERROR(__xludf.DUMMYFUNCTION("""COMPUTED_VALUE"""),43264.8831514699)</f>
        <v>43264.883151469898</v>
      </c>
      <c r="B994" t="str">
        <f ca="1">IFERROR(__xludf.DUMMYFUNCTION("""COMPUTED_VALUE"""),"Johnjacob479@gmail.com")</f>
        <v>Johnjacob479@gmail.com</v>
      </c>
      <c r="C994">
        <f ca="1">IFERROR(__xludf.DUMMYFUNCTION("""COMPUTED_VALUE"""),835)</f>
        <v>835</v>
      </c>
      <c r="D994" t="str">
        <f ca="1">IFERROR(__xludf.DUMMYFUNCTION("""COMPUTED_VALUE"""),"Gangadharan mungath")</f>
        <v>Gangadharan mungath</v>
      </c>
      <c r="E994">
        <f ca="1">IFERROR(__xludf.DUMMYFUNCTION("""COMPUTED_VALUE"""),9048615833)</f>
        <v>9048615833</v>
      </c>
      <c r="F994" t="str">
        <f ca="1">IFERROR(__xludf.DUMMYFUNCTION("""COMPUTED_VALUE"""),"Kasaragod")</f>
        <v>Kasaragod</v>
      </c>
      <c r="G994" t="str">
        <f ca="1">IFERROR(__xludf.DUMMYFUNCTION("""COMPUTED_VALUE"""),"Tata power solar ")</f>
        <v xml:space="preserve">Tata power solar </v>
      </c>
      <c r="H994">
        <f ca="1">IFERROR(__xludf.DUMMYFUNCTION("""COMPUTED_VALUE"""),20)</f>
        <v>20</v>
      </c>
      <c r="I994" s="4">
        <f ca="1">IFERROR(__xludf.DUMMYFUNCTION("""COMPUTED_VALUE"""),43230)</f>
        <v>43230</v>
      </c>
      <c r="J994">
        <f ca="1">IFERROR(__xludf.DUMMYFUNCTION("""COMPUTED_VALUE"""),3)</f>
        <v>3</v>
      </c>
      <c r="K994">
        <f ca="1">IFERROR(__xludf.DUMMYFUNCTION("""COMPUTED_VALUE"""),11677449005905)</f>
        <v>11677449005905</v>
      </c>
      <c r="L994" t="str">
        <f ca="1">IFERROR(__xludf.DUMMYFUNCTION("""COMPUTED_VALUE"""),"Periya")</f>
        <v>Periya</v>
      </c>
      <c r="M994" t="str">
        <f ca="1">IFERROR(__xludf.DUMMYFUNCTION("""COMPUTED_VALUE"""),"I Accept")</f>
        <v>I Accept</v>
      </c>
      <c r="N994" s="4">
        <f ca="1">IFERROR(__xludf.DUMMYFUNCTION("""COMPUTED_VALUE"""),43248)</f>
        <v>43248</v>
      </c>
      <c r="O994" s="4">
        <f ca="1">IFERROR(__xludf.DUMMYFUNCTION("""COMPUTED_VALUE"""),43262)</f>
        <v>43262</v>
      </c>
      <c r="P994">
        <f ca="1">IFERROR(__xludf.DUMMYFUNCTION("""COMPUTED_VALUE"""),3)</f>
        <v>3</v>
      </c>
      <c r="Q994" t="str">
        <f ca="1">IFERROR(__xludf.DUMMYFUNCTION("""COMPUTED_VALUE"""),"Johnjacob479@gmail.com")</f>
        <v>Johnjacob479@gmail.com</v>
      </c>
      <c r="R994" s="2" t="s">
        <v>3408</v>
      </c>
    </row>
    <row r="995" spans="1:18" ht="13" x14ac:dyDescent="0.15">
      <c r="A995" s="3">
        <f ca="1">IFERROR(__xludf.DUMMYFUNCTION("""COMPUTED_VALUE"""),43265.5448790277)</f>
        <v>43265.544879027701</v>
      </c>
      <c r="B995" t="str">
        <f ca="1">IFERROR(__xludf.DUMMYFUNCTION("""COMPUTED_VALUE"""),"makarimma25@gmail.com")</f>
        <v>makarimma25@gmail.com</v>
      </c>
      <c r="C995">
        <f ca="1">IFERROR(__xludf.DUMMYFUNCTION("""COMPUTED_VALUE"""),752)</f>
        <v>752</v>
      </c>
      <c r="D995" t="str">
        <f ca="1">IFERROR(__xludf.DUMMYFUNCTION("""COMPUTED_VALUE"""),"M.Abdulkarim")</f>
        <v>M.Abdulkarim</v>
      </c>
      <c r="E995">
        <f ca="1">IFERROR(__xludf.DUMMYFUNCTION("""COMPUTED_VALUE"""),94476400006)</f>
        <v>94476400006</v>
      </c>
      <c r="F995" t="str">
        <f ca="1">IFERROR(__xludf.DUMMYFUNCTION("""COMPUTED_VALUE"""),"Palakkad")</f>
        <v>Palakkad</v>
      </c>
      <c r="G995" t="str">
        <f ca="1">IFERROR(__xludf.DUMMYFUNCTION("""COMPUTED_VALUE"""),"Temco Renewable Energy Solutions PVT.Ltd")</f>
        <v>Temco Renewable Energy Solutions PVT.Ltd</v>
      </c>
      <c r="H995">
        <f ca="1">IFERROR(__xludf.DUMMYFUNCTION("""COMPUTED_VALUE"""),30)</f>
        <v>30</v>
      </c>
      <c r="I995" s="4">
        <f ca="1">IFERROR(__xludf.DUMMYFUNCTION("""COMPUTED_VALUE"""),43201)</f>
        <v>43201</v>
      </c>
      <c r="J995">
        <f ca="1">IFERROR(__xludf.DUMMYFUNCTION("""COMPUTED_VALUE"""),3)</f>
        <v>3</v>
      </c>
      <c r="K995">
        <f ca="1">IFERROR(__xludf.DUMMYFUNCTION("""COMPUTED_VALUE"""),1165182004771)</f>
        <v>1165182004771</v>
      </c>
      <c r="L995" t="str">
        <f ca="1">IFERROR(__xludf.DUMMYFUNCTION("""COMPUTED_VALUE"""),"Big Bazar")</f>
        <v>Big Bazar</v>
      </c>
      <c r="M995" t="str">
        <f ca="1">IFERROR(__xludf.DUMMYFUNCTION("""COMPUTED_VALUE"""),"I Accept")</f>
        <v>I Accept</v>
      </c>
      <c r="N995" s="4">
        <f ca="1">IFERROR(__xludf.DUMMYFUNCTION("""COMPUTED_VALUE"""),43189)</f>
        <v>43189</v>
      </c>
      <c r="O995" s="4">
        <f ca="1">IFERROR(__xludf.DUMMYFUNCTION("""COMPUTED_VALUE"""),43189)</f>
        <v>43189</v>
      </c>
      <c r="P995">
        <f ca="1">IFERROR(__xludf.DUMMYFUNCTION("""COMPUTED_VALUE"""),13)</f>
        <v>13</v>
      </c>
      <c r="Q995" t="str">
        <f ca="1">IFERROR(__xludf.DUMMYFUNCTION("""COMPUTED_VALUE"""),"makarimma25@gmail.com")</f>
        <v>makarimma25@gmail.com</v>
      </c>
      <c r="R995" s="2" t="s">
        <v>3409</v>
      </c>
    </row>
    <row r="996" spans="1:18" ht="13" x14ac:dyDescent="0.15">
      <c r="A996" s="3">
        <f ca="1">IFERROR(__xludf.DUMMYFUNCTION("""COMPUTED_VALUE"""),43265.5501837152)</f>
        <v>43265.550183715197</v>
      </c>
      <c r="B996" t="str">
        <f ca="1">IFERROR(__xludf.DUMMYFUNCTION("""COMPUTED_VALUE"""),"babupalakkad1953@gmail.com")</f>
        <v>babupalakkad1953@gmail.com</v>
      </c>
      <c r="C996">
        <f ca="1">IFERROR(__xludf.DUMMYFUNCTION("""COMPUTED_VALUE"""),770)</f>
        <v>770</v>
      </c>
      <c r="D996" t="str">
        <f ca="1">IFERROR(__xludf.DUMMYFUNCTION("""COMPUTED_VALUE""")," M S Venkitaraman")</f>
        <v xml:space="preserve"> M S Venkitaraman</v>
      </c>
      <c r="E996">
        <f ca="1">IFERROR(__xludf.DUMMYFUNCTION("""COMPUTED_VALUE"""),9446391456)</f>
        <v>9446391456</v>
      </c>
      <c r="F996" t="str">
        <f ca="1">IFERROR(__xludf.DUMMYFUNCTION("""COMPUTED_VALUE"""),"Palakkad")</f>
        <v>Palakkad</v>
      </c>
      <c r="G996" t="str">
        <f ca="1">IFERROR(__xludf.DUMMYFUNCTION("""COMPUTED_VALUE"""),"Temco Renewable Energy Solutions .Pvt Ltd")</f>
        <v>Temco Renewable Energy Solutions .Pvt Ltd</v>
      </c>
      <c r="H996">
        <f ca="1">IFERROR(__xludf.DUMMYFUNCTION("""COMPUTED_VALUE"""),30)</f>
        <v>30</v>
      </c>
      <c r="I996" s="4">
        <f ca="1">IFERROR(__xludf.DUMMYFUNCTION("""COMPUTED_VALUE"""),43201)</f>
        <v>43201</v>
      </c>
      <c r="J996">
        <f ca="1">IFERROR(__xludf.DUMMYFUNCTION("""COMPUTED_VALUE"""),3)</f>
        <v>3</v>
      </c>
      <c r="K996">
        <f ca="1">IFERROR(__xludf.DUMMYFUNCTION("""COMPUTED_VALUE"""),1165319010196)</f>
        <v>1165319010196</v>
      </c>
      <c r="L996" t="str">
        <f ca="1">IFERROR(__xludf.DUMMYFUNCTION("""COMPUTED_VALUE"""),"kalpathy")</f>
        <v>kalpathy</v>
      </c>
      <c r="M996" t="str">
        <f ca="1">IFERROR(__xludf.DUMMYFUNCTION("""COMPUTED_VALUE"""),"I Accept")</f>
        <v>I Accept</v>
      </c>
      <c r="N996" s="4">
        <f ca="1">IFERROR(__xludf.DUMMYFUNCTION("""COMPUTED_VALUE"""),43194)</f>
        <v>43194</v>
      </c>
      <c r="O996" s="4">
        <f ca="1">IFERROR(__xludf.DUMMYFUNCTION("""COMPUTED_VALUE"""),43194)</f>
        <v>43194</v>
      </c>
      <c r="P996">
        <f ca="1">IFERROR(__xludf.DUMMYFUNCTION("""COMPUTED_VALUE"""),33)</f>
        <v>33</v>
      </c>
      <c r="Q996" t="str">
        <f ca="1">IFERROR(__xludf.DUMMYFUNCTION("""COMPUTED_VALUE"""),"babupalakkad1953@gmail.com")</f>
        <v>babupalakkad1953@gmail.com</v>
      </c>
      <c r="R996" s="2" t="s">
        <v>3410</v>
      </c>
    </row>
    <row r="997" spans="1:18" ht="13" x14ac:dyDescent="0.15">
      <c r="A997" s="3">
        <f ca="1">IFERROR(__xludf.DUMMYFUNCTION("""COMPUTED_VALUE"""),43265.5548967708)</f>
        <v>43265.554896770802</v>
      </c>
      <c r="B997" t="str">
        <f ca="1">IFERROR(__xludf.DUMMYFUNCTION("""COMPUTED_VALUE"""),"vinodvarma.e@gmail.com")</f>
        <v>vinodvarma.e@gmail.com</v>
      </c>
      <c r="C997">
        <f ca="1">IFERROR(__xludf.DUMMYFUNCTION("""COMPUTED_VALUE"""),474)</f>
        <v>474</v>
      </c>
      <c r="D997" t="str">
        <f ca="1">IFERROR(__xludf.DUMMYFUNCTION("""COMPUTED_VALUE"""),"Swarnalatha.E")</f>
        <v>Swarnalatha.E</v>
      </c>
      <c r="E997">
        <f ca="1">IFERROR(__xludf.DUMMYFUNCTION("""COMPUTED_VALUE"""),9446236561)</f>
        <v>9446236561</v>
      </c>
      <c r="F997" t="str">
        <f ca="1">IFERROR(__xludf.DUMMYFUNCTION("""COMPUTED_VALUE"""),"Palakkad")</f>
        <v>Palakkad</v>
      </c>
      <c r="G997" t="str">
        <f ca="1">IFERROR(__xludf.DUMMYFUNCTION("""COMPUTED_VALUE"""),"Temco Renewable Energy Solution.Pvt Ltd")</f>
        <v>Temco Renewable Energy Solution.Pvt Ltd</v>
      </c>
      <c r="H997">
        <f ca="1">IFERROR(__xludf.DUMMYFUNCTION("""COMPUTED_VALUE"""),30)</f>
        <v>30</v>
      </c>
      <c r="I997" s="4">
        <f ca="1">IFERROR(__xludf.DUMMYFUNCTION("""COMPUTED_VALUE"""),43201)</f>
        <v>43201</v>
      </c>
      <c r="J997">
        <f ca="1">IFERROR(__xludf.DUMMYFUNCTION("""COMPUTED_VALUE"""),3)</f>
        <v>3</v>
      </c>
      <c r="K997">
        <f ca="1">IFERROR(__xludf.DUMMYFUNCTION("""COMPUTED_VALUE"""),1167259000064)</f>
        <v>1167259000064</v>
      </c>
      <c r="L997" t="str">
        <f ca="1">IFERROR(__xludf.DUMMYFUNCTION("""COMPUTED_VALUE"""),"Malampuzha")</f>
        <v>Malampuzha</v>
      </c>
      <c r="M997" t="str">
        <f ca="1">IFERROR(__xludf.DUMMYFUNCTION("""COMPUTED_VALUE"""),"I Accept")</f>
        <v>I Accept</v>
      </c>
      <c r="N997" s="4">
        <f ca="1">IFERROR(__xludf.DUMMYFUNCTION("""COMPUTED_VALUE"""),43171)</f>
        <v>43171</v>
      </c>
      <c r="O997" s="4">
        <f ca="1">IFERROR(__xludf.DUMMYFUNCTION("""COMPUTED_VALUE"""),43171)</f>
        <v>43171</v>
      </c>
      <c r="P997">
        <f ca="1">IFERROR(__xludf.DUMMYFUNCTION("""COMPUTED_VALUE"""),21)</f>
        <v>21</v>
      </c>
      <c r="Q997" t="str">
        <f ca="1">IFERROR(__xludf.DUMMYFUNCTION("""COMPUTED_VALUE"""),"vinodvarma.e@gmail.com")</f>
        <v>vinodvarma.e@gmail.com</v>
      </c>
      <c r="R997" s="2" t="s">
        <v>3411</v>
      </c>
    </row>
    <row r="998" spans="1:18" ht="13" x14ac:dyDescent="0.15">
      <c r="A998" s="3">
        <f ca="1">IFERROR(__xludf.DUMMYFUNCTION("""COMPUTED_VALUE"""),43265.5585418865)</f>
        <v>43265.558541886501</v>
      </c>
      <c r="B998" t="str">
        <f ca="1">IFERROR(__xludf.DUMMYFUNCTION("""COMPUTED_VALUE"""),"ajbskuthanur@gmail.com")</f>
        <v>ajbskuthanur@gmail.com</v>
      </c>
      <c r="C998">
        <f ca="1">IFERROR(__xludf.DUMMYFUNCTION("""COMPUTED_VALUE"""),470)</f>
        <v>470</v>
      </c>
      <c r="D998" t="str">
        <f ca="1">IFERROR(__xludf.DUMMYFUNCTION("""COMPUTED_VALUE"""),"K Vijayakumari")</f>
        <v>K Vijayakumari</v>
      </c>
      <c r="E998">
        <f ca="1">IFERROR(__xludf.DUMMYFUNCTION("""COMPUTED_VALUE"""),9495857144)</f>
        <v>9495857144</v>
      </c>
      <c r="F998" t="str">
        <f ca="1">IFERROR(__xludf.DUMMYFUNCTION("""COMPUTED_VALUE"""),"Palakkad")</f>
        <v>Palakkad</v>
      </c>
      <c r="G998" t="str">
        <f ca="1">IFERROR(__xludf.DUMMYFUNCTION("""COMPUTED_VALUE"""),"Temco Renewable Energy Solutions.Pvt Ltd")</f>
        <v>Temco Renewable Energy Solutions.Pvt Ltd</v>
      </c>
      <c r="H998">
        <f ca="1">IFERROR(__xludf.DUMMYFUNCTION("""COMPUTED_VALUE"""),30)</f>
        <v>30</v>
      </c>
      <c r="I998" s="4">
        <f ca="1">IFERROR(__xludf.DUMMYFUNCTION("""COMPUTED_VALUE"""),43201)</f>
        <v>43201</v>
      </c>
      <c r="J998">
        <f ca="1">IFERROR(__xludf.DUMMYFUNCTION("""COMPUTED_VALUE"""),3)</f>
        <v>3</v>
      </c>
      <c r="K998">
        <f ca="1">IFERROR(__xludf.DUMMYFUNCTION("""COMPUTED_VALUE"""),1165258004812)</f>
        <v>1165258004812</v>
      </c>
      <c r="L998" t="str">
        <f ca="1">IFERROR(__xludf.DUMMYFUNCTION("""COMPUTED_VALUE"""),"Kuzhalmannam")</f>
        <v>Kuzhalmannam</v>
      </c>
      <c r="M998" t="str">
        <f ca="1">IFERROR(__xludf.DUMMYFUNCTION("""COMPUTED_VALUE"""),"I Accept")</f>
        <v>I Accept</v>
      </c>
      <c r="N998" s="4">
        <f ca="1">IFERROR(__xludf.DUMMYFUNCTION("""COMPUTED_VALUE"""),43173)</f>
        <v>43173</v>
      </c>
      <c r="O998" s="4">
        <f ca="1">IFERROR(__xludf.DUMMYFUNCTION("""COMPUTED_VALUE"""),43173)</f>
        <v>43173</v>
      </c>
      <c r="P998">
        <f ca="1">IFERROR(__xludf.DUMMYFUNCTION("""COMPUTED_VALUE"""),13)</f>
        <v>13</v>
      </c>
      <c r="Q998" t="str">
        <f ca="1">IFERROR(__xludf.DUMMYFUNCTION("""COMPUTED_VALUE"""),"ajbskuthanur@gmail.com")</f>
        <v>ajbskuthanur@gmail.com</v>
      </c>
      <c r="R998" s="2" t="s">
        <v>3412</v>
      </c>
    </row>
    <row r="999" spans="1:18" ht="13" x14ac:dyDescent="0.15">
      <c r="A999" s="3">
        <f ca="1">IFERROR(__xludf.DUMMYFUNCTION("""COMPUTED_VALUE"""),43265.576903368)</f>
        <v>43265.576903367997</v>
      </c>
      <c r="B999" t="str">
        <f ca="1">IFERROR(__xludf.DUMMYFUNCTION("""COMPUTED_VALUE"""),"rajeevtrk28@gmail.com")</f>
        <v>rajeevtrk28@gmail.com</v>
      </c>
      <c r="C999">
        <f ca="1">IFERROR(__xludf.DUMMYFUNCTION("""COMPUTED_VALUE"""),453)</f>
        <v>453</v>
      </c>
      <c r="D999" t="str">
        <f ca="1">IFERROR(__xludf.DUMMYFUNCTION("""COMPUTED_VALUE"""),"Rajeev.k")</f>
        <v>Rajeev.k</v>
      </c>
      <c r="E999">
        <f ca="1">IFERROR(__xludf.DUMMYFUNCTION("""COMPUTED_VALUE"""),4662227774)</f>
        <v>4662227774</v>
      </c>
      <c r="F999" t="str">
        <f ca="1">IFERROR(__xludf.DUMMYFUNCTION("""COMPUTED_VALUE"""),"Palakkad")</f>
        <v>Palakkad</v>
      </c>
      <c r="G999" t="str">
        <f ca="1">IFERROR(__xludf.DUMMYFUNCTION("""COMPUTED_VALUE"""),"PAE Renewable Energy (P) Ltd")</f>
        <v>PAE Renewable Energy (P) Ltd</v>
      </c>
      <c r="H999">
        <f ca="1">IFERROR(__xludf.DUMMYFUNCTION("""COMPUTED_VALUE"""),19)</f>
        <v>19</v>
      </c>
      <c r="I999" s="4">
        <f ca="1">IFERROR(__xludf.DUMMYFUNCTION("""COMPUTED_VALUE"""),43183)</f>
        <v>43183</v>
      </c>
      <c r="J999">
        <f ca="1">IFERROR(__xludf.DUMMYFUNCTION("""COMPUTED_VALUE"""),10)</f>
        <v>10</v>
      </c>
      <c r="K999">
        <f ca="1">IFERROR(__xludf.DUMMYFUNCTION("""COMPUTED_VALUE"""),1167336004306)</f>
        <v>1167336004306</v>
      </c>
      <c r="L999" t="str">
        <f ca="1">IFERROR(__xludf.DUMMYFUNCTION("""COMPUTED_VALUE"""),"Vanniyamkullam")</f>
        <v>Vanniyamkullam</v>
      </c>
      <c r="M999" t="str">
        <f ca="1">IFERROR(__xludf.DUMMYFUNCTION("""COMPUTED_VALUE"""),"I Accept")</f>
        <v>I Accept</v>
      </c>
      <c r="N999" s="4">
        <f ca="1">IFERROR(__xludf.DUMMYFUNCTION("""COMPUTED_VALUE"""),43174)</f>
        <v>43174</v>
      </c>
      <c r="O999" s="4">
        <f ca="1">IFERROR(__xludf.DUMMYFUNCTION("""COMPUTED_VALUE"""),43174)</f>
        <v>43174</v>
      </c>
      <c r="P999">
        <f ca="1">IFERROR(__xludf.DUMMYFUNCTION("""COMPUTED_VALUE"""),10)</f>
        <v>10</v>
      </c>
      <c r="Q999" t="str">
        <f ca="1">IFERROR(__xludf.DUMMYFUNCTION("""COMPUTED_VALUE"""),"rajeevtrk28@gmail.com")</f>
        <v>rajeevtrk28@gmail.com</v>
      </c>
      <c r="R999" s="2" t="s">
        <v>3413</v>
      </c>
    </row>
    <row r="1000" spans="1:18" ht="13" x14ac:dyDescent="0.15">
      <c r="A1000" s="3">
        <f ca="1">IFERROR(__xludf.DUMMYFUNCTION("""COMPUTED_VALUE"""),43265.9048272453)</f>
        <v>43265.9048272453</v>
      </c>
      <c r="B1000" t="str">
        <f ca="1">IFERROR(__xludf.DUMMYFUNCTION("""COMPUTED_VALUE"""),"snobinaugustine@gmail.com")</f>
        <v>snobinaugustine@gmail.com</v>
      </c>
      <c r="C1000">
        <f ca="1">IFERROR(__xludf.DUMMYFUNCTION("""COMPUTED_VALUE"""),947)</f>
        <v>947</v>
      </c>
      <c r="D1000" t="str">
        <f ca="1">IFERROR(__xludf.DUMMYFUNCTION("""COMPUTED_VALUE"""),"Jayalakshmi Bijulal")</f>
        <v>Jayalakshmi Bijulal</v>
      </c>
      <c r="E1000">
        <f ca="1">IFERROR(__xludf.DUMMYFUNCTION("""COMPUTED_VALUE"""),9447089900)</f>
        <v>9447089900</v>
      </c>
      <c r="F1000" t="str">
        <f ca="1">IFERROR(__xludf.DUMMYFUNCTION("""COMPUTED_VALUE"""),"Thiruvananthapuram")</f>
        <v>Thiruvananthapuram</v>
      </c>
      <c r="G1000" t="str">
        <f ca="1">IFERROR(__xludf.DUMMYFUNCTION("""COMPUTED_VALUE"""),"Tata Power Solar Systems LTD")</f>
        <v>Tata Power Solar Systems LTD</v>
      </c>
      <c r="H1000">
        <f ca="1">IFERROR(__xludf.DUMMYFUNCTION("""COMPUTED_VALUE"""),20)</f>
        <v>20</v>
      </c>
      <c r="I1000" s="4">
        <f ca="1">IFERROR(__xludf.DUMMYFUNCTION("""COMPUTED_VALUE"""),43232)</f>
        <v>43232</v>
      </c>
      <c r="J1000">
        <f ca="1">IFERROR(__xludf.DUMMYFUNCTION("""COMPUTED_VALUE"""),5)</f>
        <v>5</v>
      </c>
      <c r="K1000">
        <f ca="1">IFERROR(__xludf.DUMMYFUNCTION("""COMPUTED_VALUE"""),1145145017679)</f>
        <v>1145145017679</v>
      </c>
      <c r="L1000" t="str">
        <f ca="1">IFERROR(__xludf.DUMMYFUNCTION("""COMPUTED_VALUE"""),"Pettah")</f>
        <v>Pettah</v>
      </c>
      <c r="M1000" t="str">
        <f ca="1">IFERROR(__xludf.DUMMYFUNCTION("""COMPUTED_VALUE"""),"I Accept")</f>
        <v>I Accept</v>
      </c>
      <c r="N1000" s="4">
        <f ca="1">IFERROR(__xludf.DUMMYFUNCTION("""COMPUTED_VALUE"""),43207)</f>
        <v>43207</v>
      </c>
      <c r="O1000" s="4">
        <f ca="1">IFERROR(__xludf.DUMMYFUNCTION("""COMPUTED_VALUE"""),43207)</f>
        <v>43207</v>
      </c>
      <c r="P1000">
        <f ca="1">IFERROR(__xludf.DUMMYFUNCTION("""COMPUTED_VALUE"""),5)</f>
        <v>5</v>
      </c>
      <c r="Q1000" t="str">
        <f ca="1">IFERROR(__xludf.DUMMYFUNCTION("""COMPUTED_VALUE"""),"snobinaugustine@gmail.com")</f>
        <v>snobinaugustine@gmail.com</v>
      </c>
      <c r="R1000" s="2" t="s">
        <v>3414</v>
      </c>
    </row>
    <row r="1001" spans="1:18" ht="13" x14ac:dyDescent="0.15">
      <c r="A1001" s="3">
        <f ca="1">IFERROR(__xludf.DUMMYFUNCTION("""COMPUTED_VALUE"""),43266.4802166666)</f>
        <v>43266.480216666598</v>
      </c>
      <c r="B1001" t="str">
        <f ca="1">IFERROR(__xludf.DUMMYFUNCTION("""COMPUTED_VALUE"""),"govindan907@gmail.com")</f>
        <v>govindan907@gmail.com</v>
      </c>
      <c r="C1001">
        <f ca="1">IFERROR(__xludf.DUMMYFUNCTION("""COMPUTED_VALUE"""),300)</f>
        <v>300</v>
      </c>
      <c r="D1001" t="str">
        <f ca="1">IFERROR(__xludf.DUMMYFUNCTION("""COMPUTED_VALUE"""),"S G GOVINDAN ACHARI")</f>
        <v>S G GOVINDAN ACHARI</v>
      </c>
      <c r="E1001">
        <f ca="1">IFERROR(__xludf.DUMMYFUNCTION("""COMPUTED_VALUE"""),9188483105)</f>
        <v>9188483105</v>
      </c>
      <c r="F1001" t="str">
        <f ca="1">IFERROR(__xludf.DUMMYFUNCTION("""COMPUTED_VALUE"""),"Ernakulam")</f>
        <v>Ernakulam</v>
      </c>
      <c r="G1001" t="str">
        <f ca="1">IFERROR(__xludf.DUMMYFUNCTION("""COMPUTED_VALUE"""),"RADIANT SOLAR PRIVATE LTD")</f>
        <v>RADIANT SOLAR PRIVATE LTD</v>
      </c>
      <c r="H1001">
        <f ca="1">IFERROR(__xludf.DUMMYFUNCTION("""COMPUTED_VALUE"""),6)</f>
        <v>6</v>
      </c>
      <c r="I1001" s="4">
        <f ca="1">IFERROR(__xludf.DUMMYFUNCTION("""COMPUTED_VALUE"""),43226)</f>
        <v>43226</v>
      </c>
      <c r="J1001">
        <f ca="1">IFERROR(__xludf.DUMMYFUNCTION("""COMPUTED_VALUE"""),5)</f>
        <v>5</v>
      </c>
      <c r="K1001">
        <f ca="1">IFERROR(__xludf.DUMMYFUNCTION("""COMPUTED_VALUE"""),1155492002345)</f>
        <v>1155492002345</v>
      </c>
      <c r="L1001" t="str">
        <f ca="1">IFERROR(__xludf.DUMMYFUNCTION("""COMPUTED_VALUE"""),"UDAYAMPEROOR[5549]")</f>
        <v>UDAYAMPEROOR[5549]</v>
      </c>
      <c r="M1001" t="str">
        <f ca="1">IFERROR(__xludf.DUMMYFUNCTION("""COMPUTED_VALUE"""),"I Accept")</f>
        <v>I Accept</v>
      </c>
      <c r="N1001" s="4">
        <f ca="1">IFERROR(__xludf.DUMMYFUNCTION("""COMPUTED_VALUE"""),43233)</f>
        <v>43233</v>
      </c>
      <c r="O1001" s="4">
        <f ca="1">IFERROR(__xludf.DUMMYFUNCTION("""COMPUTED_VALUE"""),43233)</f>
        <v>43233</v>
      </c>
      <c r="P1001">
        <f ca="1">IFERROR(__xludf.DUMMYFUNCTION("""COMPUTED_VALUE"""),5)</f>
        <v>5</v>
      </c>
      <c r="Q1001" t="str">
        <f ca="1">IFERROR(__xludf.DUMMYFUNCTION("""COMPUTED_VALUE"""),"govindan907@gmail.com")</f>
        <v>govindan907@gmail.com</v>
      </c>
      <c r="R1001" s="2" t="s">
        <v>3415</v>
      </c>
    </row>
    <row r="1002" spans="1:18" ht="13" x14ac:dyDescent="0.15">
      <c r="A1002" s="3">
        <f ca="1">IFERROR(__xludf.DUMMYFUNCTION("""COMPUTED_VALUE"""),43266.4802646643)</f>
        <v>43266.4802646643</v>
      </c>
      <c r="B1002" t="str">
        <f ca="1">IFERROR(__xludf.DUMMYFUNCTION("""COMPUTED_VALUE"""),"sknthruvilwaamala@gmail.com")</f>
        <v>sknthruvilwaamala@gmail.com</v>
      </c>
      <c r="C1002">
        <f ca="1">IFERROR(__xludf.DUMMYFUNCTION("""COMPUTED_VALUE"""),1015)</f>
        <v>1015</v>
      </c>
      <c r="D1002" t="str">
        <f ca="1">IFERROR(__xludf.DUMMYFUNCTION("""COMPUTED_VALUE"""),"Subrahmaninan K Namboodiri")</f>
        <v>Subrahmaninan K Namboodiri</v>
      </c>
      <c r="E1002">
        <f ca="1">IFERROR(__xludf.DUMMYFUNCTION("""COMPUTED_VALUE"""),9895701787)</f>
        <v>9895701787</v>
      </c>
      <c r="F1002" t="str">
        <f ca="1">IFERROR(__xludf.DUMMYFUNCTION("""COMPUTED_VALUE"""),"Thrissur")</f>
        <v>Thrissur</v>
      </c>
      <c r="G1002" t="str">
        <f ca="1">IFERROR(__xludf.DUMMYFUNCTION("""COMPUTED_VALUE"""),"KC KOPAR ENERGY SOLUTIONS (P) LTD")</f>
        <v>KC KOPAR ENERGY SOLUTIONS (P) LTD</v>
      </c>
      <c r="H1002">
        <f ca="1">IFERROR(__xludf.DUMMYFUNCTION("""COMPUTED_VALUE"""),45)</f>
        <v>45</v>
      </c>
      <c r="I1002" s="4">
        <f ca="1">IFERROR(__xludf.DUMMYFUNCTION("""COMPUTED_VALUE"""),43266)</f>
        <v>43266</v>
      </c>
      <c r="J1002">
        <f ca="1">IFERROR(__xludf.DUMMYFUNCTION("""COMPUTED_VALUE"""),3)</f>
        <v>3</v>
      </c>
      <c r="K1002">
        <f ca="1">IFERROR(__xludf.DUMMYFUNCTION("""COMPUTED_VALUE"""),1156937005849)</f>
        <v>1156937005849</v>
      </c>
      <c r="L1002" t="str">
        <f ca="1">IFERROR(__xludf.DUMMYFUNCTION("""COMPUTED_VALUE"""),"Thiruvillwamala")</f>
        <v>Thiruvillwamala</v>
      </c>
      <c r="M1002" t="str">
        <f ca="1">IFERROR(__xludf.DUMMYFUNCTION("""COMPUTED_VALUE"""),"I Accept")</f>
        <v>I Accept</v>
      </c>
      <c r="N1002" s="4">
        <f ca="1">IFERROR(__xludf.DUMMYFUNCTION("""COMPUTED_VALUE"""),43265)</f>
        <v>43265</v>
      </c>
      <c r="O1002" s="4">
        <f ca="1">IFERROR(__xludf.DUMMYFUNCTION("""COMPUTED_VALUE"""),43265)</f>
        <v>43265</v>
      </c>
      <c r="P1002">
        <f ca="1">IFERROR(__xludf.DUMMYFUNCTION("""COMPUTED_VALUE"""),3)</f>
        <v>3</v>
      </c>
      <c r="Q1002" t="str">
        <f ca="1">IFERROR(__xludf.DUMMYFUNCTION("""COMPUTED_VALUE"""),"sknthiruvilwaamala@gmail.com")</f>
        <v>sknthiruvilwaamala@gmail.com</v>
      </c>
      <c r="R1002" s="2" t="s">
        <v>3416</v>
      </c>
    </row>
    <row r="1003" spans="1:18" ht="13" x14ac:dyDescent="0.15">
      <c r="A1003" s="3">
        <f ca="1">IFERROR(__xludf.DUMMYFUNCTION("""COMPUTED_VALUE"""),43268.6062623495)</f>
        <v>43268.606262349502</v>
      </c>
      <c r="B1003" t="str">
        <f ca="1">IFERROR(__xludf.DUMMYFUNCTION("""COMPUTED_VALUE"""),"abcd@gmail.com")</f>
        <v>abcd@gmail.com</v>
      </c>
      <c r="C1003">
        <f ca="1">IFERROR(__xludf.DUMMYFUNCTION("""COMPUTED_VALUE"""),111)</f>
        <v>111</v>
      </c>
      <c r="D1003" t="str">
        <f ca="1">IFERROR(__xludf.DUMMYFUNCTION("""COMPUTED_VALUE"""),"abce")</f>
        <v>abce</v>
      </c>
      <c r="E1003">
        <f ca="1">IFERROR(__xludf.DUMMYFUNCTION("""COMPUTED_VALUE"""),838292902)</f>
        <v>838292902</v>
      </c>
      <c r="F1003" t="str">
        <f ca="1">IFERROR(__xludf.DUMMYFUNCTION("""COMPUTED_VALUE"""),"Kannur")</f>
        <v>Kannur</v>
      </c>
      <c r="G1003" t="str">
        <f ca="1">IFERROR(__xludf.DUMMYFUNCTION("""COMPUTED_VALUE"""),"abcdef")</f>
        <v>abcdef</v>
      </c>
      <c r="H1003">
        <f ca="1">IFERROR(__xludf.DUMMYFUNCTION("""COMPUTED_VALUE"""),3)</f>
        <v>3</v>
      </c>
      <c r="I1003" s="4">
        <f ca="1">IFERROR(__xludf.DUMMYFUNCTION("""COMPUTED_VALUE"""),43258)</f>
        <v>43258</v>
      </c>
      <c r="J1003">
        <f ca="1">IFERROR(__xludf.DUMMYFUNCTION("""COMPUTED_VALUE"""),3)</f>
        <v>3</v>
      </c>
      <c r="K1003">
        <f ca="1">IFERROR(__xludf.DUMMYFUNCTION("""COMPUTED_VALUE"""),798922)</f>
        <v>798922</v>
      </c>
      <c r="L1003" t="str">
        <f ca="1">IFERROR(__xludf.DUMMYFUNCTION("""COMPUTED_VALUE"""),"kkkm")</f>
        <v>kkkm</v>
      </c>
      <c r="M1003" t="str">
        <f ca="1">IFERROR(__xludf.DUMMYFUNCTION("""COMPUTED_VALUE"""),"I Accept")</f>
        <v>I Accept</v>
      </c>
      <c r="N1003" s="4">
        <f ca="1">IFERROR(__xludf.DUMMYFUNCTION("""COMPUTED_VALUE"""),43257)</f>
        <v>43257</v>
      </c>
      <c r="O1003" s="4">
        <f ca="1">IFERROR(__xludf.DUMMYFUNCTION("""COMPUTED_VALUE"""),43257)</f>
        <v>43257</v>
      </c>
      <c r="P1003">
        <f ca="1">IFERROR(__xludf.DUMMYFUNCTION("""COMPUTED_VALUE"""),3)</f>
        <v>3</v>
      </c>
      <c r="Q1003" t="str">
        <f ca="1">IFERROR(__xludf.DUMMYFUNCTION("""COMPUTED_VALUE"""),"abcd@gmail.com")</f>
        <v>abcd@gmail.com</v>
      </c>
      <c r="R1003" s="2" t="s">
        <v>3417</v>
      </c>
    </row>
    <row r="1004" spans="1:18" ht="13" x14ac:dyDescent="0.15">
      <c r="A1004" s="3">
        <f ca="1">IFERROR(__xludf.DUMMYFUNCTION("""COMPUTED_VALUE"""),43271.3135487384)</f>
        <v>43271.313548738399</v>
      </c>
      <c r="B1004" t="str">
        <f ca="1">IFERROR(__xludf.DUMMYFUNCTION("""COMPUTED_VALUE"""),"Johnjacob479@gmail.com")</f>
        <v>Johnjacob479@gmail.com</v>
      </c>
      <c r="C1004">
        <f ca="1">IFERROR(__xludf.DUMMYFUNCTION("""COMPUTED_VALUE"""),835)</f>
        <v>835</v>
      </c>
      <c r="D1004" t="str">
        <f ca="1">IFERROR(__xludf.DUMMYFUNCTION("""COMPUTED_VALUE"""),"Gangatharan mungath")</f>
        <v>Gangatharan mungath</v>
      </c>
      <c r="E1004">
        <f ca="1">IFERROR(__xludf.DUMMYFUNCTION("""COMPUTED_VALUE"""),9495933693)</f>
        <v>9495933693</v>
      </c>
      <c r="F1004" t="str">
        <f ca="1">IFERROR(__xludf.DUMMYFUNCTION("""COMPUTED_VALUE"""),"Kasaragod")</f>
        <v>Kasaragod</v>
      </c>
      <c r="G1004" t="str">
        <f ca="1">IFERROR(__xludf.DUMMYFUNCTION("""COMPUTED_VALUE"""),"Tata power solar system Ltd ")</f>
        <v xml:space="preserve">Tata power solar system Ltd </v>
      </c>
      <c r="H1004">
        <f ca="1">IFERROR(__xludf.DUMMYFUNCTION("""COMPUTED_VALUE"""),20)</f>
        <v>20</v>
      </c>
      <c r="I1004" s="4">
        <f ca="1">IFERROR(__xludf.DUMMYFUNCTION("""COMPUTED_VALUE"""),43223)</f>
        <v>43223</v>
      </c>
      <c r="J1004">
        <f ca="1">IFERROR(__xludf.DUMMYFUNCTION("""COMPUTED_VALUE"""),3)</f>
        <v>3</v>
      </c>
      <c r="K1004">
        <f ca="1">IFERROR(__xludf.DUMMYFUNCTION("""COMPUTED_VALUE"""),112665372888)</f>
        <v>112665372888</v>
      </c>
      <c r="L1004" t="str">
        <f ca="1">IFERROR(__xludf.DUMMYFUNCTION("""COMPUTED_VALUE"""),"Periya")</f>
        <v>Periya</v>
      </c>
      <c r="M1004" t="str">
        <f ca="1">IFERROR(__xludf.DUMMYFUNCTION("""COMPUTED_VALUE"""),"I Accept")</f>
        <v>I Accept</v>
      </c>
      <c r="N1004" s="4">
        <f ca="1">IFERROR(__xludf.DUMMYFUNCTION("""COMPUTED_VALUE"""),43217)</f>
        <v>43217</v>
      </c>
      <c r="O1004" s="4">
        <f ca="1">IFERROR(__xludf.DUMMYFUNCTION("""COMPUTED_VALUE"""),43304)</f>
        <v>43304</v>
      </c>
      <c r="P1004">
        <f ca="1">IFERROR(__xludf.DUMMYFUNCTION("""COMPUTED_VALUE"""),3)</f>
        <v>3</v>
      </c>
      <c r="Q1004" t="str">
        <f ca="1">IFERROR(__xludf.DUMMYFUNCTION("""COMPUTED_VALUE"""),"Johnjacob479@gmail.com")</f>
        <v>Johnjacob479@gmail.com</v>
      </c>
      <c r="R1004" s="2" t="s">
        <v>3418</v>
      </c>
    </row>
    <row r="1005" spans="1:18" ht="13" x14ac:dyDescent="0.15">
      <c r="A1005" s="3">
        <f ca="1">IFERROR(__xludf.DUMMYFUNCTION("""COMPUTED_VALUE"""),43271.5079091088)</f>
        <v>43271.507909108797</v>
      </c>
      <c r="B1005" t="str">
        <f ca="1">IFERROR(__xludf.DUMMYFUNCTION("""COMPUTED_VALUE"""),"lesliejojo190@gmail.com")</f>
        <v>lesliejojo190@gmail.com</v>
      </c>
      <c r="C1005">
        <f ca="1">IFERROR(__xludf.DUMMYFUNCTION("""COMPUTED_VALUE"""),767)</f>
        <v>767</v>
      </c>
      <c r="D1005" t="str">
        <f ca="1">IFERROR(__xludf.DUMMYFUNCTION("""COMPUTED_VALUE"""),"Dr.Vinod Thampi")</f>
        <v>Dr.Vinod Thampi</v>
      </c>
      <c r="E1005">
        <f ca="1">IFERROR(__xludf.DUMMYFUNCTION("""COMPUTED_VALUE"""),9961003336)</f>
        <v>9961003336</v>
      </c>
      <c r="F1005" t="str">
        <f ca="1">IFERROR(__xludf.DUMMYFUNCTION("""COMPUTED_VALUE"""),"Thiruvananthapuram")</f>
        <v>Thiruvananthapuram</v>
      </c>
      <c r="G1005" t="str">
        <f ca="1">IFERROR(__xludf.DUMMYFUNCTION("""COMPUTED_VALUE"""),"Tata Power Solar Systems LTD")</f>
        <v>Tata Power Solar Systems LTD</v>
      </c>
      <c r="H1005">
        <f ca="1">IFERROR(__xludf.DUMMYFUNCTION("""COMPUTED_VALUE"""),20)</f>
        <v>20</v>
      </c>
      <c r="I1005" s="4">
        <f ca="1">IFERROR(__xludf.DUMMYFUNCTION("""COMPUTED_VALUE"""),43245)</f>
        <v>43245</v>
      </c>
      <c r="J1005">
        <f ca="1">IFERROR(__xludf.DUMMYFUNCTION("""COMPUTED_VALUE"""),5)</f>
        <v>5</v>
      </c>
      <c r="K1005">
        <f ca="1">IFERROR(__xludf.DUMMYFUNCTION("""COMPUTED_VALUE"""),1145197009698)</f>
        <v>1145197009698</v>
      </c>
      <c r="L1005" t="str">
        <f ca="1">IFERROR(__xludf.DUMMYFUNCTION("""COMPUTED_VALUE"""),"Sreekariyam")</f>
        <v>Sreekariyam</v>
      </c>
      <c r="M1005" t="str">
        <f ca="1">IFERROR(__xludf.DUMMYFUNCTION("""COMPUTED_VALUE"""),"I Accept")</f>
        <v>I Accept</v>
      </c>
      <c r="N1005" s="4">
        <f ca="1">IFERROR(__xludf.DUMMYFUNCTION("""COMPUTED_VALUE"""),43214)</f>
        <v>43214</v>
      </c>
      <c r="O1005" s="4">
        <f ca="1">IFERROR(__xludf.DUMMYFUNCTION("""COMPUTED_VALUE"""),43214)</f>
        <v>43214</v>
      </c>
      <c r="P1005">
        <f ca="1">IFERROR(__xludf.DUMMYFUNCTION("""COMPUTED_VALUE"""),5)</f>
        <v>5</v>
      </c>
      <c r="Q1005" t="str">
        <f ca="1">IFERROR(__xludf.DUMMYFUNCTION("""COMPUTED_VALUE"""),"lesliejojo190@gmail.com")</f>
        <v>lesliejojo190@gmail.com</v>
      </c>
      <c r="R1005" s="2" t="s">
        <v>3419</v>
      </c>
    </row>
    <row r="1006" spans="1:18" ht="13" x14ac:dyDescent="0.15">
      <c r="A1006" s="3">
        <f ca="1">IFERROR(__xludf.DUMMYFUNCTION("""COMPUTED_VALUE"""),43271.6097763541)</f>
        <v>43271.609776354097</v>
      </c>
      <c r="B1006" t="str">
        <f ca="1">IFERROR(__xludf.DUMMYFUNCTION("""COMPUTED_VALUE"""),"arun8943674152@gmail.com")</f>
        <v>arun8943674152@gmail.com</v>
      </c>
      <c r="C1006">
        <f ca="1">IFERROR(__xludf.DUMMYFUNCTION("""COMPUTED_VALUE"""),964)</f>
        <v>964</v>
      </c>
      <c r="D1006" t="str">
        <f ca="1">IFERROR(__xludf.DUMMYFUNCTION("""COMPUTED_VALUE"""),"JOSEPH M J")</f>
        <v>JOSEPH M J</v>
      </c>
      <c r="E1006">
        <f ca="1">IFERROR(__xludf.DUMMYFUNCTION("""COMPUTED_VALUE"""),7025521166)</f>
        <v>7025521166</v>
      </c>
      <c r="F1006" t="str">
        <f ca="1">IFERROR(__xludf.DUMMYFUNCTION("""COMPUTED_VALUE"""),"Thrissur")</f>
        <v>Thrissur</v>
      </c>
      <c r="G1006" t="str">
        <f ca="1">IFERROR(__xludf.DUMMYFUNCTION("""COMPUTED_VALUE"""),"SOLGEN ENERGY PVT LTD")</f>
        <v>SOLGEN ENERGY PVT LTD</v>
      </c>
      <c r="H1006">
        <f ca="1">IFERROR(__xludf.DUMMYFUNCTION("""COMPUTED_VALUE"""),42)</f>
        <v>42</v>
      </c>
      <c r="I1006" s="4">
        <f ca="1">IFERROR(__xludf.DUMMYFUNCTION("""COMPUTED_VALUE"""),42833)</f>
        <v>42833</v>
      </c>
      <c r="J1006">
        <f ca="1">IFERROR(__xludf.DUMMYFUNCTION("""COMPUTED_VALUE"""),2)</f>
        <v>2</v>
      </c>
      <c r="K1006">
        <f ca="1">IFERROR(__xludf.DUMMYFUNCTION("""COMPUTED_VALUE"""),1156792002485)</f>
        <v>1156792002485</v>
      </c>
      <c r="L1006" t="str">
        <f ca="1">IFERROR(__xludf.DUMMYFUNCTION("""COMPUTED_VALUE"""),"ARIMPOOR")</f>
        <v>ARIMPOOR</v>
      </c>
      <c r="M1006" t="str">
        <f ca="1">IFERROR(__xludf.DUMMYFUNCTION("""COMPUTED_VALUE"""),"I Accept")</f>
        <v>I Accept</v>
      </c>
      <c r="N1006" s="4">
        <f ca="1">IFERROR(__xludf.DUMMYFUNCTION("""COMPUTED_VALUE"""),43243)</f>
        <v>43243</v>
      </c>
      <c r="O1006" s="4">
        <f ca="1">IFERROR(__xludf.DUMMYFUNCTION("""COMPUTED_VALUE"""),43243)</f>
        <v>43243</v>
      </c>
      <c r="P1006">
        <f ca="1">IFERROR(__xludf.DUMMYFUNCTION("""COMPUTED_VALUE"""),2)</f>
        <v>2</v>
      </c>
      <c r="Q1006" t="str">
        <f ca="1">IFERROR(__xludf.DUMMYFUNCTION("""COMPUTED_VALUE"""),"arun8943674152@gmail.com")</f>
        <v>arun8943674152@gmail.com</v>
      </c>
      <c r="R1006" s="2" t="s">
        <v>3420</v>
      </c>
    </row>
    <row r="1007" spans="1:18" ht="13" x14ac:dyDescent="0.15">
      <c r="A1007" s="3">
        <f ca="1">IFERROR(__xludf.DUMMYFUNCTION("""COMPUTED_VALUE"""),43271.6378308796)</f>
        <v>43271.637830879597</v>
      </c>
      <c r="B1007" t="str">
        <f ca="1">IFERROR(__xludf.DUMMYFUNCTION("""COMPUTED_VALUE"""),"arun8943674152@gmail.com")</f>
        <v>arun8943674152@gmail.com</v>
      </c>
      <c r="C1007">
        <f ca="1">IFERROR(__xludf.DUMMYFUNCTION("""COMPUTED_VALUE"""),1099)</f>
        <v>1099</v>
      </c>
      <c r="D1007" t="str">
        <f ca="1">IFERROR(__xludf.DUMMYFUNCTION("""COMPUTED_VALUE"""),"SONIYA RAJAN")</f>
        <v>SONIYA RAJAN</v>
      </c>
      <c r="E1007">
        <f ca="1">IFERROR(__xludf.DUMMYFUNCTION("""COMPUTED_VALUE"""),7025521166)</f>
        <v>7025521166</v>
      </c>
      <c r="F1007" t="str">
        <f ca="1">IFERROR(__xludf.DUMMYFUNCTION("""COMPUTED_VALUE"""),"Thrissur")</f>
        <v>Thrissur</v>
      </c>
      <c r="G1007" t="str">
        <f ca="1">IFERROR(__xludf.DUMMYFUNCTION("""COMPUTED_VALUE"""),"SOLGEN ENERGY PVT LTD")</f>
        <v>SOLGEN ENERGY PVT LTD</v>
      </c>
      <c r="H1007">
        <f ca="1">IFERROR(__xludf.DUMMYFUNCTION("""COMPUTED_VALUE"""),42)</f>
        <v>42</v>
      </c>
      <c r="I1007" s="4">
        <f ca="1">IFERROR(__xludf.DUMMYFUNCTION("""COMPUTED_VALUE"""),43256)</f>
        <v>43256</v>
      </c>
      <c r="J1007">
        <f ca="1">IFERROR(__xludf.DUMMYFUNCTION("""COMPUTED_VALUE"""),10)</f>
        <v>10</v>
      </c>
      <c r="K1007">
        <f ca="1">IFERROR(__xludf.DUMMYFUNCTION("""COMPUTED_VALUE"""),1156811017716)</f>
        <v>1156811017716</v>
      </c>
      <c r="L1007" t="str">
        <f ca="1">IFERROR(__xludf.DUMMYFUNCTION("""COMPUTED_VALUE"""),"RAMAVARMAPURAM")</f>
        <v>RAMAVARMAPURAM</v>
      </c>
      <c r="M1007" t="str">
        <f ca="1">IFERROR(__xludf.DUMMYFUNCTION("""COMPUTED_VALUE"""),"I Accept")</f>
        <v>I Accept</v>
      </c>
      <c r="N1007" s="4">
        <f ca="1">IFERROR(__xludf.DUMMYFUNCTION("""COMPUTED_VALUE"""),43253)</f>
        <v>43253</v>
      </c>
      <c r="O1007" s="4">
        <f ca="1">IFERROR(__xludf.DUMMYFUNCTION("""COMPUTED_VALUE"""),43253)</f>
        <v>43253</v>
      </c>
      <c r="P1007">
        <f ca="1">IFERROR(__xludf.DUMMYFUNCTION("""COMPUTED_VALUE"""),10)</f>
        <v>10</v>
      </c>
      <c r="Q1007" t="str">
        <f ca="1">IFERROR(__xludf.DUMMYFUNCTION("""COMPUTED_VALUE"""),"arun8943674152@gmail.com")</f>
        <v>arun8943674152@gmail.com</v>
      </c>
      <c r="R1007" s="2" t="s">
        <v>3421</v>
      </c>
    </row>
    <row r="1008" spans="1:18" ht="13" x14ac:dyDescent="0.15">
      <c r="A1008" s="3">
        <f ca="1">IFERROR(__xludf.DUMMYFUNCTION("""COMPUTED_VALUE"""),43271.6934967708)</f>
        <v>43271.6934967708</v>
      </c>
      <c r="B1008" t="str">
        <f ca="1">IFERROR(__xludf.DUMMYFUNCTION("""COMPUTED_VALUE"""),"jose.dilip@gmail.com")</f>
        <v>jose.dilip@gmail.com</v>
      </c>
      <c r="C1008">
        <f ca="1">IFERROR(__xludf.DUMMYFUNCTION("""COMPUTED_VALUE"""),274)</f>
        <v>274</v>
      </c>
      <c r="D1008" t="str">
        <f ca="1">IFERROR(__xludf.DUMMYFUNCTION("""COMPUTED_VALUE"""),"KRISHNADAS C K")</f>
        <v>KRISHNADAS C K</v>
      </c>
      <c r="E1008">
        <f ca="1">IFERROR(__xludf.DUMMYFUNCTION("""COMPUTED_VALUE"""),8137874406)</f>
        <v>8137874406</v>
      </c>
      <c r="F1008" t="str">
        <f ca="1">IFERROR(__xludf.DUMMYFUNCTION("""COMPUTED_VALUE"""),"Kozhikode")</f>
        <v>Kozhikode</v>
      </c>
      <c r="G1008" t="str">
        <f ca="1">IFERROR(__xludf.DUMMYFUNCTION("""COMPUTED_VALUE"""),"SOLGEN ENERGY PVT LTD")</f>
        <v>SOLGEN ENERGY PVT LTD</v>
      </c>
      <c r="H1008">
        <f ca="1">IFERROR(__xludf.DUMMYFUNCTION("""COMPUTED_VALUE"""),42)</f>
        <v>42</v>
      </c>
      <c r="I1008" s="4">
        <f ca="1">IFERROR(__xludf.DUMMYFUNCTION("""COMPUTED_VALUE"""),43189)</f>
        <v>43189</v>
      </c>
      <c r="J1008">
        <f ca="1">IFERROR(__xludf.DUMMYFUNCTION("""COMPUTED_VALUE"""),3)</f>
        <v>3</v>
      </c>
      <c r="K1008">
        <f ca="1">IFERROR(__xludf.DUMMYFUNCTION("""COMPUTED_VALUE"""),1165985028597)</f>
        <v>1165985028597</v>
      </c>
      <c r="L1008" t="str">
        <f ca="1">IFERROR(__xludf.DUMMYFUNCTION("""COMPUTED_VALUE"""),"KARAPARAMBA")</f>
        <v>KARAPARAMBA</v>
      </c>
      <c r="M1008" t="str">
        <f ca="1">IFERROR(__xludf.DUMMYFUNCTION("""COMPUTED_VALUE"""),"I Accept")</f>
        <v>I Accept</v>
      </c>
      <c r="N1008" s="4">
        <f ca="1">IFERROR(__xludf.DUMMYFUNCTION("""COMPUTED_VALUE"""),43278)</f>
        <v>43278</v>
      </c>
      <c r="O1008" s="4">
        <f ca="1">IFERROR(__xludf.DUMMYFUNCTION("""COMPUTED_VALUE"""),43278)</f>
        <v>43278</v>
      </c>
      <c r="P1008">
        <f ca="1">IFERROR(__xludf.DUMMYFUNCTION("""COMPUTED_VALUE"""),3)</f>
        <v>3</v>
      </c>
      <c r="Q1008" t="str">
        <f ca="1">IFERROR(__xludf.DUMMYFUNCTION("""COMPUTED_VALUE"""),"jose.dilip@gmail.com")</f>
        <v>jose.dilip@gmail.com</v>
      </c>
      <c r="R1008" s="2" t="s">
        <v>3422</v>
      </c>
    </row>
    <row r="1009" spans="1:18" ht="13" x14ac:dyDescent="0.15">
      <c r="A1009" s="3">
        <f ca="1">IFERROR(__xludf.DUMMYFUNCTION("""COMPUTED_VALUE"""),43271.7096307754)</f>
        <v>43271.709630775396</v>
      </c>
      <c r="B1009" t="str">
        <f ca="1">IFERROR(__xludf.DUMMYFUNCTION("""COMPUTED_VALUE"""),"jose.dilip@gmail.com")</f>
        <v>jose.dilip@gmail.com</v>
      </c>
      <c r="C1009">
        <f ca="1">IFERROR(__xludf.DUMMYFUNCTION("""COMPUTED_VALUE"""),825)</f>
        <v>825</v>
      </c>
      <c r="D1009" t="str">
        <f ca="1">IFERROR(__xludf.DUMMYFUNCTION("""COMPUTED_VALUE"""),"SREEKANTHAN K N")</f>
        <v>SREEKANTHAN K N</v>
      </c>
      <c r="E1009">
        <f ca="1">IFERROR(__xludf.DUMMYFUNCTION("""COMPUTED_VALUE"""),8137874406)</f>
        <v>8137874406</v>
      </c>
      <c r="F1009" t="str">
        <f ca="1">IFERROR(__xludf.DUMMYFUNCTION("""COMPUTED_VALUE"""),"Kozhikode")</f>
        <v>Kozhikode</v>
      </c>
      <c r="G1009" t="str">
        <f ca="1">IFERROR(__xludf.DUMMYFUNCTION("""COMPUTED_VALUE"""),"SOLGEN ENERGY PVT LTD")</f>
        <v>SOLGEN ENERGY PVT LTD</v>
      </c>
      <c r="H1009">
        <f ca="1">IFERROR(__xludf.DUMMYFUNCTION("""COMPUTED_VALUE"""),42)</f>
        <v>42</v>
      </c>
      <c r="I1009" s="4">
        <f ca="1">IFERROR(__xludf.DUMMYFUNCTION("""COMPUTED_VALUE"""),43189)</f>
        <v>43189</v>
      </c>
      <c r="J1009">
        <f ca="1">IFERROR(__xludf.DUMMYFUNCTION("""COMPUTED_VALUE"""),3)</f>
        <v>3</v>
      </c>
      <c r="K1009">
        <f ca="1">IFERROR(__xludf.DUMMYFUNCTION("""COMPUTED_VALUE"""),1165988028949)</f>
        <v>1165988028949</v>
      </c>
      <c r="L1009" t="str">
        <f ca="1">IFERROR(__xludf.DUMMYFUNCTION("""COMPUTED_VALUE"""),"KARAPARAMBU")</f>
        <v>KARAPARAMBU</v>
      </c>
      <c r="M1009" t="str">
        <f ca="1">IFERROR(__xludf.DUMMYFUNCTION("""COMPUTED_VALUE"""),"I Accept")</f>
        <v>I Accept</v>
      </c>
      <c r="N1009" s="4">
        <f ca="1">IFERROR(__xludf.DUMMYFUNCTION("""COMPUTED_VALUE"""),43216)</f>
        <v>43216</v>
      </c>
      <c r="O1009" s="4">
        <f ca="1">IFERROR(__xludf.DUMMYFUNCTION("""COMPUTED_VALUE"""),43216)</f>
        <v>43216</v>
      </c>
      <c r="P1009">
        <f ca="1">IFERROR(__xludf.DUMMYFUNCTION("""COMPUTED_VALUE"""),3)</f>
        <v>3</v>
      </c>
      <c r="Q1009" t="str">
        <f ca="1">IFERROR(__xludf.DUMMYFUNCTION("""COMPUTED_VALUE"""),"jose.dilip@gmail.com")</f>
        <v>jose.dilip@gmail.com</v>
      </c>
      <c r="R1009" s="2" t="s">
        <v>3423</v>
      </c>
    </row>
    <row r="1010" spans="1:18" ht="13" x14ac:dyDescent="0.15">
      <c r="A1010" s="3">
        <f ca="1">IFERROR(__xludf.DUMMYFUNCTION("""COMPUTED_VALUE"""),43271.7402230902)</f>
        <v>43271.740223090201</v>
      </c>
      <c r="B1010" t="str">
        <f ca="1">IFERROR(__xludf.DUMMYFUNCTION("""COMPUTED_VALUE"""),"jose.dilip@gmail.com")</f>
        <v>jose.dilip@gmail.com</v>
      </c>
      <c r="C1010">
        <f ca="1">IFERROR(__xludf.DUMMYFUNCTION("""COMPUTED_VALUE"""),465)</f>
        <v>465</v>
      </c>
      <c r="D1010" t="str">
        <f ca="1">IFERROR(__xludf.DUMMYFUNCTION("""COMPUTED_VALUE"""),"IYYAPPADI SUDHIR")</f>
        <v>IYYAPPADI SUDHIR</v>
      </c>
      <c r="E1010">
        <f ca="1">IFERROR(__xludf.DUMMYFUNCTION("""COMPUTED_VALUE"""),8137874406)</f>
        <v>8137874406</v>
      </c>
      <c r="F1010" t="str">
        <f ca="1">IFERROR(__xludf.DUMMYFUNCTION("""COMPUTED_VALUE"""),"Kozhikode")</f>
        <v>Kozhikode</v>
      </c>
      <c r="G1010" t="str">
        <f ca="1">IFERROR(__xludf.DUMMYFUNCTION("""COMPUTED_VALUE"""),"SOLGEN ENERGY PVT LTD")</f>
        <v>SOLGEN ENERGY PVT LTD</v>
      </c>
      <c r="H1010">
        <f ca="1">IFERROR(__xludf.DUMMYFUNCTION("""COMPUTED_VALUE"""),42)</f>
        <v>42</v>
      </c>
      <c r="I1010" s="4">
        <f ca="1">IFERROR(__xludf.DUMMYFUNCTION("""COMPUTED_VALUE"""),43196)</f>
        <v>43196</v>
      </c>
      <c r="J1010">
        <f ca="1">IFERROR(__xludf.DUMMYFUNCTION("""COMPUTED_VALUE"""),3)</f>
        <v>3</v>
      </c>
      <c r="K1010">
        <f ca="1">IFERROR(__xludf.DUMMYFUNCTION("""COMPUTED_VALUE"""),1166052007804)</f>
        <v>1166052007804</v>
      </c>
      <c r="L1010" t="str">
        <f ca="1">IFERROR(__xludf.DUMMYFUNCTION("""COMPUTED_VALUE"""),"VELLIMADUKUNNU")</f>
        <v>VELLIMADUKUNNU</v>
      </c>
      <c r="M1010" t="str">
        <f ca="1">IFERROR(__xludf.DUMMYFUNCTION("""COMPUTED_VALUE"""),"I Accept")</f>
        <v>I Accept</v>
      </c>
      <c r="N1010" s="4">
        <f ca="1">IFERROR(__xludf.DUMMYFUNCTION("""COMPUTED_VALUE"""),43194)</f>
        <v>43194</v>
      </c>
      <c r="O1010" s="4">
        <f ca="1">IFERROR(__xludf.DUMMYFUNCTION("""COMPUTED_VALUE"""),43194)</f>
        <v>43194</v>
      </c>
      <c r="P1010">
        <f ca="1">IFERROR(__xludf.DUMMYFUNCTION("""COMPUTED_VALUE"""),3)</f>
        <v>3</v>
      </c>
      <c r="Q1010" t="str">
        <f ca="1">IFERROR(__xludf.DUMMYFUNCTION("""COMPUTED_VALUE"""),"jose.dilip@gmail.com")</f>
        <v>jose.dilip@gmail.com</v>
      </c>
      <c r="R1010" s="2" t="s">
        <v>3424</v>
      </c>
    </row>
    <row r="1011" spans="1:18" ht="13" x14ac:dyDescent="0.15">
      <c r="A1011" s="3">
        <f ca="1">IFERROR(__xludf.DUMMYFUNCTION("""COMPUTED_VALUE"""),43271.7448170601)</f>
        <v>43271.744817060098</v>
      </c>
      <c r="B1011" t="str">
        <f ca="1">IFERROR(__xludf.DUMMYFUNCTION("""COMPUTED_VALUE"""),"jose.dilip@gmail.com")</f>
        <v>jose.dilip@gmail.com</v>
      </c>
      <c r="C1011">
        <f ca="1">IFERROR(__xludf.DUMMYFUNCTION("""COMPUTED_VALUE"""),1069)</f>
        <v>1069</v>
      </c>
      <c r="D1011" t="str">
        <f ca="1">IFERROR(__xludf.DUMMYFUNCTION("""COMPUTED_VALUE"""),"KABEERKUTTY A")</f>
        <v>KABEERKUTTY A</v>
      </c>
      <c r="E1011">
        <f ca="1">IFERROR(__xludf.DUMMYFUNCTION("""COMPUTED_VALUE"""),8137874406)</f>
        <v>8137874406</v>
      </c>
      <c r="F1011" t="str">
        <f ca="1">IFERROR(__xludf.DUMMYFUNCTION("""COMPUTED_VALUE"""),"Thiruvananthapuram")</f>
        <v>Thiruvananthapuram</v>
      </c>
      <c r="G1011" t="str">
        <f ca="1">IFERROR(__xludf.DUMMYFUNCTION("""COMPUTED_VALUE"""),"SOLGEN ENERGY PVT LTD")</f>
        <v>SOLGEN ENERGY PVT LTD</v>
      </c>
      <c r="H1011">
        <f ca="1">IFERROR(__xludf.DUMMYFUNCTION("""COMPUTED_VALUE"""),42)</f>
        <v>42</v>
      </c>
      <c r="I1011" s="4">
        <f ca="1">IFERROR(__xludf.DUMMYFUNCTION("""COMPUTED_VALUE"""),43241)</f>
        <v>43241</v>
      </c>
      <c r="J1011">
        <f ca="1">IFERROR(__xludf.DUMMYFUNCTION("""COMPUTED_VALUE"""),5)</f>
        <v>5</v>
      </c>
      <c r="K1011">
        <f ca="1">IFERROR(__xludf.DUMMYFUNCTION("""COMPUTED_VALUE"""),1146765011760)</f>
        <v>1146765011760</v>
      </c>
      <c r="L1011" t="str">
        <f ca="1">IFERROR(__xludf.DUMMYFUNCTION("""COMPUTED_VALUE"""),"KUDAPPANAKUNNU")</f>
        <v>KUDAPPANAKUNNU</v>
      </c>
      <c r="M1011" t="str">
        <f ca="1">IFERROR(__xludf.DUMMYFUNCTION("""COMPUTED_VALUE"""),"I Accept")</f>
        <v>I Accept</v>
      </c>
      <c r="N1011" s="4">
        <f ca="1">IFERROR(__xludf.DUMMYFUNCTION("""COMPUTED_VALUE"""),43223)</f>
        <v>43223</v>
      </c>
      <c r="O1011" s="4">
        <f ca="1">IFERROR(__xludf.DUMMYFUNCTION("""COMPUTED_VALUE"""),43223)</f>
        <v>43223</v>
      </c>
      <c r="P1011">
        <f ca="1">IFERROR(__xludf.DUMMYFUNCTION("""COMPUTED_VALUE"""),5)</f>
        <v>5</v>
      </c>
      <c r="Q1011" t="str">
        <f ca="1">IFERROR(__xludf.DUMMYFUNCTION("""COMPUTED_VALUE"""),"jose.dilip@gmail.com")</f>
        <v>jose.dilip@gmail.com</v>
      </c>
      <c r="R1011" s="2" t="s">
        <v>3425</v>
      </c>
    </row>
    <row r="1012" spans="1:18" ht="13" x14ac:dyDescent="0.15">
      <c r="A1012" s="3">
        <f ca="1">IFERROR(__xludf.DUMMYFUNCTION("""COMPUTED_VALUE"""),43272.6747762152)</f>
        <v>43272.674776215201</v>
      </c>
      <c r="B1012" t="str">
        <f ca="1">IFERROR(__xludf.DUMMYFUNCTION("""COMPUTED_VALUE"""),"jose.dilip@gmail.com")</f>
        <v>jose.dilip@gmail.com</v>
      </c>
      <c r="C1012">
        <f ca="1">IFERROR(__xludf.DUMMYFUNCTION("""COMPUTED_VALUE"""),1237)</f>
        <v>1237</v>
      </c>
      <c r="D1012" t="str">
        <f ca="1">IFERROR(__xludf.DUMMYFUNCTION("""COMPUTED_VALUE"""),"KUNHALAVI K")</f>
        <v>KUNHALAVI K</v>
      </c>
      <c r="E1012">
        <f ca="1">IFERROR(__xludf.DUMMYFUNCTION("""COMPUTED_VALUE"""),8137874406)</f>
        <v>8137874406</v>
      </c>
      <c r="F1012" t="str">
        <f ca="1">IFERROR(__xludf.DUMMYFUNCTION("""COMPUTED_VALUE"""),"Kozhikode")</f>
        <v>Kozhikode</v>
      </c>
      <c r="G1012" t="str">
        <f ca="1">IFERROR(__xludf.DUMMYFUNCTION("""COMPUTED_VALUE"""),"SOLGEN ENERGY PVT LTD")</f>
        <v>SOLGEN ENERGY PVT LTD</v>
      </c>
      <c r="H1012">
        <f ca="1">IFERROR(__xludf.DUMMYFUNCTION("""COMPUTED_VALUE"""),42)</f>
        <v>42</v>
      </c>
      <c r="I1012" s="4">
        <f ca="1">IFERROR(__xludf.DUMMYFUNCTION("""COMPUTED_VALUE"""),43270)</f>
        <v>43270</v>
      </c>
      <c r="J1012">
        <f ca="1">IFERROR(__xludf.DUMMYFUNCTION("""COMPUTED_VALUE"""),10)</f>
        <v>10</v>
      </c>
      <c r="K1012">
        <f ca="1">IFERROR(__xludf.DUMMYFUNCTION("""COMPUTED_VALUE"""),1166331000033)</f>
        <v>1166331000033</v>
      </c>
      <c r="L1012" t="str">
        <f ca="1">IFERROR(__xludf.DUMMYFUNCTION("""COMPUTED_VALUE"""),"RAMANATTUKARA")</f>
        <v>RAMANATTUKARA</v>
      </c>
      <c r="M1012" t="str">
        <f ca="1">IFERROR(__xludf.DUMMYFUNCTION("""COMPUTED_VALUE"""),"I Accept")</f>
        <v>I Accept</v>
      </c>
      <c r="N1012" s="4">
        <f ca="1">IFERROR(__xludf.DUMMYFUNCTION("""COMPUTED_VALUE"""),43229)</f>
        <v>43229</v>
      </c>
      <c r="O1012" s="4">
        <f ca="1">IFERROR(__xludf.DUMMYFUNCTION("""COMPUTED_VALUE"""),43229)</f>
        <v>43229</v>
      </c>
      <c r="P1012">
        <f ca="1">IFERROR(__xludf.DUMMYFUNCTION("""COMPUTED_VALUE"""),10)</f>
        <v>10</v>
      </c>
      <c r="Q1012" t="str">
        <f ca="1">IFERROR(__xludf.DUMMYFUNCTION("""COMPUTED_VALUE"""),"jose.dilip@gmail.com")</f>
        <v>jose.dilip@gmail.com</v>
      </c>
      <c r="R1012" s="2" t="s">
        <v>3426</v>
      </c>
    </row>
    <row r="1013" spans="1:18" ht="13" x14ac:dyDescent="0.15">
      <c r="A1013" s="3">
        <f ca="1">IFERROR(__xludf.DUMMYFUNCTION("""COMPUTED_VALUE"""),43273.6635604282)</f>
        <v>43273.663560428198</v>
      </c>
      <c r="B1013" t="str">
        <f ca="1">IFERROR(__xludf.DUMMYFUNCTION("""COMPUTED_VALUE"""),"nair.sashidharan55@gmail.com")</f>
        <v>nair.sashidharan55@gmail.com</v>
      </c>
      <c r="C1013">
        <f ca="1">IFERROR(__xludf.DUMMYFUNCTION("""COMPUTED_VALUE"""),1197)</f>
        <v>1197</v>
      </c>
      <c r="D1013" t="str">
        <f ca="1">IFERROR(__xludf.DUMMYFUNCTION("""COMPUTED_VALUE"""),"kumari b menon")</f>
        <v>kumari b menon</v>
      </c>
      <c r="E1013">
        <f ca="1">IFERROR(__xludf.DUMMYFUNCTION("""COMPUTED_VALUE"""),9400165965)</f>
        <v>9400165965</v>
      </c>
      <c r="F1013" t="str">
        <f ca="1">IFERROR(__xludf.DUMMYFUNCTION("""COMPUTED_VALUE"""),"Palakkad")</f>
        <v>Palakkad</v>
      </c>
      <c r="G1013" t="str">
        <f ca="1">IFERROR(__xludf.DUMMYFUNCTION("""COMPUTED_VALUE"""),"TATA POWER SOLAR SYSTEM LTD")</f>
        <v>TATA POWER SOLAR SYSTEM LTD</v>
      </c>
      <c r="H1013">
        <f ca="1">IFERROR(__xludf.DUMMYFUNCTION("""COMPUTED_VALUE"""),20)</f>
        <v>20</v>
      </c>
      <c r="I1013" s="4">
        <f ca="1">IFERROR(__xludf.DUMMYFUNCTION("""COMPUTED_VALUE"""),43238)</f>
        <v>43238</v>
      </c>
      <c r="J1013">
        <f ca="1">IFERROR(__xludf.DUMMYFUNCTION("""COMPUTED_VALUE"""),3)</f>
        <v>3</v>
      </c>
      <c r="K1013">
        <f ca="1">IFERROR(__xludf.DUMMYFUNCTION("""COMPUTED_VALUE"""),1165359005735)</f>
        <v>1165359005735</v>
      </c>
      <c r="L1013" t="str">
        <f ca="1">IFERROR(__xludf.DUMMYFUNCTION("""COMPUTED_VALUE"""),"shoranur")</f>
        <v>shoranur</v>
      </c>
      <c r="M1013" t="str">
        <f ca="1">IFERROR(__xludf.DUMMYFUNCTION("""COMPUTED_VALUE"""),"I Accept")</f>
        <v>I Accept</v>
      </c>
      <c r="N1013" s="4">
        <f ca="1">IFERROR(__xludf.DUMMYFUNCTION("""COMPUTED_VALUE"""),43245)</f>
        <v>43245</v>
      </c>
      <c r="O1013" s="4">
        <f ca="1">IFERROR(__xludf.DUMMYFUNCTION("""COMPUTED_VALUE"""),43245)</f>
        <v>43245</v>
      </c>
      <c r="P1013">
        <f ca="1">IFERROR(__xludf.DUMMYFUNCTION("""COMPUTED_VALUE"""),3)</f>
        <v>3</v>
      </c>
      <c r="Q1013" t="str">
        <f ca="1">IFERROR(__xludf.DUMMYFUNCTION("""COMPUTED_VALUE"""),"nair.sashidharan55@gmail.com")</f>
        <v>nair.sashidharan55@gmail.com</v>
      </c>
      <c r="R1013" s="2" t="s">
        <v>3427</v>
      </c>
    </row>
    <row r="1014" spans="1:18" ht="13" x14ac:dyDescent="0.15">
      <c r="A1014" s="3">
        <f ca="1">IFERROR(__xludf.DUMMYFUNCTION("""COMPUTED_VALUE"""),43274.4923248148)</f>
        <v>43274.492324814797</v>
      </c>
      <c r="B1014" t="str">
        <f ca="1">IFERROR(__xludf.DUMMYFUNCTION("""COMPUTED_VALUE"""),"jins_mathew2001@yahoo.com")</f>
        <v>jins_mathew2001@yahoo.com</v>
      </c>
      <c r="C1014">
        <f ca="1">IFERROR(__xludf.DUMMYFUNCTION("""COMPUTED_VALUE"""),746)</f>
        <v>746</v>
      </c>
      <c r="D1014" t="str">
        <f ca="1">IFERROR(__xludf.DUMMYFUNCTION("""COMPUTED_VALUE"""),"jins mathew")</f>
        <v>jins mathew</v>
      </c>
      <c r="E1014">
        <f ca="1">IFERROR(__xludf.DUMMYFUNCTION("""COMPUTED_VALUE"""),9895757903)</f>
        <v>9895757903</v>
      </c>
      <c r="F1014" t="str">
        <f ca="1">IFERROR(__xludf.DUMMYFUNCTION("""COMPUTED_VALUE"""),"Palakkad")</f>
        <v>Palakkad</v>
      </c>
      <c r="G1014" t="str">
        <f ca="1">IFERROR(__xludf.DUMMYFUNCTION("""COMPUTED_VALUE"""),"siret solar pvt ltd")</f>
        <v>siret solar pvt ltd</v>
      </c>
      <c r="H1014">
        <f ca="1">IFERROR(__xludf.DUMMYFUNCTION("""COMPUTED_VALUE"""),21)</f>
        <v>21</v>
      </c>
      <c r="I1014" s="4">
        <f ca="1">IFERROR(__xludf.DUMMYFUNCTION("""COMPUTED_VALUE"""),43273)</f>
        <v>43273</v>
      </c>
      <c r="J1014">
        <f ca="1">IFERROR(__xludf.DUMMYFUNCTION("""COMPUTED_VALUE"""),2)</f>
        <v>2</v>
      </c>
      <c r="K1014">
        <f ca="1">IFERROR(__xludf.DUMMYFUNCTION("""COMPUTED_VALUE"""),1165295010865)</f>
        <v>1165295010865</v>
      </c>
      <c r="L1014" t="str">
        <f ca="1">IFERROR(__xludf.DUMMYFUNCTION("""COMPUTED_VALUE"""),"marutharoad")</f>
        <v>marutharoad</v>
      </c>
      <c r="M1014" t="str">
        <f ca="1">IFERROR(__xludf.DUMMYFUNCTION("""COMPUTED_VALUE"""),"I Accept")</f>
        <v>I Accept</v>
      </c>
      <c r="N1014" s="4">
        <f ca="1">IFERROR(__xludf.DUMMYFUNCTION("""COMPUTED_VALUE"""),43272)</f>
        <v>43272</v>
      </c>
      <c r="O1014" s="4">
        <f ca="1">IFERROR(__xludf.DUMMYFUNCTION("""COMPUTED_VALUE"""),43272)</f>
        <v>43272</v>
      </c>
      <c r="P1014">
        <f ca="1">IFERROR(__xludf.DUMMYFUNCTION("""COMPUTED_VALUE"""),2)</f>
        <v>2</v>
      </c>
      <c r="Q1014" t="str">
        <f ca="1">IFERROR(__xludf.DUMMYFUNCTION("""COMPUTED_VALUE"""),"jins_mathew2001@yahoo.com")</f>
        <v>jins_mathew2001@yahoo.com</v>
      </c>
      <c r="R1014" s="2" t="s">
        <v>3428</v>
      </c>
    </row>
    <row r="1015" spans="1:18" ht="13" x14ac:dyDescent="0.15">
      <c r="A1015" s="3">
        <f ca="1">IFERROR(__xludf.DUMMYFUNCTION("""COMPUTED_VALUE"""),43274.54399978)</f>
        <v>43274.543999779999</v>
      </c>
      <c r="B1015" t="str">
        <f ca="1">IFERROR(__xludf.DUMMYFUNCTION("""COMPUTED_VALUE"""),"info@solartechind.com")</f>
        <v>info@solartechind.com</v>
      </c>
      <c r="C1015">
        <f ca="1">IFERROR(__xludf.DUMMYFUNCTION("""COMPUTED_VALUE"""),1036)</f>
        <v>1036</v>
      </c>
      <c r="D1015" t="str">
        <f ca="1">IFERROR(__xludf.DUMMYFUNCTION("""COMPUTED_VALUE"""),"P J Renu")</f>
        <v>P J Renu</v>
      </c>
      <c r="E1015">
        <f ca="1">IFERROR(__xludf.DUMMYFUNCTION("""COMPUTED_VALUE"""),9387707733)</f>
        <v>9387707733</v>
      </c>
      <c r="F1015" t="str">
        <f ca="1">IFERROR(__xludf.DUMMYFUNCTION("""COMPUTED_VALUE"""),"Thrissur")</f>
        <v>Thrissur</v>
      </c>
      <c r="G1015" t="str">
        <f ca="1">IFERROR(__xludf.DUMMYFUNCTION("""COMPUTED_VALUE"""),"SOLARTECH")</f>
        <v>SOLARTECH</v>
      </c>
      <c r="H1015">
        <f ca="1">IFERROR(__xludf.DUMMYFUNCTION("""COMPUTED_VALUE"""),4)</f>
        <v>4</v>
      </c>
      <c r="I1015" s="4">
        <f ca="1">IFERROR(__xludf.DUMMYFUNCTION("""COMPUTED_VALUE"""),43256)</f>
        <v>43256</v>
      </c>
      <c r="J1015">
        <f ca="1">IFERROR(__xludf.DUMMYFUNCTION("""COMPUTED_VALUE"""),3)</f>
        <v>3</v>
      </c>
      <c r="K1015">
        <f ca="1">IFERROR(__xludf.DUMMYFUNCTION("""COMPUTED_VALUE"""),9122)</f>
        <v>9122</v>
      </c>
      <c r="L1015" t="str">
        <f ca="1">IFERROR(__xludf.DUMMYFUNCTION("""COMPUTED_VALUE"""),"D1")</f>
        <v>D1</v>
      </c>
      <c r="M1015" t="str">
        <f ca="1">IFERROR(__xludf.DUMMYFUNCTION("""COMPUTED_VALUE"""),"I Accept")</f>
        <v>I Accept</v>
      </c>
      <c r="N1015" s="4">
        <f ca="1">IFERROR(__xludf.DUMMYFUNCTION("""COMPUTED_VALUE"""),43238)</f>
        <v>43238</v>
      </c>
      <c r="O1015" s="4">
        <f ca="1">IFERROR(__xludf.DUMMYFUNCTION("""COMPUTED_VALUE"""),43238)</f>
        <v>43238</v>
      </c>
      <c r="P1015">
        <f ca="1">IFERROR(__xludf.DUMMYFUNCTION("""COMPUTED_VALUE"""),3)</f>
        <v>3</v>
      </c>
      <c r="Q1015" t="str">
        <f ca="1">IFERROR(__xludf.DUMMYFUNCTION("""COMPUTED_VALUE"""),"info@solartechind.com")</f>
        <v>info@solartechind.com</v>
      </c>
      <c r="R1015" s="2" t="s">
        <v>3429</v>
      </c>
    </row>
    <row r="1016" spans="1:18" ht="13" x14ac:dyDescent="0.15">
      <c r="A1016" s="3">
        <f ca="1">IFERROR(__xludf.DUMMYFUNCTION("""COMPUTED_VALUE"""),43274.7384667708)</f>
        <v>43274.738466770803</v>
      </c>
      <c r="B1016" t="str">
        <f ca="1">IFERROR(__xludf.DUMMYFUNCTION("""COMPUTED_VALUE"""),"jose.dilip@gmail.com")</f>
        <v>jose.dilip@gmail.com</v>
      </c>
      <c r="C1016">
        <f ca="1">IFERROR(__xludf.DUMMYFUNCTION("""COMPUTED_VALUE"""),920)</f>
        <v>920</v>
      </c>
      <c r="D1016" t="str">
        <f ca="1">IFERROR(__xludf.DUMMYFUNCTION("""COMPUTED_VALUE"""),"ABDUL GAFOOR")</f>
        <v>ABDUL GAFOOR</v>
      </c>
      <c r="E1016">
        <f ca="1">IFERROR(__xludf.DUMMYFUNCTION("""COMPUTED_VALUE"""),8137874406)</f>
        <v>8137874406</v>
      </c>
      <c r="F1016" t="str">
        <f ca="1">IFERROR(__xludf.DUMMYFUNCTION("""COMPUTED_VALUE"""),"Kozhikode")</f>
        <v>Kozhikode</v>
      </c>
      <c r="G1016" t="str">
        <f ca="1">IFERROR(__xludf.DUMMYFUNCTION("""COMPUTED_VALUE"""),"SOLGEN ENERGY PVT LTD")</f>
        <v>SOLGEN ENERGY PVT LTD</v>
      </c>
      <c r="H1016">
        <f ca="1">IFERROR(__xludf.DUMMYFUNCTION("""COMPUTED_VALUE"""),42)</f>
        <v>42</v>
      </c>
      <c r="I1016" s="4">
        <f ca="1">IFERROR(__xludf.DUMMYFUNCTION("""COMPUTED_VALUE"""),43253)</f>
        <v>43253</v>
      </c>
      <c r="J1016">
        <f ca="1">IFERROR(__xludf.DUMMYFUNCTION("""COMPUTED_VALUE"""),2)</f>
        <v>2</v>
      </c>
      <c r="K1016">
        <f ca="1">IFERROR(__xludf.DUMMYFUNCTION("""COMPUTED_VALUE"""),1166113028959)</f>
        <v>1166113028959</v>
      </c>
      <c r="L1016" t="str">
        <f ca="1">IFERROR(__xludf.DUMMYFUNCTION("""COMPUTED_VALUE"""),"KODUVALLY")</f>
        <v>KODUVALLY</v>
      </c>
      <c r="M1016" t="str">
        <f ca="1">IFERROR(__xludf.DUMMYFUNCTION("""COMPUTED_VALUE"""),"I Accept")</f>
        <v>I Accept</v>
      </c>
      <c r="N1016" s="4">
        <f ca="1">IFERROR(__xludf.DUMMYFUNCTION("""COMPUTED_VALUE"""),43249)</f>
        <v>43249</v>
      </c>
      <c r="O1016" s="4">
        <f ca="1">IFERROR(__xludf.DUMMYFUNCTION("""COMPUTED_VALUE"""),43249)</f>
        <v>43249</v>
      </c>
      <c r="P1016">
        <f ca="1">IFERROR(__xludf.DUMMYFUNCTION("""COMPUTED_VALUE"""),2)</f>
        <v>2</v>
      </c>
      <c r="Q1016" t="str">
        <f ca="1">IFERROR(__xludf.DUMMYFUNCTION("""COMPUTED_VALUE"""),"jose.dilip@gmail.com")</f>
        <v>jose.dilip@gmail.com</v>
      </c>
      <c r="R1016" s="2" t="s">
        <v>3430</v>
      </c>
    </row>
    <row r="1017" spans="1:18" ht="13" x14ac:dyDescent="0.15">
      <c r="A1017" s="3">
        <f ca="1">IFERROR(__xludf.DUMMYFUNCTION("""COMPUTED_VALUE"""),43274.740604074)</f>
        <v>43274.740604074002</v>
      </c>
      <c r="B1017" t="str">
        <f ca="1">IFERROR(__xludf.DUMMYFUNCTION("""COMPUTED_VALUE"""),"jose.dilip@gmail.com")</f>
        <v>jose.dilip@gmail.com</v>
      </c>
      <c r="C1017">
        <f ca="1">IFERROR(__xludf.DUMMYFUNCTION("""COMPUTED_VALUE"""),613)</f>
        <v>613</v>
      </c>
      <c r="D1017" t="str">
        <f ca="1">IFERROR(__xludf.DUMMYFUNCTION("""COMPUTED_VALUE"""),"AJAY VINOD")</f>
        <v>AJAY VINOD</v>
      </c>
      <c r="E1017">
        <f ca="1">IFERROR(__xludf.DUMMYFUNCTION("""COMPUTED_VALUE"""),8137874406)</f>
        <v>8137874406</v>
      </c>
      <c r="F1017" t="str">
        <f ca="1">IFERROR(__xludf.DUMMYFUNCTION("""COMPUTED_VALUE"""),"Kozhikode")</f>
        <v>Kozhikode</v>
      </c>
      <c r="G1017" t="str">
        <f ca="1">IFERROR(__xludf.DUMMYFUNCTION("""COMPUTED_VALUE"""),"SOLGEN ENERGY PVT LTD")</f>
        <v>SOLGEN ENERGY PVT LTD</v>
      </c>
      <c r="H1017">
        <f ca="1">IFERROR(__xludf.DUMMYFUNCTION("""COMPUTED_VALUE"""),42)</f>
        <v>42</v>
      </c>
      <c r="I1017" s="4">
        <f ca="1">IFERROR(__xludf.DUMMYFUNCTION("""COMPUTED_VALUE"""),43196)</f>
        <v>43196</v>
      </c>
      <c r="J1017">
        <f ca="1">IFERROR(__xludf.DUMMYFUNCTION("""COMPUTED_VALUE"""),3)</f>
        <v>3</v>
      </c>
      <c r="K1017">
        <f ca="1">IFERROR(__xludf.DUMMYFUNCTION("""COMPUTED_VALUE"""),1167440018242)</f>
        <v>1167440018242</v>
      </c>
      <c r="L1017" t="str">
        <f ca="1">IFERROR(__xludf.DUMMYFUNCTION("""COMPUTED_VALUE"""),"CHELANNUR")</f>
        <v>CHELANNUR</v>
      </c>
      <c r="M1017" t="str">
        <f ca="1">IFERROR(__xludf.DUMMYFUNCTION("""COMPUTED_VALUE"""),"I Accept")</f>
        <v>I Accept</v>
      </c>
      <c r="N1017" s="4">
        <f ca="1">IFERROR(__xludf.DUMMYFUNCTION("""COMPUTED_VALUE"""),43274)</f>
        <v>43274</v>
      </c>
      <c r="O1017" s="4">
        <f ca="1">IFERROR(__xludf.DUMMYFUNCTION("""COMPUTED_VALUE"""),43274)</f>
        <v>43274</v>
      </c>
      <c r="P1017">
        <f ca="1">IFERROR(__xludf.DUMMYFUNCTION("""COMPUTED_VALUE"""),3)</f>
        <v>3</v>
      </c>
      <c r="Q1017" t="str">
        <f ca="1">IFERROR(__xludf.DUMMYFUNCTION("""COMPUTED_VALUE"""),"jose.dilip@gmail.com")</f>
        <v>jose.dilip@gmail.com</v>
      </c>
      <c r="R1017" s="2" t="s">
        <v>3431</v>
      </c>
    </row>
    <row r="1018" spans="1:18" ht="13" x14ac:dyDescent="0.15">
      <c r="A1018" s="3">
        <f ca="1">IFERROR(__xludf.DUMMYFUNCTION("""COMPUTED_VALUE"""),43274.7455405092)</f>
        <v>43274.745540509197</v>
      </c>
      <c r="B1018" t="str">
        <f ca="1">IFERROR(__xludf.DUMMYFUNCTION("""COMPUTED_VALUE"""),"jose.dilip@gmail.com")</f>
        <v>jose.dilip@gmail.com</v>
      </c>
      <c r="C1018">
        <f ca="1">IFERROR(__xludf.DUMMYFUNCTION("""COMPUTED_VALUE"""),1141)</f>
        <v>1141</v>
      </c>
      <c r="D1018" t="str">
        <f ca="1">IFERROR(__xludf.DUMMYFUNCTION("""COMPUTED_VALUE"""),"THE PRINCIPAL ,GRACE PUBLIC SCHOOL")</f>
        <v>THE PRINCIPAL ,GRACE PUBLIC SCHOOL</v>
      </c>
      <c r="E1018">
        <f ca="1">IFERROR(__xludf.DUMMYFUNCTION("""COMPUTED_VALUE"""),8137874406)</f>
        <v>8137874406</v>
      </c>
      <c r="F1018" t="str">
        <f ca="1">IFERROR(__xludf.DUMMYFUNCTION("""COMPUTED_VALUE"""),"Malappuram")</f>
        <v>Malappuram</v>
      </c>
      <c r="G1018" t="str">
        <f ca="1">IFERROR(__xludf.DUMMYFUNCTION("""COMPUTED_VALUE"""),"SOLGEN ENERGY PVT LTD")</f>
        <v>SOLGEN ENERGY PVT LTD</v>
      </c>
      <c r="H1018">
        <f ca="1">IFERROR(__xludf.DUMMYFUNCTION("""COMPUTED_VALUE"""),42)</f>
        <v>42</v>
      </c>
      <c r="I1018" s="4">
        <f ca="1">IFERROR(__xludf.DUMMYFUNCTION("""COMPUTED_VALUE"""),43218)</f>
        <v>43218</v>
      </c>
      <c r="J1018">
        <f ca="1">IFERROR(__xludf.DUMMYFUNCTION("""COMPUTED_VALUE"""),2)</f>
        <v>2</v>
      </c>
      <c r="K1018">
        <f ca="1">IFERROR(__xludf.DUMMYFUNCTION("""COMPUTED_VALUE"""),1167706012861)</f>
        <v>1167706012861</v>
      </c>
      <c r="L1018" t="str">
        <f ca="1">IFERROR(__xludf.DUMMYFUNCTION("""COMPUTED_VALUE"""),"THIRUVAALI")</f>
        <v>THIRUVAALI</v>
      </c>
      <c r="M1018" t="str">
        <f ca="1">IFERROR(__xludf.DUMMYFUNCTION("""COMPUTED_VALUE"""),"I Accept")</f>
        <v>I Accept</v>
      </c>
      <c r="N1018" s="4">
        <f ca="1">IFERROR(__xludf.DUMMYFUNCTION("""COMPUTED_VALUE"""),43216)</f>
        <v>43216</v>
      </c>
      <c r="O1018" s="4">
        <f ca="1">IFERROR(__xludf.DUMMYFUNCTION("""COMPUTED_VALUE"""),43216)</f>
        <v>43216</v>
      </c>
      <c r="P1018">
        <f ca="1">IFERROR(__xludf.DUMMYFUNCTION("""COMPUTED_VALUE"""),2)</f>
        <v>2</v>
      </c>
      <c r="Q1018" t="str">
        <f ca="1">IFERROR(__xludf.DUMMYFUNCTION("""COMPUTED_VALUE"""),"jose.dilip@gmail.com")</f>
        <v>jose.dilip@gmail.com</v>
      </c>
      <c r="R1018" s="2" t="s">
        <v>3432</v>
      </c>
    </row>
    <row r="1019" spans="1:18" ht="13" x14ac:dyDescent="0.15">
      <c r="A1019" s="3">
        <f ca="1">IFERROR(__xludf.DUMMYFUNCTION("""COMPUTED_VALUE"""),43274.7643720717)</f>
        <v>43274.764372071702</v>
      </c>
      <c r="B1019" t="str">
        <f ca="1">IFERROR(__xludf.DUMMYFUNCTION("""COMPUTED_VALUE"""),"jose.dilip@gmail.com")</f>
        <v>jose.dilip@gmail.com</v>
      </c>
      <c r="C1019">
        <f ca="1">IFERROR(__xludf.DUMMYFUNCTION("""COMPUTED_VALUE"""),604)</f>
        <v>604</v>
      </c>
      <c r="D1019" t="str">
        <f ca="1">IFERROR(__xludf.DUMMYFUNCTION("""COMPUTED_VALUE"""),"VISWANATHAN V P")</f>
        <v>VISWANATHAN V P</v>
      </c>
      <c r="E1019">
        <f ca="1">IFERROR(__xludf.DUMMYFUNCTION("""COMPUTED_VALUE"""),8131874406)</f>
        <v>8131874406</v>
      </c>
      <c r="F1019" t="str">
        <f ca="1">IFERROR(__xludf.DUMMYFUNCTION("""COMPUTED_VALUE"""),"Kozhikode")</f>
        <v>Kozhikode</v>
      </c>
      <c r="G1019" t="str">
        <f ca="1">IFERROR(__xludf.DUMMYFUNCTION("""COMPUTED_VALUE"""),"SOLGEN ENERGY PVT LTD")</f>
        <v>SOLGEN ENERGY PVT LTD</v>
      </c>
      <c r="H1019">
        <f ca="1">IFERROR(__xludf.DUMMYFUNCTION("""COMPUTED_VALUE"""),42)</f>
        <v>42</v>
      </c>
      <c r="I1019" s="4">
        <f ca="1">IFERROR(__xludf.DUMMYFUNCTION("""COMPUTED_VALUE"""),43197)</f>
        <v>43197</v>
      </c>
      <c r="J1019">
        <f ca="1">IFERROR(__xludf.DUMMYFUNCTION("""COMPUTED_VALUE"""),3)</f>
        <v>3</v>
      </c>
      <c r="K1019">
        <f ca="1">IFERROR(__xludf.DUMMYFUNCTION("""COMPUTED_VALUE"""),1165976000424)</f>
        <v>1165976000424</v>
      </c>
      <c r="L1019" t="str">
        <f ca="1">IFERROR(__xludf.DUMMYFUNCTION("""COMPUTED_VALUE"""),"POTTAMMAL")</f>
        <v>POTTAMMAL</v>
      </c>
      <c r="M1019" t="str">
        <f ca="1">IFERROR(__xludf.DUMMYFUNCTION("""COMPUTED_VALUE"""),"I Accept")</f>
        <v>I Accept</v>
      </c>
      <c r="N1019" s="4">
        <f ca="1">IFERROR(__xludf.DUMMYFUNCTION("""COMPUTED_VALUE"""),43214)</f>
        <v>43214</v>
      </c>
      <c r="O1019" s="4">
        <f ca="1">IFERROR(__xludf.DUMMYFUNCTION("""COMPUTED_VALUE"""),43214)</f>
        <v>43214</v>
      </c>
      <c r="P1019">
        <f ca="1">IFERROR(__xludf.DUMMYFUNCTION("""COMPUTED_VALUE"""),3)</f>
        <v>3</v>
      </c>
      <c r="Q1019" t="str">
        <f ca="1">IFERROR(__xludf.DUMMYFUNCTION("""COMPUTED_VALUE"""),"jose.dilip@gmail.com")</f>
        <v>jose.dilip@gmail.com</v>
      </c>
      <c r="R1019" s="2" t="s">
        <v>3433</v>
      </c>
    </row>
    <row r="1020" spans="1:18" ht="13" x14ac:dyDescent="0.15">
      <c r="A1020" s="3">
        <f ca="1">IFERROR(__xludf.DUMMYFUNCTION("""COMPUTED_VALUE"""),43278.5188652314)</f>
        <v>43278.518865231403</v>
      </c>
      <c r="B1020" t="str">
        <f ca="1">IFERROR(__xludf.DUMMYFUNCTION("""COMPUTED_VALUE"""),"jose.dilip@gmail.com")</f>
        <v>jose.dilip@gmail.com</v>
      </c>
      <c r="C1020">
        <f ca="1">IFERROR(__xludf.DUMMYFUNCTION("""COMPUTED_VALUE"""),548)</f>
        <v>548</v>
      </c>
      <c r="D1020" t="str">
        <f ca="1">IFERROR(__xludf.DUMMYFUNCTION("""COMPUTED_VALUE"""),"sivakumar")</f>
        <v>sivakumar</v>
      </c>
      <c r="E1020">
        <f ca="1">IFERROR(__xludf.DUMMYFUNCTION("""COMPUTED_VALUE"""),8137874406)</f>
        <v>8137874406</v>
      </c>
      <c r="F1020" t="str">
        <f ca="1">IFERROR(__xludf.DUMMYFUNCTION("""COMPUTED_VALUE"""),"Thrissur")</f>
        <v>Thrissur</v>
      </c>
      <c r="G1020" t="str">
        <f ca="1">IFERROR(__xludf.DUMMYFUNCTION("""COMPUTED_VALUE"""),"solgen energy pvt ltd")</f>
        <v>solgen energy pvt ltd</v>
      </c>
      <c r="H1020">
        <f ca="1">IFERROR(__xludf.DUMMYFUNCTION("""COMPUTED_VALUE"""),42)</f>
        <v>42</v>
      </c>
      <c r="I1020" s="4">
        <f ca="1">IFERROR(__xludf.DUMMYFUNCTION("""COMPUTED_VALUE"""),43200)</f>
        <v>43200</v>
      </c>
      <c r="J1020">
        <f ca="1">IFERROR(__xludf.DUMMYFUNCTION("""COMPUTED_VALUE"""),3)</f>
        <v>3</v>
      </c>
      <c r="K1020">
        <f ca="1">IFERROR(__xludf.DUMMYFUNCTION("""COMPUTED_VALUE"""),6127)</f>
        <v>6127</v>
      </c>
      <c r="L1020" t="str">
        <f ca="1">IFERROR(__xludf.DUMMYFUNCTION("""COMPUTED_VALUE"""),"ollur")</f>
        <v>ollur</v>
      </c>
      <c r="M1020" t="str">
        <f ca="1">IFERROR(__xludf.DUMMYFUNCTION("""COMPUTED_VALUE"""),"I Accept")</f>
        <v>I Accept</v>
      </c>
      <c r="N1020" s="4">
        <f ca="1">IFERROR(__xludf.DUMMYFUNCTION("""COMPUTED_VALUE"""),43217)</f>
        <v>43217</v>
      </c>
      <c r="O1020" s="4">
        <f ca="1">IFERROR(__xludf.DUMMYFUNCTION("""COMPUTED_VALUE"""),43217)</f>
        <v>43217</v>
      </c>
      <c r="P1020">
        <f ca="1">IFERROR(__xludf.DUMMYFUNCTION("""COMPUTED_VALUE"""),3)</f>
        <v>3</v>
      </c>
      <c r="Q1020" t="str">
        <f ca="1">IFERROR(__xludf.DUMMYFUNCTION("""COMPUTED_VALUE"""),"jose.dilip@gmail.com")</f>
        <v>jose.dilip@gmail.com</v>
      </c>
      <c r="R1020" s="2" t="s">
        <v>3434</v>
      </c>
    </row>
    <row r="1021" spans="1:18" ht="13" x14ac:dyDescent="0.15">
      <c r="A1021" s="3">
        <f ca="1">IFERROR(__xludf.DUMMYFUNCTION("""COMPUTED_VALUE"""),43284.5492395138)</f>
        <v>43284.549239513799</v>
      </c>
      <c r="B1021" t="str">
        <f ca="1">IFERROR(__xludf.DUMMYFUNCTION("""COMPUTED_VALUE"""),"fhdrugh@gmail.com")</f>
        <v>fhdrugh@gmail.com</v>
      </c>
      <c r="C1021">
        <f ca="1">IFERROR(__xludf.DUMMYFUNCTION("""COMPUTED_VALUE"""),873)</f>
        <v>873</v>
      </c>
      <c r="D1021" t="str">
        <f ca="1">IFERROR(__xludf.DUMMYFUNCTION("""COMPUTED_VALUE"""),"s.c premkumar")</f>
        <v>s.c premkumar</v>
      </c>
      <c r="E1021">
        <f ca="1">IFERROR(__xludf.DUMMYFUNCTION("""COMPUTED_VALUE"""),9447277418)</f>
        <v>9447277418</v>
      </c>
      <c r="F1021" t="str">
        <f ca="1">IFERROR(__xludf.DUMMYFUNCTION("""COMPUTED_VALUE"""),"Palakkad")</f>
        <v>Palakkad</v>
      </c>
      <c r="G1021" t="str">
        <f ca="1">IFERROR(__xludf.DUMMYFUNCTION("""COMPUTED_VALUE"""),"tata power solar systems ltd")</f>
        <v>tata power solar systems ltd</v>
      </c>
      <c r="H1021">
        <f ca="1">IFERROR(__xludf.DUMMYFUNCTION("""COMPUTED_VALUE"""),20)</f>
        <v>20</v>
      </c>
      <c r="I1021" s="4">
        <f ca="1">IFERROR(__xludf.DUMMYFUNCTION("""COMPUTED_VALUE"""),43258)</f>
        <v>43258</v>
      </c>
      <c r="J1021">
        <f ca="1">IFERROR(__xludf.DUMMYFUNCTION("""COMPUTED_VALUE"""),3)</f>
        <v>3</v>
      </c>
      <c r="K1021">
        <f ca="1">IFERROR(__xludf.DUMMYFUNCTION("""COMPUTED_VALUE"""),1165318014836)</f>
        <v>1165318014836</v>
      </c>
      <c r="L1021" t="str">
        <f ca="1">IFERROR(__xludf.DUMMYFUNCTION("""COMPUTED_VALUE"""),"kalpathy")</f>
        <v>kalpathy</v>
      </c>
      <c r="M1021" t="str">
        <f ca="1">IFERROR(__xludf.DUMMYFUNCTION("""COMPUTED_VALUE"""),"I Accept")</f>
        <v>I Accept</v>
      </c>
      <c r="N1021" s="4">
        <f ca="1">IFERROR(__xludf.DUMMYFUNCTION("""COMPUTED_VALUE"""),43276)</f>
        <v>43276</v>
      </c>
      <c r="O1021" s="4">
        <f ca="1">IFERROR(__xludf.DUMMYFUNCTION("""COMPUTED_VALUE"""),43276)</f>
        <v>43276</v>
      </c>
      <c r="P1021">
        <f ca="1">IFERROR(__xludf.DUMMYFUNCTION("""COMPUTED_VALUE"""),3)</f>
        <v>3</v>
      </c>
      <c r="Q1021" t="str">
        <f ca="1">IFERROR(__xludf.DUMMYFUNCTION("""COMPUTED_VALUE"""),"fhdrugh@gmail.com")</f>
        <v>fhdrugh@gmail.com</v>
      </c>
      <c r="R1021" s="2" t="s">
        <v>3435</v>
      </c>
    </row>
    <row r="1022" spans="1:18" ht="13" x14ac:dyDescent="0.15">
      <c r="A1022" s="3">
        <f ca="1">IFERROR(__xludf.DUMMYFUNCTION("""COMPUTED_VALUE"""),43284.5530745949)</f>
        <v>43284.5530745949</v>
      </c>
      <c r="B1022" t="str">
        <f ca="1">IFERROR(__xludf.DUMMYFUNCTION("""COMPUTED_VALUE"""),"fhdrugh@gmail.com")</f>
        <v>fhdrugh@gmail.com</v>
      </c>
      <c r="C1022">
        <f ca="1">IFERROR(__xludf.DUMMYFUNCTION("""COMPUTED_VALUE"""),872)</f>
        <v>872</v>
      </c>
      <c r="D1022" t="str">
        <f ca="1">IFERROR(__xludf.DUMMYFUNCTION("""COMPUTED_VALUE"""),"o. muralidharan ")</f>
        <v xml:space="preserve">o. muralidharan </v>
      </c>
      <c r="E1022">
        <f ca="1">IFERROR(__xludf.DUMMYFUNCTION("""COMPUTED_VALUE"""),9447624744)</f>
        <v>9447624744</v>
      </c>
      <c r="F1022" t="str">
        <f ca="1">IFERROR(__xludf.DUMMYFUNCTION("""COMPUTED_VALUE"""),"Palakkad")</f>
        <v>Palakkad</v>
      </c>
      <c r="G1022" t="str">
        <f ca="1">IFERROR(__xludf.DUMMYFUNCTION("""COMPUTED_VALUE"""),"tata power solar sysytem ltd")</f>
        <v>tata power solar sysytem ltd</v>
      </c>
      <c r="H1022">
        <f ca="1">IFERROR(__xludf.DUMMYFUNCTION("""COMPUTED_VALUE"""),20)</f>
        <v>20</v>
      </c>
      <c r="I1022" s="4">
        <f ca="1">IFERROR(__xludf.DUMMYFUNCTION("""COMPUTED_VALUE"""),43258)</f>
        <v>43258</v>
      </c>
      <c r="J1022">
        <f ca="1">IFERROR(__xludf.DUMMYFUNCTION("""COMPUTED_VALUE"""),3)</f>
        <v>3</v>
      </c>
      <c r="K1022">
        <f ca="1">IFERROR(__xludf.DUMMYFUNCTION("""COMPUTED_VALUE"""),1165317001827)</f>
        <v>1165317001827</v>
      </c>
      <c r="L1022" t="str">
        <f ca="1">IFERROR(__xludf.DUMMYFUNCTION("""COMPUTED_VALUE"""),"kalpathy")</f>
        <v>kalpathy</v>
      </c>
      <c r="M1022" t="str">
        <f ca="1">IFERROR(__xludf.DUMMYFUNCTION("""COMPUTED_VALUE"""),"I Accept")</f>
        <v>I Accept</v>
      </c>
      <c r="N1022" s="4">
        <f ca="1">IFERROR(__xludf.DUMMYFUNCTION("""COMPUTED_VALUE"""),43276)</f>
        <v>43276</v>
      </c>
      <c r="O1022" s="4">
        <f ca="1">IFERROR(__xludf.DUMMYFUNCTION("""COMPUTED_VALUE"""),43276)</f>
        <v>43276</v>
      </c>
      <c r="P1022">
        <f ca="1">IFERROR(__xludf.DUMMYFUNCTION("""COMPUTED_VALUE"""),3)</f>
        <v>3</v>
      </c>
      <c r="Q1022" t="str">
        <f ca="1">IFERROR(__xludf.DUMMYFUNCTION("""COMPUTED_VALUE"""),"fhdrugh@gmail.com")</f>
        <v>fhdrugh@gmail.com</v>
      </c>
      <c r="R1022" s="2" t="s">
        <v>3436</v>
      </c>
    </row>
    <row r="1023" spans="1:18" ht="13" x14ac:dyDescent="0.15">
      <c r="A1023" s="3">
        <f ca="1">IFERROR(__xludf.DUMMYFUNCTION("""COMPUTED_VALUE"""),43284.5581789351)</f>
        <v>43284.558178935098</v>
      </c>
      <c r="B1023" t="str">
        <f ca="1">IFERROR(__xludf.DUMMYFUNCTION("""COMPUTED_VALUE"""),"nasivaraj@gmail.com")</f>
        <v>nasivaraj@gmail.com</v>
      </c>
      <c r="C1023">
        <f ca="1">IFERROR(__xludf.DUMMYFUNCTION("""COMPUTED_VALUE"""),87)</f>
        <v>87</v>
      </c>
      <c r="D1023" t="str">
        <f ca="1">IFERROR(__xludf.DUMMYFUNCTION("""COMPUTED_VALUE"""),"N.A. SIVARAJ")</f>
        <v>N.A. SIVARAJ</v>
      </c>
      <c r="E1023">
        <f ca="1">IFERROR(__xludf.DUMMYFUNCTION("""COMPUTED_VALUE"""),9496773735)</f>
        <v>9496773735</v>
      </c>
      <c r="F1023" t="str">
        <f ca="1">IFERROR(__xludf.DUMMYFUNCTION("""COMPUTED_VALUE"""),"Palakkad")</f>
        <v>Palakkad</v>
      </c>
      <c r="G1023" t="str">
        <f ca="1">IFERROR(__xludf.DUMMYFUNCTION("""COMPUTED_VALUE"""),"TATA POWER SOLAR SYSTEM LTD")</f>
        <v>TATA POWER SOLAR SYSTEM LTD</v>
      </c>
      <c r="H1023">
        <f ca="1">IFERROR(__xludf.DUMMYFUNCTION("""COMPUTED_VALUE"""),20)</f>
        <v>20</v>
      </c>
      <c r="I1023" s="4">
        <f ca="1">IFERROR(__xludf.DUMMYFUNCTION("""COMPUTED_VALUE"""),43215)</f>
        <v>43215</v>
      </c>
      <c r="J1023">
        <f ca="1">IFERROR(__xludf.DUMMYFUNCTION("""COMPUTED_VALUE"""),5)</f>
        <v>5</v>
      </c>
      <c r="K1023">
        <f ca="1">IFERROR(__xludf.DUMMYFUNCTION("""COMPUTED_VALUE"""),1165314022048)</f>
        <v>1165314022048</v>
      </c>
      <c r="L1023" t="str">
        <f ca="1">IFERROR(__xludf.DUMMYFUNCTION("""COMPUTED_VALUE"""),"KALPATHY")</f>
        <v>KALPATHY</v>
      </c>
      <c r="M1023" t="str">
        <f ca="1">IFERROR(__xludf.DUMMYFUNCTION("""COMPUTED_VALUE"""),"I Accept")</f>
        <v>I Accept</v>
      </c>
      <c r="N1023" s="4">
        <f ca="1">IFERROR(__xludf.DUMMYFUNCTION("""COMPUTED_VALUE"""),43224)</f>
        <v>43224</v>
      </c>
      <c r="O1023" s="4">
        <f ca="1">IFERROR(__xludf.DUMMYFUNCTION("""COMPUTED_VALUE"""),43224)</f>
        <v>43224</v>
      </c>
      <c r="P1023">
        <f ca="1">IFERROR(__xludf.DUMMYFUNCTION("""COMPUTED_VALUE"""),3)</f>
        <v>3</v>
      </c>
      <c r="Q1023" t="str">
        <f ca="1">IFERROR(__xludf.DUMMYFUNCTION("""COMPUTED_VALUE"""),"nasivaraj@gmail.com")</f>
        <v>nasivaraj@gmail.com</v>
      </c>
      <c r="R1023" s="2" t="s">
        <v>3437</v>
      </c>
    </row>
    <row r="1024" spans="1:18" ht="13" x14ac:dyDescent="0.15">
      <c r="A1024" s="3">
        <f ca="1">IFERROR(__xludf.DUMMYFUNCTION("""COMPUTED_VALUE"""),43285.5265523148)</f>
        <v>43285.526552314797</v>
      </c>
      <c r="B1024" t="str">
        <f ca="1">IFERROR(__xludf.DUMMYFUNCTION("""COMPUTED_VALUE"""),"info@solartechind.com")</f>
        <v>info@solartechind.com</v>
      </c>
      <c r="C1024">
        <f ca="1">IFERROR(__xludf.DUMMYFUNCTION("""COMPUTED_VALUE"""),1037)</f>
        <v>1037</v>
      </c>
      <c r="D1024" t="str">
        <f ca="1">IFERROR(__xludf.DUMMYFUNCTION("""COMPUTED_VALUE"""),"A Rajendran Nair")</f>
        <v>A Rajendran Nair</v>
      </c>
      <c r="E1024">
        <f ca="1">IFERROR(__xludf.DUMMYFUNCTION("""COMPUTED_VALUE"""),9387707733)</f>
        <v>9387707733</v>
      </c>
      <c r="F1024" t="str">
        <f ca="1">IFERROR(__xludf.DUMMYFUNCTION("""COMPUTED_VALUE"""),"Thrissur")</f>
        <v>Thrissur</v>
      </c>
      <c r="G1024" t="str">
        <f ca="1">IFERROR(__xludf.DUMMYFUNCTION("""COMPUTED_VALUE"""),"SOLARTECH")</f>
        <v>SOLARTECH</v>
      </c>
      <c r="H1024">
        <f ca="1">IFERROR(__xludf.DUMMYFUNCTION("""COMPUTED_VALUE"""),4)</f>
        <v>4</v>
      </c>
      <c r="I1024" s="4">
        <f ca="1">IFERROR(__xludf.DUMMYFUNCTION("""COMPUTED_VALUE"""),43225)</f>
        <v>43225</v>
      </c>
      <c r="J1024">
        <f ca="1">IFERROR(__xludf.DUMMYFUNCTION("""COMPUTED_VALUE"""),3)</f>
        <v>3</v>
      </c>
      <c r="K1024">
        <f ca="1">IFERROR(__xludf.DUMMYFUNCTION("""COMPUTED_VALUE"""),1156898014822)</f>
        <v>1156898014822</v>
      </c>
      <c r="L1024" t="str">
        <f ca="1">IFERROR(__xludf.DUMMYFUNCTION("""COMPUTED_VALUE"""),"Kandassankadavu")</f>
        <v>Kandassankadavu</v>
      </c>
      <c r="M1024" t="str">
        <f ca="1">IFERROR(__xludf.DUMMYFUNCTION("""COMPUTED_VALUE"""),"I Accept")</f>
        <v>I Accept</v>
      </c>
      <c r="N1024" s="4">
        <f ca="1">IFERROR(__xludf.DUMMYFUNCTION("""COMPUTED_VALUE"""),43199)</f>
        <v>43199</v>
      </c>
      <c r="O1024" s="4">
        <f ca="1">IFERROR(__xludf.DUMMYFUNCTION("""COMPUTED_VALUE"""),43199)</f>
        <v>43199</v>
      </c>
      <c r="P1024">
        <f ca="1">IFERROR(__xludf.DUMMYFUNCTION("""COMPUTED_VALUE"""),3)</f>
        <v>3</v>
      </c>
      <c r="Q1024" t="str">
        <f ca="1">IFERROR(__xludf.DUMMYFUNCTION("""COMPUTED_VALUE"""),"info@solartechind.com")</f>
        <v>info@solartechind.com</v>
      </c>
      <c r="R1024" s="2" t="s">
        <v>3438</v>
      </c>
    </row>
    <row r="1025" spans="1:18" ht="13" x14ac:dyDescent="0.15">
      <c r="A1025" s="3">
        <f ca="1">IFERROR(__xludf.DUMMYFUNCTION("""COMPUTED_VALUE"""),43286.545245081)</f>
        <v>43286.545245080997</v>
      </c>
      <c r="B1025" t="str">
        <f ca="1">IFERROR(__xludf.DUMMYFUNCTION("""COMPUTED_VALUE"""),"info@solartechind.com")</f>
        <v>info@solartechind.com</v>
      </c>
      <c r="C1025">
        <f ca="1">IFERROR(__xludf.DUMMYFUNCTION("""COMPUTED_VALUE"""),233)</f>
        <v>233</v>
      </c>
      <c r="D1025" t="str">
        <f ca="1">IFERROR(__xludf.DUMMYFUNCTION("""COMPUTED_VALUE"""),"PYTHAL C")</f>
        <v>PYTHAL C</v>
      </c>
      <c r="E1025">
        <f ca="1">IFERROR(__xludf.DUMMYFUNCTION("""COMPUTED_VALUE"""),9387707733)</f>
        <v>9387707733</v>
      </c>
      <c r="F1025" t="str">
        <f ca="1">IFERROR(__xludf.DUMMYFUNCTION("""COMPUTED_VALUE"""),"Thrissur")</f>
        <v>Thrissur</v>
      </c>
      <c r="G1025" t="str">
        <f ca="1">IFERROR(__xludf.DUMMYFUNCTION("""COMPUTED_VALUE"""),"SOLARTECH")</f>
        <v>SOLARTECH</v>
      </c>
      <c r="H1025">
        <f ca="1">IFERROR(__xludf.DUMMYFUNCTION("""COMPUTED_VALUE"""),4)</f>
        <v>4</v>
      </c>
      <c r="I1025" s="4">
        <f ca="1">IFERROR(__xludf.DUMMYFUNCTION("""COMPUTED_VALUE"""),43285)</f>
        <v>43285</v>
      </c>
      <c r="J1025">
        <f ca="1">IFERROR(__xludf.DUMMYFUNCTION("""COMPUTED_VALUE"""),5)</f>
        <v>5</v>
      </c>
      <c r="K1025">
        <f ca="1">IFERROR(__xludf.DUMMYFUNCTION("""COMPUTED_VALUE"""),1156758014719)</f>
        <v>1156758014719</v>
      </c>
      <c r="L1025" t="str">
        <f ca="1">IFERROR(__xludf.DUMMYFUNCTION("""COMPUTED_VALUE"""),"Mannuthy")</f>
        <v>Mannuthy</v>
      </c>
      <c r="M1025" t="str">
        <f ca="1">IFERROR(__xludf.DUMMYFUNCTION("""COMPUTED_VALUE"""),"I Accept")</f>
        <v>I Accept</v>
      </c>
      <c r="N1025" s="4">
        <f ca="1">IFERROR(__xludf.DUMMYFUNCTION("""COMPUTED_VALUE"""),43257)</f>
        <v>43257</v>
      </c>
      <c r="O1025" s="4">
        <f ca="1">IFERROR(__xludf.DUMMYFUNCTION("""COMPUTED_VALUE"""),43257)</f>
        <v>43257</v>
      </c>
      <c r="P1025">
        <f ca="1">IFERROR(__xludf.DUMMYFUNCTION("""COMPUTED_VALUE"""),5)</f>
        <v>5</v>
      </c>
      <c r="Q1025" t="str">
        <f ca="1">IFERROR(__xludf.DUMMYFUNCTION("""COMPUTED_VALUE"""),"info@solartechind.com")</f>
        <v>info@solartechind.com</v>
      </c>
      <c r="R1025" s="2" t="s">
        <v>3439</v>
      </c>
    </row>
    <row r="1026" spans="1:18" ht="13" x14ac:dyDescent="0.15">
      <c r="A1026" s="3">
        <f ca="1">IFERROR(__xludf.DUMMYFUNCTION("""COMPUTED_VALUE"""),43298.4696632407)</f>
        <v>43298.469663240699</v>
      </c>
      <c r="B1026" t="str">
        <f ca="1">IFERROR(__xludf.DUMMYFUNCTION("""COMPUTED_VALUE"""),"sooraj4suresh@gmail.com")</f>
        <v>sooraj4suresh@gmail.com</v>
      </c>
      <c r="C1026">
        <f ca="1">IFERROR(__xludf.DUMMYFUNCTION("""COMPUTED_VALUE"""),1011)</f>
        <v>1011</v>
      </c>
      <c r="D1026" t="str">
        <f ca="1">IFERROR(__xludf.DUMMYFUNCTION("""COMPUTED_VALUE"""),"K.R.Rajan")</f>
        <v>K.R.Rajan</v>
      </c>
      <c r="E1026">
        <f ca="1">IFERROR(__xludf.DUMMYFUNCTION("""COMPUTED_VALUE"""),9645233444)</f>
        <v>9645233444</v>
      </c>
      <c r="F1026" t="str">
        <f ca="1">IFERROR(__xludf.DUMMYFUNCTION("""COMPUTED_VALUE"""),"Thrissur")</f>
        <v>Thrissur</v>
      </c>
      <c r="G1026" t="str">
        <f ca="1">IFERROR(__xludf.DUMMYFUNCTION("""COMPUTED_VALUE"""),"Siret Solar PVT LTD")</f>
        <v>Siret Solar PVT LTD</v>
      </c>
      <c r="H1026">
        <f ca="1">IFERROR(__xludf.DUMMYFUNCTION("""COMPUTED_VALUE"""),21)</f>
        <v>21</v>
      </c>
      <c r="I1026" s="4">
        <f ca="1">IFERROR(__xludf.DUMMYFUNCTION("""COMPUTED_VALUE"""),43225)</f>
        <v>43225</v>
      </c>
      <c r="J1026">
        <f ca="1">IFERROR(__xludf.DUMMYFUNCTION("""COMPUTED_VALUE"""),3)</f>
        <v>3</v>
      </c>
      <c r="K1026">
        <f ca="1">IFERROR(__xludf.DUMMYFUNCTION("""COMPUTED_VALUE"""),1156786019763)</f>
        <v>1156786019763</v>
      </c>
      <c r="L1026" t="str">
        <f ca="1">IFERROR(__xludf.DUMMYFUNCTION("""COMPUTED_VALUE"""),"Ayyanthole")</f>
        <v>Ayyanthole</v>
      </c>
      <c r="M1026" t="str">
        <f ca="1">IFERROR(__xludf.DUMMYFUNCTION("""COMPUTED_VALUE"""),"I Accept")</f>
        <v>I Accept</v>
      </c>
      <c r="N1026" s="4">
        <f ca="1">IFERROR(__xludf.DUMMYFUNCTION("""COMPUTED_VALUE"""),43225)</f>
        <v>43225</v>
      </c>
      <c r="O1026" s="4">
        <f ca="1">IFERROR(__xludf.DUMMYFUNCTION("""COMPUTED_VALUE"""),43225)</f>
        <v>43225</v>
      </c>
      <c r="P1026">
        <f ca="1">IFERROR(__xludf.DUMMYFUNCTION("""COMPUTED_VALUE"""),3)</f>
        <v>3</v>
      </c>
      <c r="Q1026" t="str">
        <f ca="1">IFERROR(__xludf.DUMMYFUNCTION("""COMPUTED_VALUE"""),"sooraj4suresh@gmail.com")</f>
        <v>sooraj4suresh@gmail.com</v>
      </c>
      <c r="R1026" s="2" t="s">
        <v>3440</v>
      </c>
    </row>
    <row r="1027" spans="1:18" ht="13" x14ac:dyDescent="0.15">
      <c r="A1027" s="3">
        <f ca="1">IFERROR(__xludf.DUMMYFUNCTION("""COMPUTED_VALUE"""),43298.4741734606)</f>
        <v>43298.4741734606</v>
      </c>
      <c r="B1027" t="str">
        <f ca="1">IFERROR(__xludf.DUMMYFUNCTION("""COMPUTED_VALUE"""),"sooraj4suresh@gmail.com")</f>
        <v>sooraj4suresh@gmail.com</v>
      </c>
      <c r="C1027">
        <f ca="1">IFERROR(__xludf.DUMMYFUNCTION("""COMPUTED_VALUE"""),931)</f>
        <v>931</v>
      </c>
      <c r="D1027" t="str">
        <f ca="1">IFERROR(__xludf.DUMMYFUNCTION("""COMPUTED_VALUE"""),"CMC Mary Matha Provincial House")</f>
        <v>CMC Mary Matha Provincial House</v>
      </c>
      <c r="E1027">
        <f ca="1">IFERROR(__xludf.DUMMYFUNCTION("""COMPUTED_VALUE"""),8289938304)</f>
        <v>8289938304</v>
      </c>
      <c r="F1027" t="str">
        <f ca="1">IFERROR(__xludf.DUMMYFUNCTION("""COMPUTED_VALUE"""),"Ernakulam")</f>
        <v>Ernakulam</v>
      </c>
      <c r="G1027" t="str">
        <f ca="1">IFERROR(__xludf.DUMMYFUNCTION("""COMPUTED_VALUE"""),"Siret Solar PVT LTD")</f>
        <v>Siret Solar PVT LTD</v>
      </c>
      <c r="H1027">
        <f ca="1">IFERROR(__xludf.DUMMYFUNCTION("""COMPUTED_VALUE"""),21)</f>
        <v>21</v>
      </c>
      <c r="I1027" s="4">
        <f ca="1">IFERROR(__xludf.DUMMYFUNCTION("""COMPUTED_VALUE"""),43218)</f>
        <v>43218</v>
      </c>
      <c r="J1027">
        <f ca="1">IFERROR(__xludf.DUMMYFUNCTION("""COMPUTED_VALUE"""),25)</f>
        <v>25</v>
      </c>
      <c r="K1027">
        <f ca="1">IFERROR(__xludf.DUMMYFUNCTION("""COMPUTED_VALUE"""),1155762007036)</f>
        <v>1155762007036</v>
      </c>
      <c r="L1027" t="str">
        <f ca="1">IFERROR(__xludf.DUMMYFUNCTION("""COMPUTED_VALUE"""),"Kalady")</f>
        <v>Kalady</v>
      </c>
      <c r="M1027" t="str">
        <f ca="1">IFERROR(__xludf.DUMMYFUNCTION("""COMPUTED_VALUE"""),"I Accept")</f>
        <v>I Accept</v>
      </c>
      <c r="N1027" s="4">
        <f ca="1">IFERROR(__xludf.DUMMYFUNCTION("""COMPUTED_VALUE"""),43249)</f>
        <v>43249</v>
      </c>
      <c r="O1027" s="4">
        <f ca="1">IFERROR(__xludf.DUMMYFUNCTION("""COMPUTED_VALUE"""),43249)</f>
        <v>43249</v>
      </c>
      <c r="P1027">
        <f ca="1">IFERROR(__xludf.DUMMYFUNCTION("""COMPUTED_VALUE"""),25)</f>
        <v>25</v>
      </c>
      <c r="Q1027" t="str">
        <f ca="1">IFERROR(__xludf.DUMMYFUNCTION("""COMPUTED_VALUE"""),"sooraj4suresh@gmail.com")</f>
        <v>sooraj4suresh@gmail.com</v>
      </c>
      <c r="R1027" s="2" t="s">
        <v>3441</v>
      </c>
    </row>
    <row r="1028" spans="1:18" ht="13" x14ac:dyDescent="0.15">
      <c r="A1028" s="3">
        <f ca="1">IFERROR(__xludf.DUMMYFUNCTION("""COMPUTED_VALUE"""),43300.5552998495)</f>
        <v>43300.555299849497</v>
      </c>
      <c r="B1028" t="str">
        <f ca="1">IFERROR(__xludf.DUMMYFUNCTION("""COMPUTED_VALUE"""),"tpsmalappuram@gmail.com")</f>
        <v>tpsmalappuram@gmail.com</v>
      </c>
      <c r="C1028">
        <f ca="1">IFERROR(__xludf.DUMMYFUNCTION("""COMPUTED_VALUE"""),1263)</f>
        <v>1263</v>
      </c>
      <c r="D1028" t="str">
        <f ca="1">IFERROR(__xludf.DUMMYFUNCTION("""COMPUTED_VALUE"""),"ALI HAJI PK")</f>
        <v>ALI HAJI PK</v>
      </c>
      <c r="E1028">
        <f ca="1">IFERROR(__xludf.DUMMYFUNCTION("""COMPUTED_VALUE"""),9847030301)</f>
        <v>9847030301</v>
      </c>
      <c r="F1028" t="str">
        <f ca="1">IFERROR(__xludf.DUMMYFUNCTION("""COMPUTED_VALUE"""),"Malappuram")</f>
        <v>Malappuram</v>
      </c>
      <c r="G1028" t="str">
        <f ca="1">IFERROR(__xludf.DUMMYFUNCTION("""COMPUTED_VALUE"""),"TATA POWER SOLAR SYSTEMS LTD")</f>
        <v>TATA POWER SOLAR SYSTEMS LTD</v>
      </c>
      <c r="H1028">
        <f ca="1">IFERROR(__xludf.DUMMYFUNCTION("""COMPUTED_VALUE"""),20)</f>
        <v>20</v>
      </c>
      <c r="I1028" s="4">
        <f ca="1">IFERROR(__xludf.DUMMYFUNCTION("""COMPUTED_VALUE"""),43228)</f>
        <v>43228</v>
      </c>
      <c r="J1028">
        <f ca="1">IFERROR(__xludf.DUMMYFUNCTION("""COMPUTED_VALUE"""),3)</f>
        <v>3</v>
      </c>
      <c r="K1028">
        <f ca="1">IFERROR(__xludf.DUMMYFUNCTION("""COMPUTED_VALUE"""),1167096010313)</f>
        <v>1167096010313</v>
      </c>
      <c r="L1028" t="str">
        <f ca="1">IFERROR(__xludf.DUMMYFUNCTION("""COMPUTED_VALUE"""),"OTHUKUNGAL")</f>
        <v>OTHUKUNGAL</v>
      </c>
      <c r="M1028" t="str">
        <f ca="1">IFERROR(__xludf.DUMMYFUNCTION("""COMPUTED_VALUE"""),"I Accept")</f>
        <v>I Accept</v>
      </c>
      <c r="N1028" s="4">
        <f ca="1">IFERROR(__xludf.DUMMYFUNCTION("""COMPUTED_VALUE"""),43227)</f>
        <v>43227</v>
      </c>
      <c r="O1028" s="4">
        <f ca="1">IFERROR(__xludf.DUMMYFUNCTION("""COMPUTED_VALUE"""),43227)</f>
        <v>43227</v>
      </c>
      <c r="P1028">
        <f ca="1">IFERROR(__xludf.DUMMYFUNCTION("""COMPUTED_VALUE"""),3)</f>
        <v>3</v>
      </c>
      <c r="Q1028" t="str">
        <f ca="1">IFERROR(__xludf.DUMMYFUNCTION("""COMPUTED_VALUE"""),"tpsmalappuram@gmail.com")</f>
        <v>tpsmalappuram@gmail.com</v>
      </c>
      <c r="R1028" s="2" t="s">
        <v>3442</v>
      </c>
    </row>
    <row r="1029" spans="1:18" ht="13" x14ac:dyDescent="0.15">
      <c r="A1029" s="3">
        <f ca="1">IFERROR(__xludf.DUMMYFUNCTION("""COMPUTED_VALUE"""),43305.7322358564)</f>
        <v>43305.732235856398</v>
      </c>
      <c r="B1029" t="str">
        <f ca="1">IFERROR(__xludf.DUMMYFUNCTION("""COMPUTED_VALUE"""),"sumi.soura@gmail.com")</f>
        <v>sumi.soura@gmail.com</v>
      </c>
      <c r="C1029">
        <f ca="1">IFERROR(__xludf.DUMMYFUNCTION("""COMPUTED_VALUE"""),1283)</f>
        <v>1283</v>
      </c>
      <c r="D1029" t="str">
        <f ca="1">IFERROR(__xludf.DUMMYFUNCTION("""COMPUTED_VALUE"""),"Nabeesa")</f>
        <v>Nabeesa</v>
      </c>
      <c r="E1029">
        <f ca="1">IFERROR(__xludf.DUMMYFUNCTION("""COMPUTED_VALUE"""),9072626009)</f>
        <v>9072626009</v>
      </c>
      <c r="F1029" t="str">
        <f ca="1">IFERROR(__xludf.DUMMYFUNCTION("""COMPUTED_VALUE"""),"Kasaragod")</f>
        <v>Kasaragod</v>
      </c>
      <c r="G1029" t="str">
        <f ca="1">IFERROR(__xludf.DUMMYFUNCTION("""COMPUTED_VALUE"""),"Soura Natural Energy Solutions India Pvt. Ltd")</f>
        <v>Soura Natural Energy Solutions India Pvt. Ltd</v>
      </c>
      <c r="H1029">
        <f ca="1">IFERROR(__xludf.DUMMYFUNCTION("""COMPUTED_VALUE"""),11)</f>
        <v>11</v>
      </c>
      <c r="I1029" s="4">
        <f ca="1">IFERROR(__xludf.DUMMYFUNCTION("""COMPUTED_VALUE"""),43306)</f>
        <v>43306</v>
      </c>
      <c r="J1029">
        <f ca="1">IFERROR(__xludf.DUMMYFUNCTION("""COMPUTED_VALUE"""),3)</f>
        <v>3</v>
      </c>
      <c r="K1029">
        <f ca="1">IFERROR(__xludf.DUMMYFUNCTION("""COMPUTED_VALUE"""),1166864026789)</f>
        <v>1166864026789</v>
      </c>
      <c r="L1029" t="str">
        <f ca="1">IFERROR(__xludf.DUMMYFUNCTION("""COMPUTED_VALUE"""),"Nellikunnu")</f>
        <v>Nellikunnu</v>
      </c>
      <c r="M1029" t="str">
        <f ca="1">IFERROR(__xludf.DUMMYFUNCTION("""COMPUTED_VALUE"""),"I Accept")</f>
        <v>I Accept</v>
      </c>
      <c r="N1029" s="4">
        <f ca="1">IFERROR(__xludf.DUMMYFUNCTION("""COMPUTED_VALUE"""),43181)</f>
        <v>43181</v>
      </c>
      <c r="O1029" s="4">
        <f ca="1">IFERROR(__xludf.DUMMYFUNCTION("""COMPUTED_VALUE"""),43192)</f>
        <v>43192</v>
      </c>
      <c r="P1029">
        <f ca="1">IFERROR(__xludf.DUMMYFUNCTION("""COMPUTED_VALUE"""),3)</f>
        <v>3</v>
      </c>
      <c r="Q1029" t="str">
        <f ca="1">IFERROR(__xludf.DUMMYFUNCTION("""COMPUTED_VALUE"""),"smitha.soura@gmail.com")</f>
        <v>smitha.soura@gmail.com</v>
      </c>
      <c r="R1029" s="2" t="s">
        <v>3443</v>
      </c>
    </row>
    <row r="1030" spans="1:18" ht="13" x14ac:dyDescent="0.15">
      <c r="A1030" s="3">
        <f ca="1">IFERROR(__xludf.DUMMYFUNCTION("""COMPUTED_VALUE"""),43305.7391213194)</f>
        <v>43305.739121319399</v>
      </c>
      <c r="B1030" t="str">
        <f ca="1">IFERROR(__xludf.DUMMYFUNCTION("""COMPUTED_VALUE"""),"sumi.soura@gmail")</f>
        <v>sumi.soura@gmail</v>
      </c>
      <c r="C1030">
        <f ca="1">IFERROR(__xludf.DUMMYFUNCTION("""COMPUTED_VALUE"""),1284)</f>
        <v>1284</v>
      </c>
      <c r="D1030" t="str">
        <f ca="1">IFERROR(__xludf.DUMMYFUNCTION("""COMPUTED_VALUE"""),"Nazar ")</f>
        <v xml:space="preserve">Nazar </v>
      </c>
      <c r="E1030">
        <f ca="1">IFERROR(__xludf.DUMMYFUNCTION("""COMPUTED_VALUE"""),7594933374)</f>
        <v>7594933374</v>
      </c>
      <c r="F1030" t="str">
        <f ca="1">IFERROR(__xludf.DUMMYFUNCTION("""COMPUTED_VALUE"""),"Thrissur")</f>
        <v>Thrissur</v>
      </c>
      <c r="G1030" t="str">
        <f ca="1">IFERROR(__xludf.DUMMYFUNCTION("""COMPUTED_VALUE"""),"Soura Natural Energy Solutions India Pvt. Ltd.")</f>
        <v>Soura Natural Energy Solutions India Pvt. Ltd.</v>
      </c>
      <c r="H1030">
        <f ca="1">IFERROR(__xludf.DUMMYFUNCTION("""COMPUTED_VALUE"""),11)</f>
        <v>11</v>
      </c>
      <c r="I1030" s="4">
        <f ca="1">IFERROR(__xludf.DUMMYFUNCTION("""COMPUTED_VALUE"""),43215)</f>
        <v>43215</v>
      </c>
      <c r="J1030">
        <f ca="1">IFERROR(__xludf.DUMMYFUNCTION("""COMPUTED_VALUE"""),5)</f>
        <v>5</v>
      </c>
      <c r="K1030">
        <f ca="1">IFERROR(__xludf.DUMMYFUNCTION("""COMPUTED_VALUE"""),1156653009482)</f>
        <v>1156653009482</v>
      </c>
      <c r="L1030" t="str">
        <f ca="1">IFERROR(__xludf.DUMMYFUNCTION("""COMPUTED_VALUE"""),"Eriyad")</f>
        <v>Eriyad</v>
      </c>
      <c r="M1030" t="str">
        <f ca="1">IFERROR(__xludf.DUMMYFUNCTION("""COMPUTED_VALUE"""),"I Accept")</f>
        <v>I Accept</v>
      </c>
      <c r="N1030" s="4">
        <f ca="1">IFERROR(__xludf.DUMMYFUNCTION("""COMPUTED_VALUE"""),43231)</f>
        <v>43231</v>
      </c>
      <c r="O1030" s="4">
        <f ca="1">IFERROR(__xludf.DUMMYFUNCTION("""COMPUTED_VALUE"""),43234)</f>
        <v>43234</v>
      </c>
      <c r="P1030">
        <f ca="1">IFERROR(__xludf.DUMMYFUNCTION("""COMPUTED_VALUE"""),5)</f>
        <v>5</v>
      </c>
      <c r="Q1030" t="str">
        <f ca="1">IFERROR(__xludf.DUMMYFUNCTION("""COMPUTED_VALUE"""),"smitha.soura@gmail.com")</f>
        <v>smitha.soura@gmail.com</v>
      </c>
      <c r="R1030" s="2" t="s">
        <v>3444</v>
      </c>
    </row>
    <row r="1031" spans="1:18" ht="13" x14ac:dyDescent="0.15">
      <c r="A1031" s="3">
        <f ca="1">IFERROR(__xludf.DUMMYFUNCTION("""COMPUTED_VALUE"""),43305.7441303125)</f>
        <v>43305.744130312502</v>
      </c>
      <c r="B1031" t="str">
        <f ca="1">IFERROR(__xludf.DUMMYFUNCTION("""COMPUTED_VALUE"""),"sumi.soura@gmail.com")</f>
        <v>sumi.soura@gmail.com</v>
      </c>
      <c r="C1031">
        <f ca="1">IFERROR(__xludf.DUMMYFUNCTION("""COMPUTED_VALUE"""),1285)</f>
        <v>1285</v>
      </c>
      <c r="D1031" t="str">
        <f ca="1">IFERROR(__xludf.DUMMYFUNCTION("""COMPUTED_VALUE"""),"Soudamini")</f>
        <v>Soudamini</v>
      </c>
      <c r="E1031">
        <f ca="1">IFERROR(__xludf.DUMMYFUNCTION("""COMPUTED_VALUE"""),8138027336)</f>
        <v>8138027336</v>
      </c>
      <c r="F1031" t="str">
        <f ca="1">IFERROR(__xludf.DUMMYFUNCTION("""COMPUTED_VALUE"""),"Palakkad")</f>
        <v>Palakkad</v>
      </c>
      <c r="G1031" t="str">
        <f ca="1">IFERROR(__xludf.DUMMYFUNCTION("""COMPUTED_VALUE"""),"Soura Natural Energy Solutions India Pvt. Ltd")</f>
        <v>Soura Natural Energy Solutions India Pvt. Ltd</v>
      </c>
      <c r="H1031">
        <f ca="1">IFERROR(__xludf.DUMMYFUNCTION("""COMPUTED_VALUE"""),11)</f>
        <v>11</v>
      </c>
      <c r="I1031" s="4">
        <f ca="1">IFERROR(__xludf.DUMMYFUNCTION("""COMPUTED_VALUE"""),43306)</f>
        <v>43306</v>
      </c>
      <c r="J1031">
        <f ca="1">IFERROR(__xludf.DUMMYFUNCTION("""COMPUTED_VALUE"""),3)</f>
        <v>3</v>
      </c>
      <c r="K1031">
        <f ca="1">IFERROR(__xludf.DUMMYFUNCTION("""COMPUTED_VALUE"""),1156484002511)</f>
        <v>1156484002511</v>
      </c>
      <c r="L1031" t="str">
        <f ca="1">IFERROR(__xludf.DUMMYFUNCTION("""COMPUTED_VALUE"""),"Annamanada")</f>
        <v>Annamanada</v>
      </c>
      <c r="M1031" t="str">
        <f ca="1">IFERROR(__xludf.DUMMYFUNCTION("""COMPUTED_VALUE"""),"I Accept")</f>
        <v>I Accept</v>
      </c>
      <c r="N1031" s="4">
        <f ca="1">IFERROR(__xludf.DUMMYFUNCTION("""COMPUTED_VALUE"""),43306)</f>
        <v>43306</v>
      </c>
      <c r="O1031" s="4">
        <f ca="1">IFERROR(__xludf.DUMMYFUNCTION("""COMPUTED_VALUE"""),43306)</f>
        <v>43306</v>
      </c>
      <c r="P1031">
        <f ca="1">IFERROR(__xludf.DUMMYFUNCTION("""COMPUTED_VALUE"""),3)</f>
        <v>3</v>
      </c>
      <c r="Q1031" t="str">
        <f ca="1">IFERROR(__xludf.DUMMYFUNCTION("""COMPUTED_VALUE"""),"smitha.soura@gmail.com")</f>
        <v>smitha.soura@gmail.com</v>
      </c>
      <c r="R1031" s="2" t="s">
        <v>3445</v>
      </c>
    </row>
    <row r="1032" spans="1:18" ht="13" x14ac:dyDescent="0.15">
      <c r="A1032" s="3">
        <f ca="1">IFERROR(__xludf.DUMMYFUNCTION("""COMPUTED_VALUE"""),43306.4237791435)</f>
        <v>43306.423779143501</v>
      </c>
      <c r="B1032" t="str">
        <f ca="1">IFERROR(__xludf.DUMMYFUNCTION("""COMPUTED_VALUE"""),"sumi.soura@gmail.com")</f>
        <v>sumi.soura@gmail.com</v>
      </c>
      <c r="C1032">
        <f ca="1">IFERROR(__xludf.DUMMYFUNCTION("""COMPUTED_VALUE"""),1286)</f>
        <v>1286</v>
      </c>
      <c r="D1032" t="str">
        <f ca="1">IFERROR(__xludf.DUMMYFUNCTION("""COMPUTED_VALUE"""),"Sreedharan")</f>
        <v>Sreedharan</v>
      </c>
      <c r="E1032">
        <f ca="1">IFERROR(__xludf.DUMMYFUNCTION("""COMPUTED_VALUE"""),7594933374)</f>
        <v>7594933374</v>
      </c>
      <c r="F1032" t="str">
        <f ca="1">IFERROR(__xludf.DUMMYFUNCTION("""COMPUTED_VALUE"""),"Ernakulam")</f>
        <v>Ernakulam</v>
      </c>
      <c r="G1032" t="str">
        <f ca="1">IFERROR(__xludf.DUMMYFUNCTION("""COMPUTED_VALUE"""),"Soura Natural Energy Solutions India Pvt. Ltd")</f>
        <v>Soura Natural Energy Solutions India Pvt. Ltd</v>
      </c>
      <c r="H1032">
        <f ca="1">IFERROR(__xludf.DUMMYFUNCTION("""COMPUTED_VALUE"""),11)</f>
        <v>11</v>
      </c>
      <c r="I1032" s="4">
        <f ca="1">IFERROR(__xludf.DUMMYFUNCTION("""COMPUTED_VALUE"""),43306)</f>
        <v>43306</v>
      </c>
      <c r="J1032">
        <f ca="1">IFERROR(__xludf.DUMMYFUNCTION("""COMPUTED_VALUE"""),3)</f>
        <v>3</v>
      </c>
      <c r="K1032">
        <f ca="1">IFERROR(__xludf.DUMMYFUNCTION("""COMPUTED_VALUE"""),1156062002377)</f>
        <v>1156062002377</v>
      </c>
      <c r="L1032" t="str">
        <f ca="1">IFERROR(__xludf.DUMMYFUNCTION("""COMPUTED_VALUE"""),"chennamangalam")</f>
        <v>chennamangalam</v>
      </c>
      <c r="M1032" t="str">
        <f ca="1">IFERROR(__xludf.DUMMYFUNCTION("""COMPUTED_VALUE"""),"I Accept")</f>
        <v>I Accept</v>
      </c>
      <c r="N1032" s="4">
        <f ca="1">IFERROR(__xludf.DUMMYFUNCTION("""COMPUTED_VALUE"""),43306)</f>
        <v>43306</v>
      </c>
      <c r="O1032" s="4">
        <f ca="1">IFERROR(__xludf.DUMMYFUNCTION("""COMPUTED_VALUE"""),43306)</f>
        <v>43306</v>
      </c>
      <c r="P1032">
        <f ca="1">IFERROR(__xludf.DUMMYFUNCTION("""COMPUTED_VALUE"""),3)</f>
        <v>3</v>
      </c>
      <c r="Q1032" t="str">
        <f ca="1">IFERROR(__xludf.DUMMYFUNCTION("""COMPUTED_VALUE"""),"resmi.soura@gmail.com")</f>
        <v>resmi.soura@gmail.com</v>
      </c>
      <c r="R1032" s="2" t="s">
        <v>3446</v>
      </c>
    </row>
    <row r="1033" spans="1:18" ht="13" x14ac:dyDescent="0.15">
      <c r="A1033" s="3">
        <f ca="1">IFERROR(__xludf.DUMMYFUNCTION("""COMPUTED_VALUE"""),43306.4344763657)</f>
        <v>43306.434476365699</v>
      </c>
      <c r="B1033" t="str">
        <f ca="1">IFERROR(__xludf.DUMMYFUNCTION("""COMPUTED_VALUE"""),"sumi.soura@gmail.com")</f>
        <v>sumi.soura@gmail.com</v>
      </c>
      <c r="C1033">
        <f ca="1">IFERROR(__xludf.DUMMYFUNCTION("""COMPUTED_VALUE"""),1287)</f>
        <v>1287</v>
      </c>
      <c r="D1033" t="str">
        <f ca="1">IFERROR(__xludf.DUMMYFUNCTION("""COMPUTED_VALUE""")," Dr.Krishnabhat")</f>
        <v xml:space="preserve"> Dr.Krishnabhat</v>
      </c>
      <c r="E1033">
        <f ca="1">IFERROR(__xludf.DUMMYFUNCTION("""COMPUTED_VALUE"""),7594933374)</f>
        <v>7594933374</v>
      </c>
      <c r="F1033" t="str">
        <f ca="1">IFERROR(__xludf.DUMMYFUNCTION("""COMPUTED_VALUE"""),"Kasaragod")</f>
        <v>Kasaragod</v>
      </c>
      <c r="G1033" t="str">
        <f ca="1">IFERROR(__xludf.DUMMYFUNCTION("""COMPUTED_VALUE"""),"Soura Natural Energy Solutions India Pvt. Ltd")</f>
        <v>Soura Natural Energy Solutions India Pvt. Ltd</v>
      </c>
      <c r="H1033">
        <f ca="1">IFERROR(__xludf.DUMMYFUNCTION("""COMPUTED_VALUE"""),11)</f>
        <v>11</v>
      </c>
      <c r="I1033" s="4">
        <f ca="1">IFERROR(__xludf.DUMMYFUNCTION("""COMPUTED_VALUE"""),43306)</f>
        <v>43306</v>
      </c>
      <c r="J1033">
        <f ca="1">IFERROR(__xludf.DUMMYFUNCTION("""COMPUTED_VALUE"""),5)</f>
        <v>5</v>
      </c>
      <c r="K1033">
        <f ca="1">IFERROR(__xludf.DUMMYFUNCTION("""COMPUTED_VALUE"""),116688300246)</f>
        <v>116688300246</v>
      </c>
      <c r="L1033" t="str">
        <f ca="1">IFERROR(__xludf.DUMMYFUNCTION("""COMPUTED_VALUE"""),"Kasargod")</f>
        <v>Kasargod</v>
      </c>
      <c r="M1033" t="str">
        <f ca="1">IFERROR(__xludf.DUMMYFUNCTION("""COMPUTED_VALUE"""),"I Accept")</f>
        <v>I Accept</v>
      </c>
      <c r="N1033" s="4">
        <f ca="1">IFERROR(__xludf.DUMMYFUNCTION("""COMPUTED_VALUE"""),43306)</f>
        <v>43306</v>
      </c>
      <c r="O1033" s="4">
        <f ca="1">IFERROR(__xludf.DUMMYFUNCTION("""COMPUTED_VALUE"""),43306)</f>
        <v>43306</v>
      </c>
      <c r="P1033">
        <f ca="1">IFERROR(__xludf.DUMMYFUNCTION("""COMPUTED_VALUE"""),5)</f>
        <v>5</v>
      </c>
      <c r="Q1033" t="str">
        <f ca="1">IFERROR(__xludf.DUMMYFUNCTION("""COMPUTED_VALUE"""),"smitha.soura@gmail.com")</f>
        <v>smitha.soura@gmail.com</v>
      </c>
      <c r="R1033" s="2" t="s">
        <v>3447</v>
      </c>
    </row>
    <row r="1034" spans="1:18" ht="13" x14ac:dyDescent="0.15">
      <c r="A1034" s="3">
        <f ca="1">IFERROR(__xludf.DUMMYFUNCTION("""COMPUTED_VALUE"""),43306.4424897685)</f>
        <v>43306.442489768502</v>
      </c>
      <c r="B1034" t="str">
        <f ca="1">IFERROR(__xludf.DUMMYFUNCTION("""COMPUTED_VALUE"""),"resmi.soura@gmail.com")</f>
        <v>resmi.soura@gmail.com</v>
      </c>
      <c r="C1034">
        <f ca="1">IFERROR(__xludf.DUMMYFUNCTION("""COMPUTED_VALUE"""),1288)</f>
        <v>1288</v>
      </c>
      <c r="D1034" s="22" t="str">
        <f ca="1">IFERROR(__xludf.DUMMYFUNCTION("""COMPUTED_VALUE"""),"Shoukathali.KP")</f>
        <v>Shoukathali.KP</v>
      </c>
      <c r="E1034">
        <f ca="1">IFERROR(__xludf.DUMMYFUNCTION("""COMPUTED_VALUE"""),9072626009)</f>
        <v>9072626009</v>
      </c>
      <c r="F1034" t="str">
        <f ca="1">IFERROR(__xludf.DUMMYFUNCTION("""COMPUTED_VALUE"""),"Thrissur")</f>
        <v>Thrissur</v>
      </c>
      <c r="G1034" t="str">
        <f ca="1">IFERROR(__xludf.DUMMYFUNCTION("""COMPUTED_VALUE"""),"Soura Natural Energy Solutions India Pvt. Ltd")</f>
        <v>Soura Natural Energy Solutions India Pvt. Ltd</v>
      </c>
      <c r="H1034">
        <f ca="1">IFERROR(__xludf.DUMMYFUNCTION("""COMPUTED_VALUE"""),11)</f>
        <v>11</v>
      </c>
      <c r="I1034" s="4">
        <f ca="1">IFERROR(__xludf.DUMMYFUNCTION("""COMPUTED_VALUE"""),43306)</f>
        <v>43306</v>
      </c>
      <c r="J1034">
        <f ca="1">IFERROR(__xludf.DUMMYFUNCTION("""COMPUTED_VALUE"""),5)</f>
        <v>5</v>
      </c>
      <c r="K1034">
        <f ca="1">IFERROR(__xludf.DUMMYFUNCTION("""COMPUTED_VALUE"""),1156908000624)</f>
        <v>1156908000624</v>
      </c>
      <c r="L1034" t="str">
        <f ca="1">IFERROR(__xludf.DUMMYFUNCTION("""COMPUTED_VALUE"""),"Vengidangu")</f>
        <v>Vengidangu</v>
      </c>
      <c r="M1034" t="str">
        <f ca="1">IFERROR(__xludf.DUMMYFUNCTION("""COMPUTED_VALUE"""),"I Accept")</f>
        <v>I Accept</v>
      </c>
      <c r="N1034" s="4">
        <f ca="1">IFERROR(__xludf.DUMMYFUNCTION("""COMPUTED_VALUE"""),43306)</f>
        <v>43306</v>
      </c>
      <c r="O1034" s="4">
        <f ca="1">IFERROR(__xludf.DUMMYFUNCTION("""COMPUTED_VALUE"""),43306)</f>
        <v>43306</v>
      </c>
      <c r="P1034">
        <f ca="1">IFERROR(__xludf.DUMMYFUNCTION("""COMPUTED_VALUE"""),5)</f>
        <v>5</v>
      </c>
      <c r="Q1034" t="str">
        <f ca="1">IFERROR(__xludf.DUMMYFUNCTION("""COMPUTED_VALUE"""),"smitha.soura@gmail.com")</f>
        <v>smitha.soura@gmail.com</v>
      </c>
      <c r="R1034" s="2" t="s">
        <v>3448</v>
      </c>
    </row>
    <row r="1035" spans="1:18" ht="13" x14ac:dyDescent="0.15">
      <c r="A1035" s="3">
        <f ca="1">IFERROR(__xludf.DUMMYFUNCTION("""COMPUTED_VALUE"""),43306.4489405555)</f>
        <v>43306.4489405555</v>
      </c>
      <c r="B1035" t="str">
        <f ca="1">IFERROR(__xludf.DUMMYFUNCTION("""COMPUTED_VALUE"""),"resmi.soura@gmail.com")</f>
        <v>resmi.soura@gmail.com</v>
      </c>
      <c r="C1035">
        <f ca="1">IFERROR(__xludf.DUMMYFUNCTION("""COMPUTED_VALUE"""),1289)</f>
        <v>1289</v>
      </c>
      <c r="D1035" t="str">
        <f ca="1">IFERROR(__xludf.DUMMYFUNCTION("""COMPUTED_VALUE"""),"Mohamed  Abdul Rahman")</f>
        <v>Mohamed  Abdul Rahman</v>
      </c>
      <c r="E1035">
        <f ca="1">IFERROR(__xludf.DUMMYFUNCTION("""COMPUTED_VALUE"""),9072626009)</f>
        <v>9072626009</v>
      </c>
      <c r="F1035" t="str">
        <f ca="1">IFERROR(__xludf.DUMMYFUNCTION("""COMPUTED_VALUE"""),"Thrissur")</f>
        <v>Thrissur</v>
      </c>
      <c r="G1035" t="str">
        <f ca="1">IFERROR(__xludf.DUMMYFUNCTION("""COMPUTED_VALUE"""),"Soura Natural Energy Solutions India Pvt. Ltd")</f>
        <v>Soura Natural Energy Solutions India Pvt. Ltd</v>
      </c>
      <c r="H1035">
        <f ca="1">IFERROR(__xludf.DUMMYFUNCTION("""COMPUTED_VALUE"""),11)</f>
        <v>11</v>
      </c>
      <c r="I1035" s="4">
        <f ca="1">IFERROR(__xludf.DUMMYFUNCTION("""COMPUTED_VALUE"""),43306)</f>
        <v>43306</v>
      </c>
      <c r="J1035">
        <f ca="1">IFERROR(__xludf.DUMMYFUNCTION("""COMPUTED_VALUE"""),3)</f>
        <v>3</v>
      </c>
      <c r="K1035">
        <f ca="1">IFERROR(__xludf.DUMMYFUNCTION("""COMPUTED_VALUE"""),1156618012469)</f>
        <v>1156618012469</v>
      </c>
      <c r="L1035" t="str">
        <f ca="1">IFERROR(__xludf.DUMMYFUNCTION("""COMPUTED_VALUE"""),"Mathilakom")</f>
        <v>Mathilakom</v>
      </c>
      <c r="M1035" t="str">
        <f ca="1">IFERROR(__xludf.DUMMYFUNCTION("""COMPUTED_VALUE"""),"I Accept")</f>
        <v>I Accept</v>
      </c>
      <c r="N1035" s="4">
        <f ca="1">IFERROR(__xludf.DUMMYFUNCTION("""COMPUTED_VALUE"""),43306)</f>
        <v>43306</v>
      </c>
      <c r="O1035" s="4">
        <f ca="1">IFERROR(__xludf.DUMMYFUNCTION("""COMPUTED_VALUE"""),43306)</f>
        <v>43306</v>
      </c>
      <c r="P1035">
        <f ca="1">IFERROR(__xludf.DUMMYFUNCTION("""COMPUTED_VALUE"""),3)</f>
        <v>3</v>
      </c>
      <c r="Q1035" t="str">
        <f ca="1">IFERROR(__xludf.DUMMYFUNCTION("""COMPUTED_VALUE"""),"susumi.soura@gmail.com")</f>
        <v>susumi.soura@gmail.com</v>
      </c>
      <c r="R1035" s="2" t="s">
        <v>3449</v>
      </c>
    </row>
    <row r="1036" spans="1:18" ht="13" x14ac:dyDescent="0.15">
      <c r="A1036" s="3">
        <f ca="1">IFERROR(__xludf.DUMMYFUNCTION("""COMPUTED_VALUE"""),43306.4541066782)</f>
        <v>43306.454106678197</v>
      </c>
      <c r="B1036" t="str">
        <f ca="1">IFERROR(__xludf.DUMMYFUNCTION("""COMPUTED_VALUE"""),"smitha.soura@gmail.com")</f>
        <v>smitha.soura@gmail.com</v>
      </c>
      <c r="C1036">
        <f ca="1">IFERROR(__xludf.DUMMYFUNCTION("""COMPUTED_VALUE"""),1290)</f>
        <v>1290</v>
      </c>
      <c r="D1036" t="str">
        <f ca="1">IFERROR(__xludf.DUMMYFUNCTION("""COMPUTED_VALUE"""),"Rajeev AP")</f>
        <v>Rajeev AP</v>
      </c>
      <c r="E1036">
        <f ca="1">IFERROR(__xludf.DUMMYFUNCTION("""COMPUTED_VALUE"""),9072626009)</f>
        <v>9072626009</v>
      </c>
      <c r="F1036" t="str">
        <f ca="1">IFERROR(__xludf.DUMMYFUNCTION("""COMPUTED_VALUE"""),"Ernakulam")</f>
        <v>Ernakulam</v>
      </c>
      <c r="G1036" t="str">
        <f ca="1">IFERROR(__xludf.DUMMYFUNCTION("""COMPUTED_VALUE"""),"Soura Natural Energy Solutions India Pvt. Ltd")</f>
        <v>Soura Natural Energy Solutions India Pvt. Ltd</v>
      </c>
      <c r="H1036">
        <f ca="1">IFERROR(__xludf.DUMMYFUNCTION("""COMPUTED_VALUE"""),11)</f>
        <v>11</v>
      </c>
      <c r="I1036" s="4">
        <f ca="1">IFERROR(__xludf.DUMMYFUNCTION("""COMPUTED_VALUE"""),43306)</f>
        <v>43306</v>
      </c>
      <c r="J1036">
        <f ca="1">IFERROR(__xludf.DUMMYFUNCTION("""COMPUTED_VALUE"""),3)</f>
        <v>3</v>
      </c>
      <c r="K1036">
        <f ca="1">IFERROR(__xludf.DUMMYFUNCTION("""COMPUTED_VALUE"""),1157364008399)</f>
        <v>1157364008399</v>
      </c>
      <c r="L1036" t="str">
        <f ca="1">IFERROR(__xludf.DUMMYFUNCTION("""COMPUTED_VALUE"""),"Mannam")</f>
        <v>Mannam</v>
      </c>
      <c r="M1036" t="str">
        <f ca="1">IFERROR(__xludf.DUMMYFUNCTION("""COMPUTED_VALUE"""),"I Accept")</f>
        <v>I Accept</v>
      </c>
      <c r="N1036" s="4">
        <f ca="1">IFERROR(__xludf.DUMMYFUNCTION("""COMPUTED_VALUE"""),43306)</f>
        <v>43306</v>
      </c>
      <c r="O1036" s="4">
        <f ca="1">IFERROR(__xludf.DUMMYFUNCTION("""COMPUTED_VALUE"""),43306)</f>
        <v>43306</v>
      </c>
      <c r="P1036">
        <f ca="1">IFERROR(__xludf.DUMMYFUNCTION("""COMPUTED_VALUE"""),3)</f>
        <v>3</v>
      </c>
      <c r="Q1036" t="str">
        <f ca="1">IFERROR(__xludf.DUMMYFUNCTION("""COMPUTED_VALUE"""),"resmi.soura@gmail.com")</f>
        <v>resmi.soura@gmail.com</v>
      </c>
      <c r="R1036" s="2" t="s">
        <v>3450</v>
      </c>
    </row>
    <row r="1037" spans="1:18" ht="13" x14ac:dyDescent="0.15">
      <c r="A1037" s="3">
        <f ca="1">IFERROR(__xludf.DUMMYFUNCTION("""COMPUTED_VALUE"""),43306.4578802777)</f>
        <v>43306.457880277703</v>
      </c>
      <c r="B1037" t="str">
        <f ca="1">IFERROR(__xludf.DUMMYFUNCTION("""COMPUTED_VALUE"""),"sumi.soura@gmail.com")</f>
        <v>sumi.soura@gmail.com</v>
      </c>
      <c r="C1037">
        <f ca="1">IFERROR(__xludf.DUMMYFUNCTION("""COMPUTED_VALUE"""),1291)</f>
        <v>1291</v>
      </c>
      <c r="D1037" t="str">
        <f ca="1">IFERROR(__xludf.DUMMYFUNCTION("""COMPUTED_VALUE"""),"Jhonson TC")</f>
        <v>Jhonson TC</v>
      </c>
      <c r="E1037">
        <f ca="1">IFERROR(__xludf.DUMMYFUNCTION("""COMPUTED_VALUE"""),8138027336)</f>
        <v>8138027336</v>
      </c>
      <c r="F1037" t="str">
        <f ca="1">IFERROR(__xludf.DUMMYFUNCTION("""COMPUTED_VALUE"""),"Ernakulam")</f>
        <v>Ernakulam</v>
      </c>
      <c r="G1037" t="str">
        <f ca="1">IFERROR(__xludf.DUMMYFUNCTION("""COMPUTED_VALUE"""),"Soura Natural Energy Solutions India Pvt. Ltd")</f>
        <v>Soura Natural Energy Solutions India Pvt. Ltd</v>
      </c>
      <c r="H1037">
        <f ca="1">IFERROR(__xludf.DUMMYFUNCTION("""COMPUTED_VALUE"""),11)</f>
        <v>11</v>
      </c>
      <c r="I1037" s="4">
        <f ca="1">IFERROR(__xludf.DUMMYFUNCTION("""COMPUTED_VALUE"""),43306)</f>
        <v>43306</v>
      </c>
      <c r="J1037">
        <f ca="1">IFERROR(__xludf.DUMMYFUNCTION("""COMPUTED_VALUE"""),5)</f>
        <v>5</v>
      </c>
      <c r="K1037">
        <f ca="1">IFERROR(__xludf.DUMMYFUNCTION("""COMPUTED_VALUE"""),1155751006312)</f>
        <v>1155751006312</v>
      </c>
      <c r="L1037" t="str">
        <f ca="1">IFERROR(__xludf.DUMMYFUNCTION("""COMPUTED_VALUE"""),"Kunnukara")</f>
        <v>Kunnukara</v>
      </c>
      <c r="M1037" t="str">
        <f ca="1">IFERROR(__xludf.DUMMYFUNCTION("""COMPUTED_VALUE"""),"I Accept")</f>
        <v>I Accept</v>
      </c>
      <c r="N1037" s="4">
        <f ca="1">IFERROR(__xludf.DUMMYFUNCTION("""COMPUTED_VALUE"""),43306)</f>
        <v>43306</v>
      </c>
      <c r="O1037" s="4">
        <f ca="1">IFERROR(__xludf.DUMMYFUNCTION("""COMPUTED_VALUE"""),43306)</f>
        <v>43306</v>
      </c>
      <c r="P1037">
        <f ca="1">IFERROR(__xludf.DUMMYFUNCTION("""COMPUTED_VALUE"""),5)</f>
        <v>5</v>
      </c>
      <c r="Q1037" t="str">
        <f ca="1">IFERROR(__xludf.DUMMYFUNCTION("""COMPUTED_VALUE"""),"smitha.soura@gmail.com")</f>
        <v>smitha.soura@gmail.com</v>
      </c>
      <c r="R1037" s="2" t="s">
        <v>3451</v>
      </c>
    </row>
    <row r="1038" spans="1:18" ht="13" x14ac:dyDescent="0.15">
      <c r="A1038" s="3">
        <f ca="1">IFERROR(__xludf.DUMMYFUNCTION("""COMPUTED_VALUE"""),43306.4639626157)</f>
        <v>43306.4639626157</v>
      </c>
      <c r="B1038" t="str">
        <f ca="1">IFERROR(__xludf.DUMMYFUNCTION("""COMPUTED_VALUE"""),"smitha.soura@gmail.com")</f>
        <v>smitha.soura@gmail.com</v>
      </c>
      <c r="C1038">
        <f ca="1">IFERROR(__xludf.DUMMYFUNCTION("""COMPUTED_VALUE"""),1292)</f>
        <v>1292</v>
      </c>
      <c r="D1038" t="str">
        <f ca="1">IFERROR(__xludf.DUMMYFUNCTION("""COMPUTED_VALUE"""),"Unnimon Alias Yohannan")</f>
        <v>Unnimon Alias Yohannan</v>
      </c>
      <c r="E1038">
        <f ca="1">IFERROR(__xludf.DUMMYFUNCTION("""COMPUTED_VALUE"""),9072626009)</f>
        <v>9072626009</v>
      </c>
      <c r="F1038" t="str">
        <f ca="1">IFERROR(__xludf.DUMMYFUNCTION("""COMPUTED_VALUE"""),"Thrissur")</f>
        <v>Thrissur</v>
      </c>
      <c r="G1038" t="str">
        <f ca="1">IFERROR(__xludf.DUMMYFUNCTION("""COMPUTED_VALUE"""),"Soura Natural Energy Solutions India Pvt. Ltd")</f>
        <v>Soura Natural Energy Solutions India Pvt. Ltd</v>
      </c>
      <c r="H1038">
        <f ca="1">IFERROR(__xludf.DUMMYFUNCTION("""COMPUTED_VALUE"""),11)</f>
        <v>11</v>
      </c>
      <c r="I1038" s="4">
        <f ca="1">IFERROR(__xludf.DUMMYFUNCTION("""COMPUTED_VALUE"""),43306)</f>
        <v>43306</v>
      </c>
      <c r="J1038">
        <f ca="1">IFERROR(__xludf.DUMMYFUNCTION("""COMPUTED_VALUE"""),3)</f>
        <v>3</v>
      </c>
      <c r="K1038">
        <f ca="1">IFERROR(__xludf.DUMMYFUNCTION("""COMPUTED_VALUE"""),1156579008566)</f>
        <v>1156579008566</v>
      </c>
      <c r="L1038" t="str">
        <f ca="1">IFERROR(__xludf.DUMMYFUNCTION("""COMPUTED_VALUE"""),"Kuzhoor")</f>
        <v>Kuzhoor</v>
      </c>
      <c r="M1038" t="str">
        <f ca="1">IFERROR(__xludf.DUMMYFUNCTION("""COMPUTED_VALUE"""),"I Accept")</f>
        <v>I Accept</v>
      </c>
      <c r="N1038" s="4">
        <f ca="1">IFERROR(__xludf.DUMMYFUNCTION("""COMPUTED_VALUE"""),43306)</f>
        <v>43306</v>
      </c>
      <c r="O1038" s="4">
        <f ca="1">IFERROR(__xludf.DUMMYFUNCTION("""COMPUTED_VALUE"""),43306)</f>
        <v>43306</v>
      </c>
      <c r="P1038">
        <f ca="1">IFERROR(__xludf.DUMMYFUNCTION("""COMPUTED_VALUE"""),3)</f>
        <v>3</v>
      </c>
      <c r="Q1038" t="str">
        <f ca="1">IFERROR(__xludf.DUMMYFUNCTION("""COMPUTED_VALUE"""),"sumi.soura@gmail.com")</f>
        <v>sumi.soura@gmail.com</v>
      </c>
      <c r="R1038" s="2" t="s">
        <v>3452</v>
      </c>
    </row>
    <row r="1039" spans="1:18" ht="13" x14ac:dyDescent="0.15">
      <c r="A1039" s="3">
        <f ca="1">IFERROR(__xludf.DUMMYFUNCTION("""COMPUTED_VALUE"""),43306.4665330092)</f>
        <v>43306.466533009203</v>
      </c>
      <c r="B1039" t="str">
        <f ca="1">IFERROR(__xludf.DUMMYFUNCTION("""COMPUTED_VALUE"""),"smitha.soura@gmail.com")</f>
        <v>smitha.soura@gmail.com</v>
      </c>
      <c r="C1039">
        <f ca="1">IFERROR(__xludf.DUMMYFUNCTION("""COMPUTED_VALUE"""),1293)</f>
        <v>1293</v>
      </c>
      <c r="D1039" s="22" t="str">
        <f ca="1">IFERROR(__xludf.DUMMYFUNCTION("""COMPUTED_VALUE"""),"Shafi.KP")</f>
        <v>Shafi.KP</v>
      </c>
      <c r="E1039">
        <f ca="1">IFERROR(__xludf.DUMMYFUNCTION("""COMPUTED_VALUE"""),9072626009)</f>
        <v>9072626009</v>
      </c>
      <c r="F1039" t="str">
        <f ca="1">IFERROR(__xludf.DUMMYFUNCTION("""COMPUTED_VALUE"""),"Thrissur")</f>
        <v>Thrissur</v>
      </c>
      <c r="G1039" t="str">
        <f ca="1">IFERROR(__xludf.DUMMYFUNCTION("""COMPUTED_VALUE"""),"Soura Natural Energy Solutions India Pvt. Ltd")</f>
        <v>Soura Natural Energy Solutions India Pvt. Ltd</v>
      </c>
      <c r="H1039">
        <f ca="1">IFERROR(__xludf.DUMMYFUNCTION("""COMPUTED_VALUE"""),11)</f>
        <v>11</v>
      </c>
      <c r="I1039" s="4">
        <f ca="1">IFERROR(__xludf.DUMMYFUNCTION("""COMPUTED_VALUE"""),43306)</f>
        <v>43306</v>
      </c>
      <c r="J1039">
        <f ca="1">IFERROR(__xludf.DUMMYFUNCTION("""COMPUTED_VALUE"""),5)</f>
        <v>5</v>
      </c>
      <c r="K1039">
        <f ca="1">IFERROR(__xludf.DUMMYFUNCTION("""COMPUTED_VALUE"""),1156906008255)</f>
        <v>1156906008255</v>
      </c>
      <c r="L1039" t="str">
        <f ca="1">IFERROR(__xludf.DUMMYFUNCTION("""COMPUTED_VALUE"""),"Vengidangu")</f>
        <v>Vengidangu</v>
      </c>
      <c r="M1039" t="str">
        <f ca="1">IFERROR(__xludf.DUMMYFUNCTION("""COMPUTED_VALUE"""),"I Accept")</f>
        <v>I Accept</v>
      </c>
      <c r="N1039" s="4">
        <f ca="1">IFERROR(__xludf.DUMMYFUNCTION("""COMPUTED_VALUE"""),43306)</f>
        <v>43306</v>
      </c>
      <c r="O1039" s="4">
        <f ca="1">IFERROR(__xludf.DUMMYFUNCTION("""COMPUTED_VALUE"""),43306)</f>
        <v>43306</v>
      </c>
      <c r="P1039">
        <f ca="1">IFERROR(__xludf.DUMMYFUNCTION("""COMPUTED_VALUE"""),5)</f>
        <v>5</v>
      </c>
      <c r="Q1039" t="str">
        <f ca="1">IFERROR(__xludf.DUMMYFUNCTION("""COMPUTED_VALUE"""),"sumi.soura@gmail.com")</f>
        <v>sumi.soura@gmail.com</v>
      </c>
      <c r="R1039" s="2" t="s">
        <v>3453</v>
      </c>
    </row>
    <row r="1040" spans="1:18" ht="13" x14ac:dyDescent="0.15">
      <c r="A1040" s="3">
        <f ca="1">IFERROR(__xludf.DUMMYFUNCTION("""COMPUTED_VALUE"""),43306.4707243865)</f>
        <v>43306.470724386498</v>
      </c>
      <c r="B1040" t="str">
        <f ca="1">IFERROR(__xludf.DUMMYFUNCTION("""COMPUTED_VALUE"""),"smitha.soura@gmail.com")</f>
        <v>smitha.soura@gmail.com</v>
      </c>
      <c r="C1040">
        <f ca="1">IFERROR(__xludf.DUMMYFUNCTION("""COMPUTED_VALUE"""),1294)</f>
        <v>1294</v>
      </c>
      <c r="D1040" t="str">
        <f ca="1">IFERROR(__xludf.DUMMYFUNCTION("""COMPUTED_VALUE"""),"Harikumar")</f>
        <v>Harikumar</v>
      </c>
      <c r="E1040">
        <f ca="1">IFERROR(__xludf.DUMMYFUNCTION("""COMPUTED_VALUE"""),7594933374)</f>
        <v>7594933374</v>
      </c>
      <c r="F1040" t="str">
        <f ca="1">IFERROR(__xludf.DUMMYFUNCTION("""COMPUTED_VALUE"""),"Thrissur")</f>
        <v>Thrissur</v>
      </c>
      <c r="G1040" t="str">
        <f ca="1">IFERROR(__xludf.DUMMYFUNCTION("""COMPUTED_VALUE"""),"Soura Natural Energy Solutions India Pvt. Ltd")</f>
        <v>Soura Natural Energy Solutions India Pvt. Ltd</v>
      </c>
      <c r="H1040">
        <f ca="1">IFERROR(__xludf.DUMMYFUNCTION("""COMPUTED_VALUE"""),11)</f>
        <v>11</v>
      </c>
      <c r="I1040" s="4">
        <f ca="1">IFERROR(__xludf.DUMMYFUNCTION("""COMPUTED_VALUE"""),43306)</f>
        <v>43306</v>
      </c>
      <c r="J1040">
        <f ca="1">IFERROR(__xludf.DUMMYFUNCTION("""COMPUTED_VALUE"""),3)</f>
        <v>3</v>
      </c>
      <c r="K1040">
        <f ca="1">IFERROR(__xludf.DUMMYFUNCTION("""COMPUTED_VALUE"""),115600029097)</f>
        <v>115600029097</v>
      </c>
      <c r="L1040" t="str">
        <f ca="1">IFERROR(__xludf.DUMMYFUNCTION("""COMPUTED_VALUE"""),"Irinjalakuda")</f>
        <v>Irinjalakuda</v>
      </c>
      <c r="M1040" t="str">
        <f ca="1">IFERROR(__xludf.DUMMYFUNCTION("""COMPUTED_VALUE"""),"I Accept")</f>
        <v>I Accept</v>
      </c>
      <c r="N1040" s="4">
        <f ca="1">IFERROR(__xludf.DUMMYFUNCTION("""COMPUTED_VALUE"""),43306)</f>
        <v>43306</v>
      </c>
      <c r="O1040" s="4">
        <f ca="1">IFERROR(__xludf.DUMMYFUNCTION("""COMPUTED_VALUE"""),43306)</f>
        <v>43306</v>
      </c>
      <c r="P1040">
        <f ca="1">IFERROR(__xludf.DUMMYFUNCTION("""COMPUTED_VALUE"""),3)</f>
        <v>3</v>
      </c>
      <c r="Q1040" t="str">
        <f ca="1">IFERROR(__xludf.DUMMYFUNCTION("""COMPUTED_VALUE"""),"resmi.soura@gmail.com")</f>
        <v>resmi.soura@gmail.com</v>
      </c>
      <c r="R1040" s="2" t="s">
        <v>3454</v>
      </c>
    </row>
    <row r="1041" spans="1:18" ht="13" x14ac:dyDescent="0.15">
      <c r="A1041" s="3">
        <f ca="1">IFERROR(__xludf.DUMMYFUNCTION("""COMPUTED_VALUE"""),43306.4761825115)</f>
        <v>43306.476182511498</v>
      </c>
      <c r="B1041" t="str">
        <f ca="1">IFERROR(__xludf.DUMMYFUNCTION("""COMPUTED_VALUE"""),"smitha.soura@gmail.com")</f>
        <v>smitha.soura@gmail.com</v>
      </c>
      <c r="C1041">
        <f ca="1">IFERROR(__xludf.DUMMYFUNCTION("""COMPUTED_VALUE"""),1295)</f>
        <v>1295</v>
      </c>
      <c r="D1041" t="str">
        <f ca="1">IFERROR(__xludf.DUMMYFUNCTION("""COMPUTED_VALUE"""),"Mohamed Aabid")</f>
        <v>Mohamed Aabid</v>
      </c>
      <c r="E1041">
        <f ca="1">IFERROR(__xludf.DUMMYFUNCTION("""COMPUTED_VALUE"""),8138027336)</f>
        <v>8138027336</v>
      </c>
      <c r="F1041" t="str">
        <f ca="1">IFERROR(__xludf.DUMMYFUNCTION("""COMPUTED_VALUE"""),"Thrissur")</f>
        <v>Thrissur</v>
      </c>
      <c r="G1041" t="str">
        <f ca="1">IFERROR(__xludf.DUMMYFUNCTION("""COMPUTED_VALUE"""),"Soura Natural Energy Solutions India Pvt. Ltd")</f>
        <v>Soura Natural Energy Solutions India Pvt. Ltd</v>
      </c>
      <c r="H1041">
        <f ca="1">IFERROR(__xludf.DUMMYFUNCTION("""COMPUTED_VALUE"""),11)</f>
        <v>11</v>
      </c>
      <c r="I1041" s="4">
        <f ca="1">IFERROR(__xludf.DUMMYFUNCTION("""COMPUTED_VALUE"""),43306)</f>
        <v>43306</v>
      </c>
      <c r="J1041">
        <f ca="1">IFERROR(__xludf.DUMMYFUNCTION("""COMPUTED_VALUE"""),5)</f>
        <v>5</v>
      </c>
      <c r="K1041">
        <f ca="1">IFERROR(__xludf.DUMMYFUNCTION("""COMPUTED_VALUE"""),115909015048)</f>
        <v>115909015048</v>
      </c>
      <c r="L1041" t="str">
        <f ca="1">IFERROR(__xludf.DUMMYFUNCTION("""COMPUTED_VALUE"""),"Vengidangu")</f>
        <v>Vengidangu</v>
      </c>
      <c r="M1041" t="str">
        <f ca="1">IFERROR(__xludf.DUMMYFUNCTION("""COMPUTED_VALUE"""),"I Accept")</f>
        <v>I Accept</v>
      </c>
      <c r="N1041" s="4">
        <f ca="1">IFERROR(__xludf.DUMMYFUNCTION("""COMPUTED_VALUE"""),43306)</f>
        <v>43306</v>
      </c>
      <c r="O1041" s="4">
        <f ca="1">IFERROR(__xludf.DUMMYFUNCTION("""COMPUTED_VALUE"""),43306)</f>
        <v>43306</v>
      </c>
      <c r="P1041">
        <f ca="1">IFERROR(__xludf.DUMMYFUNCTION("""COMPUTED_VALUE"""),5)</f>
        <v>5</v>
      </c>
      <c r="Q1041" t="str">
        <f ca="1">IFERROR(__xludf.DUMMYFUNCTION("""COMPUTED_VALUE"""),"sumi.soura@gmail.com")</f>
        <v>sumi.soura@gmail.com</v>
      </c>
      <c r="R1041" s="2" t="s">
        <v>3455</v>
      </c>
    </row>
    <row r="1042" spans="1:18" ht="13" x14ac:dyDescent="0.15">
      <c r="A1042" s="3">
        <f ca="1">IFERROR(__xludf.DUMMYFUNCTION("""COMPUTED_VALUE"""),43306.4790874189)</f>
        <v>43306.479087418898</v>
      </c>
      <c r="B1042" t="str">
        <f ca="1">IFERROR(__xludf.DUMMYFUNCTION("""COMPUTED_VALUE"""),"sumi.soura@gmail.com")</f>
        <v>sumi.soura@gmail.com</v>
      </c>
      <c r="C1042">
        <f ca="1">IFERROR(__xludf.DUMMYFUNCTION("""COMPUTED_VALUE"""),1296)</f>
        <v>1296</v>
      </c>
      <c r="D1042" t="str">
        <f ca="1">IFERROR(__xludf.DUMMYFUNCTION("""COMPUTED_VALUE"""),"Govindan Chittere")</f>
        <v>Govindan Chittere</v>
      </c>
      <c r="E1042">
        <f ca="1">IFERROR(__xludf.DUMMYFUNCTION("""COMPUTED_VALUE"""),8138027336)</f>
        <v>8138027336</v>
      </c>
      <c r="F1042" t="str">
        <f ca="1">IFERROR(__xludf.DUMMYFUNCTION("""COMPUTED_VALUE"""),"Kannur")</f>
        <v>Kannur</v>
      </c>
      <c r="G1042" t="str">
        <f ca="1">IFERROR(__xludf.DUMMYFUNCTION("""COMPUTED_VALUE"""),"Soura Natural Energy Solutions India Pvt. Ltd")</f>
        <v>Soura Natural Energy Solutions India Pvt. Ltd</v>
      </c>
      <c r="H1042">
        <f ca="1">IFERROR(__xludf.DUMMYFUNCTION("""COMPUTED_VALUE"""),11)</f>
        <v>11</v>
      </c>
      <c r="I1042" s="4">
        <f ca="1">IFERROR(__xludf.DUMMYFUNCTION("""COMPUTED_VALUE"""),43306)</f>
        <v>43306</v>
      </c>
      <c r="J1042">
        <f ca="1">IFERROR(__xludf.DUMMYFUNCTION("""COMPUTED_VALUE"""),2)</f>
        <v>2</v>
      </c>
      <c r="K1042">
        <f ca="1">IFERROR(__xludf.DUMMYFUNCTION("""COMPUTED_VALUE"""),1166396007669)</f>
        <v>1166396007669</v>
      </c>
      <c r="L1042" t="str">
        <f ca="1">IFERROR(__xludf.DUMMYFUNCTION("""COMPUTED_VALUE"""),"Kunhi Mangalam")</f>
        <v>Kunhi Mangalam</v>
      </c>
      <c r="M1042" t="str">
        <f ca="1">IFERROR(__xludf.DUMMYFUNCTION("""COMPUTED_VALUE"""),"I Accept")</f>
        <v>I Accept</v>
      </c>
      <c r="N1042" s="4">
        <f ca="1">IFERROR(__xludf.DUMMYFUNCTION("""COMPUTED_VALUE"""),43306)</f>
        <v>43306</v>
      </c>
      <c r="O1042" s="4">
        <f ca="1">IFERROR(__xludf.DUMMYFUNCTION("""COMPUTED_VALUE"""),43306)</f>
        <v>43306</v>
      </c>
      <c r="P1042">
        <f ca="1">IFERROR(__xludf.DUMMYFUNCTION("""COMPUTED_VALUE"""),2)</f>
        <v>2</v>
      </c>
      <c r="Q1042" t="str">
        <f ca="1">IFERROR(__xludf.DUMMYFUNCTION("""COMPUTED_VALUE"""),"resmi.soura@gmail.com")</f>
        <v>resmi.soura@gmail.com</v>
      </c>
      <c r="R1042" s="2" t="s">
        <v>3456</v>
      </c>
    </row>
    <row r="1043" spans="1:18" ht="13" x14ac:dyDescent="0.15">
      <c r="A1043" s="3">
        <f ca="1">IFERROR(__xludf.DUMMYFUNCTION("""COMPUTED_VALUE"""),43306.482361574)</f>
        <v>43306.482361574002</v>
      </c>
      <c r="B1043" t="str">
        <f ca="1">IFERROR(__xludf.DUMMYFUNCTION("""COMPUTED_VALUE"""),"resmi.soura@gmail.com")</f>
        <v>resmi.soura@gmail.com</v>
      </c>
      <c r="C1043">
        <f ca="1">IFERROR(__xludf.DUMMYFUNCTION("""COMPUTED_VALUE"""),1297)</f>
        <v>1297</v>
      </c>
      <c r="D1043" t="str">
        <f ca="1">IFERROR(__xludf.DUMMYFUNCTION("""COMPUTED_VALUE"""),"ASHARAF NK")</f>
        <v>ASHARAF NK</v>
      </c>
      <c r="E1043">
        <f ca="1">IFERROR(__xludf.DUMMYFUNCTION("""COMPUTED_VALUE"""),9037990003)</f>
        <v>9037990003</v>
      </c>
      <c r="F1043" t="str">
        <f ca="1">IFERROR(__xludf.DUMMYFUNCTION("""COMPUTED_VALUE"""),"Thrissur")</f>
        <v>Thrissur</v>
      </c>
      <c r="G1043" t="str">
        <f ca="1">IFERROR(__xludf.DUMMYFUNCTION("""COMPUTED_VALUE"""),"Soura Natural Energy Solutions India Pvt. Ltd")</f>
        <v>Soura Natural Energy Solutions India Pvt. Ltd</v>
      </c>
      <c r="H1043">
        <f ca="1">IFERROR(__xludf.DUMMYFUNCTION("""COMPUTED_VALUE"""),11)</f>
        <v>11</v>
      </c>
      <c r="I1043" s="4">
        <f ca="1">IFERROR(__xludf.DUMMYFUNCTION("""COMPUTED_VALUE"""),43306)</f>
        <v>43306</v>
      </c>
      <c r="J1043">
        <f ca="1">IFERROR(__xludf.DUMMYFUNCTION("""COMPUTED_VALUE"""),5)</f>
        <v>5</v>
      </c>
      <c r="K1043">
        <f ca="1">IFERROR(__xludf.DUMMYFUNCTION("""COMPUTED_VALUE"""),1156646022905)</f>
        <v>1156646022905</v>
      </c>
      <c r="L1043" t="str">
        <f ca="1">IFERROR(__xludf.DUMMYFUNCTION("""COMPUTED_VALUE"""),"Kodungallur11")</f>
        <v>Kodungallur11</v>
      </c>
      <c r="M1043" t="str">
        <f ca="1">IFERROR(__xludf.DUMMYFUNCTION("""COMPUTED_VALUE"""),"I Accept")</f>
        <v>I Accept</v>
      </c>
      <c r="N1043" s="4">
        <f ca="1">IFERROR(__xludf.DUMMYFUNCTION("""COMPUTED_VALUE"""),43306)</f>
        <v>43306</v>
      </c>
      <c r="O1043" s="4">
        <f ca="1">IFERROR(__xludf.DUMMYFUNCTION("""COMPUTED_VALUE"""),43306)</f>
        <v>43306</v>
      </c>
      <c r="P1043">
        <f ca="1">IFERROR(__xludf.DUMMYFUNCTION("""COMPUTED_VALUE"""),5)</f>
        <v>5</v>
      </c>
      <c r="Q1043" t="str">
        <f ca="1">IFERROR(__xludf.DUMMYFUNCTION("""COMPUTED_VALUE"""),"smitha.soura@gmail.com")</f>
        <v>smitha.soura@gmail.com</v>
      </c>
      <c r="R1043" s="2" t="s">
        <v>3457</v>
      </c>
    </row>
    <row r="1044" spans="1:18" ht="13" x14ac:dyDescent="0.15">
      <c r="A1044" s="3">
        <f ca="1">IFERROR(__xludf.DUMMYFUNCTION("""COMPUTED_VALUE"""),43306.4886835532)</f>
        <v>43306.488683553202</v>
      </c>
      <c r="B1044" t="str">
        <f ca="1">IFERROR(__xludf.DUMMYFUNCTION("""COMPUTED_VALUE"""),"sumi.soura@gmail.com")</f>
        <v>sumi.soura@gmail.com</v>
      </c>
      <c r="C1044">
        <f ca="1">IFERROR(__xludf.DUMMYFUNCTION("""COMPUTED_VALUE"""),1298)</f>
        <v>1298</v>
      </c>
      <c r="D1044" t="str">
        <f ca="1">IFERROR(__xludf.DUMMYFUNCTION("""COMPUTED_VALUE"""),"SAGI Augustine")</f>
        <v>SAGI Augustine</v>
      </c>
      <c r="E1044">
        <f ca="1">IFERROR(__xludf.DUMMYFUNCTION("""COMPUTED_VALUE"""),8138027336)</f>
        <v>8138027336</v>
      </c>
      <c r="F1044" t="str">
        <f ca="1">IFERROR(__xludf.DUMMYFUNCTION("""COMPUTED_VALUE"""),"Ernakulam")</f>
        <v>Ernakulam</v>
      </c>
      <c r="G1044" t="str">
        <f ca="1">IFERROR(__xludf.DUMMYFUNCTION("""COMPUTED_VALUE"""),"Soura Natural Energy Solutions India Pvt. Ltd")</f>
        <v>Soura Natural Energy Solutions India Pvt. Ltd</v>
      </c>
      <c r="H1044">
        <f ca="1">IFERROR(__xludf.DUMMYFUNCTION("""COMPUTED_VALUE"""),11)</f>
        <v>11</v>
      </c>
      <c r="I1044" s="4">
        <f ca="1">IFERROR(__xludf.DUMMYFUNCTION("""COMPUTED_VALUE"""),43306)</f>
        <v>43306</v>
      </c>
      <c r="J1044">
        <f ca="1">IFERROR(__xludf.DUMMYFUNCTION("""COMPUTED_VALUE"""),5)</f>
        <v>5</v>
      </c>
      <c r="K1044">
        <f ca="1">IFERROR(__xludf.DUMMYFUNCTION("""COMPUTED_VALUE"""),1157159006624)</f>
        <v>1157159006624</v>
      </c>
      <c r="L1044" t="str">
        <f ca="1">IFERROR(__xludf.DUMMYFUNCTION("""COMPUTED_VALUE"""),"Malayatoor")</f>
        <v>Malayatoor</v>
      </c>
      <c r="M1044" t="str">
        <f ca="1">IFERROR(__xludf.DUMMYFUNCTION("""COMPUTED_VALUE"""),"I Accept")</f>
        <v>I Accept</v>
      </c>
      <c r="N1044" s="4">
        <f ca="1">IFERROR(__xludf.DUMMYFUNCTION("""COMPUTED_VALUE"""),43306)</f>
        <v>43306</v>
      </c>
      <c r="O1044" s="4">
        <f ca="1">IFERROR(__xludf.DUMMYFUNCTION("""COMPUTED_VALUE"""),43306)</f>
        <v>43306</v>
      </c>
      <c r="P1044">
        <f ca="1">IFERROR(__xludf.DUMMYFUNCTION("""COMPUTED_VALUE"""),5)</f>
        <v>5</v>
      </c>
      <c r="Q1044" t="str">
        <f ca="1">IFERROR(__xludf.DUMMYFUNCTION("""COMPUTED_VALUE"""),"resmi.soura@gmail.com")</f>
        <v>resmi.soura@gmail.com</v>
      </c>
      <c r="R1044" s="2" t="s">
        <v>3458</v>
      </c>
    </row>
    <row r="1045" spans="1:18" ht="13" x14ac:dyDescent="0.15">
      <c r="A1045" s="3">
        <f ca="1">IFERROR(__xludf.DUMMYFUNCTION("""COMPUTED_VALUE"""),43306.4940743055)</f>
        <v>43306.494074305498</v>
      </c>
      <c r="B1045" t="str">
        <f ca="1">IFERROR(__xludf.DUMMYFUNCTION("""COMPUTED_VALUE"""),"nestromarketing@gmail.com")</f>
        <v>nestromarketing@gmail.com</v>
      </c>
      <c r="C1045">
        <f ca="1">IFERROR(__xludf.DUMMYFUNCTION("""COMPUTED_VALUE"""),1264)</f>
        <v>1264</v>
      </c>
      <c r="D1045" t="str">
        <f ca="1">IFERROR(__xludf.DUMMYFUNCTION("""COMPUTED_VALUE"""),"Muthanikkatt abdul hameed ")</f>
        <v xml:space="preserve">Muthanikkatt abdul hameed </v>
      </c>
      <c r="E1045">
        <f ca="1">IFERROR(__xludf.DUMMYFUNCTION("""COMPUTED_VALUE"""),9142099977)</f>
        <v>9142099977</v>
      </c>
      <c r="F1045" t="str">
        <f ca="1">IFERROR(__xludf.DUMMYFUNCTION("""COMPUTED_VALUE"""),"Malappuram")</f>
        <v>Malappuram</v>
      </c>
      <c r="G1045" t="str">
        <f ca="1">IFERROR(__xludf.DUMMYFUNCTION("""COMPUTED_VALUE"""),"NESTRO MARKETING LLP")</f>
        <v>NESTRO MARKETING LLP</v>
      </c>
      <c r="H1045">
        <f ca="1">IFERROR(__xludf.DUMMYFUNCTION("""COMPUTED_VALUE"""),14)</f>
        <v>14</v>
      </c>
      <c r="I1045" s="4">
        <f ca="1">IFERROR(__xludf.DUMMYFUNCTION("""COMPUTED_VALUE"""),43311)</f>
        <v>43311</v>
      </c>
      <c r="J1045">
        <f ca="1">IFERROR(__xludf.DUMMYFUNCTION("""COMPUTED_VALUE"""),3)</f>
        <v>3</v>
      </c>
      <c r="K1045">
        <f ca="1">IFERROR(__xludf.DUMMYFUNCTION("""COMPUTED_VALUE"""),1165700018596)</f>
        <v>1165700018596</v>
      </c>
      <c r="L1045" t="str">
        <f ca="1">IFERROR(__xludf.DUMMYFUNCTION("""COMPUTED_VALUE"""),"PONMUNDAM(6570)")</f>
        <v>PONMUNDAM(6570)</v>
      </c>
      <c r="M1045" t="str">
        <f ca="1">IFERROR(__xludf.DUMMYFUNCTION("""COMPUTED_VALUE"""),"I Accept")</f>
        <v>I Accept</v>
      </c>
      <c r="N1045" s="4">
        <f ca="1">IFERROR(__xludf.DUMMYFUNCTION("""COMPUTED_VALUE"""),43302)</f>
        <v>43302</v>
      </c>
      <c r="O1045" s="4">
        <f ca="1">IFERROR(__xludf.DUMMYFUNCTION("""COMPUTED_VALUE"""),43302)</f>
        <v>43302</v>
      </c>
      <c r="P1045">
        <f ca="1">IFERROR(__xludf.DUMMYFUNCTION("""COMPUTED_VALUE"""),3)</f>
        <v>3</v>
      </c>
      <c r="Q1045" t="str">
        <f ca="1">IFERROR(__xludf.DUMMYFUNCTION("""COMPUTED_VALUE"""),"nestromarketing@gmail.com")</f>
        <v>nestromarketing@gmail.com</v>
      </c>
      <c r="R1045" s="2" t="s">
        <v>3459</v>
      </c>
    </row>
    <row r="1046" spans="1:18" ht="13" x14ac:dyDescent="0.15">
      <c r="A1046" s="3">
        <f ca="1">IFERROR(__xludf.DUMMYFUNCTION("""COMPUTED_VALUE"""),43306.4955221527)</f>
        <v>43306.495522152698</v>
      </c>
      <c r="B1046" t="str">
        <f ca="1">IFERROR(__xludf.DUMMYFUNCTION("""COMPUTED_VALUE"""),"smitha.soura@gmail.com")</f>
        <v>smitha.soura@gmail.com</v>
      </c>
      <c r="C1046">
        <f ca="1">IFERROR(__xludf.DUMMYFUNCTION("""COMPUTED_VALUE"""),1299)</f>
        <v>1299</v>
      </c>
      <c r="D1046" t="str">
        <f ca="1">IFERROR(__xludf.DUMMYFUNCTION("""COMPUTED_VALUE"""),"Asiyamma")</f>
        <v>Asiyamma</v>
      </c>
      <c r="E1046">
        <f ca="1">IFERROR(__xludf.DUMMYFUNCTION("""COMPUTED_VALUE"""),9072626009)</f>
        <v>9072626009</v>
      </c>
      <c r="F1046" t="str">
        <f ca="1">IFERROR(__xludf.DUMMYFUNCTION("""COMPUTED_VALUE"""),"Kasaragod")</f>
        <v>Kasaragod</v>
      </c>
      <c r="G1046" t="str">
        <f ca="1">IFERROR(__xludf.DUMMYFUNCTION("""COMPUTED_VALUE"""),"Soura Natural Energy Solutions India Pvt. Ltd")</f>
        <v>Soura Natural Energy Solutions India Pvt. Ltd</v>
      </c>
      <c r="H1046">
        <f ca="1">IFERROR(__xludf.DUMMYFUNCTION("""COMPUTED_VALUE"""),11)</f>
        <v>11</v>
      </c>
      <c r="I1046" s="4">
        <f ca="1">IFERROR(__xludf.DUMMYFUNCTION("""COMPUTED_VALUE"""),43306)</f>
        <v>43306</v>
      </c>
      <c r="J1046">
        <f ca="1">IFERROR(__xludf.DUMMYFUNCTION("""COMPUTED_VALUE"""),5)</f>
        <v>5</v>
      </c>
      <c r="K1046">
        <f ca="1">IFERROR(__xludf.DUMMYFUNCTION("""COMPUTED_VALUE"""),1166848020657)</f>
        <v>1166848020657</v>
      </c>
      <c r="L1046" t="str">
        <f ca="1">IFERROR(__xludf.DUMMYFUNCTION("""COMPUTED_VALUE"""),"Manjeswar")</f>
        <v>Manjeswar</v>
      </c>
      <c r="M1046" t="str">
        <f ca="1">IFERROR(__xludf.DUMMYFUNCTION("""COMPUTED_VALUE"""),"I Accept")</f>
        <v>I Accept</v>
      </c>
      <c r="N1046" s="4">
        <f ca="1">IFERROR(__xludf.DUMMYFUNCTION("""COMPUTED_VALUE"""),43306)</f>
        <v>43306</v>
      </c>
      <c r="O1046" s="4">
        <f ca="1">IFERROR(__xludf.DUMMYFUNCTION("""COMPUTED_VALUE"""),43306)</f>
        <v>43306</v>
      </c>
      <c r="P1046">
        <f ca="1">IFERROR(__xludf.DUMMYFUNCTION("""COMPUTED_VALUE"""),5)</f>
        <v>5</v>
      </c>
      <c r="Q1046" t="str">
        <f ca="1">IFERROR(__xludf.DUMMYFUNCTION("""COMPUTED_VALUE"""),"resmi.soura@gmail.com")</f>
        <v>resmi.soura@gmail.com</v>
      </c>
      <c r="R1046" s="2" t="s">
        <v>3460</v>
      </c>
    </row>
    <row r="1047" spans="1:18" ht="13" x14ac:dyDescent="0.15">
      <c r="A1047" s="3">
        <f ca="1">IFERROR(__xludf.DUMMYFUNCTION("""COMPUTED_VALUE"""),43306.4978358564)</f>
        <v>43306.497835856397</v>
      </c>
      <c r="B1047" t="str">
        <f ca="1">IFERROR(__xludf.DUMMYFUNCTION("""COMPUTED_VALUE"""),"smitha.soura@gmail.com")</f>
        <v>smitha.soura@gmail.com</v>
      </c>
      <c r="C1047">
        <f ca="1">IFERROR(__xludf.DUMMYFUNCTION("""COMPUTED_VALUE"""),1304)</f>
        <v>1304</v>
      </c>
      <c r="D1047" s="22" t="str">
        <f ca="1">IFERROR(__xludf.DUMMYFUNCTION("""COMPUTED_VALUE""")," Jaison.MG")</f>
        <v xml:space="preserve"> Jaison.MG</v>
      </c>
      <c r="E1047">
        <f ca="1">IFERROR(__xludf.DUMMYFUNCTION("""COMPUTED_VALUE"""),9037990003)</f>
        <v>9037990003</v>
      </c>
      <c r="F1047" t="str">
        <f ca="1">IFERROR(__xludf.DUMMYFUNCTION("""COMPUTED_VALUE"""),"Ernakulam")</f>
        <v>Ernakulam</v>
      </c>
      <c r="G1047" t="str">
        <f ca="1">IFERROR(__xludf.DUMMYFUNCTION("""COMPUTED_VALUE"""),"Soura Natural Energy Solutions India Pvt. Ltd")</f>
        <v>Soura Natural Energy Solutions India Pvt. Ltd</v>
      </c>
      <c r="H1047">
        <f ca="1">IFERROR(__xludf.DUMMYFUNCTION("""COMPUTED_VALUE"""),11)</f>
        <v>11</v>
      </c>
      <c r="I1047" s="4">
        <f ca="1">IFERROR(__xludf.DUMMYFUNCTION("""COMPUTED_VALUE"""),43306)</f>
        <v>43306</v>
      </c>
      <c r="J1047">
        <f ca="1">IFERROR(__xludf.DUMMYFUNCTION("""COMPUTED_VALUE"""),3)</f>
        <v>3</v>
      </c>
      <c r="K1047">
        <f ca="1">IFERROR(__xludf.DUMMYFUNCTION("""COMPUTED_VALUE"""),1155569023346)</f>
        <v>1155569023346</v>
      </c>
      <c r="L1047" t="str">
        <f ca="1">IFERROR(__xludf.DUMMYFUNCTION("""COMPUTED_VALUE"""),"Vyttila")</f>
        <v>Vyttila</v>
      </c>
      <c r="M1047" t="str">
        <f ca="1">IFERROR(__xludf.DUMMYFUNCTION("""COMPUTED_VALUE"""),"I Accept")</f>
        <v>I Accept</v>
      </c>
      <c r="N1047" s="4">
        <f ca="1">IFERROR(__xludf.DUMMYFUNCTION("""COMPUTED_VALUE"""),43306)</f>
        <v>43306</v>
      </c>
      <c r="O1047" s="4">
        <f ca="1">IFERROR(__xludf.DUMMYFUNCTION("""COMPUTED_VALUE"""),43306)</f>
        <v>43306</v>
      </c>
      <c r="P1047">
        <f ca="1">IFERROR(__xludf.DUMMYFUNCTION("""COMPUTED_VALUE"""),3)</f>
        <v>3</v>
      </c>
      <c r="Q1047" t="str">
        <f ca="1">IFERROR(__xludf.DUMMYFUNCTION("""COMPUTED_VALUE"""),"resmi.soura@gmail.com")</f>
        <v>resmi.soura@gmail.com</v>
      </c>
      <c r="R1047" s="2" t="s">
        <v>3461</v>
      </c>
    </row>
    <row r="1048" spans="1:18" ht="13" x14ac:dyDescent="0.15">
      <c r="A1048" s="3">
        <f ca="1">IFERROR(__xludf.DUMMYFUNCTION("""COMPUTED_VALUE"""),43306.5020956713)</f>
        <v>43306.502095671298</v>
      </c>
      <c r="B1048" t="str">
        <f ca="1">IFERROR(__xludf.DUMMYFUNCTION("""COMPUTED_VALUE"""),"sumi.soura@gmail.com")</f>
        <v>sumi.soura@gmail.com</v>
      </c>
      <c r="C1048">
        <f ca="1">IFERROR(__xludf.DUMMYFUNCTION("""COMPUTED_VALUE"""),1300)</f>
        <v>1300</v>
      </c>
      <c r="D1048" t="str">
        <f ca="1">IFERROR(__xludf.DUMMYFUNCTION("""COMPUTED_VALUE"""),"Susheela.K")</f>
        <v>Susheela.K</v>
      </c>
      <c r="E1048">
        <f ca="1">IFERROR(__xludf.DUMMYFUNCTION("""COMPUTED_VALUE"""),9072626009)</f>
        <v>9072626009</v>
      </c>
      <c r="F1048" t="str">
        <f ca="1">IFERROR(__xludf.DUMMYFUNCTION("""COMPUTED_VALUE"""),"Kasaragod")</f>
        <v>Kasaragod</v>
      </c>
      <c r="G1048" t="str">
        <f ca="1">IFERROR(__xludf.DUMMYFUNCTION("""COMPUTED_VALUE"""),"Soura Natural Energy Solutions India Pvt. Ltd")</f>
        <v>Soura Natural Energy Solutions India Pvt. Ltd</v>
      </c>
      <c r="H1048">
        <f ca="1">IFERROR(__xludf.DUMMYFUNCTION("""COMPUTED_VALUE"""),11)</f>
        <v>11</v>
      </c>
      <c r="I1048" s="4">
        <f ca="1">IFERROR(__xludf.DUMMYFUNCTION("""COMPUTED_VALUE"""),43306)</f>
        <v>43306</v>
      </c>
      <c r="J1048">
        <f ca="1">IFERROR(__xludf.DUMMYFUNCTION("""COMPUTED_VALUE"""),3)</f>
        <v>3</v>
      </c>
      <c r="K1048">
        <f ca="1">IFERROR(__xludf.DUMMYFUNCTION("""COMPUTED_VALUE"""),1167565007484)</f>
        <v>1167565007484</v>
      </c>
      <c r="L1048" t="str">
        <f ca="1">IFERROR(__xludf.DUMMYFUNCTION("""COMPUTED_VALUE"""),"choyamkode")</f>
        <v>choyamkode</v>
      </c>
      <c r="M1048" t="str">
        <f ca="1">IFERROR(__xludf.DUMMYFUNCTION("""COMPUTED_VALUE"""),"I Accept")</f>
        <v>I Accept</v>
      </c>
      <c r="N1048" s="4">
        <f ca="1">IFERROR(__xludf.DUMMYFUNCTION("""COMPUTED_VALUE"""),43306)</f>
        <v>43306</v>
      </c>
      <c r="O1048" s="4">
        <f ca="1">IFERROR(__xludf.DUMMYFUNCTION("""COMPUTED_VALUE"""),43306)</f>
        <v>43306</v>
      </c>
      <c r="P1048">
        <f ca="1">IFERROR(__xludf.DUMMYFUNCTION("""COMPUTED_VALUE"""),3)</f>
        <v>3</v>
      </c>
      <c r="Q1048" t="str">
        <f ca="1">IFERROR(__xludf.DUMMYFUNCTION("""COMPUTED_VALUE"""),"resmi.soura@gmail.com")</f>
        <v>resmi.soura@gmail.com</v>
      </c>
      <c r="R1048" s="2" t="s">
        <v>3462</v>
      </c>
    </row>
    <row r="1049" spans="1:18" ht="13" x14ac:dyDescent="0.15">
      <c r="A1049" s="3">
        <f ca="1">IFERROR(__xludf.DUMMYFUNCTION("""COMPUTED_VALUE"""),43306.5093186458)</f>
        <v>43306.509318645803</v>
      </c>
      <c r="B1049" t="str">
        <f ca="1">IFERROR(__xludf.DUMMYFUNCTION("""COMPUTED_VALUE"""),"sumi.soura@gmail.com")</f>
        <v>sumi.soura@gmail.com</v>
      </c>
      <c r="C1049">
        <f ca="1">IFERROR(__xludf.DUMMYFUNCTION("""COMPUTED_VALUE"""),1301)</f>
        <v>1301</v>
      </c>
      <c r="D1049" s="22" t="str">
        <f ca="1">IFERROR(__xludf.DUMMYFUNCTION("""COMPUTED_VALUE""")," Asharaf.MB")</f>
        <v xml:space="preserve"> Asharaf.MB</v>
      </c>
      <c r="E1049">
        <f ca="1">IFERROR(__xludf.DUMMYFUNCTION("""COMPUTED_VALUE"""),9072626009)</f>
        <v>9072626009</v>
      </c>
      <c r="F1049" t="str">
        <f ca="1">IFERROR(__xludf.DUMMYFUNCTION("""COMPUTED_VALUE"""),"Kasaragod")</f>
        <v>Kasaragod</v>
      </c>
      <c r="G1049" t="str">
        <f ca="1">IFERROR(__xludf.DUMMYFUNCTION("""COMPUTED_VALUE"""),"Soura Natural Energy Solutions India Pvt. Ltd")</f>
        <v>Soura Natural Energy Solutions India Pvt. Ltd</v>
      </c>
      <c r="H1049">
        <f ca="1">IFERROR(__xludf.DUMMYFUNCTION("""COMPUTED_VALUE"""),11)</f>
        <v>11</v>
      </c>
      <c r="I1049" s="4">
        <f ca="1">IFERROR(__xludf.DUMMYFUNCTION("""COMPUTED_VALUE"""),43306)</f>
        <v>43306</v>
      </c>
      <c r="J1049">
        <f ca="1">IFERROR(__xludf.DUMMYFUNCTION("""COMPUTED_VALUE"""),3)</f>
        <v>3</v>
      </c>
      <c r="K1049">
        <f ca="1">IFERROR(__xludf.DUMMYFUNCTION("""COMPUTED_VALUE"""),1167017034297)</f>
        <v>1167017034297</v>
      </c>
      <c r="L1049" t="str">
        <f ca="1">IFERROR(__xludf.DUMMYFUNCTION("""COMPUTED_VALUE"""),"Mavumkal")</f>
        <v>Mavumkal</v>
      </c>
      <c r="M1049" t="str">
        <f ca="1">IFERROR(__xludf.DUMMYFUNCTION("""COMPUTED_VALUE"""),"I Accept")</f>
        <v>I Accept</v>
      </c>
      <c r="N1049" s="4">
        <f ca="1">IFERROR(__xludf.DUMMYFUNCTION("""COMPUTED_VALUE"""),43306)</f>
        <v>43306</v>
      </c>
      <c r="O1049" s="4">
        <f ca="1">IFERROR(__xludf.DUMMYFUNCTION("""COMPUTED_VALUE"""),43306)</f>
        <v>43306</v>
      </c>
      <c r="P1049">
        <f ca="1">IFERROR(__xludf.DUMMYFUNCTION("""COMPUTED_VALUE"""),3)</f>
        <v>3</v>
      </c>
      <c r="Q1049" t="str">
        <f ca="1">IFERROR(__xludf.DUMMYFUNCTION("""COMPUTED_VALUE"""),"resmi.soura@gmail.com")</f>
        <v>resmi.soura@gmail.com</v>
      </c>
      <c r="R1049" s="2" t="s">
        <v>3463</v>
      </c>
    </row>
    <row r="1050" spans="1:18" ht="13" x14ac:dyDescent="0.15">
      <c r="A1050" s="3">
        <f ca="1">IFERROR(__xludf.DUMMYFUNCTION("""COMPUTED_VALUE"""),43306.5094796296)</f>
        <v>43306.509479629603</v>
      </c>
      <c r="B1050" t="str">
        <f ca="1">IFERROR(__xludf.DUMMYFUNCTION("""COMPUTED_VALUE"""),"nestromarketing@gmail.com")</f>
        <v>nestromarketing@gmail.com</v>
      </c>
      <c r="C1050">
        <f ca="1">IFERROR(__xludf.DUMMYFUNCTION("""COMPUTED_VALUE"""),1260)</f>
        <v>1260</v>
      </c>
      <c r="D1050" t="str">
        <f ca="1">IFERROR(__xludf.DUMMYFUNCTION("""COMPUTED_VALUE""")," Muthanikkatt abdul hameed")</f>
        <v xml:space="preserve"> Muthanikkatt abdul hameed</v>
      </c>
      <c r="E1050">
        <f ca="1">IFERROR(__xludf.DUMMYFUNCTION("""COMPUTED_VALUE"""),9142099977)</f>
        <v>9142099977</v>
      </c>
      <c r="F1050" t="str">
        <f ca="1">IFERROR(__xludf.DUMMYFUNCTION("""COMPUTED_VALUE"""),"Malappuram")</f>
        <v>Malappuram</v>
      </c>
      <c r="G1050" t="str">
        <f ca="1">IFERROR(__xludf.DUMMYFUNCTION("""COMPUTED_VALUE"""),"NESTRO MARKETING LLP")</f>
        <v>NESTRO MARKETING LLP</v>
      </c>
      <c r="H1050">
        <f ca="1">IFERROR(__xludf.DUMMYFUNCTION("""COMPUTED_VALUE"""),14)</f>
        <v>14</v>
      </c>
      <c r="I1050" s="4">
        <f ca="1">IFERROR(__xludf.DUMMYFUNCTION("""COMPUTED_VALUE"""),43313)</f>
        <v>43313</v>
      </c>
      <c r="J1050">
        <f ca="1">IFERROR(__xludf.DUMMYFUNCTION("""COMPUTED_VALUE"""),3)</f>
        <v>3</v>
      </c>
      <c r="K1050">
        <f ca="1">IFERROR(__xludf.DUMMYFUNCTION("""COMPUTED_VALUE"""),1165709017685)</f>
        <v>1165709017685</v>
      </c>
      <c r="L1050" t="str">
        <f ca="1">IFERROR(__xludf.DUMMYFUNCTION("""COMPUTED_VALUE"""),"PONMUNDAM (6570)")</f>
        <v>PONMUNDAM (6570)</v>
      </c>
      <c r="M1050" t="str">
        <f ca="1">IFERROR(__xludf.DUMMYFUNCTION("""COMPUTED_VALUE"""),"I Accept")</f>
        <v>I Accept</v>
      </c>
      <c r="N1050" s="4">
        <f ca="1">IFERROR(__xludf.DUMMYFUNCTION("""COMPUTED_VALUE"""),43302)</f>
        <v>43302</v>
      </c>
      <c r="O1050" s="4">
        <f ca="1">IFERROR(__xludf.DUMMYFUNCTION("""COMPUTED_VALUE"""),43302)</f>
        <v>43302</v>
      </c>
      <c r="P1050">
        <f ca="1">IFERROR(__xludf.DUMMYFUNCTION("""COMPUTED_VALUE"""),3)</f>
        <v>3</v>
      </c>
      <c r="Q1050" t="str">
        <f ca="1">IFERROR(__xludf.DUMMYFUNCTION("""COMPUTED_VALUE"""),"nestromarketing@gmail.com")</f>
        <v>nestromarketing@gmail.com</v>
      </c>
      <c r="R1050" s="2" t="s">
        <v>3464</v>
      </c>
    </row>
    <row r="1051" spans="1:18" ht="13" x14ac:dyDescent="0.15">
      <c r="A1051" s="3">
        <f ca="1">IFERROR(__xludf.DUMMYFUNCTION("""COMPUTED_VALUE"""),43306.5119630208)</f>
        <v>43306.511963020799</v>
      </c>
      <c r="B1051" t="str">
        <f ca="1">IFERROR(__xludf.DUMMYFUNCTION("""COMPUTED_VALUE"""),"sumi.soura@gmail.com")</f>
        <v>sumi.soura@gmail.com</v>
      </c>
      <c r="C1051">
        <f ca="1">IFERROR(__xludf.DUMMYFUNCTION("""COMPUTED_VALUE"""),1302)</f>
        <v>1302</v>
      </c>
      <c r="D1051" t="str">
        <f ca="1">IFERROR(__xludf.DUMMYFUNCTION("""COMPUTED_VALUE"""),"Azeez")</f>
        <v>Azeez</v>
      </c>
      <c r="E1051">
        <f ca="1">IFERROR(__xludf.DUMMYFUNCTION("""COMPUTED_VALUE"""),9072626009)</f>
        <v>9072626009</v>
      </c>
      <c r="F1051" t="str">
        <f ca="1">IFERROR(__xludf.DUMMYFUNCTION("""COMPUTED_VALUE"""),"Kasaragod")</f>
        <v>Kasaragod</v>
      </c>
      <c r="G1051" t="str">
        <f ca="1">IFERROR(__xludf.DUMMYFUNCTION("""COMPUTED_VALUE"""),"Soura Natural Energy Solutions India Pvt. Ltd")</f>
        <v>Soura Natural Energy Solutions India Pvt. Ltd</v>
      </c>
      <c r="H1051">
        <f ca="1">IFERROR(__xludf.DUMMYFUNCTION("""COMPUTED_VALUE"""),11)</f>
        <v>11</v>
      </c>
      <c r="I1051" s="4">
        <f ca="1">IFERROR(__xludf.DUMMYFUNCTION("""COMPUTED_VALUE"""),43306)</f>
        <v>43306</v>
      </c>
      <c r="J1051">
        <f ca="1">IFERROR(__xludf.DUMMYFUNCTION("""COMPUTED_VALUE"""),2)</f>
        <v>2</v>
      </c>
      <c r="K1051">
        <f ca="1">IFERROR(__xludf.DUMMYFUNCTION("""COMPUTED_VALUE"""),1166980015771)</f>
        <v>1166980015771</v>
      </c>
      <c r="L1051" t="str">
        <f ca="1">IFERROR(__xludf.DUMMYFUNCTION("""COMPUTED_VALUE"""),"peelicode")</f>
        <v>peelicode</v>
      </c>
      <c r="M1051" t="str">
        <f ca="1">IFERROR(__xludf.DUMMYFUNCTION("""COMPUTED_VALUE"""),"I Accept")</f>
        <v>I Accept</v>
      </c>
      <c r="N1051" s="4">
        <f ca="1">IFERROR(__xludf.DUMMYFUNCTION("""COMPUTED_VALUE"""),43306)</f>
        <v>43306</v>
      </c>
      <c r="O1051" s="4">
        <f ca="1">IFERROR(__xludf.DUMMYFUNCTION("""COMPUTED_VALUE"""),43306)</f>
        <v>43306</v>
      </c>
      <c r="P1051">
        <f ca="1">IFERROR(__xludf.DUMMYFUNCTION("""COMPUTED_VALUE"""),2)</f>
        <v>2</v>
      </c>
      <c r="Q1051" t="str">
        <f ca="1">IFERROR(__xludf.DUMMYFUNCTION("""COMPUTED_VALUE"""),"smitha.soura@gmail.com")</f>
        <v>smitha.soura@gmail.com</v>
      </c>
      <c r="R1051" s="2" t="s">
        <v>3465</v>
      </c>
    </row>
    <row r="1052" spans="1:18" ht="13" x14ac:dyDescent="0.15">
      <c r="A1052" s="3">
        <f ca="1">IFERROR(__xludf.DUMMYFUNCTION("""COMPUTED_VALUE"""),43306.5512196875)</f>
        <v>43306.551219687499</v>
      </c>
      <c r="B1052" t="str">
        <f ca="1">IFERROR(__xludf.DUMMYFUNCTION("""COMPUTED_VALUE"""),"sales.kodco@gmail.com")</f>
        <v>sales.kodco@gmail.com</v>
      </c>
      <c r="C1052">
        <f ca="1">IFERROR(__xludf.DUMMYFUNCTION("""COMPUTED_VALUE"""),1254)</f>
        <v>1254</v>
      </c>
      <c r="D1052" t="str">
        <f ca="1">IFERROR(__xludf.DUMMYFUNCTION("""COMPUTED_VALUE"""),"RANJI SEBASTIAN")</f>
        <v>RANJI SEBASTIAN</v>
      </c>
      <c r="E1052">
        <f ca="1">IFERROR(__xludf.DUMMYFUNCTION("""COMPUTED_VALUE"""),9447176606)</f>
        <v>9447176606</v>
      </c>
      <c r="F1052" t="str">
        <f ca="1">IFERROR(__xludf.DUMMYFUNCTION("""COMPUTED_VALUE"""),"Kozhikode")</f>
        <v>Kozhikode</v>
      </c>
      <c r="G1052" t="str">
        <f ca="1">IFERROR(__xludf.DUMMYFUNCTION("""COMPUTED_VALUE"""),"TATA POWER SOLAR SYSTEMS LTD")</f>
        <v>TATA POWER SOLAR SYSTEMS LTD</v>
      </c>
      <c r="H1052">
        <f ca="1">IFERROR(__xludf.DUMMYFUNCTION("""COMPUTED_VALUE"""),20)</f>
        <v>20</v>
      </c>
      <c r="I1052" s="4">
        <f ca="1">IFERROR(__xludf.DUMMYFUNCTION("""COMPUTED_VALUE"""),43179)</f>
        <v>43179</v>
      </c>
      <c r="J1052">
        <f ca="1">IFERROR(__xludf.DUMMYFUNCTION("""COMPUTED_VALUE"""),3)</f>
        <v>3</v>
      </c>
      <c r="K1052">
        <f ca="1">IFERROR(__xludf.DUMMYFUNCTION("""COMPUTED_VALUE"""),1165957003142)</f>
        <v>1165957003142</v>
      </c>
      <c r="L1052" t="str">
        <f ca="1">IFERROR(__xludf.DUMMYFUNCTION("""COMPUTED_VALUE"""),"KOVOOR")</f>
        <v>KOVOOR</v>
      </c>
      <c r="M1052" t="str">
        <f ca="1">IFERROR(__xludf.DUMMYFUNCTION("""COMPUTED_VALUE"""),"I Accept")</f>
        <v>I Accept</v>
      </c>
      <c r="N1052" s="4">
        <f ca="1">IFERROR(__xludf.DUMMYFUNCTION("""COMPUTED_VALUE"""),43200)</f>
        <v>43200</v>
      </c>
      <c r="O1052" s="4">
        <f ca="1">IFERROR(__xludf.DUMMYFUNCTION("""COMPUTED_VALUE"""),43200)</f>
        <v>43200</v>
      </c>
      <c r="P1052">
        <f ca="1">IFERROR(__xludf.DUMMYFUNCTION("""COMPUTED_VALUE"""),3)</f>
        <v>3</v>
      </c>
      <c r="Q1052" t="str">
        <f ca="1">IFERROR(__xludf.DUMMYFUNCTION("""COMPUTED_VALUE"""),"sales.kodco@gmail.com")</f>
        <v>sales.kodco@gmail.com</v>
      </c>
      <c r="R1052" s="2" t="s">
        <v>3466</v>
      </c>
    </row>
    <row r="1053" spans="1:18" ht="13" x14ac:dyDescent="0.15">
      <c r="A1053" s="3">
        <f ca="1">IFERROR(__xludf.DUMMYFUNCTION("""COMPUTED_VALUE"""),43306.566252118)</f>
        <v>43306.566252117998</v>
      </c>
      <c r="B1053" t="str">
        <f ca="1">IFERROR(__xludf.DUMMYFUNCTION("""COMPUTED_VALUE"""),"sales.kodco@gmail.com")</f>
        <v>sales.kodco@gmail.com</v>
      </c>
      <c r="C1053">
        <f ca="1">IFERROR(__xludf.DUMMYFUNCTION("""COMPUTED_VALUE"""),1256)</f>
        <v>1256</v>
      </c>
      <c r="D1053" t="str">
        <f ca="1">IFERROR(__xludf.DUMMYFUNCTION("""COMPUTED_VALUE"""),"MUHAMMAD BASHEER")</f>
        <v>MUHAMMAD BASHEER</v>
      </c>
      <c r="E1053">
        <f ca="1">IFERROR(__xludf.DUMMYFUNCTION("""COMPUTED_VALUE"""),9745809030)</f>
        <v>9745809030</v>
      </c>
      <c r="F1053" t="str">
        <f ca="1">IFERROR(__xludf.DUMMYFUNCTION("""COMPUTED_VALUE"""),"Kozhikode")</f>
        <v>Kozhikode</v>
      </c>
      <c r="G1053" t="str">
        <f ca="1">IFERROR(__xludf.DUMMYFUNCTION("""COMPUTED_VALUE"""),"TATA POWER SOLAR SYSTEMS  LTD")</f>
        <v>TATA POWER SOLAR SYSTEMS  LTD</v>
      </c>
      <c r="H1053">
        <f ca="1">IFERROR(__xludf.DUMMYFUNCTION("""COMPUTED_VALUE"""),20)</f>
        <v>20</v>
      </c>
      <c r="I1053" s="4">
        <f ca="1">IFERROR(__xludf.DUMMYFUNCTION("""COMPUTED_VALUE"""),43295)</f>
        <v>43295</v>
      </c>
      <c r="J1053">
        <f ca="1">IFERROR(__xludf.DUMMYFUNCTION("""COMPUTED_VALUE"""),5)</f>
        <v>5</v>
      </c>
      <c r="K1053">
        <f ca="1">IFERROR(__xludf.DUMMYFUNCTION("""COMPUTED_VALUE"""),1166321015470)</f>
        <v>1166321015470</v>
      </c>
      <c r="L1053" t="str">
        <f ca="1">IFERROR(__xludf.DUMMYFUNCTION("""COMPUTED_VALUE"""),"KADALUNDI")</f>
        <v>KADALUNDI</v>
      </c>
      <c r="M1053" t="str">
        <f ca="1">IFERROR(__xludf.DUMMYFUNCTION("""COMPUTED_VALUE"""),"I Accept")</f>
        <v>I Accept</v>
      </c>
      <c r="N1053" s="4">
        <f ca="1">IFERROR(__xludf.DUMMYFUNCTION("""COMPUTED_VALUE"""),43241)</f>
        <v>43241</v>
      </c>
      <c r="O1053" s="4">
        <f ca="1">IFERROR(__xludf.DUMMYFUNCTION("""COMPUTED_VALUE"""),43241)</f>
        <v>43241</v>
      </c>
      <c r="P1053">
        <f ca="1">IFERROR(__xludf.DUMMYFUNCTION("""COMPUTED_VALUE"""),5)</f>
        <v>5</v>
      </c>
      <c r="Q1053" t="str">
        <f ca="1">IFERROR(__xludf.DUMMYFUNCTION("""COMPUTED_VALUE"""),"sales.kodco@gmail.com")</f>
        <v>sales.kodco@gmail.com</v>
      </c>
      <c r="R1053" s="2" t="s">
        <v>3467</v>
      </c>
    </row>
    <row r="1054" spans="1:18" ht="13" x14ac:dyDescent="0.15">
      <c r="A1054" s="3">
        <f ca="1">IFERROR(__xludf.DUMMYFUNCTION("""COMPUTED_VALUE"""),43306.6721850231)</f>
        <v>43306.672185023097</v>
      </c>
      <c r="B1054" t="str">
        <f ca="1">IFERROR(__xludf.DUMMYFUNCTION("""COMPUTED_VALUE"""),"smitha.soura@gmail.com")</f>
        <v>smitha.soura@gmail.com</v>
      </c>
      <c r="C1054">
        <f ca="1">IFERROR(__xludf.DUMMYFUNCTION("""COMPUTED_VALUE"""),1303)</f>
        <v>1303</v>
      </c>
      <c r="D1054" s="22" t="str">
        <f ca="1">IFERROR(__xludf.DUMMYFUNCTION("""COMPUTED_VALUE"""),"Ramachandran.CM")</f>
        <v>Ramachandran.CM</v>
      </c>
      <c r="E1054">
        <f ca="1">IFERROR(__xludf.DUMMYFUNCTION("""COMPUTED_VALUE"""),9072626009)</f>
        <v>9072626009</v>
      </c>
      <c r="F1054" t="str">
        <f ca="1">IFERROR(__xludf.DUMMYFUNCTION("""COMPUTED_VALUE"""),"Kasaragod")</f>
        <v>Kasaragod</v>
      </c>
      <c r="G1054" t="str">
        <f ca="1">IFERROR(__xludf.DUMMYFUNCTION("""COMPUTED_VALUE"""),"Soura Natural Energy Solutions India Pvt. Ltd")</f>
        <v>Soura Natural Energy Solutions India Pvt. Ltd</v>
      </c>
      <c r="H1054">
        <f ca="1">IFERROR(__xludf.DUMMYFUNCTION("""COMPUTED_VALUE"""),11)</f>
        <v>11</v>
      </c>
      <c r="I1054" s="4">
        <f ca="1">IFERROR(__xludf.DUMMYFUNCTION("""COMPUTED_VALUE"""),43306)</f>
        <v>43306</v>
      </c>
      <c r="J1054">
        <f ca="1">IFERROR(__xludf.DUMMYFUNCTION("""COMPUTED_VALUE"""),3)</f>
        <v>3</v>
      </c>
      <c r="K1054">
        <f ca="1">IFERROR(__xludf.DUMMYFUNCTION("""COMPUTED_VALUE"""),1166988011507)</f>
        <v>1166988011507</v>
      </c>
      <c r="L1054" t="str">
        <f ca="1">IFERROR(__xludf.DUMMYFUNCTION("""COMPUTED_VALUE"""),"maniyat")</f>
        <v>maniyat</v>
      </c>
      <c r="M1054" t="str">
        <f ca="1">IFERROR(__xludf.DUMMYFUNCTION("""COMPUTED_VALUE"""),"I Accept")</f>
        <v>I Accept</v>
      </c>
      <c r="N1054" s="4">
        <f ca="1">IFERROR(__xludf.DUMMYFUNCTION("""COMPUTED_VALUE"""),43306)</f>
        <v>43306</v>
      </c>
      <c r="O1054" s="4">
        <f ca="1">IFERROR(__xludf.DUMMYFUNCTION("""COMPUTED_VALUE"""),43306)</f>
        <v>43306</v>
      </c>
      <c r="P1054">
        <f ca="1">IFERROR(__xludf.DUMMYFUNCTION("""COMPUTED_VALUE"""),3)</f>
        <v>3</v>
      </c>
      <c r="Q1054" t="str">
        <f ca="1">IFERROR(__xludf.DUMMYFUNCTION("""COMPUTED_VALUE"""),"smitha.soura@gmail.com")</f>
        <v>smitha.soura@gmail.com</v>
      </c>
      <c r="R1054" s="2" t="s">
        <v>3468</v>
      </c>
    </row>
    <row r="1055" spans="1:18" ht="13" x14ac:dyDescent="0.15">
      <c r="A1055" s="3">
        <f ca="1">IFERROR(__xludf.DUMMYFUNCTION("""COMPUTED_VALUE"""),43306.7580790277)</f>
        <v>43306.758079027699</v>
      </c>
      <c r="B1055" t="str">
        <f ca="1">IFERROR(__xludf.DUMMYFUNCTION("""COMPUTED_VALUE"""),"warmncoolplr@gmail.com")</f>
        <v>warmncoolplr@gmail.com</v>
      </c>
      <c r="C1055">
        <f ca="1">IFERROR(__xludf.DUMMYFUNCTION("""COMPUTED_VALUE"""),1200)</f>
        <v>1200</v>
      </c>
      <c r="D1055" t="str">
        <f ca="1">IFERROR(__xludf.DUMMYFUNCTION("""COMPUTED_VALUE"""),"Easo")</f>
        <v>Easo</v>
      </c>
      <c r="E1055">
        <f ca="1">IFERROR(__xludf.DUMMYFUNCTION("""COMPUTED_VALUE"""),9946901109)</f>
        <v>9946901109</v>
      </c>
      <c r="F1055" t="str">
        <f ca="1">IFERROR(__xludf.DUMMYFUNCTION("""COMPUTED_VALUE"""),"Pathanamthitta")</f>
        <v>Pathanamthitta</v>
      </c>
      <c r="G1055" t="str">
        <f ca="1">IFERROR(__xludf.DUMMYFUNCTION("""COMPUTED_VALUE"""),"Solgen India Pvt Ltd")</f>
        <v>Solgen India Pvt Ltd</v>
      </c>
      <c r="H1055">
        <f ca="1">IFERROR(__xludf.DUMMYFUNCTION("""COMPUTED_VALUE"""),42)</f>
        <v>42</v>
      </c>
      <c r="I1055" s="4">
        <f ca="1">IFERROR(__xludf.DUMMYFUNCTION("""COMPUTED_VALUE"""),43306)</f>
        <v>43306</v>
      </c>
      <c r="J1055">
        <f ca="1">IFERROR(__xludf.DUMMYFUNCTION("""COMPUTED_VALUE"""),3)</f>
        <v>3</v>
      </c>
      <c r="K1055">
        <f ca="1">IFERROR(__xludf.DUMMYFUNCTION("""COMPUTED_VALUE"""),1146191003804)</f>
        <v>1146191003804</v>
      </c>
      <c r="L1055" t="str">
        <f ca="1">IFERROR(__xludf.DUMMYFUNCTION("""COMPUTED_VALUE"""),"Kumbanad")</f>
        <v>Kumbanad</v>
      </c>
      <c r="M1055" t="str">
        <f ca="1">IFERROR(__xludf.DUMMYFUNCTION("""COMPUTED_VALUE"""),"I Accept")</f>
        <v>I Accept</v>
      </c>
      <c r="N1055" s="4">
        <f ca="1">IFERROR(__xludf.DUMMYFUNCTION("""COMPUTED_VALUE"""),43306)</f>
        <v>43306</v>
      </c>
      <c r="O1055" s="4">
        <f ca="1">IFERROR(__xludf.DUMMYFUNCTION("""COMPUTED_VALUE"""),43306)</f>
        <v>43306</v>
      </c>
      <c r="P1055">
        <f ca="1">IFERROR(__xludf.DUMMYFUNCTION("""COMPUTED_VALUE"""),3)</f>
        <v>3</v>
      </c>
      <c r="Q1055" t="str">
        <f ca="1">IFERROR(__xludf.DUMMYFUNCTION("""COMPUTED_VALUE"""),"warmncoolplr@gmail.com")</f>
        <v>warmncoolplr@gmail.com</v>
      </c>
      <c r="R1055" s="2" t="s">
        <v>3469</v>
      </c>
    </row>
    <row r="1056" spans="1:18" ht="13" x14ac:dyDescent="0.15">
      <c r="A1056" s="3">
        <f ca="1">IFERROR(__xludf.DUMMYFUNCTION("""COMPUTED_VALUE"""),43306.7677128703)</f>
        <v>43306.7677128703</v>
      </c>
      <c r="B1056" t="str">
        <f ca="1">IFERROR(__xludf.DUMMYFUNCTION("""COMPUTED_VALUE"""),"warmncoolplr@gmail.com")</f>
        <v>warmncoolplr@gmail.com</v>
      </c>
      <c r="C1056">
        <f ca="1">IFERROR(__xludf.DUMMYFUNCTION("""COMPUTED_VALUE"""),1268)</f>
        <v>1268</v>
      </c>
      <c r="D1056" t="str">
        <f ca="1">IFERROR(__xludf.DUMMYFUNCTION("""COMPUTED_VALUE"""),"Chacko.K M")</f>
        <v>Chacko.K M</v>
      </c>
      <c r="E1056">
        <f ca="1">IFERROR(__xludf.DUMMYFUNCTION("""COMPUTED_VALUE"""),9946901109)</f>
        <v>9946901109</v>
      </c>
      <c r="F1056" t="str">
        <f ca="1">IFERROR(__xludf.DUMMYFUNCTION("""COMPUTED_VALUE"""),"Pathanamthitta")</f>
        <v>Pathanamthitta</v>
      </c>
      <c r="G1056" t="str">
        <f ca="1">IFERROR(__xludf.DUMMYFUNCTION("""COMPUTED_VALUE"""),"Solgen India Pvt Ltd")</f>
        <v>Solgen India Pvt Ltd</v>
      </c>
      <c r="H1056">
        <f ca="1">IFERROR(__xludf.DUMMYFUNCTION("""COMPUTED_VALUE"""),42)</f>
        <v>42</v>
      </c>
      <c r="I1056" s="4">
        <f ca="1">IFERROR(__xludf.DUMMYFUNCTION("""COMPUTED_VALUE"""),43306)</f>
        <v>43306</v>
      </c>
      <c r="J1056">
        <f ca="1">IFERROR(__xludf.DUMMYFUNCTION("""COMPUTED_VALUE"""),5)</f>
        <v>5</v>
      </c>
      <c r="K1056">
        <f ca="1">IFERROR(__xludf.DUMMYFUNCTION("""COMPUTED_VALUE"""),1146192001819)</f>
        <v>1146192001819</v>
      </c>
      <c r="L1056" t="str">
        <f ca="1">IFERROR(__xludf.DUMMYFUNCTION("""COMPUTED_VALUE"""),"Kumbanad")</f>
        <v>Kumbanad</v>
      </c>
      <c r="M1056" t="str">
        <f ca="1">IFERROR(__xludf.DUMMYFUNCTION("""COMPUTED_VALUE"""),"I Accept")</f>
        <v>I Accept</v>
      </c>
      <c r="N1056" s="4">
        <f ca="1">IFERROR(__xludf.DUMMYFUNCTION("""COMPUTED_VALUE"""),43306)</f>
        <v>43306</v>
      </c>
      <c r="O1056" s="4">
        <f ca="1">IFERROR(__xludf.DUMMYFUNCTION("""COMPUTED_VALUE"""),43306)</f>
        <v>43306</v>
      </c>
      <c r="P1056">
        <f ca="1">IFERROR(__xludf.DUMMYFUNCTION("""COMPUTED_VALUE"""),5)</f>
        <v>5</v>
      </c>
      <c r="Q1056" t="str">
        <f ca="1">IFERROR(__xludf.DUMMYFUNCTION("""COMPUTED_VALUE"""),"warmncoolplr@gmail.com")</f>
        <v>warmncoolplr@gmail.com</v>
      </c>
      <c r="R1056" s="2" t="s">
        <v>3470</v>
      </c>
    </row>
    <row r="1057" spans="1:18" ht="13" x14ac:dyDescent="0.15">
      <c r="A1057" s="3">
        <f ca="1">IFERROR(__xludf.DUMMYFUNCTION("""COMPUTED_VALUE"""),43308.5486257407)</f>
        <v>43308.548625740703</v>
      </c>
      <c r="B1057" t="str">
        <f ca="1">IFERROR(__xludf.DUMMYFUNCTION("""COMPUTED_VALUE"""),"info@solartechind.com")</f>
        <v>info@solartechind.com</v>
      </c>
      <c r="C1057">
        <f ca="1">IFERROR(__xludf.DUMMYFUNCTION("""COMPUTED_VALUE"""),1222)</f>
        <v>1222</v>
      </c>
      <c r="D1057" t="str">
        <f ca="1">IFERROR(__xludf.DUMMYFUNCTION("""COMPUTED_VALUE"""),"FATHIMATHU SUHADA")</f>
        <v>FATHIMATHU SUHADA</v>
      </c>
      <c r="E1057">
        <f ca="1">IFERROR(__xludf.DUMMYFUNCTION("""COMPUTED_VALUE"""),9387707733)</f>
        <v>9387707733</v>
      </c>
      <c r="F1057" t="str">
        <f ca="1">IFERROR(__xludf.DUMMYFUNCTION("""COMPUTED_VALUE"""),"Kozhikode")</f>
        <v>Kozhikode</v>
      </c>
      <c r="G1057" t="str">
        <f ca="1">IFERROR(__xludf.DUMMYFUNCTION("""COMPUTED_VALUE"""),"SOLARTECH")</f>
        <v>SOLARTECH</v>
      </c>
      <c r="H1057">
        <f ca="1">IFERROR(__xludf.DUMMYFUNCTION("""COMPUTED_VALUE"""),4)</f>
        <v>4</v>
      </c>
      <c r="I1057" s="4">
        <f ca="1">IFERROR(__xludf.DUMMYFUNCTION("""COMPUTED_VALUE"""),43277)</f>
        <v>43277</v>
      </c>
      <c r="J1057">
        <f ca="1">IFERROR(__xludf.DUMMYFUNCTION("""COMPUTED_VALUE"""),5)</f>
        <v>5</v>
      </c>
      <c r="K1057">
        <f ca="1">IFERROR(__xludf.DUMMYFUNCTION("""COMPUTED_VALUE"""),1168209013285)</f>
        <v>1168209013285</v>
      </c>
      <c r="L1057" t="str">
        <f ca="1">IFERROR(__xludf.DUMMYFUNCTION("""COMPUTED_VALUE"""),"Puzhakkattiri")</f>
        <v>Puzhakkattiri</v>
      </c>
      <c r="M1057" t="str">
        <f ca="1">IFERROR(__xludf.DUMMYFUNCTION("""COMPUTED_VALUE"""),"I Accept")</f>
        <v>I Accept</v>
      </c>
      <c r="N1057" s="4">
        <f ca="1">IFERROR(__xludf.DUMMYFUNCTION("""COMPUTED_VALUE"""),43298)</f>
        <v>43298</v>
      </c>
      <c r="O1057" s="4">
        <f ca="1">IFERROR(__xludf.DUMMYFUNCTION("""COMPUTED_VALUE"""),43298)</f>
        <v>43298</v>
      </c>
      <c r="P1057">
        <f ca="1">IFERROR(__xludf.DUMMYFUNCTION("""COMPUTED_VALUE"""),5)</f>
        <v>5</v>
      </c>
      <c r="Q1057" t="str">
        <f ca="1">IFERROR(__xludf.DUMMYFUNCTION("""COMPUTED_VALUE"""),"info@solartechind.com")</f>
        <v>info@solartechind.com</v>
      </c>
      <c r="R1057" s="2" t="s">
        <v>3471</v>
      </c>
    </row>
    <row r="1058" spans="1:18" ht="13" x14ac:dyDescent="0.15">
      <c r="A1058" s="3">
        <f ca="1">IFERROR(__xludf.DUMMYFUNCTION("""COMPUTED_VALUE"""),43309.4343641203)</f>
        <v>43309.434364120301</v>
      </c>
      <c r="B1058" t="str">
        <f ca="1">IFERROR(__xludf.DUMMYFUNCTION("""COMPUTED_VALUE"""),"sales.kodco@gmail.com")</f>
        <v>sales.kodco@gmail.com</v>
      </c>
      <c r="C1058">
        <f ca="1">IFERROR(__xludf.DUMMYFUNCTION("""COMPUTED_VALUE"""),1253)</f>
        <v>1253</v>
      </c>
      <c r="D1058" t="str">
        <f ca="1">IFERROR(__xludf.DUMMYFUNCTION("""COMPUTED_VALUE"""),"SATHEE JOHN")</f>
        <v>SATHEE JOHN</v>
      </c>
      <c r="E1058">
        <f ca="1">IFERROR(__xludf.DUMMYFUNCTION("""COMPUTED_VALUE"""),9947337988)</f>
        <v>9947337988</v>
      </c>
      <c r="F1058" t="str">
        <f ca="1">IFERROR(__xludf.DUMMYFUNCTION("""COMPUTED_VALUE"""),"Kozhikode")</f>
        <v>Kozhikode</v>
      </c>
      <c r="G1058" t="str">
        <f ca="1">IFERROR(__xludf.DUMMYFUNCTION("""COMPUTED_VALUE"""),"TATA POWER SOLAR")</f>
        <v>TATA POWER SOLAR</v>
      </c>
      <c r="H1058">
        <f ca="1">IFERROR(__xludf.DUMMYFUNCTION("""COMPUTED_VALUE"""),20)</f>
        <v>20</v>
      </c>
      <c r="I1058" s="4">
        <f ca="1">IFERROR(__xludf.DUMMYFUNCTION("""COMPUTED_VALUE"""),43162)</f>
        <v>43162</v>
      </c>
      <c r="J1058">
        <f ca="1">IFERROR(__xludf.DUMMYFUNCTION("""COMPUTED_VALUE"""),3)</f>
        <v>3</v>
      </c>
      <c r="K1058">
        <f ca="1">IFERROR(__xludf.DUMMYFUNCTION("""COMPUTED_VALUE"""),1166012014900)</f>
        <v>1166012014900</v>
      </c>
      <c r="L1058" t="str">
        <f ca="1">IFERROR(__xludf.DUMMYFUNCTION("""COMPUTED_VALUE"""),"NADAKKAVU")</f>
        <v>NADAKKAVU</v>
      </c>
      <c r="M1058" t="str">
        <f ca="1">IFERROR(__xludf.DUMMYFUNCTION("""COMPUTED_VALUE"""),"I Accept")</f>
        <v>I Accept</v>
      </c>
      <c r="N1058" s="4">
        <f ca="1">IFERROR(__xludf.DUMMYFUNCTION("""COMPUTED_VALUE"""),43161)</f>
        <v>43161</v>
      </c>
      <c r="O1058" s="4">
        <f ca="1">IFERROR(__xludf.DUMMYFUNCTION("""COMPUTED_VALUE"""),43161)</f>
        <v>43161</v>
      </c>
      <c r="P1058">
        <f ca="1">IFERROR(__xludf.DUMMYFUNCTION("""COMPUTED_VALUE"""),3)</f>
        <v>3</v>
      </c>
      <c r="Q1058" t="str">
        <f ca="1">IFERROR(__xludf.DUMMYFUNCTION("""COMPUTED_VALUE"""),"sales.kodco@gmail.com")</f>
        <v>sales.kodco@gmail.com</v>
      </c>
      <c r="R1058" s="2" t="s">
        <v>3472</v>
      </c>
    </row>
    <row r="1059" spans="1:18" ht="13" x14ac:dyDescent="0.15">
      <c r="A1059" s="3">
        <f ca="1">IFERROR(__xludf.DUMMYFUNCTION("""COMPUTED_VALUE"""),43309.4418683796)</f>
        <v>43309.441868379603</v>
      </c>
      <c r="B1059" t="str">
        <f ca="1">IFERROR(__xludf.DUMMYFUNCTION("""COMPUTED_VALUE"""),"info@solartechind.com")</f>
        <v>info@solartechind.com</v>
      </c>
      <c r="C1059">
        <f ca="1">IFERROR(__xludf.DUMMYFUNCTION("""COMPUTED_VALUE"""),1216)</f>
        <v>1216</v>
      </c>
      <c r="D1059" t="str">
        <f ca="1">IFERROR(__xludf.DUMMYFUNCTION("""COMPUTED_VALUE"""),"Ayisumma")</f>
        <v>Ayisumma</v>
      </c>
      <c r="E1059">
        <f ca="1">IFERROR(__xludf.DUMMYFUNCTION("""COMPUTED_VALUE"""),9387707733)</f>
        <v>9387707733</v>
      </c>
      <c r="F1059" t="str">
        <f ca="1">IFERROR(__xludf.DUMMYFUNCTION("""COMPUTED_VALUE"""),"Malappuram")</f>
        <v>Malappuram</v>
      </c>
      <c r="G1059" t="str">
        <f ca="1">IFERROR(__xludf.DUMMYFUNCTION("""COMPUTED_VALUE"""),"SOLARTECH")</f>
        <v>SOLARTECH</v>
      </c>
      <c r="H1059">
        <f ca="1">IFERROR(__xludf.DUMMYFUNCTION("""COMPUTED_VALUE"""),4)</f>
        <v>4</v>
      </c>
      <c r="I1059" s="4">
        <f ca="1">IFERROR(__xludf.DUMMYFUNCTION("""COMPUTED_VALUE"""),43279)</f>
        <v>43279</v>
      </c>
      <c r="J1059">
        <f ca="1">IFERROR(__xludf.DUMMYFUNCTION("""COMPUTED_VALUE"""),3)</f>
        <v>3</v>
      </c>
      <c r="K1059">
        <f ca="1">IFERROR(__xludf.DUMMYFUNCTION("""COMPUTED_VALUE"""),1105857009600)</f>
        <v>1105857009600</v>
      </c>
      <c r="L1059" t="str">
        <f ca="1">IFERROR(__xludf.DUMMYFUNCTION("""COMPUTED_VALUE"""),"Changaramkulam")</f>
        <v>Changaramkulam</v>
      </c>
      <c r="M1059" t="str">
        <f ca="1">IFERROR(__xludf.DUMMYFUNCTION("""COMPUTED_VALUE"""),"I Accept")</f>
        <v>I Accept</v>
      </c>
      <c r="N1059" s="4">
        <f ca="1">IFERROR(__xludf.DUMMYFUNCTION("""COMPUTED_VALUE"""),43295)</f>
        <v>43295</v>
      </c>
      <c r="O1059" s="4">
        <f ca="1">IFERROR(__xludf.DUMMYFUNCTION("""COMPUTED_VALUE"""),43295)</f>
        <v>43295</v>
      </c>
      <c r="P1059">
        <f ca="1">IFERROR(__xludf.DUMMYFUNCTION("""COMPUTED_VALUE"""),3)</f>
        <v>3</v>
      </c>
      <c r="Q1059" t="str">
        <f ca="1">IFERROR(__xludf.DUMMYFUNCTION("""COMPUTED_VALUE"""),"info@solartechind.com")</f>
        <v>info@solartechind.com</v>
      </c>
      <c r="R1059" s="2" t="s">
        <v>3473</v>
      </c>
    </row>
    <row r="1060" spans="1:18" ht="13" x14ac:dyDescent="0.15">
      <c r="A1060" s="3">
        <f ca="1">IFERROR(__xludf.DUMMYFUNCTION("""COMPUTED_VALUE"""),43309.6195094097)</f>
        <v>43309.619509409698</v>
      </c>
      <c r="B1060" t="str">
        <f ca="1">IFERROR(__xludf.DUMMYFUNCTION("""COMPUTED_VALUE"""),"info@solartechind.com")</f>
        <v>info@solartechind.com</v>
      </c>
      <c r="C1060">
        <f ca="1">IFERROR(__xludf.DUMMYFUNCTION("""COMPUTED_VALUE"""),1215)</f>
        <v>1215</v>
      </c>
      <c r="D1060" t="str">
        <f ca="1">IFERROR(__xludf.DUMMYFUNCTION("""COMPUTED_VALUE"""),"Abdul Basheer")</f>
        <v>Abdul Basheer</v>
      </c>
      <c r="E1060">
        <f ca="1">IFERROR(__xludf.DUMMYFUNCTION("""COMPUTED_VALUE"""),9387707733)</f>
        <v>9387707733</v>
      </c>
      <c r="F1060" t="str">
        <f ca="1">IFERROR(__xludf.DUMMYFUNCTION("""COMPUTED_VALUE"""),"Malappuram")</f>
        <v>Malappuram</v>
      </c>
      <c r="G1060" t="str">
        <f ca="1">IFERROR(__xludf.DUMMYFUNCTION("""COMPUTED_VALUE"""),"SOLARTECH")</f>
        <v>SOLARTECH</v>
      </c>
      <c r="H1060">
        <f ca="1">IFERROR(__xludf.DUMMYFUNCTION("""COMPUTED_VALUE"""),4)</f>
        <v>4</v>
      </c>
      <c r="I1060" s="4">
        <f ca="1">IFERROR(__xludf.DUMMYFUNCTION("""COMPUTED_VALUE"""),43271)</f>
        <v>43271</v>
      </c>
      <c r="J1060">
        <f ca="1">IFERROR(__xludf.DUMMYFUNCTION("""COMPUTED_VALUE"""),5)</f>
        <v>5</v>
      </c>
      <c r="K1060">
        <f ca="1">IFERROR(__xludf.DUMMYFUNCTION("""COMPUTED_VALUE"""),1165854022458)</f>
        <v>1165854022458</v>
      </c>
      <c r="L1060" t="str">
        <f ca="1">IFERROR(__xludf.DUMMYFUNCTION("""COMPUTED_VALUE"""),"Changaramkulam")</f>
        <v>Changaramkulam</v>
      </c>
      <c r="M1060" t="str">
        <f ca="1">IFERROR(__xludf.DUMMYFUNCTION("""COMPUTED_VALUE"""),"I Accept")</f>
        <v>I Accept</v>
      </c>
      <c r="N1060" s="4">
        <f ca="1">IFERROR(__xludf.DUMMYFUNCTION("""COMPUTED_VALUE"""),43295)</f>
        <v>43295</v>
      </c>
      <c r="O1060" s="4">
        <f ca="1">IFERROR(__xludf.DUMMYFUNCTION("""COMPUTED_VALUE"""),43295)</f>
        <v>43295</v>
      </c>
      <c r="P1060">
        <f ca="1">IFERROR(__xludf.DUMMYFUNCTION("""COMPUTED_VALUE"""),5)</f>
        <v>5</v>
      </c>
      <c r="Q1060" t="str">
        <f ca="1">IFERROR(__xludf.DUMMYFUNCTION("""COMPUTED_VALUE"""),"info@solartechind.com")</f>
        <v>info@solartechind.com</v>
      </c>
      <c r="R1060" s="2" t="s">
        <v>3474</v>
      </c>
    </row>
    <row r="1061" spans="1:18" ht="13" x14ac:dyDescent="0.15">
      <c r="A1061" s="3">
        <f ca="1">IFERROR(__xludf.DUMMYFUNCTION("""COMPUTED_VALUE"""),43312.4334198958)</f>
        <v>43312.433419895802</v>
      </c>
      <c r="B1061" t="str">
        <f ca="1">IFERROR(__xludf.DUMMYFUNCTION("""COMPUTED_VALUE"""),"sales.basta@gmail.com")</f>
        <v>sales.basta@gmail.com</v>
      </c>
      <c r="C1061">
        <f ca="1">IFERROR(__xludf.DUMMYFUNCTION("""COMPUTED_VALUE"""),1259)</f>
        <v>1259</v>
      </c>
      <c r="D1061" t="str">
        <f ca="1">IFERROR(__xludf.DUMMYFUNCTION("""COMPUTED_VALUE"""),"Varayil Lakshmanan")</f>
        <v>Varayil Lakshmanan</v>
      </c>
      <c r="E1061">
        <f ca="1">IFERROR(__xludf.DUMMYFUNCTION("""COMPUTED_VALUE"""),9061327111)</f>
        <v>9061327111</v>
      </c>
      <c r="F1061" t="str">
        <f ca="1">IFERROR(__xludf.DUMMYFUNCTION("""COMPUTED_VALUE"""),"Kannur")</f>
        <v>Kannur</v>
      </c>
      <c r="G1061" t="str">
        <f ca="1">IFERROR(__xludf.DUMMYFUNCTION("""COMPUTED_VALUE"""),"Bosch Limited")</f>
        <v>Bosch Limited</v>
      </c>
      <c r="H1061">
        <f ca="1">IFERROR(__xludf.DUMMYFUNCTION("""COMPUTED_VALUE"""),18)</f>
        <v>18</v>
      </c>
      <c r="I1061" s="4">
        <f ca="1">IFERROR(__xludf.DUMMYFUNCTION("""COMPUTED_VALUE"""),43312)</f>
        <v>43312</v>
      </c>
      <c r="J1061">
        <f ca="1">IFERROR(__xludf.DUMMYFUNCTION("""COMPUTED_VALUE"""),3)</f>
        <v>3</v>
      </c>
      <c r="K1061">
        <f ca="1">IFERROR(__xludf.DUMMYFUNCTION("""COMPUTED_VALUE"""),1166415007586)</f>
        <v>1166415007586</v>
      </c>
      <c r="L1061" t="str">
        <f ca="1">IFERROR(__xludf.DUMMYFUNCTION("""COMPUTED_VALUE"""),"Mathamangalam")</f>
        <v>Mathamangalam</v>
      </c>
      <c r="M1061" t="str">
        <f ca="1">IFERROR(__xludf.DUMMYFUNCTION("""COMPUTED_VALUE"""),"I Accept")</f>
        <v>I Accept</v>
      </c>
      <c r="N1061" s="4">
        <f ca="1">IFERROR(__xludf.DUMMYFUNCTION("""COMPUTED_VALUE"""),43311)</f>
        <v>43311</v>
      </c>
      <c r="O1061" s="4">
        <f ca="1">IFERROR(__xludf.DUMMYFUNCTION("""COMPUTED_VALUE"""),43311)</f>
        <v>43311</v>
      </c>
      <c r="P1061">
        <f ca="1">IFERROR(__xludf.DUMMYFUNCTION("""COMPUTED_VALUE"""),3)</f>
        <v>3</v>
      </c>
      <c r="Q1061" t="str">
        <f ca="1">IFERROR(__xludf.DUMMYFUNCTION("""COMPUTED_VALUE"""),"sales.basta@gmail.com")</f>
        <v>sales.basta@gmail.com</v>
      </c>
      <c r="R1061" s="2" t="s">
        <v>3475</v>
      </c>
    </row>
    <row r="1062" spans="1:18" ht="13" x14ac:dyDescent="0.15">
      <c r="A1062" s="3">
        <f ca="1">IFERROR(__xludf.DUMMYFUNCTION("""COMPUTED_VALUE"""),43313.4685658449)</f>
        <v>43313.468565844902</v>
      </c>
      <c r="B1062" t="str">
        <f ca="1">IFERROR(__xludf.DUMMYFUNCTION("""COMPUTED_VALUE"""),"info@solartechind.com")</f>
        <v>info@solartechind.com</v>
      </c>
      <c r="C1062">
        <f ca="1">IFERROR(__xludf.DUMMYFUNCTION("""COMPUTED_VALUE"""),1233)</f>
        <v>1233</v>
      </c>
      <c r="D1062" t="str">
        <f ca="1">IFERROR(__xludf.DUMMYFUNCTION("""COMPUTED_VALUE"""),"Geetha M")</f>
        <v>Geetha M</v>
      </c>
      <c r="E1062">
        <f ca="1">IFERROR(__xludf.DUMMYFUNCTION("""COMPUTED_VALUE"""),9387707733)</f>
        <v>9387707733</v>
      </c>
      <c r="F1062" t="str">
        <f ca="1">IFERROR(__xludf.DUMMYFUNCTION("""COMPUTED_VALUE"""),"Kozhikode")</f>
        <v>Kozhikode</v>
      </c>
      <c r="G1062" t="str">
        <f ca="1">IFERROR(__xludf.DUMMYFUNCTION("""COMPUTED_VALUE"""),"SOLARTECH")</f>
        <v>SOLARTECH</v>
      </c>
      <c r="H1062">
        <f ca="1">IFERROR(__xludf.DUMMYFUNCTION("""COMPUTED_VALUE"""),4)</f>
        <v>4</v>
      </c>
      <c r="I1062" s="4">
        <f ca="1">IFERROR(__xludf.DUMMYFUNCTION("""COMPUTED_VALUE"""),43271)</f>
        <v>43271</v>
      </c>
      <c r="J1062">
        <f ca="1">IFERROR(__xludf.DUMMYFUNCTION("""COMPUTED_VALUE"""),3)</f>
        <v>3</v>
      </c>
      <c r="K1062">
        <f ca="1">IFERROR(__xludf.DUMMYFUNCTION("""COMPUTED_VALUE"""),1165955023083)</f>
        <v>1165955023083</v>
      </c>
      <c r="L1062" t="str">
        <f ca="1">IFERROR(__xludf.DUMMYFUNCTION("""COMPUTED_VALUE"""),"Kovoor")</f>
        <v>Kovoor</v>
      </c>
      <c r="M1062" t="str">
        <f ca="1">IFERROR(__xludf.DUMMYFUNCTION("""COMPUTED_VALUE"""),"I Accept")</f>
        <v>I Accept</v>
      </c>
      <c r="N1062" s="4">
        <f ca="1">IFERROR(__xludf.DUMMYFUNCTION("""COMPUTED_VALUE"""),43285)</f>
        <v>43285</v>
      </c>
      <c r="O1062" s="4">
        <f ca="1">IFERROR(__xludf.DUMMYFUNCTION("""COMPUTED_VALUE"""),43285)</f>
        <v>43285</v>
      </c>
      <c r="P1062">
        <f ca="1">IFERROR(__xludf.DUMMYFUNCTION("""COMPUTED_VALUE"""),3)</f>
        <v>3</v>
      </c>
      <c r="Q1062" t="str">
        <f ca="1">IFERROR(__xludf.DUMMYFUNCTION("""COMPUTED_VALUE"""),"info@solartechind.com")</f>
        <v>info@solartechind.com</v>
      </c>
      <c r="R1062" s="2" t="s">
        <v>3476</v>
      </c>
    </row>
    <row r="1063" spans="1:18" ht="13" x14ac:dyDescent="0.15">
      <c r="A1063" s="3">
        <f ca="1">IFERROR(__xludf.DUMMYFUNCTION("""COMPUTED_VALUE"""),43325.711352824)</f>
        <v>43325.711352824001</v>
      </c>
      <c r="B1063" t="str">
        <f ca="1">IFERROR(__xludf.DUMMYFUNCTION("""COMPUTED_VALUE"""),"smith.soura@gmail.com")</f>
        <v>smith.soura@gmail.com</v>
      </c>
      <c r="C1063">
        <f ca="1">IFERROR(__xludf.DUMMYFUNCTION("""COMPUTED_VALUE"""),1305)</f>
        <v>1305</v>
      </c>
      <c r="D1063" t="str">
        <f ca="1">IFERROR(__xludf.DUMMYFUNCTION("""COMPUTED_VALUE"""),"B M A Mohammed Kunhi")</f>
        <v>B M A Mohammed Kunhi</v>
      </c>
      <c r="E1063">
        <f ca="1">IFERROR(__xludf.DUMMYFUNCTION("""COMPUTED_VALUE"""),8138027336)</f>
        <v>8138027336</v>
      </c>
      <c r="F1063" t="str">
        <f ca="1">IFERROR(__xludf.DUMMYFUNCTION("""COMPUTED_VALUE"""),"Kasaragod")</f>
        <v>Kasaragod</v>
      </c>
      <c r="G1063" t="str">
        <f ca="1">IFERROR(__xludf.DUMMYFUNCTION("""COMPUTED_VALUE"""),"Soura Natural Energy Solutions India Pvt. LTD")</f>
        <v>Soura Natural Energy Solutions India Pvt. LTD</v>
      </c>
      <c r="H1063">
        <f ca="1">IFERROR(__xludf.DUMMYFUNCTION("""COMPUTED_VALUE"""),11)</f>
        <v>11</v>
      </c>
      <c r="I1063" s="4">
        <f ca="1">IFERROR(__xludf.DUMMYFUNCTION("""COMPUTED_VALUE"""),43325)</f>
        <v>43325</v>
      </c>
      <c r="J1063">
        <f ca="1">IFERROR(__xludf.DUMMYFUNCTION("""COMPUTED_VALUE"""),15)</f>
        <v>15</v>
      </c>
      <c r="K1063">
        <f ca="1">IFERROR(__xludf.DUMMYFUNCTION("""COMPUTED_VALUE"""),1166886015257)</f>
        <v>1166886015257</v>
      </c>
      <c r="L1063" t="str">
        <f ca="1">IFERROR(__xludf.DUMMYFUNCTION("""COMPUTED_VALUE"""),"Kasaragod")</f>
        <v>Kasaragod</v>
      </c>
      <c r="M1063" t="str">
        <f ca="1">IFERROR(__xludf.DUMMYFUNCTION("""COMPUTED_VALUE"""),"I Accept")</f>
        <v>I Accept</v>
      </c>
      <c r="N1063" s="4">
        <f ca="1">IFERROR(__xludf.DUMMYFUNCTION("""COMPUTED_VALUE"""),43325)</f>
        <v>43325</v>
      </c>
      <c r="O1063" s="4">
        <f ca="1">IFERROR(__xludf.DUMMYFUNCTION("""COMPUTED_VALUE"""),43325)</f>
        <v>43325</v>
      </c>
      <c r="P1063">
        <f ca="1">IFERROR(__xludf.DUMMYFUNCTION("""COMPUTED_VALUE"""),15)</f>
        <v>15</v>
      </c>
      <c r="Q1063" t="str">
        <f ca="1">IFERROR(__xludf.DUMMYFUNCTION("""COMPUTED_VALUE"""),"resmi.soura@gmail.com")</f>
        <v>resmi.soura@gmail.com</v>
      </c>
      <c r="R1063" s="2" t="s">
        <v>3477</v>
      </c>
    </row>
    <row r="1064" spans="1:18" ht="13" x14ac:dyDescent="0.15">
      <c r="A1064" s="3">
        <f ca="1">IFERROR(__xludf.DUMMYFUNCTION("""COMPUTED_VALUE"""),43334.4817366087)</f>
        <v>43334.481736608701</v>
      </c>
      <c r="B1064" t="str">
        <f ca="1">IFERROR(__xludf.DUMMYFUNCTION("""COMPUTED_VALUE"""),"Keralasolarpes@gmail.com")</f>
        <v>Keralasolarpes@gmail.com</v>
      </c>
      <c r="C1064">
        <f ca="1">IFERROR(__xludf.DUMMYFUNCTION("""COMPUTED_VALUE"""),1270)</f>
        <v>1270</v>
      </c>
      <c r="D1064" t="str">
        <f ca="1">IFERROR(__xludf.DUMMYFUNCTION("""COMPUTED_VALUE"""),"Thomas Chakramakkil")</f>
        <v>Thomas Chakramakkil</v>
      </c>
      <c r="E1064">
        <f ca="1">IFERROR(__xludf.DUMMYFUNCTION("""COMPUTED_VALUE"""),9994175414)</f>
        <v>9994175414</v>
      </c>
      <c r="F1064" t="str">
        <f ca="1">IFERROR(__xludf.DUMMYFUNCTION("""COMPUTED_VALUE"""),"Palakkad")</f>
        <v>Palakkad</v>
      </c>
      <c r="G1064" t="str">
        <f ca="1">IFERROR(__xludf.DUMMYFUNCTION("""COMPUTED_VALUE"""),"Progen Energy Solutions")</f>
        <v>Progen Energy Solutions</v>
      </c>
      <c r="H1064">
        <f ca="1">IFERROR(__xludf.DUMMYFUNCTION("""COMPUTED_VALUE"""),68)</f>
        <v>68</v>
      </c>
      <c r="I1064" s="4">
        <f ca="1">IFERROR(__xludf.DUMMYFUNCTION("""COMPUTED_VALUE"""),43298)</f>
        <v>43298</v>
      </c>
      <c r="J1064">
        <f ca="1">IFERROR(__xludf.DUMMYFUNCTION("""COMPUTED_VALUE"""),100)</f>
        <v>100</v>
      </c>
      <c r="K1064">
        <f ca="1">IFERROR(__xludf.DUMMYFUNCTION("""COMPUTED_VALUE"""),1365060003323)</f>
        <v>1365060003323</v>
      </c>
      <c r="L1064" t="str">
        <f ca="1">IFERROR(__xludf.DUMMYFUNCTION("""COMPUTED_VALUE"""),"6506")</f>
        <v>6506</v>
      </c>
      <c r="M1064" t="str">
        <f ca="1">IFERROR(__xludf.DUMMYFUNCTION("""COMPUTED_VALUE"""),"I Accept")</f>
        <v>I Accept</v>
      </c>
      <c r="N1064" s="4">
        <f ca="1">IFERROR(__xludf.DUMMYFUNCTION("""COMPUTED_VALUE"""),43249)</f>
        <v>43249</v>
      </c>
      <c r="O1064" s="4">
        <f ca="1">IFERROR(__xludf.DUMMYFUNCTION("""COMPUTED_VALUE"""),43249)</f>
        <v>43249</v>
      </c>
      <c r="P1064">
        <f ca="1">IFERROR(__xludf.DUMMYFUNCTION("""COMPUTED_VALUE"""),200)</f>
        <v>200</v>
      </c>
      <c r="Q1064" t="str">
        <f ca="1">IFERROR(__xludf.DUMMYFUNCTION("""COMPUTED_VALUE"""),"Keralasolarpes@gmail.com")</f>
        <v>Keralasolarpes@gmail.com</v>
      </c>
      <c r="R1064" s="2" t="s">
        <v>3478</v>
      </c>
    </row>
    <row r="1065" spans="1:18" ht="13" x14ac:dyDescent="0.15">
      <c r="A1065" s="3">
        <f ca="1">IFERROR(__xludf.DUMMYFUNCTION("""COMPUTED_VALUE"""),43334.6275515856)</f>
        <v>43334.627551585603</v>
      </c>
      <c r="B1065" t="str">
        <f ca="1">IFERROR(__xludf.DUMMYFUNCTION("""COMPUTED_VALUE"""),"smitha.soura@gmail.com")</f>
        <v>smitha.soura@gmail.com</v>
      </c>
      <c r="C1065">
        <f ca="1">IFERROR(__xludf.DUMMYFUNCTION("""COMPUTED_VALUE"""),1306)</f>
        <v>1306</v>
      </c>
      <c r="D1065" t="str">
        <f ca="1">IFERROR(__xludf.DUMMYFUNCTION("""COMPUTED_VALUE"""),"P.A Najeeb")</f>
        <v>P.A Najeeb</v>
      </c>
      <c r="E1065">
        <f ca="1">IFERROR(__xludf.DUMMYFUNCTION("""COMPUTED_VALUE"""),9072626009)</f>
        <v>9072626009</v>
      </c>
      <c r="F1065" t="str">
        <f ca="1">IFERROR(__xludf.DUMMYFUNCTION("""COMPUTED_VALUE"""),"Kottayam")</f>
        <v>Kottayam</v>
      </c>
      <c r="G1065" t="str">
        <f ca="1">IFERROR(__xludf.DUMMYFUNCTION("""COMPUTED_VALUE""")," Soura Natural Energy Solutions India Pvt ltd")</f>
        <v xml:space="preserve"> Soura Natural Energy Solutions India Pvt ltd</v>
      </c>
      <c r="H1065">
        <f ca="1">IFERROR(__xludf.DUMMYFUNCTION("""COMPUTED_VALUE"""),11)</f>
        <v>11</v>
      </c>
      <c r="I1065" s="4">
        <f ca="1">IFERROR(__xludf.DUMMYFUNCTION("""COMPUTED_VALUE"""),43334)</f>
        <v>43334</v>
      </c>
      <c r="J1065">
        <f ca="1">IFERROR(__xludf.DUMMYFUNCTION("""COMPUTED_VALUE"""),3)</f>
        <v>3</v>
      </c>
      <c r="K1065">
        <f ca="1">IFERROR(__xludf.DUMMYFUNCTION("""COMPUTED_VALUE"""),1146352025963)</f>
        <v>1146352025963</v>
      </c>
      <c r="L1065" t="str">
        <f ca="1">IFERROR(__xludf.DUMMYFUNCTION("""COMPUTED_VALUE"""),"Kottayam east")</f>
        <v>Kottayam east</v>
      </c>
      <c r="M1065" t="str">
        <f ca="1">IFERROR(__xludf.DUMMYFUNCTION("""COMPUTED_VALUE"""),"I Accept")</f>
        <v>I Accept</v>
      </c>
      <c r="N1065" s="4">
        <f ca="1">IFERROR(__xludf.DUMMYFUNCTION("""COMPUTED_VALUE"""),43334)</f>
        <v>43334</v>
      </c>
      <c r="O1065" s="4">
        <f ca="1">IFERROR(__xludf.DUMMYFUNCTION("""COMPUTED_VALUE"""),43334)</f>
        <v>43334</v>
      </c>
      <c r="P1065">
        <f ca="1">IFERROR(__xludf.DUMMYFUNCTION("""COMPUTED_VALUE"""),3)</f>
        <v>3</v>
      </c>
      <c r="Q1065" t="str">
        <f ca="1">IFERROR(__xludf.DUMMYFUNCTION("""COMPUTED_VALUE"""),"smitha.soura@gmail.com")</f>
        <v>smitha.soura@gmail.com</v>
      </c>
      <c r="R1065" s="2" t="s">
        <v>3479</v>
      </c>
    </row>
    <row r="1066" spans="1:18" ht="13" x14ac:dyDescent="0.15">
      <c r="A1066" s="3">
        <f ca="1">IFERROR(__xludf.DUMMYFUNCTION("""COMPUTED_VALUE"""),43334.6322223263)</f>
        <v>43334.632222326298</v>
      </c>
      <c r="B1066" t="str">
        <f ca="1">IFERROR(__xludf.DUMMYFUNCTION("""COMPUTED_VALUE"""),"smitha.soura@gmail.com")</f>
        <v>smitha.soura@gmail.com</v>
      </c>
      <c r="C1066">
        <f ca="1">IFERROR(__xludf.DUMMYFUNCTION("""COMPUTED_VALUE"""),1307)</f>
        <v>1307</v>
      </c>
      <c r="D1066" t="str">
        <f ca="1">IFERROR(__xludf.DUMMYFUNCTION("""COMPUTED_VALUE"""),"Mohammed Rafi")</f>
        <v>Mohammed Rafi</v>
      </c>
      <c r="E1066">
        <f ca="1">IFERROR(__xludf.DUMMYFUNCTION("""COMPUTED_VALUE"""),8138027336)</f>
        <v>8138027336</v>
      </c>
      <c r="F1066" t="str">
        <f ca="1">IFERROR(__xludf.DUMMYFUNCTION("""COMPUTED_VALUE"""),"Thrissur")</f>
        <v>Thrissur</v>
      </c>
      <c r="G1066" t="str">
        <f ca="1">IFERROR(__xludf.DUMMYFUNCTION("""COMPUTED_VALUE"""),"smitha.soura@gmail.com")</f>
        <v>smitha.soura@gmail.com</v>
      </c>
      <c r="H1066">
        <f ca="1">IFERROR(__xludf.DUMMYFUNCTION("""COMPUTED_VALUE"""),11)</f>
        <v>11</v>
      </c>
      <c r="I1066" s="4">
        <f ca="1">IFERROR(__xludf.DUMMYFUNCTION("""COMPUTED_VALUE"""),43334)</f>
        <v>43334</v>
      </c>
      <c r="J1066">
        <f ca="1">IFERROR(__xludf.DUMMYFUNCTION("""COMPUTED_VALUE"""),5)</f>
        <v>5</v>
      </c>
      <c r="K1066">
        <f ca="1">IFERROR(__xludf.DUMMYFUNCTION("""COMPUTED_VALUE"""),1156652027606)</f>
        <v>1156652027606</v>
      </c>
      <c r="L1066" t="str">
        <f ca="1">IFERROR(__xludf.DUMMYFUNCTION("""COMPUTED_VALUE"""),"Eriyad")</f>
        <v>Eriyad</v>
      </c>
      <c r="M1066" t="str">
        <f ca="1">IFERROR(__xludf.DUMMYFUNCTION("""COMPUTED_VALUE"""),"I Accept")</f>
        <v>I Accept</v>
      </c>
      <c r="N1066" s="4">
        <f ca="1">IFERROR(__xludf.DUMMYFUNCTION("""COMPUTED_VALUE"""),43334)</f>
        <v>43334</v>
      </c>
      <c r="O1066" s="4">
        <f ca="1">IFERROR(__xludf.DUMMYFUNCTION("""COMPUTED_VALUE"""),43334)</f>
        <v>43334</v>
      </c>
      <c r="P1066">
        <f ca="1">IFERROR(__xludf.DUMMYFUNCTION("""COMPUTED_VALUE"""),5)</f>
        <v>5</v>
      </c>
      <c r="Q1066" t="str">
        <f ca="1">IFERROR(__xludf.DUMMYFUNCTION("""COMPUTED_VALUE"""),"smitha.soura@gmail.com")</f>
        <v>smitha.soura@gmail.com</v>
      </c>
      <c r="R1066" s="2" t="s">
        <v>3480</v>
      </c>
    </row>
    <row r="1067" spans="1:18" ht="13" x14ac:dyDescent="0.15">
      <c r="A1067" s="3">
        <f ca="1">IFERROR(__xludf.DUMMYFUNCTION("""COMPUTED_VALUE"""),43334.6346130555)</f>
        <v>43334.634613055503</v>
      </c>
      <c r="B1067" t="str">
        <f ca="1">IFERROR(__xludf.DUMMYFUNCTION("""COMPUTED_VALUE"""),"smitha.soura@gmail.com")</f>
        <v>smitha.soura@gmail.com</v>
      </c>
      <c r="C1067">
        <f ca="1">IFERROR(__xludf.DUMMYFUNCTION("""COMPUTED_VALUE"""),1308)</f>
        <v>1308</v>
      </c>
      <c r="D1067" s="22" t="str">
        <f ca="1">IFERROR(__xludf.DUMMYFUNCTION("""COMPUTED_VALUE"""),"Chinju.OM")</f>
        <v>Chinju.OM</v>
      </c>
      <c r="E1067">
        <f ca="1">IFERROR(__xludf.DUMMYFUNCTION("""COMPUTED_VALUE"""),7594933374)</f>
        <v>7594933374</v>
      </c>
      <c r="F1067" t="str">
        <f ca="1">IFERROR(__xludf.DUMMYFUNCTION("""COMPUTED_VALUE"""),"Thrissur")</f>
        <v>Thrissur</v>
      </c>
      <c r="G1067" t="str">
        <f ca="1">IFERROR(__xludf.DUMMYFUNCTION("""COMPUTED_VALUE""")," Soura Natural Energy Solutions India Pvt ltd")</f>
        <v xml:space="preserve"> Soura Natural Energy Solutions India Pvt ltd</v>
      </c>
      <c r="H1067">
        <f ca="1">IFERROR(__xludf.DUMMYFUNCTION("""COMPUTED_VALUE"""),11)</f>
        <v>11</v>
      </c>
      <c r="I1067" s="4">
        <f ca="1">IFERROR(__xludf.DUMMYFUNCTION("""COMPUTED_VALUE"""),43334)</f>
        <v>43334</v>
      </c>
      <c r="J1067">
        <f ca="1">IFERROR(__xludf.DUMMYFUNCTION("""COMPUTED_VALUE"""),5)</f>
        <v>5</v>
      </c>
      <c r="K1067">
        <f ca="1">IFERROR(__xludf.DUMMYFUNCTION("""COMPUTED_VALUE"""),1156639022701)</f>
        <v>1156639022701</v>
      </c>
      <c r="L1067" t="str">
        <f ca="1">IFERROR(__xludf.DUMMYFUNCTION("""COMPUTED_VALUE"""),"kodungaloor sec 1")</f>
        <v>kodungaloor sec 1</v>
      </c>
      <c r="M1067" t="str">
        <f ca="1">IFERROR(__xludf.DUMMYFUNCTION("""COMPUTED_VALUE"""),"I Accept")</f>
        <v>I Accept</v>
      </c>
      <c r="N1067" s="4">
        <f ca="1">IFERROR(__xludf.DUMMYFUNCTION("""COMPUTED_VALUE"""),43334)</f>
        <v>43334</v>
      </c>
      <c r="O1067" s="4">
        <f ca="1">IFERROR(__xludf.DUMMYFUNCTION("""COMPUTED_VALUE"""),43334)</f>
        <v>43334</v>
      </c>
      <c r="P1067">
        <f ca="1">IFERROR(__xludf.DUMMYFUNCTION("""COMPUTED_VALUE"""),5)</f>
        <v>5</v>
      </c>
      <c r="Q1067" t="str">
        <f ca="1">IFERROR(__xludf.DUMMYFUNCTION("""COMPUTED_VALUE"""),"smitha.soura@gmail.com")</f>
        <v>smitha.soura@gmail.com</v>
      </c>
      <c r="R1067" s="2" t="s">
        <v>3481</v>
      </c>
    </row>
    <row r="1068" spans="1:18" ht="13" x14ac:dyDescent="0.15">
      <c r="A1068" s="3">
        <f ca="1">IFERROR(__xludf.DUMMYFUNCTION("""COMPUTED_VALUE"""),43334.637274074)</f>
        <v>43334.637274073997</v>
      </c>
      <c r="B1068" t="str">
        <f ca="1">IFERROR(__xludf.DUMMYFUNCTION("""COMPUTED_VALUE"""),"smitha.soura@gmail.com")</f>
        <v>smitha.soura@gmail.com</v>
      </c>
      <c r="C1068">
        <f ca="1">IFERROR(__xludf.DUMMYFUNCTION("""COMPUTED_VALUE"""),1309)</f>
        <v>1309</v>
      </c>
      <c r="D1068" t="str">
        <f ca="1">IFERROR(__xludf.DUMMYFUNCTION("""COMPUTED_VALUE"""),"Shareef .PN")</f>
        <v>Shareef .PN</v>
      </c>
      <c r="E1068">
        <f ca="1">IFERROR(__xludf.DUMMYFUNCTION("""COMPUTED_VALUE"""),8138027336)</f>
        <v>8138027336</v>
      </c>
      <c r="F1068" t="str">
        <f ca="1">IFERROR(__xludf.DUMMYFUNCTION("""COMPUTED_VALUE"""),"Thrissur")</f>
        <v>Thrissur</v>
      </c>
      <c r="G1068" t="str">
        <f ca="1">IFERROR(__xludf.DUMMYFUNCTION("""COMPUTED_VALUE""")," Soura Natural Energy Solutions India Pvt ltd")</f>
        <v xml:space="preserve"> Soura Natural Energy Solutions India Pvt ltd</v>
      </c>
      <c r="H1068">
        <f ca="1">IFERROR(__xludf.DUMMYFUNCTION("""COMPUTED_VALUE"""),11)</f>
        <v>11</v>
      </c>
      <c r="I1068" s="4">
        <f ca="1">IFERROR(__xludf.DUMMYFUNCTION("""COMPUTED_VALUE"""),43334)</f>
        <v>43334</v>
      </c>
      <c r="J1068">
        <f ca="1">IFERROR(__xludf.DUMMYFUNCTION("""COMPUTED_VALUE"""),5)</f>
        <v>5</v>
      </c>
      <c r="K1068">
        <f ca="1">IFERROR(__xludf.DUMMYFUNCTION("""COMPUTED_VALUE"""),1156905012314)</f>
        <v>1156905012314</v>
      </c>
      <c r="L1068" t="str">
        <f ca="1">IFERROR(__xludf.DUMMYFUNCTION("""COMPUTED_VALUE"""),"Venkitangu")</f>
        <v>Venkitangu</v>
      </c>
      <c r="M1068" t="str">
        <f ca="1">IFERROR(__xludf.DUMMYFUNCTION("""COMPUTED_VALUE"""),"I Accept")</f>
        <v>I Accept</v>
      </c>
      <c r="N1068" s="4">
        <f ca="1">IFERROR(__xludf.DUMMYFUNCTION("""COMPUTED_VALUE"""),43334)</f>
        <v>43334</v>
      </c>
      <c r="O1068" s="4">
        <f ca="1">IFERROR(__xludf.DUMMYFUNCTION("""COMPUTED_VALUE"""),43334)</f>
        <v>43334</v>
      </c>
      <c r="P1068">
        <f ca="1">IFERROR(__xludf.DUMMYFUNCTION("""COMPUTED_VALUE"""),5)</f>
        <v>5</v>
      </c>
      <c r="Q1068" t="str">
        <f ca="1">IFERROR(__xludf.DUMMYFUNCTION("""COMPUTED_VALUE"""),"smitha.soura@gmail.com")</f>
        <v>smitha.soura@gmail.com</v>
      </c>
      <c r="R1068" s="2" t="s">
        <v>3482</v>
      </c>
    </row>
    <row r="1069" spans="1:18" ht="13" x14ac:dyDescent="0.15">
      <c r="A1069" s="3">
        <f ca="1">IFERROR(__xludf.DUMMYFUNCTION("""COMPUTED_VALUE"""),43334.6406452777)</f>
        <v>43334.640645277701</v>
      </c>
      <c r="B1069" t="str">
        <f ca="1">IFERROR(__xludf.DUMMYFUNCTION("""COMPUTED_VALUE"""),"smitha.soura@gmail.com")</f>
        <v>smitha.soura@gmail.com</v>
      </c>
      <c r="C1069">
        <f ca="1">IFERROR(__xludf.DUMMYFUNCTION("""COMPUTED_VALUE"""),1310)</f>
        <v>1310</v>
      </c>
      <c r="D1069" s="22" t="str">
        <f ca="1">IFERROR(__xludf.DUMMYFUNCTION("""COMPUTED_VALUE""")," Ajeesh.PA")</f>
        <v xml:space="preserve"> Ajeesh.PA</v>
      </c>
      <c r="E1069">
        <f ca="1">IFERROR(__xludf.DUMMYFUNCTION("""COMPUTED_VALUE"""),7594933374)</f>
        <v>7594933374</v>
      </c>
      <c r="F1069" t="str">
        <f ca="1">IFERROR(__xludf.DUMMYFUNCTION("""COMPUTED_VALUE"""),"Thrissur")</f>
        <v>Thrissur</v>
      </c>
      <c r="G1069" t="str">
        <f ca="1">IFERROR(__xludf.DUMMYFUNCTION("""COMPUTED_VALUE""")," Soura Natural Energy Solutions India Pvt ltd")</f>
        <v xml:space="preserve"> Soura Natural Energy Solutions India Pvt ltd</v>
      </c>
      <c r="H1069">
        <f ca="1">IFERROR(__xludf.DUMMYFUNCTION("""COMPUTED_VALUE"""),11)</f>
        <v>11</v>
      </c>
      <c r="I1069" s="4">
        <f ca="1">IFERROR(__xludf.DUMMYFUNCTION("""COMPUTED_VALUE"""),43334)</f>
        <v>43334</v>
      </c>
      <c r="J1069">
        <f ca="1">IFERROR(__xludf.DUMMYFUNCTION("""COMPUTED_VALUE"""),3)</f>
        <v>3</v>
      </c>
      <c r="K1069">
        <f ca="1">IFERROR(__xludf.DUMMYFUNCTION("""COMPUTED_VALUE"""),1156796016448)</f>
        <v>1156796016448</v>
      </c>
      <c r="L1069" t="str">
        <f ca="1">IFERROR(__xludf.DUMMYFUNCTION("""COMPUTED_VALUE"""),"arimboor")</f>
        <v>arimboor</v>
      </c>
      <c r="M1069" t="str">
        <f ca="1">IFERROR(__xludf.DUMMYFUNCTION("""COMPUTED_VALUE"""),"I Accept")</f>
        <v>I Accept</v>
      </c>
      <c r="N1069" s="4">
        <f ca="1">IFERROR(__xludf.DUMMYFUNCTION("""COMPUTED_VALUE"""),43334)</f>
        <v>43334</v>
      </c>
      <c r="O1069" s="4">
        <f ca="1">IFERROR(__xludf.DUMMYFUNCTION("""COMPUTED_VALUE"""),43334)</f>
        <v>43334</v>
      </c>
      <c r="P1069">
        <f ca="1">IFERROR(__xludf.DUMMYFUNCTION("""COMPUTED_VALUE"""),3)</f>
        <v>3</v>
      </c>
      <c r="Q1069" t="str">
        <f ca="1">IFERROR(__xludf.DUMMYFUNCTION("""COMPUTED_VALUE"""),"smitha.soura@gmail.com")</f>
        <v>smitha.soura@gmail.com</v>
      </c>
      <c r="R1069" s="2" t="s">
        <v>3483</v>
      </c>
    </row>
    <row r="1070" spans="1:18" ht="13" x14ac:dyDescent="0.15">
      <c r="A1070" s="3">
        <f ca="1">IFERROR(__xludf.DUMMYFUNCTION("""COMPUTED_VALUE"""),43334.643291331)</f>
        <v>43334.643291330998</v>
      </c>
      <c r="B1070" t="str">
        <f ca="1">IFERROR(__xludf.DUMMYFUNCTION("""COMPUTED_VALUE"""),"smitha.soura@gmail.com")</f>
        <v>smitha.soura@gmail.com</v>
      </c>
      <c r="C1070">
        <f ca="1">IFERROR(__xludf.DUMMYFUNCTION("""COMPUTED_VALUE"""),1311)</f>
        <v>1311</v>
      </c>
      <c r="D1070" t="str">
        <f ca="1">IFERROR(__xludf.DUMMYFUNCTION("""COMPUTED_VALUE"""),"Mohanan P")</f>
        <v>Mohanan P</v>
      </c>
      <c r="E1070">
        <f ca="1">IFERROR(__xludf.DUMMYFUNCTION("""COMPUTED_VALUE"""),8138027336)</f>
        <v>8138027336</v>
      </c>
      <c r="F1070" t="str">
        <f ca="1">IFERROR(__xludf.DUMMYFUNCTION("""COMPUTED_VALUE"""),"Thrissur")</f>
        <v>Thrissur</v>
      </c>
      <c r="G1070" t="str">
        <f ca="1">IFERROR(__xludf.DUMMYFUNCTION("""COMPUTED_VALUE""")," Soura Natural Energy Solutions India Pvt ltd")</f>
        <v xml:space="preserve"> Soura Natural Energy Solutions India Pvt ltd</v>
      </c>
      <c r="H1070">
        <f ca="1">IFERROR(__xludf.DUMMYFUNCTION("""COMPUTED_VALUE"""),11)</f>
        <v>11</v>
      </c>
      <c r="I1070" s="4">
        <f ca="1">IFERROR(__xludf.DUMMYFUNCTION("""COMPUTED_VALUE"""),43334)</f>
        <v>43334</v>
      </c>
      <c r="J1070">
        <f ca="1">IFERROR(__xludf.DUMMYFUNCTION("""COMPUTED_VALUE"""),5)</f>
        <v>5</v>
      </c>
      <c r="K1070">
        <f ca="1">IFERROR(__xludf.DUMMYFUNCTION("""COMPUTED_VALUE"""),1156614033385)</f>
        <v>1156614033385</v>
      </c>
      <c r="L1070" t="str">
        <f ca="1">IFERROR(__xludf.DUMMYFUNCTION("""COMPUTED_VALUE"""),"mathilakam")</f>
        <v>mathilakam</v>
      </c>
      <c r="M1070" t="str">
        <f ca="1">IFERROR(__xludf.DUMMYFUNCTION("""COMPUTED_VALUE"""),"I Accept")</f>
        <v>I Accept</v>
      </c>
      <c r="N1070" s="4">
        <f ca="1">IFERROR(__xludf.DUMMYFUNCTION("""COMPUTED_VALUE"""),43334)</f>
        <v>43334</v>
      </c>
      <c r="O1070" s="4">
        <f ca="1">IFERROR(__xludf.DUMMYFUNCTION("""COMPUTED_VALUE"""),43334)</f>
        <v>43334</v>
      </c>
      <c r="P1070">
        <f ca="1">IFERROR(__xludf.DUMMYFUNCTION("""COMPUTED_VALUE"""),5)</f>
        <v>5</v>
      </c>
      <c r="Q1070" t="str">
        <f ca="1">IFERROR(__xludf.DUMMYFUNCTION("""COMPUTED_VALUE"""),"smitha.soura@gmail.com")</f>
        <v>smitha.soura@gmail.com</v>
      </c>
      <c r="R1070" s="2" t="s">
        <v>3484</v>
      </c>
    </row>
    <row r="1071" spans="1:18" ht="13" x14ac:dyDescent="0.15">
      <c r="A1071" s="3">
        <f ca="1">IFERROR(__xludf.DUMMYFUNCTION("""COMPUTED_VALUE"""),43334.6461086342)</f>
        <v>43334.646108634202</v>
      </c>
      <c r="B1071" t="str">
        <f ca="1">IFERROR(__xludf.DUMMYFUNCTION("""COMPUTED_VALUE"""),"smitha.soura@gmail.com")</f>
        <v>smitha.soura@gmail.com</v>
      </c>
      <c r="C1071">
        <f ca="1">IFERROR(__xludf.DUMMYFUNCTION("""COMPUTED_VALUE"""),1312)</f>
        <v>1312</v>
      </c>
      <c r="D1071" t="str">
        <f ca="1">IFERROR(__xludf.DUMMYFUNCTION("""COMPUTED_VALUE""")," Sulaikha ")</f>
        <v xml:space="preserve"> Sulaikha </v>
      </c>
      <c r="E1071">
        <f ca="1">IFERROR(__xludf.DUMMYFUNCTION("""COMPUTED_VALUE"""),7594933374)</f>
        <v>7594933374</v>
      </c>
      <c r="F1071" t="str">
        <f ca="1">IFERROR(__xludf.DUMMYFUNCTION("""COMPUTED_VALUE"""),"Thrissur")</f>
        <v>Thrissur</v>
      </c>
      <c r="G1071" t="str">
        <f ca="1">IFERROR(__xludf.DUMMYFUNCTION("""COMPUTED_VALUE""")," Soura Natural Energy Solutions India Pvt ltd")</f>
        <v xml:space="preserve"> Soura Natural Energy Solutions India Pvt ltd</v>
      </c>
      <c r="H1071">
        <f ca="1">IFERROR(__xludf.DUMMYFUNCTION("""COMPUTED_VALUE"""),11)</f>
        <v>11</v>
      </c>
      <c r="I1071" s="4">
        <f ca="1">IFERROR(__xludf.DUMMYFUNCTION("""COMPUTED_VALUE"""),43334)</f>
        <v>43334</v>
      </c>
      <c r="J1071">
        <f ca="1">IFERROR(__xludf.DUMMYFUNCTION("""COMPUTED_VALUE"""),5)</f>
        <v>5</v>
      </c>
      <c r="K1071">
        <f ca="1">IFERROR(__xludf.DUMMYFUNCTION("""COMPUTED_VALUE"""),1156652026445)</f>
        <v>1156652026445</v>
      </c>
      <c r="L1071" t="str">
        <f ca="1">IFERROR(__xludf.DUMMYFUNCTION("""COMPUTED_VALUE"""),"eriyad")</f>
        <v>eriyad</v>
      </c>
      <c r="M1071" t="str">
        <f ca="1">IFERROR(__xludf.DUMMYFUNCTION("""COMPUTED_VALUE"""),"I Accept")</f>
        <v>I Accept</v>
      </c>
      <c r="N1071" s="4">
        <f ca="1">IFERROR(__xludf.DUMMYFUNCTION("""COMPUTED_VALUE"""),43334)</f>
        <v>43334</v>
      </c>
      <c r="O1071" s="4">
        <f ca="1">IFERROR(__xludf.DUMMYFUNCTION("""COMPUTED_VALUE"""),43334)</f>
        <v>43334</v>
      </c>
      <c r="P1071">
        <f ca="1">IFERROR(__xludf.DUMMYFUNCTION("""COMPUTED_VALUE"""),5)</f>
        <v>5</v>
      </c>
      <c r="Q1071" t="str">
        <f ca="1">IFERROR(__xludf.DUMMYFUNCTION("""COMPUTED_VALUE"""),"smitha.soura@gmail.com")</f>
        <v>smitha.soura@gmail.com</v>
      </c>
      <c r="R1071" s="2" t="s">
        <v>3485</v>
      </c>
    </row>
    <row r="1072" spans="1:18" ht="13" x14ac:dyDescent="0.15">
      <c r="A1072" s="3">
        <f ca="1">IFERROR(__xludf.DUMMYFUNCTION("""COMPUTED_VALUE"""),43334.6483890509)</f>
        <v>43334.648389050897</v>
      </c>
      <c r="B1072" t="str">
        <f ca="1">IFERROR(__xludf.DUMMYFUNCTION("""COMPUTED_VALUE"""),"smitha.soura@gmail.com")</f>
        <v>smitha.soura@gmail.com</v>
      </c>
      <c r="C1072">
        <f ca="1">IFERROR(__xludf.DUMMYFUNCTION("""COMPUTED_VALUE"""),1313)</f>
        <v>1313</v>
      </c>
      <c r="D1072" t="str">
        <f ca="1">IFERROR(__xludf.DUMMYFUNCTION("""COMPUTED_VALUE""")," Vasudevan. AS")</f>
        <v xml:space="preserve"> Vasudevan. AS</v>
      </c>
      <c r="E1072">
        <f ca="1">IFERROR(__xludf.DUMMYFUNCTION("""COMPUTED_VALUE"""),8138027336)</f>
        <v>8138027336</v>
      </c>
      <c r="F1072" t="str">
        <f ca="1">IFERROR(__xludf.DUMMYFUNCTION("""COMPUTED_VALUE"""),"Thrissur")</f>
        <v>Thrissur</v>
      </c>
      <c r="G1072" t="str">
        <f ca="1">IFERROR(__xludf.DUMMYFUNCTION("""COMPUTED_VALUE""")," Soura Natural Energy Solutions India Pvt ltd")</f>
        <v xml:space="preserve"> Soura Natural Energy Solutions India Pvt ltd</v>
      </c>
      <c r="H1072">
        <f ca="1">IFERROR(__xludf.DUMMYFUNCTION("""COMPUTED_VALUE"""),11)</f>
        <v>11</v>
      </c>
      <c r="I1072" s="4">
        <f ca="1">IFERROR(__xludf.DUMMYFUNCTION("""COMPUTED_VALUE"""),43334)</f>
        <v>43334</v>
      </c>
      <c r="J1072">
        <f ca="1">IFERROR(__xludf.DUMMYFUNCTION("""COMPUTED_VALUE"""),3)</f>
        <v>3</v>
      </c>
      <c r="K1072">
        <f ca="1">IFERROR(__xludf.DUMMYFUNCTION("""COMPUTED_VALUE"""),1156638015976)</f>
        <v>1156638015976</v>
      </c>
      <c r="L1072" t="str">
        <f ca="1">IFERROR(__xludf.DUMMYFUNCTION("""COMPUTED_VALUE"""),"kodungaloor sec 1")</f>
        <v>kodungaloor sec 1</v>
      </c>
      <c r="M1072" t="str">
        <f ca="1">IFERROR(__xludf.DUMMYFUNCTION("""COMPUTED_VALUE"""),"I Accept")</f>
        <v>I Accept</v>
      </c>
      <c r="N1072" s="4">
        <f ca="1">IFERROR(__xludf.DUMMYFUNCTION("""COMPUTED_VALUE"""),43334)</f>
        <v>43334</v>
      </c>
      <c r="O1072" s="4">
        <f ca="1">IFERROR(__xludf.DUMMYFUNCTION("""COMPUTED_VALUE"""),43334)</f>
        <v>43334</v>
      </c>
      <c r="P1072">
        <f ca="1">IFERROR(__xludf.DUMMYFUNCTION("""COMPUTED_VALUE"""),3)</f>
        <v>3</v>
      </c>
      <c r="Q1072" t="str">
        <f ca="1">IFERROR(__xludf.DUMMYFUNCTION("""COMPUTED_VALUE"""),"smitha.soura@gmail.com")</f>
        <v>smitha.soura@gmail.com</v>
      </c>
      <c r="R1072" s="2" t="s">
        <v>3486</v>
      </c>
    </row>
    <row r="1073" spans="1:18" ht="13" x14ac:dyDescent="0.15">
      <c r="A1073" s="3">
        <f ca="1">IFERROR(__xludf.DUMMYFUNCTION("""COMPUTED_VALUE"""),43334.6524051273)</f>
        <v>43334.652405127301</v>
      </c>
      <c r="B1073" t="str">
        <f ca="1">IFERROR(__xludf.DUMMYFUNCTION("""COMPUTED_VALUE"""),"smitha.soura@gmail.com")</f>
        <v>smitha.soura@gmail.com</v>
      </c>
      <c r="C1073">
        <f ca="1">IFERROR(__xludf.DUMMYFUNCTION("""COMPUTED_VALUE"""),1314)</f>
        <v>1314</v>
      </c>
      <c r="D1073" t="str">
        <f ca="1">IFERROR(__xludf.DUMMYFUNCTION("""COMPUTED_VALUE"""),"Manojkumar.k")</f>
        <v>Manojkumar.k</v>
      </c>
      <c r="E1073">
        <f ca="1">IFERROR(__xludf.DUMMYFUNCTION("""COMPUTED_VALUE"""),7594933374)</f>
        <v>7594933374</v>
      </c>
      <c r="F1073" t="str">
        <f ca="1">IFERROR(__xludf.DUMMYFUNCTION("""COMPUTED_VALUE"""),"Thrissur")</f>
        <v>Thrissur</v>
      </c>
      <c r="G1073" t="str">
        <f ca="1">IFERROR(__xludf.DUMMYFUNCTION("""COMPUTED_VALUE""")," Soura Natural Energy Solutions India Pvt ltd")</f>
        <v xml:space="preserve"> Soura Natural Energy Solutions India Pvt ltd</v>
      </c>
      <c r="H1073">
        <f ca="1">IFERROR(__xludf.DUMMYFUNCTION("""COMPUTED_VALUE"""),11)</f>
        <v>11</v>
      </c>
      <c r="I1073" s="4">
        <f ca="1">IFERROR(__xludf.DUMMYFUNCTION("""COMPUTED_VALUE"""),43334)</f>
        <v>43334</v>
      </c>
      <c r="J1073">
        <f ca="1">IFERROR(__xludf.DUMMYFUNCTION("""COMPUTED_VALUE"""),5)</f>
        <v>5</v>
      </c>
      <c r="K1073">
        <f ca="1">IFERROR(__xludf.DUMMYFUNCTION("""COMPUTED_VALUE"""),1156448030212)</f>
        <v>1156448030212</v>
      </c>
      <c r="L1073" t="str">
        <f ca="1">IFERROR(__xludf.DUMMYFUNCTION("""COMPUTED_VALUE"""),"irinjalakuda")</f>
        <v>irinjalakuda</v>
      </c>
      <c r="M1073" t="str">
        <f ca="1">IFERROR(__xludf.DUMMYFUNCTION("""COMPUTED_VALUE"""),"I Accept")</f>
        <v>I Accept</v>
      </c>
      <c r="N1073" s="4">
        <f ca="1">IFERROR(__xludf.DUMMYFUNCTION("""COMPUTED_VALUE"""),43334)</f>
        <v>43334</v>
      </c>
      <c r="O1073" s="4">
        <f ca="1">IFERROR(__xludf.DUMMYFUNCTION("""COMPUTED_VALUE"""),43334)</f>
        <v>43334</v>
      </c>
      <c r="P1073">
        <f ca="1">IFERROR(__xludf.DUMMYFUNCTION("""COMPUTED_VALUE"""),5)</f>
        <v>5</v>
      </c>
      <c r="Q1073" t="str">
        <f ca="1">IFERROR(__xludf.DUMMYFUNCTION("""COMPUTED_VALUE"""),"smitha.soura@gmail.com")</f>
        <v>smitha.soura@gmail.com</v>
      </c>
      <c r="R1073" s="2" t="s">
        <v>3487</v>
      </c>
    </row>
    <row r="1074" spans="1:18" ht="13" x14ac:dyDescent="0.15">
      <c r="A1074" s="3">
        <f ca="1">IFERROR(__xludf.DUMMYFUNCTION("""COMPUTED_VALUE"""),43334.654966655)</f>
        <v>43334.654966654998</v>
      </c>
      <c r="B1074" t="str">
        <f ca="1">IFERROR(__xludf.DUMMYFUNCTION("""COMPUTED_VALUE"""),"smitha.soura@gmail.com")</f>
        <v>smitha.soura@gmail.com</v>
      </c>
      <c r="C1074">
        <f ca="1">IFERROR(__xludf.DUMMYFUNCTION("""COMPUTED_VALUE"""),1315)</f>
        <v>1315</v>
      </c>
      <c r="D1074" t="str">
        <f ca="1">IFERROR(__xludf.DUMMYFUNCTION("""COMPUTED_VALUE"""),"P.I Abdulkhadar")</f>
        <v>P.I Abdulkhadar</v>
      </c>
      <c r="E1074">
        <f ca="1">IFERROR(__xludf.DUMMYFUNCTION("""COMPUTED_VALUE"""),8138027336)</f>
        <v>8138027336</v>
      </c>
      <c r="F1074" t="str">
        <f ca="1">IFERROR(__xludf.DUMMYFUNCTION("""COMPUTED_VALUE"""),"Thrissur")</f>
        <v>Thrissur</v>
      </c>
      <c r="G1074" t="str">
        <f ca="1">IFERROR(__xludf.DUMMYFUNCTION("""COMPUTED_VALUE""")," Soura Natural Energy Solutions India Pvt ltd")</f>
        <v xml:space="preserve"> Soura Natural Energy Solutions India Pvt ltd</v>
      </c>
      <c r="H1074">
        <f ca="1">IFERROR(__xludf.DUMMYFUNCTION("""COMPUTED_VALUE"""),11)</f>
        <v>11</v>
      </c>
      <c r="I1074" s="4">
        <f ca="1">IFERROR(__xludf.DUMMYFUNCTION("""COMPUTED_VALUE"""),43334)</f>
        <v>43334</v>
      </c>
      <c r="J1074">
        <f ca="1">IFERROR(__xludf.DUMMYFUNCTION("""COMPUTED_VALUE"""),15)</f>
        <v>15</v>
      </c>
      <c r="K1074">
        <f ca="1">IFERROR(__xludf.DUMMYFUNCTION("""COMPUTED_VALUE"""),1156844023996)</f>
        <v>1156844023996</v>
      </c>
      <c r="L1074" t="str">
        <f ca="1">IFERROR(__xludf.DUMMYFUNCTION("""COMPUTED_VALUE"""),"Kundannur")</f>
        <v>Kundannur</v>
      </c>
      <c r="M1074" t="str">
        <f ca="1">IFERROR(__xludf.DUMMYFUNCTION("""COMPUTED_VALUE"""),"I Accept")</f>
        <v>I Accept</v>
      </c>
      <c r="N1074" s="4">
        <f ca="1">IFERROR(__xludf.DUMMYFUNCTION("""COMPUTED_VALUE"""),43334)</f>
        <v>43334</v>
      </c>
      <c r="O1074" s="4">
        <f ca="1">IFERROR(__xludf.DUMMYFUNCTION("""COMPUTED_VALUE"""),43334)</f>
        <v>43334</v>
      </c>
      <c r="P1074">
        <f ca="1">IFERROR(__xludf.DUMMYFUNCTION("""COMPUTED_VALUE"""),15)</f>
        <v>15</v>
      </c>
      <c r="Q1074" t="str">
        <f ca="1">IFERROR(__xludf.DUMMYFUNCTION("""COMPUTED_VALUE"""),"smitha.soura@gmail.com")</f>
        <v>smitha.soura@gmail.com</v>
      </c>
      <c r="R1074" s="2" t="s">
        <v>3488</v>
      </c>
    </row>
    <row r="1075" spans="1:18" ht="13" x14ac:dyDescent="0.15">
      <c r="A1075" s="3">
        <f ca="1">IFERROR(__xludf.DUMMYFUNCTION("""COMPUTED_VALUE"""),43334.6595054513)</f>
        <v>43334.659505451302</v>
      </c>
      <c r="B1075" t="str">
        <f ca="1">IFERROR(__xludf.DUMMYFUNCTION("""COMPUTED_VALUE"""),"smitha.soura@gmail.com")</f>
        <v>smitha.soura@gmail.com</v>
      </c>
      <c r="C1075">
        <f ca="1">IFERROR(__xludf.DUMMYFUNCTION("""COMPUTED_VALUE"""),1316)</f>
        <v>1316</v>
      </c>
      <c r="D1075" t="str">
        <f ca="1">IFERROR(__xludf.DUMMYFUNCTION("""COMPUTED_VALUE"""),"M. Kanthimathy Ammal")</f>
        <v>M. Kanthimathy Ammal</v>
      </c>
      <c r="E1075">
        <f ca="1">IFERROR(__xludf.DUMMYFUNCTION("""COMPUTED_VALUE"""),638)</f>
        <v>638</v>
      </c>
      <c r="F1075" t="str">
        <f ca="1">IFERROR(__xludf.DUMMYFUNCTION("""COMPUTED_VALUE"""),"Thrissur")</f>
        <v>Thrissur</v>
      </c>
      <c r="G1075" t="str">
        <f ca="1">IFERROR(__xludf.DUMMYFUNCTION("""COMPUTED_VALUE""")," Soura Natural Energy Solutions India Pvt ltd")</f>
        <v xml:space="preserve"> Soura Natural Energy Solutions India Pvt ltd</v>
      </c>
      <c r="H1075">
        <f ca="1">IFERROR(__xludf.DUMMYFUNCTION("""COMPUTED_VALUE"""),11)</f>
        <v>11</v>
      </c>
      <c r="I1075" s="4">
        <f ca="1">IFERROR(__xludf.DUMMYFUNCTION("""COMPUTED_VALUE"""),43334)</f>
        <v>43334</v>
      </c>
      <c r="J1075">
        <f ca="1">IFERROR(__xludf.DUMMYFUNCTION("""COMPUTED_VALUE"""),5)</f>
        <v>5</v>
      </c>
      <c r="K1075">
        <f ca="1">IFERROR(__xludf.DUMMYFUNCTION("""COMPUTED_VALUE"""),638)</f>
        <v>638</v>
      </c>
      <c r="L1075" t="str">
        <f ca="1">IFERROR(__xludf.DUMMYFUNCTION("""COMPUTED_VALUE"""),"Thycaud")</f>
        <v>Thycaud</v>
      </c>
      <c r="M1075" t="str">
        <f ca="1">IFERROR(__xludf.DUMMYFUNCTION("""COMPUTED_VALUE"""),"I Accept")</f>
        <v>I Accept</v>
      </c>
      <c r="N1075" s="4">
        <f ca="1">IFERROR(__xludf.DUMMYFUNCTION("""COMPUTED_VALUE"""),43334)</f>
        <v>43334</v>
      </c>
      <c r="O1075" s="4">
        <f ca="1">IFERROR(__xludf.DUMMYFUNCTION("""COMPUTED_VALUE"""),43334)</f>
        <v>43334</v>
      </c>
      <c r="P1075">
        <f ca="1">IFERROR(__xludf.DUMMYFUNCTION("""COMPUTED_VALUE"""),5)</f>
        <v>5</v>
      </c>
      <c r="Q1075" t="str">
        <f ca="1">IFERROR(__xludf.DUMMYFUNCTION("""COMPUTED_VALUE"""),"smitha.soura@gmail.com")</f>
        <v>smitha.soura@gmail.com</v>
      </c>
      <c r="R1075" s="2" t="s">
        <v>3489</v>
      </c>
    </row>
    <row r="1076" spans="1:18" ht="13" x14ac:dyDescent="0.15">
      <c r="A1076" s="3">
        <f ca="1">IFERROR(__xludf.DUMMYFUNCTION("""COMPUTED_VALUE"""),43337.6164427662)</f>
        <v>43337.616442766201</v>
      </c>
      <c r="B1076" t="str">
        <f ca="1">IFERROR(__xludf.DUMMYFUNCTION("""COMPUTED_VALUE"""),"keralasolarpes@gmail.com")</f>
        <v>keralasolarpes@gmail.com</v>
      </c>
      <c r="C1076">
        <f ca="1">IFERROR(__xludf.DUMMYFUNCTION("""COMPUTED_VALUE"""),1271)</f>
        <v>1271</v>
      </c>
      <c r="D1076" t="str">
        <f ca="1">IFERROR(__xludf.DUMMYFUNCTION("""COMPUTED_VALUE"""),"T C Joseph")</f>
        <v>T C Joseph</v>
      </c>
      <c r="E1076">
        <f ca="1">IFERROR(__xludf.DUMMYFUNCTION("""COMPUTED_VALUE"""),9994175414)</f>
        <v>9994175414</v>
      </c>
      <c r="F1076" t="str">
        <f ca="1">IFERROR(__xludf.DUMMYFUNCTION("""COMPUTED_VALUE"""),"Kottayam")</f>
        <v>Kottayam</v>
      </c>
      <c r="G1076" t="str">
        <f ca="1">IFERROR(__xludf.DUMMYFUNCTION("""COMPUTED_VALUE"""),"Progen Energy Solutions")</f>
        <v>Progen Energy Solutions</v>
      </c>
      <c r="H1076">
        <f ca="1">IFERROR(__xludf.DUMMYFUNCTION("""COMPUTED_VALUE"""),68)</f>
        <v>68</v>
      </c>
      <c r="I1076" s="4">
        <f ca="1">IFERROR(__xludf.DUMMYFUNCTION("""COMPUTED_VALUE"""),43236)</f>
        <v>43236</v>
      </c>
      <c r="J1076">
        <f ca="1">IFERROR(__xludf.DUMMYFUNCTION("""COMPUTED_VALUE"""),3)</f>
        <v>3</v>
      </c>
      <c r="K1076">
        <f ca="1">IFERROR(__xludf.DUMMYFUNCTION("""COMPUTED_VALUE"""),1146364006585)</f>
        <v>1146364006585</v>
      </c>
      <c r="L1076" t="str">
        <f ca="1">IFERROR(__xludf.DUMMYFUNCTION("""COMPUTED_VALUE"""),"4636")</f>
        <v>4636</v>
      </c>
      <c r="M1076" t="str">
        <f ca="1">IFERROR(__xludf.DUMMYFUNCTION("""COMPUTED_VALUE"""),"I Accept")</f>
        <v>I Accept</v>
      </c>
      <c r="N1076" s="4">
        <f ca="1">IFERROR(__xludf.DUMMYFUNCTION("""COMPUTED_VALUE"""),43196)</f>
        <v>43196</v>
      </c>
      <c r="O1076" s="4">
        <f ca="1">IFERROR(__xludf.DUMMYFUNCTION("""COMPUTED_VALUE"""),43196)</f>
        <v>43196</v>
      </c>
      <c r="P1076">
        <f ca="1">IFERROR(__xludf.DUMMYFUNCTION("""COMPUTED_VALUE"""),3)</f>
        <v>3</v>
      </c>
      <c r="Q1076" t="str">
        <f ca="1">IFERROR(__xludf.DUMMYFUNCTION("""COMPUTED_VALUE"""),"keralasolarpes@gmail.com")</f>
        <v>keralasolarpes@gmail.com</v>
      </c>
      <c r="R1076" s="2" t="s">
        <v>3490</v>
      </c>
    </row>
    <row r="1077" spans="1:18" ht="13" x14ac:dyDescent="0.15">
      <c r="A1077" s="3">
        <f ca="1">IFERROR(__xludf.DUMMYFUNCTION("""COMPUTED_VALUE"""),43341.6430884953)</f>
        <v>43341.643088495301</v>
      </c>
      <c r="B1077" t="str">
        <f ca="1">IFERROR(__xludf.DUMMYFUNCTION("""COMPUTED_VALUE"""),"smitha.soura@gmail.com")</f>
        <v>smitha.soura@gmail.com</v>
      </c>
      <c r="C1077">
        <f ca="1">IFERROR(__xludf.DUMMYFUNCTION("""COMPUTED_VALUE"""),1317)</f>
        <v>1317</v>
      </c>
      <c r="D1077" t="str">
        <f ca="1">IFERROR(__xludf.DUMMYFUNCTION("""COMPUTED_VALUE"""),"Maya S S")</f>
        <v>Maya S S</v>
      </c>
      <c r="E1077">
        <f ca="1">IFERROR(__xludf.DUMMYFUNCTION("""COMPUTED_VALUE"""),9072626009)</f>
        <v>9072626009</v>
      </c>
      <c r="F1077" t="str">
        <f ca="1">IFERROR(__xludf.DUMMYFUNCTION("""COMPUTED_VALUE"""),"Ernakulam")</f>
        <v>Ernakulam</v>
      </c>
      <c r="G1077" t="str">
        <f ca="1">IFERROR(__xludf.DUMMYFUNCTION("""COMPUTED_VALUE""")," Soura Natural Energy Solutions India Pvt ltd")</f>
        <v xml:space="preserve"> Soura Natural Energy Solutions India Pvt ltd</v>
      </c>
      <c r="H1077">
        <f ca="1">IFERROR(__xludf.DUMMYFUNCTION("""COMPUTED_VALUE"""),11)</f>
        <v>11</v>
      </c>
      <c r="I1077" s="4">
        <f ca="1">IFERROR(__xludf.DUMMYFUNCTION("""COMPUTED_VALUE"""),43341)</f>
        <v>43341</v>
      </c>
      <c r="J1077">
        <f ca="1">IFERROR(__xludf.DUMMYFUNCTION("""COMPUTED_VALUE"""),3)</f>
        <v>3</v>
      </c>
      <c r="K1077">
        <f ca="1">IFERROR(__xludf.DUMMYFUNCTION("""COMPUTED_VALUE"""),1156029034769)</f>
        <v>1156029034769</v>
      </c>
      <c r="L1077" t="str">
        <f ca="1">IFERROR(__xludf.DUMMYFUNCTION("""COMPUTED_VALUE"""),"Varapuzha")</f>
        <v>Varapuzha</v>
      </c>
      <c r="M1077" t="str">
        <f ca="1">IFERROR(__xludf.DUMMYFUNCTION("""COMPUTED_VALUE"""),"I Accept")</f>
        <v>I Accept</v>
      </c>
      <c r="N1077" s="4">
        <f ca="1">IFERROR(__xludf.DUMMYFUNCTION("""COMPUTED_VALUE"""),43341)</f>
        <v>43341</v>
      </c>
      <c r="O1077" s="4">
        <f ca="1">IFERROR(__xludf.DUMMYFUNCTION("""COMPUTED_VALUE"""),43341)</f>
        <v>43341</v>
      </c>
      <c r="P1077">
        <f ca="1">IFERROR(__xludf.DUMMYFUNCTION("""COMPUTED_VALUE"""),3)</f>
        <v>3</v>
      </c>
      <c r="Q1077" t="str">
        <f ca="1">IFERROR(__xludf.DUMMYFUNCTION("""COMPUTED_VALUE"""),"smitha.soura@gmail.com")</f>
        <v>smitha.soura@gmail.com</v>
      </c>
      <c r="R1077" s="2" t="s">
        <v>3491</v>
      </c>
    </row>
    <row r="1078" spans="1:18" ht="13" x14ac:dyDescent="0.15">
      <c r="A1078" s="3">
        <f ca="1">IFERROR(__xludf.DUMMYFUNCTION("""COMPUTED_VALUE"""),43341.645964074)</f>
        <v>43341.645964073999</v>
      </c>
      <c r="B1078" t="str">
        <f ca="1">IFERROR(__xludf.DUMMYFUNCTION("""COMPUTED_VALUE"""),"resmi.soura@gmail.com")</f>
        <v>resmi.soura@gmail.com</v>
      </c>
      <c r="C1078">
        <f ca="1">IFERROR(__xludf.DUMMYFUNCTION("""COMPUTED_VALUE"""),1318)</f>
        <v>1318</v>
      </c>
      <c r="D1078" s="22" t="str">
        <f ca="1">IFERROR(__xludf.DUMMYFUNCTION("""COMPUTED_VALUE"""),"Bava.KA")</f>
        <v>Bava.KA</v>
      </c>
      <c r="E1078">
        <f ca="1">IFERROR(__xludf.DUMMYFUNCTION("""COMPUTED_VALUE"""),8138027336)</f>
        <v>8138027336</v>
      </c>
      <c r="F1078" t="str">
        <f ca="1">IFERROR(__xludf.DUMMYFUNCTION("""COMPUTED_VALUE"""),"Thrissur")</f>
        <v>Thrissur</v>
      </c>
      <c r="G1078" t="str">
        <f ca="1">IFERROR(__xludf.DUMMYFUNCTION("""COMPUTED_VALUE""")," Soura Natural Energy Solutions India Pvt ltd")</f>
        <v xml:space="preserve"> Soura Natural Energy Solutions India Pvt ltd</v>
      </c>
      <c r="H1078">
        <f ca="1">IFERROR(__xludf.DUMMYFUNCTION("""COMPUTED_VALUE"""),11)</f>
        <v>11</v>
      </c>
      <c r="I1078" s="4">
        <f ca="1">IFERROR(__xludf.DUMMYFUNCTION("""COMPUTED_VALUE"""),43341)</f>
        <v>43341</v>
      </c>
      <c r="J1078">
        <f ca="1">IFERROR(__xludf.DUMMYFUNCTION("""COMPUTED_VALUE"""),3)</f>
        <v>3</v>
      </c>
      <c r="K1078">
        <f ca="1">IFERROR(__xludf.DUMMYFUNCTION("""COMPUTED_VALUE"""),1156633022830)</f>
        <v>1156633022830</v>
      </c>
      <c r="L1078" t="str">
        <f ca="1">IFERROR(__xludf.DUMMYFUNCTION("""COMPUTED_VALUE"""),"Kodungalloor 1")</f>
        <v>Kodungalloor 1</v>
      </c>
      <c r="M1078" t="str">
        <f ca="1">IFERROR(__xludf.DUMMYFUNCTION("""COMPUTED_VALUE"""),"I Accept")</f>
        <v>I Accept</v>
      </c>
      <c r="N1078" s="4">
        <f ca="1">IFERROR(__xludf.DUMMYFUNCTION("""COMPUTED_VALUE"""),43341)</f>
        <v>43341</v>
      </c>
      <c r="O1078" s="4">
        <f ca="1">IFERROR(__xludf.DUMMYFUNCTION("""COMPUTED_VALUE"""),43341)</f>
        <v>43341</v>
      </c>
      <c r="P1078">
        <f ca="1">IFERROR(__xludf.DUMMYFUNCTION("""COMPUTED_VALUE"""),3)</f>
        <v>3</v>
      </c>
      <c r="Q1078" t="str">
        <f ca="1">IFERROR(__xludf.DUMMYFUNCTION("""COMPUTED_VALUE"""),"smitha.soura@gmail.com")</f>
        <v>smitha.soura@gmail.com</v>
      </c>
      <c r="R1078" s="2" t="s">
        <v>3492</v>
      </c>
    </row>
    <row r="1079" spans="1:18" ht="13" x14ac:dyDescent="0.15">
      <c r="A1079" s="3">
        <f ca="1">IFERROR(__xludf.DUMMYFUNCTION("""COMPUTED_VALUE"""),43341.6483227893)</f>
        <v>43341.648322789297</v>
      </c>
      <c r="B1079" t="str">
        <f ca="1">IFERROR(__xludf.DUMMYFUNCTION("""COMPUTED_VALUE"""),"smitha.soura@gmail.com")</f>
        <v>smitha.soura@gmail.com</v>
      </c>
      <c r="C1079">
        <f ca="1">IFERROR(__xludf.DUMMYFUNCTION("""COMPUTED_VALUE"""),1319)</f>
        <v>1319</v>
      </c>
      <c r="D1079" t="str">
        <f ca="1">IFERROR(__xludf.DUMMYFUNCTION("""COMPUTED_VALUE"""),"P.S Vidhyavathy")</f>
        <v>P.S Vidhyavathy</v>
      </c>
      <c r="E1079">
        <f ca="1">IFERROR(__xludf.DUMMYFUNCTION("""COMPUTED_VALUE"""),7594933374)</f>
        <v>7594933374</v>
      </c>
      <c r="F1079" t="str">
        <f ca="1">IFERROR(__xludf.DUMMYFUNCTION("""COMPUTED_VALUE"""),"Ernakulam")</f>
        <v>Ernakulam</v>
      </c>
      <c r="G1079" t="str">
        <f ca="1">IFERROR(__xludf.DUMMYFUNCTION("""COMPUTED_VALUE""")," Soura Natural Energy Solutions India Pvt ltd")</f>
        <v xml:space="preserve"> Soura Natural Energy Solutions India Pvt ltd</v>
      </c>
      <c r="H1079">
        <f ca="1">IFERROR(__xludf.DUMMYFUNCTION("""COMPUTED_VALUE"""),11)</f>
        <v>11</v>
      </c>
      <c r="I1079" s="4">
        <f ca="1">IFERROR(__xludf.DUMMYFUNCTION("""COMPUTED_VALUE"""),43341)</f>
        <v>43341</v>
      </c>
      <c r="J1079">
        <f ca="1">IFERROR(__xludf.DUMMYFUNCTION("""COMPUTED_VALUE"""),5)</f>
        <v>5</v>
      </c>
      <c r="K1079">
        <f ca="1">IFERROR(__xludf.DUMMYFUNCTION("""COMPUTED_VALUE"""),26303)</f>
        <v>26303</v>
      </c>
      <c r="L1079" t="str">
        <f ca="1">IFERROR(__xludf.DUMMYFUNCTION("""COMPUTED_VALUE"""),"Eranakulam Central Section")</f>
        <v>Eranakulam Central Section</v>
      </c>
      <c r="M1079" t="str">
        <f ca="1">IFERROR(__xludf.DUMMYFUNCTION("""COMPUTED_VALUE"""),"I Accept")</f>
        <v>I Accept</v>
      </c>
      <c r="N1079" s="4">
        <f ca="1">IFERROR(__xludf.DUMMYFUNCTION("""COMPUTED_VALUE"""),43341)</f>
        <v>43341</v>
      </c>
      <c r="O1079" s="4">
        <f ca="1">IFERROR(__xludf.DUMMYFUNCTION("""COMPUTED_VALUE"""),43341)</f>
        <v>43341</v>
      </c>
      <c r="P1079">
        <f ca="1">IFERROR(__xludf.DUMMYFUNCTION("""COMPUTED_VALUE"""),5)</f>
        <v>5</v>
      </c>
      <c r="Q1079" t="str">
        <f ca="1">IFERROR(__xludf.DUMMYFUNCTION("""COMPUTED_VALUE"""),"smitha.soura@gmail.com")</f>
        <v>smitha.soura@gmail.com</v>
      </c>
      <c r="R1079" s="2" t="s">
        <v>3493</v>
      </c>
    </row>
    <row r="1080" spans="1:18" ht="13" x14ac:dyDescent="0.15">
      <c r="A1080" s="3">
        <f ca="1">IFERROR(__xludf.DUMMYFUNCTION("""COMPUTED_VALUE"""),43341.6503984953)</f>
        <v>43341.650398495301</v>
      </c>
      <c r="B1080" t="str">
        <f ca="1">IFERROR(__xludf.DUMMYFUNCTION("""COMPUTED_VALUE"""),"smitha.soura@gmail.com")</f>
        <v>smitha.soura@gmail.com</v>
      </c>
      <c r="C1080">
        <f ca="1">IFERROR(__xludf.DUMMYFUNCTION("""COMPUTED_VALUE"""),1320)</f>
        <v>1320</v>
      </c>
      <c r="D1080" t="str">
        <f ca="1">IFERROR(__xludf.DUMMYFUNCTION("""COMPUTED_VALUE"""),"Jiji")</f>
        <v>Jiji</v>
      </c>
      <c r="E1080">
        <f ca="1">IFERROR(__xludf.DUMMYFUNCTION("""COMPUTED_VALUE"""),7594933374)</f>
        <v>7594933374</v>
      </c>
      <c r="F1080" t="str">
        <f ca="1">IFERROR(__xludf.DUMMYFUNCTION("""COMPUTED_VALUE"""),"Kollam")</f>
        <v>Kollam</v>
      </c>
      <c r="G1080" t="str">
        <f ca="1">IFERROR(__xludf.DUMMYFUNCTION("""COMPUTED_VALUE""")," Soura Natural Energy Solutions India Pvt ltd")</f>
        <v xml:space="preserve"> Soura Natural Energy Solutions India Pvt ltd</v>
      </c>
      <c r="H1080">
        <f ca="1">IFERROR(__xludf.DUMMYFUNCTION("""COMPUTED_VALUE"""),11)</f>
        <v>11</v>
      </c>
      <c r="I1080" s="4">
        <f ca="1">IFERROR(__xludf.DUMMYFUNCTION("""COMPUTED_VALUE"""),43341)</f>
        <v>43341</v>
      </c>
      <c r="J1080">
        <f ca="1">IFERROR(__xludf.DUMMYFUNCTION("""COMPUTED_VALUE"""),5)</f>
        <v>5</v>
      </c>
      <c r="K1080">
        <f ca="1">IFERROR(__xludf.DUMMYFUNCTION("""COMPUTED_VALUE"""),1145803015522)</f>
        <v>1145803015522</v>
      </c>
      <c r="L1080" t="str">
        <f ca="1">IFERROR(__xludf.DUMMYFUNCTION("""COMPUTED_VALUE"""),"Mayyanad")</f>
        <v>Mayyanad</v>
      </c>
      <c r="M1080" t="str">
        <f ca="1">IFERROR(__xludf.DUMMYFUNCTION("""COMPUTED_VALUE"""),"I Accept")</f>
        <v>I Accept</v>
      </c>
      <c r="N1080" s="4">
        <f ca="1">IFERROR(__xludf.DUMMYFUNCTION("""COMPUTED_VALUE"""),43341)</f>
        <v>43341</v>
      </c>
      <c r="O1080" s="4">
        <f ca="1">IFERROR(__xludf.DUMMYFUNCTION("""COMPUTED_VALUE"""),43341)</f>
        <v>43341</v>
      </c>
      <c r="P1080">
        <f ca="1">IFERROR(__xludf.DUMMYFUNCTION("""COMPUTED_VALUE"""),5)</f>
        <v>5</v>
      </c>
      <c r="Q1080" t="str">
        <f ca="1">IFERROR(__xludf.DUMMYFUNCTION("""COMPUTED_VALUE"""),"smitha.soura@gmail.com")</f>
        <v>smitha.soura@gmail.com</v>
      </c>
      <c r="R1080" s="2" t="s">
        <v>3494</v>
      </c>
    </row>
    <row r="1081" spans="1:18" ht="13" x14ac:dyDescent="0.15">
      <c r="A1081" s="3">
        <f ca="1">IFERROR(__xludf.DUMMYFUNCTION("""COMPUTED_VALUE"""),43341.6534812384)</f>
        <v>43341.653481238398</v>
      </c>
      <c r="B1081" t="str">
        <f ca="1">IFERROR(__xludf.DUMMYFUNCTION("""COMPUTED_VALUE"""),"smitha.soura@gmail.com")</f>
        <v>smitha.soura@gmail.com</v>
      </c>
      <c r="C1081">
        <f ca="1">IFERROR(__xludf.DUMMYFUNCTION("""COMPUTED_VALUE"""),1321)</f>
        <v>1321</v>
      </c>
      <c r="D1081" t="str">
        <f ca="1">IFERROR(__xludf.DUMMYFUNCTION("""COMPUTED_VALUE"""),"Murukesan V B")</f>
        <v>Murukesan V B</v>
      </c>
      <c r="E1081">
        <f ca="1">IFERROR(__xludf.DUMMYFUNCTION("""COMPUTED_VALUE"""),7594933374)</f>
        <v>7594933374</v>
      </c>
      <c r="F1081" t="str">
        <f ca="1">IFERROR(__xludf.DUMMYFUNCTION("""COMPUTED_VALUE"""),"Ernakulam")</f>
        <v>Ernakulam</v>
      </c>
      <c r="G1081" t="str">
        <f ca="1">IFERROR(__xludf.DUMMYFUNCTION("""COMPUTED_VALUE""")," Soura Natural Energy Solutions India Pvt ltd")</f>
        <v xml:space="preserve"> Soura Natural Energy Solutions India Pvt ltd</v>
      </c>
      <c r="H1081">
        <f ca="1">IFERROR(__xludf.DUMMYFUNCTION("""COMPUTED_VALUE"""),11)</f>
        <v>11</v>
      </c>
      <c r="I1081" s="4">
        <f ca="1">IFERROR(__xludf.DUMMYFUNCTION("""COMPUTED_VALUE"""),43341)</f>
        <v>43341</v>
      </c>
      <c r="J1081">
        <f ca="1">IFERROR(__xludf.DUMMYFUNCTION("""COMPUTED_VALUE"""),5)</f>
        <v>5</v>
      </c>
      <c r="K1081">
        <f ca="1">IFERROR(__xludf.DUMMYFUNCTION("""COMPUTED_VALUE"""),1156043031499)</f>
        <v>1156043031499</v>
      </c>
      <c r="L1081" t="str">
        <f ca="1">IFERROR(__xludf.DUMMYFUNCTION("""COMPUTED_VALUE"""),"N.Paravur")</f>
        <v>N.Paravur</v>
      </c>
      <c r="M1081" t="str">
        <f ca="1">IFERROR(__xludf.DUMMYFUNCTION("""COMPUTED_VALUE"""),"I Accept")</f>
        <v>I Accept</v>
      </c>
      <c r="N1081" s="4">
        <f ca="1">IFERROR(__xludf.DUMMYFUNCTION("""COMPUTED_VALUE"""),43341)</f>
        <v>43341</v>
      </c>
      <c r="O1081" s="4">
        <f ca="1">IFERROR(__xludf.DUMMYFUNCTION("""COMPUTED_VALUE"""),43341)</f>
        <v>43341</v>
      </c>
      <c r="P1081">
        <f ca="1">IFERROR(__xludf.DUMMYFUNCTION("""COMPUTED_VALUE"""),5)</f>
        <v>5</v>
      </c>
      <c r="Q1081" t="str">
        <f ca="1">IFERROR(__xludf.DUMMYFUNCTION("""COMPUTED_VALUE"""),"smitha.soura@gmail.com")</f>
        <v>smitha.soura@gmail.com</v>
      </c>
      <c r="R1081" s="2" t="s">
        <v>3495</v>
      </c>
    </row>
    <row r="1082" spans="1:18" ht="13" x14ac:dyDescent="0.15">
      <c r="A1082" s="3">
        <f ca="1">IFERROR(__xludf.DUMMYFUNCTION("""COMPUTED_VALUE"""),43344.8832407638)</f>
        <v>43344.883240763796</v>
      </c>
      <c r="B1082" t="str">
        <f ca="1">IFERROR(__xludf.DUMMYFUNCTION("""COMPUTED_VALUE"""),"vinod.m.krishnan@gmail.com")</f>
        <v>vinod.m.krishnan@gmail.com</v>
      </c>
      <c r="C1082">
        <f ca="1">IFERROR(__xludf.DUMMYFUNCTION("""COMPUTED_VALUE"""),884)</f>
        <v>884</v>
      </c>
      <c r="D1082" t="str">
        <f ca="1">IFERROR(__xludf.DUMMYFUNCTION("""COMPUTED_VALUE"""),"VINOD M K")</f>
        <v>VINOD M K</v>
      </c>
      <c r="E1082">
        <f ca="1">IFERROR(__xludf.DUMMYFUNCTION("""COMPUTED_VALUE"""),9895192550)</f>
        <v>9895192550</v>
      </c>
      <c r="F1082" t="str">
        <f ca="1">IFERROR(__xludf.DUMMYFUNCTION("""COMPUTED_VALUE"""),"Palakkad")</f>
        <v>Palakkad</v>
      </c>
      <c r="G1082" t="str">
        <f ca="1">IFERROR(__xludf.DUMMYFUNCTION("""COMPUTED_VALUE"""),"RAIDCO KERALA LTD")</f>
        <v>RAIDCO KERALA LTD</v>
      </c>
      <c r="H1082">
        <f ca="1">IFERROR(__xludf.DUMMYFUNCTION("""COMPUTED_VALUE"""),69)</f>
        <v>69</v>
      </c>
      <c r="I1082" s="4">
        <f ca="1">IFERROR(__xludf.DUMMYFUNCTION("""COMPUTED_VALUE"""),43344)</f>
        <v>43344</v>
      </c>
      <c r="J1082">
        <f ca="1">IFERROR(__xludf.DUMMYFUNCTION("""COMPUTED_VALUE"""),3)</f>
        <v>3</v>
      </c>
      <c r="K1082">
        <f ca="1">IFERROR(__xludf.DUMMYFUNCTION("""COMPUTED_VALUE"""),1165338042666)</f>
        <v>1165338042666</v>
      </c>
      <c r="L1082" t="str">
        <f ca="1">IFERROR(__xludf.DUMMYFUNCTION("""COMPUTED_VALUE"""),"OTTAPPALAM")</f>
        <v>OTTAPPALAM</v>
      </c>
      <c r="M1082" t="str">
        <f ca="1">IFERROR(__xludf.DUMMYFUNCTION("""COMPUTED_VALUE"""),"I Accept")</f>
        <v>I Accept</v>
      </c>
      <c r="N1082" s="4">
        <f ca="1">IFERROR(__xludf.DUMMYFUNCTION("""COMPUTED_VALUE"""),43344)</f>
        <v>43344</v>
      </c>
      <c r="O1082" s="4">
        <f ca="1">IFERROR(__xludf.DUMMYFUNCTION("""COMPUTED_VALUE"""),43344)</f>
        <v>43344</v>
      </c>
      <c r="P1082">
        <f ca="1">IFERROR(__xludf.DUMMYFUNCTION("""COMPUTED_VALUE"""),3)</f>
        <v>3</v>
      </c>
      <c r="Q1082" t="str">
        <f ca="1">IFERROR(__xludf.DUMMYFUNCTION("""COMPUTED_VALUE"""),"vinod.m.krishnan@gmail.com")</f>
        <v>vinod.m.krishnan@gmail.com</v>
      </c>
      <c r="R1082" s="2" t="s">
        <v>3496</v>
      </c>
    </row>
    <row r="1083" spans="1:18" ht="13" x14ac:dyDescent="0.15">
      <c r="A1083" s="3">
        <f ca="1">IFERROR(__xludf.DUMMYFUNCTION("""COMPUTED_VALUE"""),43354.6803651851)</f>
        <v>43354.680365185101</v>
      </c>
      <c r="B1083" t="str">
        <f ca="1">IFERROR(__xludf.DUMMYFUNCTION("""COMPUTED_VALUE"""),"lawrencevetticat@gmail.com")</f>
        <v>lawrencevetticat@gmail.com</v>
      </c>
      <c r="C1083">
        <f ca="1">IFERROR(__xludf.DUMMYFUNCTION("""COMPUTED_VALUE"""),879428371765)</f>
        <v>879428371765</v>
      </c>
      <c r="D1083" t="str">
        <f ca="1">IFERROR(__xludf.DUMMYFUNCTION("""COMPUTED_VALUE"""),"Lawrence M Thomas")</f>
        <v>Lawrence M Thomas</v>
      </c>
      <c r="E1083">
        <f ca="1">IFERROR(__xludf.DUMMYFUNCTION("""COMPUTED_VALUE"""),9995429398)</f>
        <v>9995429398</v>
      </c>
      <c r="F1083" t="str">
        <f ca="1">IFERROR(__xludf.DUMMYFUNCTION("""COMPUTED_VALUE"""),"Ernakulam")</f>
        <v>Ernakulam</v>
      </c>
      <c r="G1083" t="str">
        <f ca="1">IFERROR(__xludf.DUMMYFUNCTION("""COMPUTED_VALUE"""),"Greenroof Solar Pvt ltd")</f>
        <v>Greenroof Solar Pvt ltd</v>
      </c>
      <c r="H1083">
        <f ca="1">IFERROR(__xludf.DUMMYFUNCTION("""COMPUTED_VALUE"""),24)</f>
        <v>24</v>
      </c>
      <c r="I1083" s="4">
        <f ca="1">IFERROR(__xludf.DUMMYFUNCTION("""COMPUTED_VALUE"""),43235)</f>
        <v>43235</v>
      </c>
      <c r="J1083">
        <f ca="1">IFERROR(__xludf.DUMMYFUNCTION("""COMPUTED_VALUE"""),2)</f>
        <v>2</v>
      </c>
      <c r="K1083">
        <f ca="1">IFERROR(__xludf.DUMMYFUNCTION("""COMPUTED_VALUE"""),1155734008104)</f>
        <v>1155734008104</v>
      </c>
      <c r="L1083" t="str">
        <f ca="1">IFERROR(__xludf.DUMMYFUNCTION("""COMPUTED_VALUE"""),"Kalamaserry")</f>
        <v>Kalamaserry</v>
      </c>
      <c r="M1083" t="str">
        <f ca="1">IFERROR(__xludf.DUMMYFUNCTION("""COMPUTED_VALUE"""),"I Accept")</f>
        <v>I Accept</v>
      </c>
      <c r="N1083" s="4">
        <f ca="1">IFERROR(__xludf.DUMMYFUNCTION("""COMPUTED_VALUE"""),43229)</f>
        <v>43229</v>
      </c>
      <c r="O1083" s="4">
        <f ca="1">IFERROR(__xludf.DUMMYFUNCTION("""COMPUTED_VALUE"""),43229)</f>
        <v>43229</v>
      </c>
      <c r="P1083">
        <f ca="1">IFERROR(__xludf.DUMMYFUNCTION("""COMPUTED_VALUE"""),2)</f>
        <v>2</v>
      </c>
      <c r="Q1083" t="str">
        <f ca="1">IFERROR(__xludf.DUMMYFUNCTION("""COMPUTED_VALUE"""),"lawrencevetticat@gmail.com")</f>
        <v>lawrencevetticat@gmail.com</v>
      </c>
      <c r="R1083" s="2" t="s">
        <v>3497</v>
      </c>
    </row>
    <row r="1084" spans="1:18" ht="13" x14ac:dyDescent="0.15">
      <c r="A1084" s="3">
        <f ca="1">IFERROR(__xludf.DUMMYFUNCTION("""COMPUTED_VALUE"""),43360.5603999421)</f>
        <v>43360.5603999421</v>
      </c>
      <c r="B1084" t="str">
        <f ca="1">IFERROR(__xludf.DUMMYFUNCTION("""COMPUTED_VALUE"""),"unnikpsc@gmail.com")</f>
        <v>unnikpsc@gmail.com</v>
      </c>
      <c r="C1084">
        <f ca="1">IFERROR(__xludf.DUMMYFUNCTION("""COMPUTED_VALUE"""),1257)</f>
        <v>1257</v>
      </c>
      <c r="D1084" t="str">
        <f ca="1">IFERROR(__xludf.DUMMYFUNCTION("""COMPUTED_VALUE"""),"Unnikrishnan P")</f>
        <v>Unnikrishnan P</v>
      </c>
      <c r="E1084">
        <f ca="1">IFERROR(__xludf.DUMMYFUNCTION("""COMPUTED_VALUE"""),9567870175)</f>
        <v>9567870175</v>
      </c>
      <c r="F1084" t="str">
        <f ca="1">IFERROR(__xludf.DUMMYFUNCTION("""COMPUTED_VALUE"""),"Thrissur")</f>
        <v>Thrissur</v>
      </c>
      <c r="G1084" t="str">
        <f ca="1">IFERROR(__xludf.DUMMYFUNCTION("""COMPUTED_VALUE"""),"TeamSustain Ltd.")</f>
        <v>TeamSustain Ltd.</v>
      </c>
      <c r="H1084">
        <f ca="1">IFERROR(__xludf.DUMMYFUNCTION("""COMPUTED_VALUE"""),49)</f>
        <v>49</v>
      </c>
      <c r="I1084" s="4">
        <f ca="1">IFERROR(__xludf.DUMMYFUNCTION("""COMPUTED_VALUE"""),43360)</f>
        <v>43360</v>
      </c>
      <c r="J1084">
        <f ca="1">IFERROR(__xludf.DUMMYFUNCTION("""COMPUTED_VALUE"""),3)</f>
        <v>3</v>
      </c>
      <c r="K1084">
        <f ca="1">IFERROR(__xludf.DUMMYFUNCTION("""COMPUTED_VALUE"""),1156967018097)</f>
        <v>1156967018097</v>
      </c>
      <c r="L1084" t="str">
        <f ca="1">IFERROR(__xludf.DUMMYFUNCTION("""COMPUTED_VALUE"""),"Koonamoochy (5696)")</f>
        <v>Koonamoochy (5696)</v>
      </c>
      <c r="M1084" t="str">
        <f ca="1">IFERROR(__xludf.DUMMYFUNCTION("""COMPUTED_VALUE"""),"I Accept")</f>
        <v>I Accept</v>
      </c>
      <c r="N1084" s="4">
        <f ca="1">IFERROR(__xludf.DUMMYFUNCTION("""COMPUTED_VALUE"""),43242)</f>
        <v>43242</v>
      </c>
      <c r="O1084" s="4">
        <f ca="1">IFERROR(__xludf.DUMMYFUNCTION("""COMPUTED_VALUE"""),43242)</f>
        <v>43242</v>
      </c>
      <c r="P1084">
        <f ca="1">IFERROR(__xludf.DUMMYFUNCTION("""COMPUTED_VALUE"""),3)</f>
        <v>3</v>
      </c>
      <c r="Q1084" t="str">
        <f ca="1">IFERROR(__xludf.DUMMYFUNCTION("""COMPUTED_VALUE"""),"support@teamsustain.in")</f>
        <v>support@teamsustain.in</v>
      </c>
      <c r="R1084" s="2" t="s">
        <v>3498</v>
      </c>
    </row>
    <row r="1085" spans="1:18" ht="13" x14ac:dyDescent="0.15">
      <c r="A1085" s="3">
        <f ca="1">IFERROR(__xludf.DUMMYFUNCTION("""COMPUTED_VALUE"""),43360.638221331)</f>
        <v>43360.638221330999</v>
      </c>
      <c r="B1085" t="str">
        <f ca="1">IFERROR(__xludf.DUMMYFUNCTION("""COMPUTED_VALUE"""),"support@teamsustain.in")</f>
        <v>support@teamsustain.in</v>
      </c>
      <c r="C1085">
        <f ca="1">IFERROR(__xludf.DUMMYFUNCTION("""COMPUTED_VALUE"""),340)</f>
        <v>340</v>
      </c>
      <c r="D1085" t="str">
        <f ca="1">IFERROR(__xludf.DUMMYFUNCTION("""COMPUTED_VALUE"""),"Jose Kanjamala")</f>
        <v>Jose Kanjamala</v>
      </c>
      <c r="E1085">
        <f ca="1">IFERROR(__xludf.DUMMYFUNCTION("""COMPUTED_VALUE"""),9567870175)</f>
        <v>9567870175</v>
      </c>
      <c r="F1085" t="str">
        <f ca="1">IFERROR(__xludf.DUMMYFUNCTION("""COMPUTED_VALUE"""),"Kannur")</f>
        <v>Kannur</v>
      </c>
      <c r="G1085" t="str">
        <f ca="1">IFERROR(__xludf.DUMMYFUNCTION("""COMPUTED_VALUE"""),"TeamSustain Ltd.")</f>
        <v>TeamSustain Ltd.</v>
      </c>
      <c r="H1085">
        <f ca="1">IFERROR(__xludf.DUMMYFUNCTION("""COMPUTED_VALUE"""),49)</f>
        <v>49</v>
      </c>
      <c r="I1085" s="4">
        <f ca="1">IFERROR(__xludf.DUMMYFUNCTION("""COMPUTED_VALUE"""),43360)</f>
        <v>43360</v>
      </c>
      <c r="J1085">
        <f ca="1">IFERROR(__xludf.DUMMYFUNCTION("""COMPUTED_VALUE"""),5)</f>
        <v>5</v>
      </c>
      <c r="K1085">
        <f ca="1">IFERROR(__xludf.DUMMYFUNCTION("""COMPUTED_VALUE"""),1166483027197)</f>
        <v>1166483027197</v>
      </c>
      <c r="L1085" t="str">
        <f ca="1">IFERROR(__xludf.DUMMYFUNCTION("""COMPUTED_VALUE"""),"Alakkode(6648)")</f>
        <v>Alakkode(6648)</v>
      </c>
      <c r="M1085" t="str">
        <f ca="1">IFERROR(__xludf.DUMMYFUNCTION("""COMPUTED_VALUE"""),"I Accept")</f>
        <v>I Accept</v>
      </c>
      <c r="N1085" s="4">
        <f ca="1">IFERROR(__xludf.DUMMYFUNCTION("""COMPUTED_VALUE"""),43108)</f>
        <v>43108</v>
      </c>
      <c r="O1085" s="4">
        <f ca="1">IFERROR(__xludf.DUMMYFUNCTION("""COMPUTED_VALUE"""),43108)</f>
        <v>43108</v>
      </c>
      <c r="P1085">
        <f ca="1">IFERROR(__xludf.DUMMYFUNCTION("""COMPUTED_VALUE"""),5)</f>
        <v>5</v>
      </c>
      <c r="Q1085" t="str">
        <f ca="1">IFERROR(__xludf.DUMMYFUNCTION("""COMPUTED_VALUE"""),"support@teamsustain.in")</f>
        <v>support@teamsustain.in</v>
      </c>
      <c r="R1085" s="2" t="s">
        <v>3499</v>
      </c>
    </row>
    <row r="1086" spans="1:18" ht="13" x14ac:dyDescent="0.15">
      <c r="A1086" s="3">
        <f ca="1">IFERROR(__xludf.DUMMYFUNCTION("""COMPUTED_VALUE"""),43374.4909443287)</f>
        <v>43374.490944328703</v>
      </c>
      <c r="B1086" t="str">
        <f ca="1">IFERROR(__xludf.DUMMYFUNCTION("""COMPUTED_VALUE"""),"kundilm@gmail.com")</f>
        <v>kundilm@gmail.com</v>
      </c>
      <c r="C1086">
        <f ca="1">IFERROR(__xludf.DUMMYFUNCTION("""COMPUTED_VALUE"""),1849)</f>
        <v>1849</v>
      </c>
      <c r="D1086" t="str">
        <f ca="1">IFERROR(__xludf.DUMMYFUNCTION("""COMPUTED_VALUE"""),"Mohamed musthafa Kundil")</f>
        <v>Mohamed musthafa Kundil</v>
      </c>
      <c r="E1086">
        <f ca="1">IFERROR(__xludf.DUMMYFUNCTION("""COMPUTED_VALUE"""),8129337929)</f>
        <v>8129337929</v>
      </c>
      <c r="F1086" t="str">
        <f ca="1">IFERROR(__xludf.DUMMYFUNCTION("""COMPUTED_VALUE"""),"Malappuram")</f>
        <v>Malappuram</v>
      </c>
      <c r="G1086" t="str">
        <f ca="1">IFERROR(__xludf.DUMMYFUNCTION("""COMPUTED_VALUE"""),"Tata Power Solar")</f>
        <v>Tata Power Solar</v>
      </c>
      <c r="H1086">
        <f ca="1">IFERROR(__xludf.DUMMYFUNCTION("""COMPUTED_VALUE"""),3)</f>
        <v>3</v>
      </c>
      <c r="I1086" s="4">
        <f ca="1">IFERROR(__xludf.DUMMYFUNCTION("""COMPUTED_VALUE"""),43245)</f>
        <v>43245</v>
      </c>
      <c r="J1086">
        <f ca="1">IFERROR(__xludf.DUMMYFUNCTION("""COMPUTED_VALUE"""),2)</f>
        <v>2</v>
      </c>
      <c r="K1086">
        <f ca="1">IFERROR(__xludf.DUMMYFUNCTION("""COMPUTED_VALUE"""),1165686010989)</f>
        <v>1165686010989</v>
      </c>
      <c r="L1086" t="str">
        <f ca="1">IFERROR(__xludf.DUMMYFUNCTION("""COMPUTED_VALUE"""),"Tirur East")</f>
        <v>Tirur East</v>
      </c>
      <c r="M1086" t="str">
        <f ca="1">IFERROR(__xludf.DUMMYFUNCTION("""COMPUTED_VALUE"""),"I Accept")</f>
        <v>I Accept</v>
      </c>
      <c r="N1086" s="4">
        <f ca="1">IFERROR(__xludf.DUMMYFUNCTION("""COMPUTED_VALUE"""),43363)</f>
        <v>43363</v>
      </c>
      <c r="O1086" s="4">
        <f ca="1">IFERROR(__xludf.DUMMYFUNCTION("""COMPUTED_VALUE"""),43363)</f>
        <v>43363</v>
      </c>
      <c r="P1086">
        <f ca="1">IFERROR(__xludf.DUMMYFUNCTION("""COMPUTED_VALUE"""),2)</f>
        <v>2</v>
      </c>
      <c r="Q1086" t="str">
        <f ca="1">IFERROR(__xludf.DUMMYFUNCTION("""COMPUTED_VALUE"""),"kundilm@gmail.com")</f>
        <v>kundilm@gmail.com</v>
      </c>
      <c r="R1086" s="2" t="s">
        <v>3500</v>
      </c>
    </row>
    <row r="1087" spans="1:18" ht="13" x14ac:dyDescent="0.15">
      <c r="A1087" s="3">
        <f ca="1">IFERROR(__xludf.DUMMYFUNCTION("""COMPUTED_VALUE"""),43386.4227767013)</f>
        <v>43386.4227767013</v>
      </c>
      <c r="B1087" t="str">
        <f ca="1">IFERROR(__xludf.DUMMYFUNCTION("""COMPUTED_VALUE"""),"info@solartechind.com")</f>
        <v>info@solartechind.com</v>
      </c>
      <c r="C1087">
        <f ca="1">IFERROR(__xludf.DUMMYFUNCTION("""COMPUTED_VALUE"""),1251)</f>
        <v>1251</v>
      </c>
      <c r="D1087" t="str">
        <f ca="1">IFERROR(__xludf.DUMMYFUNCTION("""COMPUTED_VALUE"""),"Bilal M")</f>
        <v>Bilal M</v>
      </c>
      <c r="E1087">
        <f ca="1">IFERROR(__xludf.DUMMYFUNCTION("""COMPUTED_VALUE"""),9387707733)</f>
        <v>9387707733</v>
      </c>
      <c r="F1087" t="str">
        <f ca="1">IFERROR(__xludf.DUMMYFUNCTION("""COMPUTED_VALUE"""),"Malappuram")</f>
        <v>Malappuram</v>
      </c>
      <c r="G1087" t="str">
        <f ca="1">IFERROR(__xludf.DUMMYFUNCTION("""COMPUTED_VALUE"""),"SolarTech")</f>
        <v>SolarTech</v>
      </c>
      <c r="H1087">
        <f ca="1">IFERROR(__xludf.DUMMYFUNCTION("""COMPUTED_VALUE"""),4)</f>
        <v>4</v>
      </c>
      <c r="I1087" s="4">
        <f ca="1">IFERROR(__xludf.DUMMYFUNCTION("""COMPUTED_VALUE"""),43383)</f>
        <v>43383</v>
      </c>
      <c r="J1087">
        <f ca="1">IFERROR(__xludf.DUMMYFUNCTION("""COMPUTED_VALUE"""),3)</f>
        <v>3</v>
      </c>
      <c r="K1087">
        <f ca="1">IFERROR(__xludf.DUMMYFUNCTION("""COMPUTED_VALUE"""),1165833034910)</f>
        <v>1165833034910</v>
      </c>
      <c r="L1087" t="str">
        <f ca="1">IFERROR(__xludf.DUMMYFUNCTION("""COMPUTED_VALUE"""),"Purangu")</f>
        <v>Purangu</v>
      </c>
      <c r="M1087" t="str">
        <f ca="1">IFERROR(__xludf.DUMMYFUNCTION("""COMPUTED_VALUE"""),"I Accept")</f>
        <v>I Accept</v>
      </c>
      <c r="N1087" s="4">
        <f ca="1">IFERROR(__xludf.DUMMYFUNCTION("""COMPUTED_VALUE"""),43377)</f>
        <v>43377</v>
      </c>
      <c r="O1087" s="4">
        <f ca="1">IFERROR(__xludf.DUMMYFUNCTION("""COMPUTED_VALUE"""),43377)</f>
        <v>43377</v>
      </c>
      <c r="P1087">
        <f ca="1">IFERROR(__xludf.DUMMYFUNCTION("""COMPUTED_VALUE"""),3)</f>
        <v>3</v>
      </c>
      <c r="Q1087" t="str">
        <f ca="1">IFERROR(__xludf.DUMMYFUNCTION("""COMPUTED_VALUE"""),"info@solartechind.com")</f>
        <v>info@solartechind.com</v>
      </c>
      <c r="R1087" s="2" t="s">
        <v>3501</v>
      </c>
    </row>
    <row r="1088" spans="1:18" ht="13" x14ac:dyDescent="0.15">
      <c r="A1088" s="3">
        <f ca="1">IFERROR(__xludf.DUMMYFUNCTION("""COMPUTED_VALUE"""),43409.6936692245)</f>
        <v>43409.6936692245</v>
      </c>
      <c r="B1088" t="str">
        <f ca="1">IFERROR(__xludf.DUMMYFUNCTION("""COMPUTED_VALUE"""),"jose.dilip@gmail.com")</f>
        <v>jose.dilip@gmail.com</v>
      </c>
      <c r="C1088">
        <f ca="1">IFERROR(__xludf.DUMMYFUNCTION("""COMPUTED_VALUE"""),1142)</f>
        <v>1142</v>
      </c>
      <c r="D1088" t="str">
        <f ca="1">IFERROR(__xludf.DUMMYFUNCTION("""COMPUTED_VALUE"""),"K M KURIAKOSE")</f>
        <v>K M KURIAKOSE</v>
      </c>
      <c r="E1088">
        <f ca="1">IFERROR(__xludf.DUMMYFUNCTION("""COMPUTED_VALUE"""),8137874406)</f>
        <v>8137874406</v>
      </c>
      <c r="F1088" t="str">
        <f ca="1">IFERROR(__xludf.DUMMYFUNCTION("""COMPUTED_VALUE"""),"Kozhikode")</f>
        <v>Kozhikode</v>
      </c>
      <c r="G1088" t="str">
        <f ca="1">IFERROR(__xludf.DUMMYFUNCTION("""COMPUTED_VALUE"""),"SOLGEN ENERGY PVT LTD")</f>
        <v>SOLGEN ENERGY PVT LTD</v>
      </c>
      <c r="H1088">
        <f ca="1">IFERROR(__xludf.DUMMYFUNCTION("""COMPUTED_VALUE"""),42)</f>
        <v>42</v>
      </c>
      <c r="I1088" s="4">
        <f ca="1">IFERROR(__xludf.DUMMYFUNCTION("""COMPUTED_VALUE"""),43251)</f>
        <v>43251</v>
      </c>
      <c r="J1088">
        <f ca="1">IFERROR(__xludf.DUMMYFUNCTION("""COMPUTED_VALUE"""),2)</f>
        <v>2</v>
      </c>
      <c r="K1088">
        <f ca="1">IFERROR(__xludf.DUMMYFUNCTION("""COMPUTED_VALUE"""),1165984008733)</f>
        <v>1165984008733</v>
      </c>
      <c r="L1088" t="str">
        <f ca="1">IFERROR(__xludf.DUMMYFUNCTION("""COMPUTED_VALUE"""),"KARAPARAMBA")</f>
        <v>KARAPARAMBA</v>
      </c>
      <c r="M1088" t="str">
        <f ca="1">IFERROR(__xludf.DUMMYFUNCTION("""COMPUTED_VALUE"""),"I Accept")</f>
        <v>I Accept</v>
      </c>
      <c r="N1088" s="4">
        <f ca="1">IFERROR(__xludf.DUMMYFUNCTION("""COMPUTED_VALUE"""),43403)</f>
        <v>43403</v>
      </c>
      <c r="O1088" s="4">
        <f ca="1">IFERROR(__xludf.DUMMYFUNCTION("""COMPUTED_VALUE"""),43403)</f>
        <v>43403</v>
      </c>
      <c r="P1088">
        <f ca="1">IFERROR(__xludf.DUMMYFUNCTION("""COMPUTED_VALUE"""),2)</f>
        <v>2</v>
      </c>
      <c r="Q1088" t="str">
        <f ca="1">IFERROR(__xludf.DUMMYFUNCTION("""COMPUTED_VALUE"""),"jose.dilip@gmail.com")</f>
        <v>jose.dilip@gmail.com</v>
      </c>
      <c r="R1088" s="2" t="s">
        <v>3502</v>
      </c>
    </row>
    <row r="1089" spans="1:18" ht="13" x14ac:dyDescent="0.15">
      <c r="A1089" s="3" t="str">
        <f ca="1">IFERROR(__xludf.DUMMYFUNCTION("""COMPUTED_VALUE"""),"")</f>
        <v/>
      </c>
      <c r="B1089" t="str">
        <f ca="1">IFERROR(__xludf.DUMMYFUNCTION("""COMPUTED_VALUE"""),"")</f>
        <v/>
      </c>
      <c r="C1089" t="str">
        <f ca="1">IFERROR(__xludf.DUMMYFUNCTION("""COMPUTED_VALUE"""),"")</f>
        <v/>
      </c>
      <c r="D1089" t="str">
        <f ca="1">IFERROR(__xludf.DUMMYFUNCTION("""COMPUTED_VALUE"""),"")</f>
        <v/>
      </c>
      <c r="E1089" t="str">
        <f ca="1">IFERROR(__xludf.DUMMYFUNCTION("""COMPUTED_VALUE"""),"")</f>
        <v/>
      </c>
      <c r="F1089" t="str">
        <f ca="1">IFERROR(__xludf.DUMMYFUNCTION("""COMPUTED_VALUE"""),"")</f>
        <v/>
      </c>
      <c r="G1089" t="str">
        <f ca="1">IFERROR(__xludf.DUMMYFUNCTION("""COMPUTED_VALUE"""),"")</f>
        <v/>
      </c>
      <c r="H1089" t="str">
        <f ca="1">IFERROR(__xludf.DUMMYFUNCTION("""COMPUTED_VALUE"""),"")</f>
        <v/>
      </c>
      <c r="I1089" s="4" t="str">
        <f ca="1">IFERROR(__xludf.DUMMYFUNCTION("""COMPUTED_VALUE"""),"")</f>
        <v/>
      </c>
      <c r="J1089" t="str">
        <f ca="1">IFERROR(__xludf.DUMMYFUNCTION("""COMPUTED_VALUE"""),"")</f>
        <v/>
      </c>
      <c r="K1089" t="str">
        <f ca="1">IFERROR(__xludf.DUMMYFUNCTION("""COMPUTED_VALUE"""),"")</f>
        <v/>
      </c>
      <c r="L1089" t="str">
        <f ca="1">IFERROR(__xludf.DUMMYFUNCTION("""COMPUTED_VALUE"""),"")</f>
        <v/>
      </c>
      <c r="M1089" t="str">
        <f ca="1">IFERROR(__xludf.DUMMYFUNCTION("""COMPUTED_VALUE"""),"")</f>
        <v/>
      </c>
      <c r="N1089" s="4" t="str">
        <f ca="1">IFERROR(__xludf.DUMMYFUNCTION("""COMPUTED_VALUE"""),"")</f>
        <v/>
      </c>
      <c r="O1089" s="4" t="str">
        <f ca="1">IFERROR(__xludf.DUMMYFUNCTION("""COMPUTED_VALUE"""),"")</f>
        <v/>
      </c>
      <c r="P1089" t="str">
        <f ca="1">IFERROR(__xludf.DUMMYFUNCTION("""COMPUTED_VALUE"""),"")</f>
        <v/>
      </c>
      <c r="Q1089" t="str">
        <f ca="1">IFERROR(__xludf.DUMMYFUNCTION("""COMPUTED_VALUE"""),"")</f>
        <v/>
      </c>
      <c r="R1089" s="2" t="s">
        <v>3503</v>
      </c>
    </row>
    <row r="1090" spans="1:18" ht="13" x14ac:dyDescent="0.15">
      <c r="A1090" s="3" t="str">
        <f ca="1">IFERROR(__xludf.DUMMYFUNCTION("""COMPUTED_VALUE"""),"")</f>
        <v/>
      </c>
      <c r="B1090" t="str">
        <f ca="1">IFERROR(__xludf.DUMMYFUNCTION("""COMPUTED_VALUE"""),"")</f>
        <v/>
      </c>
      <c r="C1090" t="str">
        <f ca="1">IFERROR(__xludf.DUMMYFUNCTION("""COMPUTED_VALUE"""),"")</f>
        <v/>
      </c>
      <c r="D1090" t="str">
        <f ca="1">IFERROR(__xludf.DUMMYFUNCTION("""COMPUTED_VALUE"""),"")</f>
        <v/>
      </c>
      <c r="E1090" t="str">
        <f ca="1">IFERROR(__xludf.DUMMYFUNCTION("""COMPUTED_VALUE"""),"")</f>
        <v/>
      </c>
      <c r="F1090" t="str">
        <f ca="1">IFERROR(__xludf.DUMMYFUNCTION("""COMPUTED_VALUE"""),"")</f>
        <v/>
      </c>
      <c r="G1090" t="str">
        <f ca="1">IFERROR(__xludf.DUMMYFUNCTION("""COMPUTED_VALUE"""),"")</f>
        <v/>
      </c>
      <c r="H1090" t="str">
        <f ca="1">IFERROR(__xludf.DUMMYFUNCTION("""COMPUTED_VALUE"""),"")</f>
        <v/>
      </c>
      <c r="I1090" s="4" t="str">
        <f ca="1">IFERROR(__xludf.DUMMYFUNCTION("""COMPUTED_VALUE"""),"")</f>
        <v/>
      </c>
      <c r="J1090" t="str">
        <f ca="1">IFERROR(__xludf.DUMMYFUNCTION("""COMPUTED_VALUE"""),"")</f>
        <v/>
      </c>
      <c r="K1090" t="str">
        <f ca="1">IFERROR(__xludf.DUMMYFUNCTION("""COMPUTED_VALUE"""),"")</f>
        <v/>
      </c>
      <c r="L1090" t="str">
        <f ca="1">IFERROR(__xludf.DUMMYFUNCTION("""COMPUTED_VALUE"""),"")</f>
        <v/>
      </c>
      <c r="M1090" t="str">
        <f ca="1">IFERROR(__xludf.DUMMYFUNCTION("""COMPUTED_VALUE"""),"")</f>
        <v/>
      </c>
      <c r="N1090" s="4" t="str">
        <f ca="1">IFERROR(__xludf.DUMMYFUNCTION("""COMPUTED_VALUE"""),"")</f>
        <v/>
      </c>
      <c r="O1090" s="4" t="str">
        <f ca="1">IFERROR(__xludf.DUMMYFUNCTION("""COMPUTED_VALUE"""),"")</f>
        <v/>
      </c>
      <c r="P1090" t="str">
        <f ca="1">IFERROR(__xludf.DUMMYFUNCTION("""COMPUTED_VALUE"""),"")</f>
        <v/>
      </c>
      <c r="Q1090" t="str">
        <f ca="1">IFERROR(__xludf.DUMMYFUNCTION("""COMPUTED_VALUE"""),"")</f>
        <v/>
      </c>
      <c r="R1090" s="2" t="s">
        <v>3504</v>
      </c>
    </row>
    <row r="1091" spans="1:18" ht="13" x14ac:dyDescent="0.15">
      <c r="A1091" s="3" t="str">
        <f ca="1">IFERROR(__xludf.DUMMYFUNCTION("""COMPUTED_VALUE"""),"")</f>
        <v/>
      </c>
      <c r="B1091" t="str">
        <f ca="1">IFERROR(__xludf.DUMMYFUNCTION("""COMPUTED_VALUE"""),"")</f>
        <v/>
      </c>
      <c r="C1091" t="str">
        <f ca="1">IFERROR(__xludf.DUMMYFUNCTION("""COMPUTED_VALUE"""),"")</f>
        <v/>
      </c>
      <c r="D1091" t="str">
        <f ca="1">IFERROR(__xludf.DUMMYFUNCTION("""COMPUTED_VALUE"""),"")</f>
        <v/>
      </c>
      <c r="E1091" t="str">
        <f ca="1">IFERROR(__xludf.DUMMYFUNCTION("""COMPUTED_VALUE"""),"")</f>
        <v/>
      </c>
      <c r="F1091" t="str">
        <f ca="1">IFERROR(__xludf.DUMMYFUNCTION("""COMPUTED_VALUE"""),"")</f>
        <v/>
      </c>
      <c r="G1091" t="str">
        <f ca="1">IFERROR(__xludf.DUMMYFUNCTION("""COMPUTED_VALUE"""),"")</f>
        <v/>
      </c>
      <c r="H1091" t="str">
        <f ca="1">IFERROR(__xludf.DUMMYFUNCTION("""COMPUTED_VALUE"""),"")</f>
        <v/>
      </c>
      <c r="I1091" s="4" t="str">
        <f ca="1">IFERROR(__xludf.DUMMYFUNCTION("""COMPUTED_VALUE"""),"")</f>
        <v/>
      </c>
      <c r="J1091" t="str">
        <f ca="1">IFERROR(__xludf.DUMMYFUNCTION("""COMPUTED_VALUE"""),"")</f>
        <v/>
      </c>
      <c r="K1091" t="str">
        <f ca="1">IFERROR(__xludf.DUMMYFUNCTION("""COMPUTED_VALUE"""),"")</f>
        <v/>
      </c>
      <c r="L1091" t="str">
        <f ca="1">IFERROR(__xludf.DUMMYFUNCTION("""COMPUTED_VALUE"""),"")</f>
        <v/>
      </c>
      <c r="M1091" t="str">
        <f ca="1">IFERROR(__xludf.DUMMYFUNCTION("""COMPUTED_VALUE"""),"")</f>
        <v/>
      </c>
      <c r="N1091" s="4" t="str">
        <f ca="1">IFERROR(__xludf.DUMMYFUNCTION("""COMPUTED_VALUE"""),"")</f>
        <v/>
      </c>
      <c r="O1091" s="4" t="str">
        <f ca="1">IFERROR(__xludf.DUMMYFUNCTION("""COMPUTED_VALUE"""),"")</f>
        <v/>
      </c>
      <c r="P1091" t="str">
        <f ca="1">IFERROR(__xludf.DUMMYFUNCTION("""COMPUTED_VALUE"""),"")</f>
        <v/>
      </c>
      <c r="Q1091" t="str">
        <f ca="1">IFERROR(__xludf.DUMMYFUNCTION("""COMPUTED_VALUE"""),"")</f>
        <v/>
      </c>
      <c r="R1091" s="2" t="s">
        <v>3505</v>
      </c>
    </row>
    <row r="1092" spans="1:18" ht="13" x14ac:dyDescent="0.15">
      <c r="A1092" s="3" t="str">
        <f ca="1">IFERROR(__xludf.DUMMYFUNCTION("""COMPUTED_VALUE"""),"")</f>
        <v/>
      </c>
      <c r="B1092" t="str">
        <f ca="1">IFERROR(__xludf.DUMMYFUNCTION("""COMPUTED_VALUE"""),"")</f>
        <v/>
      </c>
      <c r="C1092" t="str">
        <f ca="1">IFERROR(__xludf.DUMMYFUNCTION("""COMPUTED_VALUE"""),"")</f>
        <v/>
      </c>
      <c r="D1092" t="str">
        <f ca="1">IFERROR(__xludf.DUMMYFUNCTION("""COMPUTED_VALUE"""),"")</f>
        <v/>
      </c>
      <c r="E1092" t="str">
        <f ca="1">IFERROR(__xludf.DUMMYFUNCTION("""COMPUTED_VALUE"""),"")</f>
        <v/>
      </c>
      <c r="F1092" t="str">
        <f ca="1">IFERROR(__xludf.DUMMYFUNCTION("""COMPUTED_VALUE"""),"")</f>
        <v/>
      </c>
      <c r="G1092" t="str">
        <f ca="1">IFERROR(__xludf.DUMMYFUNCTION("""COMPUTED_VALUE"""),"")</f>
        <v/>
      </c>
      <c r="H1092" t="str">
        <f ca="1">IFERROR(__xludf.DUMMYFUNCTION("""COMPUTED_VALUE"""),"")</f>
        <v/>
      </c>
      <c r="I1092" s="4" t="str">
        <f ca="1">IFERROR(__xludf.DUMMYFUNCTION("""COMPUTED_VALUE"""),"")</f>
        <v/>
      </c>
      <c r="J1092" t="str">
        <f ca="1">IFERROR(__xludf.DUMMYFUNCTION("""COMPUTED_VALUE"""),"")</f>
        <v/>
      </c>
      <c r="K1092" t="str">
        <f ca="1">IFERROR(__xludf.DUMMYFUNCTION("""COMPUTED_VALUE"""),"")</f>
        <v/>
      </c>
      <c r="L1092" t="str">
        <f ca="1">IFERROR(__xludf.DUMMYFUNCTION("""COMPUTED_VALUE"""),"")</f>
        <v/>
      </c>
      <c r="M1092" t="str">
        <f ca="1">IFERROR(__xludf.DUMMYFUNCTION("""COMPUTED_VALUE"""),"")</f>
        <v/>
      </c>
      <c r="N1092" s="4" t="str">
        <f ca="1">IFERROR(__xludf.DUMMYFUNCTION("""COMPUTED_VALUE"""),"")</f>
        <v/>
      </c>
      <c r="O1092" s="4" t="str">
        <f ca="1">IFERROR(__xludf.DUMMYFUNCTION("""COMPUTED_VALUE"""),"")</f>
        <v/>
      </c>
      <c r="P1092" t="str">
        <f ca="1">IFERROR(__xludf.DUMMYFUNCTION("""COMPUTED_VALUE"""),"")</f>
        <v/>
      </c>
      <c r="Q1092" t="str">
        <f ca="1">IFERROR(__xludf.DUMMYFUNCTION("""COMPUTED_VALUE"""),"")</f>
        <v/>
      </c>
      <c r="R1092" s="2" t="s">
        <v>3506</v>
      </c>
    </row>
    <row r="1093" spans="1:18" ht="13" x14ac:dyDescent="0.15">
      <c r="A1093" s="3" t="str">
        <f ca="1">IFERROR(__xludf.DUMMYFUNCTION("""COMPUTED_VALUE"""),"")</f>
        <v/>
      </c>
      <c r="B1093" t="str">
        <f ca="1">IFERROR(__xludf.DUMMYFUNCTION("""COMPUTED_VALUE"""),"")</f>
        <v/>
      </c>
      <c r="C1093" t="str">
        <f ca="1">IFERROR(__xludf.DUMMYFUNCTION("""COMPUTED_VALUE"""),"")</f>
        <v/>
      </c>
      <c r="D1093" t="str">
        <f ca="1">IFERROR(__xludf.DUMMYFUNCTION("""COMPUTED_VALUE"""),"")</f>
        <v/>
      </c>
      <c r="E1093" t="str">
        <f ca="1">IFERROR(__xludf.DUMMYFUNCTION("""COMPUTED_VALUE"""),"")</f>
        <v/>
      </c>
      <c r="F1093" t="str">
        <f ca="1">IFERROR(__xludf.DUMMYFUNCTION("""COMPUTED_VALUE"""),"")</f>
        <v/>
      </c>
      <c r="G1093" t="str">
        <f ca="1">IFERROR(__xludf.DUMMYFUNCTION("""COMPUTED_VALUE"""),"")</f>
        <v/>
      </c>
      <c r="H1093" t="str">
        <f ca="1">IFERROR(__xludf.DUMMYFUNCTION("""COMPUTED_VALUE"""),"")</f>
        <v/>
      </c>
      <c r="I1093" s="4" t="str">
        <f ca="1">IFERROR(__xludf.DUMMYFUNCTION("""COMPUTED_VALUE"""),"")</f>
        <v/>
      </c>
      <c r="J1093" t="str">
        <f ca="1">IFERROR(__xludf.DUMMYFUNCTION("""COMPUTED_VALUE"""),"")</f>
        <v/>
      </c>
      <c r="K1093" t="str">
        <f ca="1">IFERROR(__xludf.DUMMYFUNCTION("""COMPUTED_VALUE"""),"")</f>
        <v/>
      </c>
      <c r="L1093" t="str">
        <f ca="1">IFERROR(__xludf.DUMMYFUNCTION("""COMPUTED_VALUE"""),"")</f>
        <v/>
      </c>
      <c r="M1093" t="str">
        <f ca="1">IFERROR(__xludf.DUMMYFUNCTION("""COMPUTED_VALUE"""),"")</f>
        <v/>
      </c>
      <c r="N1093" s="4" t="str">
        <f ca="1">IFERROR(__xludf.DUMMYFUNCTION("""COMPUTED_VALUE"""),"")</f>
        <v/>
      </c>
      <c r="O1093" s="4" t="str">
        <f ca="1">IFERROR(__xludf.DUMMYFUNCTION("""COMPUTED_VALUE"""),"")</f>
        <v/>
      </c>
      <c r="P1093" t="str">
        <f ca="1">IFERROR(__xludf.DUMMYFUNCTION("""COMPUTED_VALUE"""),"")</f>
        <v/>
      </c>
      <c r="Q1093" t="str">
        <f ca="1">IFERROR(__xludf.DUMMYFUNCTION("""COMPUTED_VALUE"""),"")</f>
        <v/>
      </c>
      <c r="R1093" s="2" t="s">
        <v>3507</v>
      </c>
    </row>
    <row r="1094" spans="1:18" ht="13" x14ac:dyDescent="0.15">
      <c r="A1094" s="3" t="str">
        <f ca="1">IFERROR(__xludf.DUMMYFUNCTION("""COMPUTED_VALUE"""),"")</f>
        <v/>
      </c>
      <c r="B1094" t="str">
        <f ca="1">IFERROR(__xludf.DUMMYFUNCTION("""COMPUTED_VALUE"""),"")</f>
        <v/>
      </c>
      <c r="C1094" t="str">
        <f ca="1">IFERROR(__xludf.DUMMYFUNCTION("""COMPUTED_VALUE"""),"")</f>
        <v/>
      </c>
      <c r="D1094" t="str">
        <f ca="1">IFERROR(__xludf.DUMMYFUNCTION("""COMPUTED_VALUE"""),"")</f>
        <v/>
      </c>
      <c r="E1094" t="str">
        <f ca="1">IFERROR(__xludf.DUMMYFUNCTION("""COMPUTED_VALUE"""),"")</f>
        <v/>
      </c>
      <c r="F1094" t="str">
        <f ca="1">IFERROR(__xludf.DUMMYFUNCTION("""COMPUTED_VALUE"""),"")</f>
        <v/>
      </c>
      <c r="G1094" t="str">
        <f ca="1">IFERROR(__xludf.DUMMYFUNCTION("""COMPUTED_VALUE"""),"")</f>
        <v/>
      </c>
      <c r="H1094" t="str">
        <f ca="1">IFERROR(__xludf.DUMMYFUNCTION("""COMPUTED_VALUE"""),"")</f>
        <v/>
      </c>
      <c r="I1094" s="4" t="str">
        <f ca="1">IFERROR(__xludf.DUMMYFUNCTION("""COMPUTED_VALUE"""),"")</f>
        <v/>
      </c>
      <c r="J1094" t="str">
        <f ca="1">IFERROR(__xludf.DUMMYFUNCTION("""COMPUTED_VALUE"""),"")</f>
        <v/>
      </c>
      <c r="K1094" t="str">
        <f ca="1">IFERROR(__xludf.DUMMYFUNCTION("""COMPUTED_VALUE"""),"")</f>
        <v/>
      </c>
      <c r="L1094" t="str">
        <f ca="1">IFERROR(__xludf.DUMMYFUNCTION("""COMPUTED_VALUE"""),"")</f>
        <v/>
      </c>
      <c r="M1094" t="str">
        <f ca="1">IFERROR(__xludf.DUMMYFUNCTION("""COMPUTED_VALUE"""),"")</f>
        <v/>
      </c>
      <c r="N1094" s="4" t="str">
        <f ca="1">IFERROR(__xludf.DUMMYFUNCTION("""COMPUTED_VALUE"""),"")</f>
        <v/>
      </c>
      <c r="O1094" s="4" t="str">
        <f ca="1">IFERROR(__xludf.DUMMYFUNCTION("""COMPUTED_VALUE"""),"")</f>
        <v/>
      </c>
      <c r="P1094" t="str">
        <f ca="1">IFERROR(__xludf.DUMMYFUNCTION("""COMPUTED_VALUE"""),"")</f>
        <v/>
      </c>
      <c r="Q1094" t="str">
        <f ca="1">IFERROR(__xludf.DUMMYFUNCTION("""COMPUTED_VALUE"""),"")</f>
        <v/>
      </c>
      <c r="R1094" s="2" t="s">
        <v>3508</v>
      </c>
    </row>
    <row r="1095" spans="1:18" ht="13" x14ac:dyDescent="0.15">
      <c r="A1095" s="3" t="str">
        <f ca="1">IFERROR(__xludf.DUMMYFUNCTION("""COMPUTED_VALUE"""),"")</f>
        <v/>
      </c>
      <c r="B1095" t="str">
        <f ca="1">IFERROR(__xludf.DUMMYFUNCTION("""COMPUTED_VALUE"""),"")</f>
        <v/>
      </c>
      <c r="C1095" t="str">
        <f ca="1">IFERROR(__xludf.DUMMYFUNCTION("""COMPUTED_VALUE"""),"")</f>
        <v/>
      </c>
      <c r="D1095" t="str">
        <f ca="1">IFERROR(__xludf.DUMMYFUNCTION("""COMPUTED_VALUE"""),"")</f>
        <v/>
      </c>
      <c r="E1095" t="str">
        <f ca="1">IFERROR(__xludf.DUMMYFUNCTION("""COMPUTED_VALUE"""),"")</f>
        <v/>
      </c>
      <c r="F1095" t="str">
        <f ca="1">IFERROR(__xludf.DUMMYFUNCTION("""COMPUTED_VALUE"""),"")</f>
        <v/>
      </c>
      <c r="G1095" t="str">
        <f ca="1">IFERROR(__xludf.DUMMYFUNCTION("""COMPUTED_VALUE"""),"")</f>
        <v/>
      </c>
      <c r="H1095" t="str">
        <f ca="1">IFERROR(__xludf.DUMMYFUNCTION("""COMPUTED_VALUE"""),"")</f>
        <v/>
      </c>
      <c r="I1095" s="4" t="str">
        <f ca="1">IFERROR(__xludf.DUMMYFUNCTION("""COMPUTED_VALUE"""),"")</f>
        <v/>
      </c>
      <c r="J1095" t="str">
        <f ca="1">IFERROR(__xludf.DUMMYFUNCTION("""COMPUTED_VALUE"""),"")</f>
        <v/>
      </c>
      <c r="K1095" t="str">
        <f ca="1">IFERROR(__xludf.DUMMYFUNCTION("""COMPUTED_VALUE"""),"")</f>
        <v/>
      </c>
      <c r="L1095" t="str">
        <f ca="1">IFERROR(__xludf.DUMMYFUNCTION("""COMPUTED_VALUE"""),"")</f>
        <v/>
      </c>
      <c r="M1095" t="str">
        <f ca="1">IFERROR(__xludf.DUMMYFUNCTION("""COMPUTED_VALUE"""),"")</f>
        <v/>
      </c>
      <c r="N1095" s="4" t="str">
        <f ca="1">IFERROR(__xludf.DUMMYFUNCTION("""COMPUTED_VALUE"""),"")</f>
        <v/>
      </c>
      <c r="O1095" s="4" t="str">
        <f ca="1">IFERROR(__xludf.DUMMYFUNCTION("""COMPUTED_VALUE"""),"")</f>
        <v/>
      </c>
      <c r="P1095" t="str">
        <f ca="1">IFERROR(__xludf.DUMMYFUNCTION("""COMPUTED_VALUE"""),"")</f>
        <v/>
      </c>
      <c r="Q1095" t="str">
        <f ca="1">IFERROR(__xludf.DUMMYFUNCTION("""COMPUTED_VALUE"""),"")</f>
        <v/>
      </c>
      <c r="R1095" s="2" t="s">
        <v>3509</v>
      </c>
    </row>
    <row r="1096" spans="1:18" ht="13" x14ac:dyDescent="0.15">
      <c r="A1096" s="3" t="str">
        <f ca="1">IFERROR(__xludf.DUMMYFUNCTION("""COMPUTED_VALUE"""),"")</f>
        <v/>
      </c>
      <c r="B1096" t="str">
        <f ca="1">IFERROR(__xludf.DUMMYFUNCTION("""COMPUTED_VALUE"""),"")</f>
        <v/>
      </c>
      <c r="C1096" t="str">
        <f ca="1">IFERROR(__xludf.DUMMYFUNCTION("""COMPUTED_VALUE"""),"")</f>
        <v/>
      </c>
      <c r="D1096" t="str">
        <f ca="1">IFERROR(__xludf.DUMMYFUNCTION("""COMPUTED_VALUE"""),"")</f>
        <v/>
      </c>
      <c r="E1096" t="str">
        <f ca="1">IFERROR(__xludf.DUMMYFUNCTION("""COMPUTED_VALUE"""),"")</f>
        <v/>
      </c>
      <c r="F1096" t="str">
        <f ca="1">IFERROR(__xludf.DUMMYFUNCTION("""COMPUTED_VALUE"""),"")</f>
        <v/>
      </c>
      <c r="G1096" t="str">
        <f ca="1">IFERROR(__xludf.DUMMYFUNCTION("""COMPUTED_VALUE"""),"")</f>
        <v/>
      </c>
      <c r="H1096" t="str">
        <f ca="1">IFERROR(__xludf.DUMMYFUNCTION("""COMPUTED_VALUE"""),"")</f>
        <v/>
      </c>
      <c r="I1096" s="4" t="str">
        <f ca="1">IFERROR(__xludf.DUMMYFUNCTION("""COMPUTED_VALUE"""),"")</f>
        <v/>
      </c>
      <c r="J1096" t="str">
        <f ca="1">IFERROR(__xludf.DUMMYFUNCTION("""COMPUTED_VALUE"""),"")</f>
        <v/>
      </c>
      <c r="K1096" t="str">
        <f ca="1">IFERROR(__xludf.DUMMYFUNCTION("""COMPUTED_VALUE"""),"")</f>
        <v/>
      </c>
      <c r="L1096" t="str">
        <f ca="1">IFERROR(__xludf.DUMMYFUNCTION("""COMPUTED_VALUE"""),"")</f>
        <v/>
      </c>
      <c r="M1096" t="str">
        <f ca="1">IFERROR(__xludf.DUMMYFUNCTION("""COMPUTED_VALUE"""),"")</f>
        <v/>
      </c>
      <c r="N1096" s="4" t="str">
        <f ca="1">IFERROR(__xludf.DUMMYFUNCTION("""COMPUTED_VALUE"""),"")</f>
        <v/>
      </c>
      <c r="O1096" s="4" t="str">
        <f ca="1">IFERROR(__xludf.DUMMYFUNCTION("""COMPUTED_VALUE"""),"")</f>
        <v/>
      </c>
      <c r="P1096" t="str">
        <f ca="1">IFERROR(__xludf.DUMMYFUNCTION("""COMPUTED_VALUE"""),"")</f>
        <v/>
      </c>
      <c r="Q1096" t="str">
        <f ca="1">IFERROR(__xludf.DUMMYFUNCTION("""COMPUTED_VALUE"""),"")</f>
        <v/>
      </c>
      <c r="R1096" s="2" t="s">
        <v>3510</v>
      </c>
    </row>
    <row r="1097" spans="1:18" ht="13" x14ac:dyDescent="0.15">
      <c r="A1097" s="3" t="str">
        <f ca="1">IFERROR(__xludf.DUMMYFUNCTION("""COMPUTED_VALUE"""),"")</f>
        <v/>
      </c>
      <c r="B1097" t="str">
        <f ca="1">IFERROR(__xludf.DUMMYFUNCTION("""COMPUTED_VALUE"""),"")</f>
        <v/>
      </c>
      <c r="C1097" t="str">
        <f ca="1">IFERROR(__xludf.DUMMYFUNCTION("""COMPUTED_VALUE"""),"")</f>
        <v/>
      </c>
      <c r="D1097" t="str">
        <f ca="1">IFERROR(__xludf.DUMMYFUNCTION("""COMPUTED_VALUE"""),"")</f>
        <v/>
      </c>
      <c r="E1097" t="str">
        <f ca="1">IFERROR(__xludf.DUMMYFUNCTION("""COMPUTED_VALUE"""),"")</f>
        <v/>
      </c>
      <c r="F1097" t="str">
        <f ca="1">IFERROR(__xludf.DUMMYFUNCTION("""COMPUTED_VALUE"""),"")</f>
        <v/>
      </c>
      <c r="G1097" t="str">
        <f ca="1">IFERROR(__xludf.DUMMYFUNCTION("""COMPUTED_VALUE"""),"")</f>
        <v/>
      </c>
      <c r="H1097" t="str">
        <f ca="1">IFERROR(__xludf.DUMMYFUNCTION("""COMPUTED_VALUE"""),"")</f>
        <v/>
      </c>
      <c r="I1097" s="4" t="str">
        <f ca="1">IFERROR(__xludf.DUMMYFUNCTION("""COMPUTED_VALUE"""),"")</f>
        <v/>
      </c>
      <c r="J1097" t="str">
        <f ca="1">IFERROR(__xludf.DUMMYFUNCTION("""COMPUTED_VALUE"""),"")</f>
        <v/>
      </c>
      <c r="K1097" t="str">
        <f ca="1">IFERROR(__xludf.DUMMYFUNCTION("""COMPUTED_VALUE"""),"")</f>
        <v/>
      </c>
      <c r="L1097" t="str">
        <f ca="1">IFERROR(__xludf.DUMMYFUNCTION("""COMPUTED_VALUE"""),"")</f>
        <v/>
      </c>
      <c r="M1097" t="str">
        <f ca="1">IFERROR(__xludf.DUMMYFUNCTION("""COMPUTED_VALUE"""),"")</f>
        <v/>
      </c>
      <c r="N1097" s="4" t="str">
        <f ca="1">IFERROR(__xludf.DUMMYFUNCTION("""COMPUTED_VALUE"""),"")</f>
        <v/>
      </c>
      <c r="O1097" s="4" t="str">
        <f ca="1">IFERROR(__xludf.DUMMYFUNCTION("""COMPUTED_VALUE"""),"")</f>
        <v/>
      </c>
      <c r="P1097" t="str">
        <f ca="1">IFERROR(__xludf.DUMMYFUNCTION("""COMPUTED_VALUE"""),"")</f>
        <v/>
      </c>
      <c r="Q1097" t="str">
        <f ca="1">IFERROR(__xludf.DUMMYFUNCTION("""COMPUTED_VALUE"""),"")</f>
        <v/>
      </c>
      <c r="R1097" s="2" t="s">
        <v>3511</v>
      </c>
    </row>
    <row r="1098" spans="1:18" ht="13" x14ac:dyDescent="0.15">
      <c r="A1098" s="3" t="str">
        <f ca="1">IFERROR(__xludf.DUMMYFUNCTION("""COMPUTED_VALUE"""),"")</f>
        <v/>
      </c>
      <c r="B1098" t="str">
        <f ca="1">IFERROR(__xludf.DUMMYFUNCTION("""COMPUTED_VALUE"""),"")</f>
        <v/>
      </c>
      <c r="C1098" t="str">
        <f ca="1">IFERROR(__xludf.DUMMYFUNCTION("""COMPUTED_VALUE"""),"")</f>
        <v/>
      </c>
      <c r="D1098" t="str">
        <f ca="1">IFERROR(__xludf.DUMMYFUNCTION("""COMPUTED_VALUE"""),"")</f>
        <v/>
      </c>
      <c r="E1098" t="str">
        <f ca="1">IFERROR(__xludf.DUMMYFUNCTION("""COMPUTED_VALUE"""),"")</f>
        <v/>
      </c>
      <c r="F1098" t="str">
        <f ca="1">IFERROR(__xludf.DUMMYFUNCTION("""COMPUTED_VALUE"""),"")</f>
        <v/>
      </c>
      <c r="G1098" t="str">
        <f ca="1">IFERROR(__xludf.DUMMYFUNCTION("""COMPUTED_VALUE"""),"")</f>
        <v/>
      </c>
      <c r="H1098" t="str">
        <f ca="1">IFERROR(__xludf.DUMMYFUNCTION("""COMPUTED_VALUE"""),"")</f>
        <v/>
      </c>
      <c r="I1098" s="4" t="str">
        <f ca="1">IFERROR(__xludf.DUMMYFUNCTION("""COMPUTED_VALUE"""),"")</f>
        <v/>
      </c>
      <c r="J1098" t="str">
        <f ca="1">IFERROR(__xludf.DUMMYFUNCTION("""COMPUTED_VALUE"""),"")</f>
        <v/>
      </c>
      <c r="K1098" t="str">
        <f ca="1">IFERROR(__xludf.DUMMYFUNCTION("""COMPUTED_VALUE"""),"")</f>
        <v/>
      </c>
      <c r="L1098" t="str">
        <f ca="1">IFERROR(__xludf.DUMMYFUNCTION("""COMPUTED_VALUE"""),"")</f>
        <v/>
      </c>
      <c r="M1098" t="str">
        <f ca="1">IFERROR(__xludf.DUMMYFUNCTION("""COMPUTED_VALUE"""),"")</f>
        <v/>
      </c>
      <c r="N1098" s="4" t="str">
        <f ca="1">IFERROR(__xludf.DUMMYFUNCTION("""COMPUTED_VALUE"""),"")</f>
        <v/>
      </c>
      <c r="O1098" s="4" t="str">
        <f ca="1">IFERROR(__xludf.DUMMYFUNCTION("""COMPUTED_VALUE"""),"")</f>
        <v/>
      </c>
      <c r="P1098" t="str">
        <f ca="1">IFERROR(__xludf.DUMMYFUNCTION("""COMPUTED_VALUE"""),"")</f>
        <v/>
      </c>
      <c r="Q1098" t="str">
        <f ca="1">IFERROR(__xludf.DUMMYFUNCTION("""COMPUTED_VALUE"""),"")</f>
        <v/>
      </c>
      <c r="R1098" s="2" t="s">
        <v>3512</v>
      </c>
    </row>
    <row r="1099" spans="1:18" ht="13" x14ac:dyDescent="0.15">
      <c r="A1099" s="3" t="str">
        <f ca="1">IFERROR(__xludf.DUMMYFUNCTION("""COMPUTED_VALUE"""),"")</f>
        <v/>
      </c>
      <c r="B1099" t="str">
        <f ca="1">IFERROR(__xludf.DUMMYFUNCTION("""COMPUTED_VALUE"""),"")</f>
        <v/>
      </c>
      <c r="C1099" t="str">
        <f ca="1">IFERROR(__xludf.DUMMYFUNCTION("""COMPUTED_VALUE"""),"")</f>
        <v/>
      </c>
      <c r="D1099" t="str">
        <f ca="1">IFERROR(__xludf.DUMMYFUNCTION("""COMPUTED_VALUE"""),"")</f>
        <v/>
      </c>
      <c r="E1099" t="str">
        <f ca="1">IFERROR(__xludf.DUMMYFUNCTION("""COMPUTED_VALUE"""),"")</f>
        <v/>
      </c>
      <c r="F1099" t="str">
        <f ca="1">IFERROR(__xludf.DUMMYFUNCTION("""COMPUTED_VALUE"""),"")</f>
        <v/>
      </c>
      <c r="G1099" t="str">
        <f ca="1">IFERROR(__xludf.DUMMYFUNCTION("""COMPUTED_VALUE"""),"")</f>
        <v/>
      </c>
      <c r="H1099" t="str">
        <f ca="1">IFERROR(__xludf.DUMMYFUNCTION("""COMPUTED_VALUE"""),"")</f>
        <v/>
      </c>
      <c r="I1099" s="4" t="str">
        <f ca="1">IFERROR(__xludf.DUMMYFUNCTION("""COMPUTED_VALUE"""),"")</f>
        <v/>
      </c>
      <c r="J1099" t="str">
        <f ca="1">IFERROR(__xludf.DUMMYFUNCTION("""COMPUTED_VALUE"""),"")</f>
        <v/>
      </c>
      <c r="K1099" t="str">
        <f ca="1">IFERROR(__xludf.DUMMYFUNCTION("""COMPUTED_VALUE"""),"")</f>
        <v/>
      </c>
      <c r="L1099" t="str">
        <f ca="1">IFERROR(__xludf.DUMMYFUNCTION("""COMPUTED_VALUE"""),"")</f>
        <v/>
      </c>
      <c r="M1099" t="str">
        <f ca="1">IFERROR(__xludf.DUMMYFUNCTION("""COMPUTED_VALUE"""),"")</f>
        <v/>
      </c>
      <c r="N1099" s="4" t="str">
        <f ca="1">IFERROR(__xludf.DUMMYFUNCTION("""COMPUTED_VALUE"""),"")</f>
        <v/>
      </c>
      <c r="O1099" s="4" t="str">
        <f ca="1">IFERROR(__xludf.DUMMYFUNCTION("""COMPUTED_VALUE"""),"")</f>
        <v/>
      </c>
      <c r="P1099" t="str">
        <f ca="1">IFERROR(__xludf.DUMMYFUNCTION("""COMPUTED_VALUE"""),"")</f>
        <v/>
      </c>
      <c r="Q1099" t="str">
        <f ca="1">IFERROR(__xludf.DUMMYFUNCTION("""COMPUTED_VALUE"""),"")</f>
        <v/>
      </c>
      <c r="R1099" s="2" t="s">
        <v>3513</v>
      </c>
    </row>
    <row r="1100" spans="1:18" ht="13" x14ac:dyDescent="0.15">
      <c r="A1100" s="3" t="str">
        <f ca="1">IFERROR(__xludf.DUMMYFUNCTION("""COMPUTED_VALUE"""),"")</f>
        <v/>
      </c>
      <c r="B1100" t="str">
        <f ca="1">IFERROR(__xludf.DUMMYFUNCTION("""COMPUTED_VALUE"""),"")</f>
        <v/>
      </c>
      <c r="C1100" t="str">
        <f ca="1">IFERROR(__xludf.DUMMYFUNCTION("""COMPUTED_VALUE"""),"")</f>
        <v/>
      </c>
      <c r="D1100" t="str">
        <f ca="1">IFERROR(__xludf.DUMMYFUNCTION("""COMPUTED_VALUE"""),"")</f>
        <v/>
      </c>
      <c r="E1100" t="str">
        <f ca="1">IFERROR(__xludf.DUMMYFUNCTION("""COMPUTED_VALUE"""),"")</f>
        <v/>
      </c>
      <c r="F1100" t="str">
        <f ca="1">IFERROR(__xludf.DUMMYFUNCTION("""COMPUTED_VALUE"""),"")</f>
        <v/>
      </c>
      <c r="G1100" t="str">
        <f ca="1">IFERROR(__xludf.DUMMYFUNCTION("""COMPUTED_VALUE"""),"")</f>
        <v/>
      </c>
      <c r="H1100" t="str">
        <f ca="1">IFERROR(__xludf.DUMMYFUNCTION("""COMPUTED_VALUE"""),"")</f>
        <v/>
      </c>
      <c r="I1100" s="4" t="str">
        <f ca="1">IFERROR(__xludf.DUMMYFUNCTION("""COMPUTED_VALUE"""),"")</f>
        <v/>
      </c>
      <c r="J1100" t="str">
        <f ca="1">IFERROR(__xludf.DUMMYFUNCTION("""COMPUTED_VALUE"""),"")</f>
        <v/>
      </c>
      <c r="K1100" t="str">
        <f ca="1">IFERROR(__xludf.DUMMYFUNCTION("""COMPUTED_VALUE"""),"")</f>
        <v/>
      </c>
      <c r="L1100" t="str">
        <f ca="1">IFERROR(__xludf.DUMMYFUNCTION("""COMPUTED_VALUE"""),"")</f>
        <v/>
      </c>
      <c r="M1100" t="str">
        <f ca="1">IFERROR(__xludf.DUMMYFUNCTION("""COMPUTED_VALUE"""),"")</f>
        <v/>
      </c>
      <c r="N1100" s="4" t="str">
        <f ca="1">IFERROR(__xludf.DUMMYFUNCTION("""COMPUTED_VALUE"""),"")</f>
        <v/>
      </c>
      <c r="O1100" s="4" t="str">
        <f ca="1">IFERROR(__xludf.DUMMYFUNCTION("""COMPUTED_VALUE"""),"")</f>
        <v/>
      </c>
      <c r="P1100" t="str">
        <f ca="1">IFERROR(__xludf.DUMMYFUNCTION("""COMPUTED_VALUE"""),"")</f>
        <v/>
      </c>
      <c r="Q1100" t="str">
        <f ca="1">IFERROR(__xludf.DUMMYFUNCTION("""COMPUTED_VALUE"""),"")</f>
        <v/>
      </c>
      <c r="R1100" s="2" t="s">
        <v>3514</v>
      </c>
    </row>
    <row r="1101" spans="1:18" ht="13" x14ac:dyDescent="0.15">
      <c r="A1101" s="3" t="str">
        <f ca="1">IFERROR(__xludf.DUMMYFUNCTION("""COMPUTED_VALUE"""),"")</f>
        <v/>
      </c>
      <c r="B1101" t="str">
        <f ca="1">IFERROR(__xludf.DUMMYFUNCTION("""COMPUTED_VALUE"""),"")</f>
        <v/>
      </c>
      <c r="C1101" t="str">
        <f ca="1">IFERROR(__xludf.DUMMYFUNCTION("""COMPUTED_VALUE"""),"")</f>
        <v/>
      </c>
      <c r="D1101" t="str">
        <f ca="1">IFERROR(__xludf.DUMMYFUNCTION("""COMPUTED_VALUE"""),"")</f>
        <v/>
      </c>
      <c r="E1101" t="str">
        <f ca="1">IFERROR(__xludf.DUMMYFUNCTION("""COMPUTED_VALUE"""),"")</f>
        <v/>
      </c>
      <c r="F1101" t="str">
        <f ca="1">IFERROR(__xludf.DUMMYFUNCTION("""COMPUTED_VALUE"""),"")</f>
        <v/>
      </c>
      <c r="G1101" t="str">
        <f ca="1">IFERROR(__xludf.DUMMYFUNCTION("""COMPUTED_VALUE"""),"")</f>
        <v/>
      </c>
      <c r="H1101" t="str">
        <f ca="1">IFERROR(__xludf.DUMMYFUNCTION("""COMPUTED_VALUE"""),"")</f>
        <v/>
      </c>
      <c r="I1101" s="4" t="str">
        <f ca="1">IFERROR(__xludf.DUMMYFUNCTION("""COMPUTED_VALUE"""),"")</f>
        <v/>
      </c>
      <c r="J1101" t="str">
        <f ca="1">IFERROR(__xludf.DUMMYFUNCTION("""COMPUTED_VALUE"""),"")</f>
        <v/>
      </c>
      <c r="K1101" t="str">
        <f ca="1">IFERROR(__xludf.DUMMYFUNCTION("""COMPUTED_VALUE"""),"")</f>
        <v/>
      </c>
      <c r="L1101" t="str">
        <f ca="1">IFERROR(__xludf.DUMMYFUNCTION("""COMPUTED_VALUE"""),"")</f>
        <v/>
      </c>
      <c r="M1101" t="str">
        <f ca="1">IFERROR(__xludf.DUMMYFUNCTION("""COMPUTED_VALUE"""),"")</f>
        <v/>
      </c>
      <c r="N1101" s="4" t="str">
        <f ca="1">IFERROR(__xludf.DUMMYFUNCTION("""COMPUTED_VALUE"""),"")</f>
        <v/>
      </c>
      <c r="O1101" s="4" t="str">
        <f ca="1">IFERROR(__xludf.DUMMYFUNCTION("""COMPUTED_VALUE"""),"")</f>
        <v/>
      </c>
      <c r="P1101" t="str">
        <f ca="1">IFERROR(__xludf.DUMMYFUNCTION("""COMPUTED_VALUE"""),"")</f>
        <v/>
      </c>
      <c r="Q1101" t="str">
        <f ca="1">IFERROR(__xludf.DUMMYFUNCTION("""COMPUTED_VALUE"""),"")</f>
        <v/>
      </c>
      <c r="R1101" s="2" t="s">
        <v>3515</v>
      </c>
    </row>
    <row r="1102" spans="1:18" ht="13" x14ac:dyDescent="0.15">
      <c r="A1102" s="3" t="str">
        <f ca="1">IFERROR(__xludf.DUMMYFUNCTION("""COMPUTED_VALUE"""),"")</f>
        <v/>
      </c>
      <c r="B1102" t="str">
        <f ca="1">IFERROR(__xludf.DUMMYFUNCTION("""COMPUTED_VALUE"""),"")</f>
        <v/>
      </c>
      <c r="C1102" t="str">
        <f ca="1">IFERROR(__xludf.DUMMYFUNCTION("""COMPUTED_VALUE"""),"")</f>
        <v/>
      </c>
      <c r="D1102" t="str">
        <f ca="1">IFERROR(__xludf.DUMMYFUNCTION("""COMPUTED_VALUE"""),"")</f>
        <v/>
      </c>
      <c r="E1102" t="str">
        <f ca="1">IFERROR(__xludf.DUMMYFUNCTION("""COMPUTED_VALUE"""),"")</f>
        <v/>
      </c>
      <c r="F1102" t="str">
        <f ca="1">IFERROR(__xludf.DUMMYFUNCTION("""COMPUTED_VALUE"""),"")</f>
        <v/>
      </c>
      <c r="G1102" t="str">
        <f ca="1">IFERROR(__xludf.DUMMYFUNCTION("""COMPUTED_VALUE"""),"")</f>
        <v/>
      </c>
      <c r="H1102" t="str">
        <f ca="1">IFERROR(__xludf.DUMMYFUNCTION("""COMPUTED_VALUE"""),"")</f>
        <v/>
      </c>
      <c r="I1102" s="4" t="str">
        <f ca="1">IFERROR(__xludf.DUMMYFUNCTION("""COMPUTED_VALUE"""),"")</f>
        <v/>
      </c>
      <c r="J1102" t="str">
        <f ca="1">IFERROR(__xludf.DUMMYFUNCTION("""COMPUTED_VALUE"""),"")</f>
        <v/>
      </c>
      <c r="K1102" t="str">
        <f ca="1">IFERROR(__xludf.DUMMYFUNCTION("""COMPUTED_VALUE"""),"")</f>
        <v/>
      </c>
      <c r="L1102" t="str">
        <f ca="1">IFERROR(__xludf.DUMMYFUNCTION("""COMPUTED_VALUE"""),"")</f>
        <v/>
      </c>
      <c r="M1102" t="str">
        <f ca="1">IFERROR(__xludf.DUMMYFUNCTION("""COMPUTED_VALUE"""),"")</f>
        <v/>
      </c>
      <c r="N1102" s="4" t="str">
        <f ca="1">IFERROR(__xludf.DUMMYFUNCTION("""COMPUTED_VALUE"""),"")</f>
        <v/>
      </c>
      <c r="O1102" s="4" t="str">
        <f ca="1">IFERROR(__xludf.DUMMYFUNCTION("""COMPUTED_VALUE"""),"")</f>
        <v/>
      </c>
      <c r="P1102" t="str">
        <f ca="1">IFERROR(__xludf.DUMMYFUNCTION("""COMPUTED_VALUE"""),"")</f>
        <v/>
      </c>
      <c r="Q1102" t="str">
        <f ca="1">IFERROR(__xludf.DUMMYFUNCTION("""COMPUTED_VALUE"""),"")</f>
        <v/>
      </c>
      <c r="R1102" s="2" t="s">
        <v>3516</v>
      </c>
    </row>
    <row r="1103" spans="1:18" ht="13" x14ac:dyDescent="0.15">
      <c r="A1103" s="3" t="str">
        <f ca="1">IFERROR(__xludf.DUMMYFUNCTION("""COMPUTED_VALUE"""),"")</f>
        <v/>
      </c>
      <c r="B1103" t="str">
        <f ca="1">IFERROR(__xludf.DUMMYFUNCTION("""COMPUTED_VALUE"""),"")</f>
        <v/>
      </c>
      <c r="C1103" t="str">
        <f ca="1">IFERROR(__xludf.DUMMYFUNCTION("""COMPUTED_VALUE"""),"")</f>
        <v/>
      </c>
      <c r="D1103" t="str">
        <f ca="1">IFERROR(__xludf.DUMMYFUNCTION("""COMPUTED_VALUE"""),"")</f>
        <v/>
      </c>
      <c r="E1103" t="str">
        <f ca="1">IFERROR(__xludf.DUMMYFUNCTION("""COMPUTED_VALUE"""),"")</f>
        <v/>
      </c>
      <c r="F1103" t="str">
        <f ca="1">IFERROR(__xludf.DUMMYFUNCTION("""COMPUTED_VALUE"""),"")</f>
        <v/>
      </c>
      <c r="G1103" t="str">
        <f ca="1">IFERROR(__xludf.DUMMYFUNCTION("""COMPUTED_VALUE"""),"")</f>
        <v/>
      </c>
      <c r="H1103" t="str">
        <f ca="1">IFERROR(__xludf.DUMMYFUNCTION("""COMPUTED_VALUE"""),"")</f>
        <v/>
      </c>
      <c r="I1103" s="4" t="str">
        <f ca="1">IFERROR(__xludf.DUMMYFUNCTION("""COMPUTED_VALUE"""),"")</f>
        <v/>
      </c>
      <c r="J1103" t="str">
        <f ca="1">IFERROR(__xludf.DUMMYFUNCTION("""COMPUTED_VALUE"""),"")</f>
        <v/>
      </c>
      <c r="K1103" t="str">
        <f ca="1">IFERROR(__xludf.DUMMYFUNCTION("""COMPUTED_VALUE"""),"")</f>
        <v/>
      </c>
      <c r="L1103" t="str">
        <f ca="1">IFERROR(__xludf.DUMMYFUNCTION("""COMPUTED_VALUE"""),"")</f>
        <v/>
      </c>
      <c r="M1103" t="str">
        <f ca="1">IFERROR(__xludf.DUMMYFUNCTION("""COMPUTED_VALUE"""),"")</f>
        <v/>
      </c>
      <c r="N1103" s="4" t="str">
        <f ca="1">IFERROR(__xludf.DUMMYFUNCTION("""COMPUTED_VALUE"""),"")</f>
        <v/>
      </c>
      <c r="O1103" s="4" t="str">
        <f ca="1">IFERROR(__xludf.DUMMYFUNCTION("""COMPUTED_VALUE"""),"")</f>
        <v/>
      </c>
      <c r="P1103" t="str">
        <f ca="1">IFERROR(__xludf.DUMMYFUNCTION("""COMPUTED_VALUE"""),"")</f>
        <v/>
      </c>
      <c r="Q1103" t="str">
        <f ca="1">IFERROR(__xludf.DUMMYFUNCTION("""COMPUTED_VALUE"""),"")</f>
        <v/>
      </c>
      <c r="R1103" s="2" t="s">
        <v>3517</v>
      </c>
    </row>
    <row r="1104" spans="1:18" ht="13" x14ac:dyDescent="0.15">
      <c r="A1104" s="3" t="str">
        <f ca="1">IFERROR(__xludf.DUMMYFUNCTION("""COMPUTED_VALUE"""),"")</f>
        <v/>
      </c>
      <c r="B1104" t="str">
        <f ca="1">IFERROR(__xludf.DUMMYFUNCTION("""COMPUTED_VALUE"""),"")</f>
        <v/>
      </c>
      <c r="C1104" t="str">
        <f ca="1">IFERROR(__xludf.DUMMYFUNCTION("""COMPUTED_VALUE"""),"")</f>
        <v/>
      </c>
      <c r="D1104" t="str">
        <f ca="1">IFERROR(__xludf.DUMMYFUNCTION("""COMPUTED_VALUE"""),"")</f>
        <v/>
      </c>
      <c r="E1104" t="str">
        <f ca="1">IFERROR(__xludf.DUMMYFUNCTION("""COMPUTED_VALUE"""),"")</f>
        <v/>
      </c>
      <c r="F1104" t="str">
        <f ca="1">IFERROR(__xludf.DUMMYFUNCTION("""COMPUTED_VALUE"""),"")</f>
        <v/>
      </c>
      <c r="G1104" t="str">
        <f ca="1">IFERROR(__xludf.DUMMYFUNCTION("""COMPUTED_VALUE"""),"")</f>
        <v/>
      </c>
      <c r="H1104" t="str">
        <f ca="1">IFERROR(__xludf.DUMMYFUNCTION("""COMPUTED_VALUE"""),"")</f>
        <v/>
      </c>
      <c r="I1104" s="4" t="str">
        <f ca="1">IFERROR(__xludf.DUMMYFUNCTION("""COMPUTED_VALUE"""),"")</f>
        <v/>
      </c>
      <c r="J1104" t="str">
        <f ca="1">IFERROR(__xludf.DUMMYFUNCTION("""COMPUTED_VALUE"""),"")</f>
        <v/>
      </c>
      <c r="K1104" t="str">
        <f ca="1">IFERROR(__xludf.DUMMYFUNCTION("""COMPUTED_VALUE"""),"")</f>
        <v/>
      </c>
      <c r="L1104" t="str">
        <f ca="1">IFERROR(__xludf.DUMMYFUNCTION("""COMPUTED_VALUE"""),"")</f>
        <v/>
      </c>
      <c r="M1104" t="str">
        <f ca="1">IFERROR(__xludf.DUMMYFUNCTION("""COMPUTED_VALUE"""),"")</f>
        <v/>
      </c>
      <c r="N1104" s="4" t="str">
        <f ca="1">IFERROR(__xludf.DUMMYFUNCTION("""COMPUTED_VALUE"""),"")</f>
        <v/>
      </c>
      <c r="O1104" s="4" t="str">
        <f ca="1">IFERROR(__xludf.DUMMYFUNCTION("""COMPUTED_VALUE"""),"")</f>
        <v/>
      </c>
      <c r="P1104" t="str">
        <f ca="1">IFERROR(__xludf.DUMMYFUNCTION("""COMPUTED_VALUE"""),"")</f>
        <v/>
      </c>
      <c r="Q1104" t="str">
        <f ca="1">IFERROR(__xludf.DUMMYFUNCTION("""COMPUTED_VALUE"""),"")</f>
        <v/>
      </c>
      <c r="R1104" s="2" t="s">
        <v>3518</v>
      </c>
    </row>
    <row r="1105" spans="1:18" ht="13" x14ac:dyDescent="0.15">
      <c r="A1105" s="3" t="str">
        <f ca="1">IFERROR(__xludf.DUMMYFUNCTION("""COMPUTED_VALUE"""),"")</f>
        <v/>
      </c>
      <c r="B1105" t="str">
        <f ca="1">IFERROR(__xludf.DUMMYFUNCTION("""COMPUTED_VALUE"""),"")</f>
        <v/>
      </c>
      <c r="C1105" t="str">
        <f ca="1">IFERROR(__xludf.DUMMYFUNCTION("""COMPUTED_VALUE"""),"")</f>
        <v/>
      </c>
      <c r="D1105" t="str">
        <f ca="1">IFERROR(__xludf.DUMMYFUNCTION("""COMPUTED_VALUE"""),"")</f>
        <v/>
      </c>
      <c r="E1105" t="str">
        <f ca="1">IFERROR(__xludf.DUMMYFUNCTION("""COMPUTED_VALUE"""),"")</f>
        <v/>
      </c>
      <c r="F1105" t="str">
        <f ca="1">IFERROR(__xludf.DUMMYFUNCTION("""COMPUTED_VALUE"""),"")</f>
        <v/>
      </c>
      <c r="G1105" t="str">
        <f ca="1">IFERROR(__xludf.DUMMYFUNCTION("""COMPUTED_VALUE"""),"")</f>
        <v/>
      </c>
      <c r="H1105" t="str">
        <f ca="1">IFERROR(__xludf.DUMMYFUNCTION("""COMPUTED_VALUE"""),"")</f>
        <v/>
      </c>
      <c r="I1105" s="4" t="str">
        <f ca="1">IFERROR(__xludf.DUMMYFUNCTION("""COMPUTED_VALUE"""),"")</f>
        <v/>
      </c>
      <c r="J1105" t="str">
        <f ca="1">IFERROR(__xludf.DUMMYFUNCTION("""COMPUTED_VALUE"""),"")</f>
        <v/>
      </c>
      <c r="K1105" t="str">
        <f ca="1">IFERROR(__xludf.DUMMYFUNCTION("""COMPUTED_VALUE"""),"")</f>
        <v/>
      </c>
      <c r="L1105" t="str">
        <f ca="1">IFERROR(__xludf.DUMMYFUNCTION("""COMPUTED_VALUE"""),"")</f>
        <v/>
      </c>
      <c r="M1105" t="str">
        <f ca="1">IFERROR(__xludf.DUMMYFUNCTION("""COMPUTED_VALUE"""),"")</f>
        <v/>
      </c>
      <c r="N1105" s="4" t="str">
        <f ca="1">IFERROR(__xludf.DUMMYFUNCTION("""COMPUTED_VALUE"""),"")</f>
        <v/>
      </c>
      <c r="O1105" s="4" t="str">
        <f ca="1">IFERROR(__xludf.DUMMYFUNCTION("""COMPUTED_VALUE"""),"")</f>
        <v/>
      </c>
      <c r="P1105" t="str">
        <f ca="1">IFERROR(__xludf.DUMMYFUNCTION("""COMPUTED_VALUE"""),"")</f>
        <v/>
      </c>
      <c r="Q1105" t="str">
        <f ca="1">IFERROR(__xludf.DUMMYFUNCTION("""COMPUTED_VALUE"""),"")</f>
        <v/>
      </c>
      <c r="R1105" s="2" t="s">
        <v>3519</v>
      </c>
    </row>
    <row r="1106" spans="1:18" ht="13" x14ac:dyDescent="0.15">
      <c r="A1106" s="3" t="str">
        <f ca="1">IFERROR(__xludf.DUMMYFUNCTION("""COMPUTED_VALUE"""),"")</f>
        <v/>
      </c>
      <c r="B1106" t="str">
        <f ca="1">IFERROR(__xludf.DUMMYFUNCTION("""COMPUTED_VALUE"""),"")</f>
        <v/>
      </c>
      <c r="C1106" t="str">
        <f ca="1">IFERROR(__xludf.DUMMYFUNCTION("""COMPUTED_VALUE"""),"")</f>
        <v/>
      </c>
      <c r="D1106" t="str">
        <f ca="1">IFERROR(__xludf.DUMMYFUNCTION("""COMPUTED_VALUE"""),"")</f>
        <v/>
      </c>
      <c r="E1106" t="str">
        <f ca="1">IFERROR(__xludf.DUMMYFUNCTION("""COMPUTED_VALUE"""),"")</f>
        <v/>
      </c>
      <c r="F1106" t="str">
        <f ca="1">IFERROR(__xludf.DUMMYFUNCTION("""COMPUTED_VALUE"""),"")</f>
        <v/>
      </c>
      <c r="G1106" t="str">
        <f ca="1">IFERROR(__xludf.DUMMYFUNCTION("""COMPUTED_VALUE"""),"")</f>
        <v/>
      </c>
      <c r="H1106" t="str">
        <f ca="1">IFERROR(__xludf.DUMMYFUNCTION("""COMPUTED_VALUE"""),"")</f>
        <v/>
      </c>
      <c r="I1106" s="4" t="str">
        <f ca="1">IFERROR(__xludf.DUMMYFUNCTION("""COMPUTED_VALUE"""),"")</f>
        <v/>
      </c>
      <c r="J1106" t="str">
        <f ca="1">IFERROR(__xludf.DUMMYFUNCTION("""COMPUTED_VALUE"""),"")</f>
        <v/>
      </c>
      <c r="K1106" t="str">
        <f ca="1">IFERROR(__xludf.DUMMYFUNCTION("""COMPUTED_VALUE"""),"")</f>
        <v/>
      </c>
      <c r="L1106" t="str">
        <f ca="1">IFERROR(__xludf.DUMMYFUNCTION("""COMPUTED_VALUE"""),"")</f>
        <v/>
      </c>
      <c r="M1106" t="str">
        <f ca="1">IFERROR(__xludf.DUMMYFUNCTION("""COMPUTED_VALUE"""),"")</f>
        <v/>
      </c>
      <c r="N1106" s="4" t="str">
        <f ca="1">IFERROR(__xludf.DUMMYFUNCTION("""COMPUTED_VALUE"""),"")</f>
        <v/>
      </c>
      <c r="O1106" s="4" t="str">
        <f ca="1">IFERROR(__xludf.DUMMYFUNCTION("""COMPUTED_VALUE"""),"")</f>
        <v/>
      </c>
      <c r="P1106" t="str">
        <f ca="1">IFERROR(__xludf.DUMMYFUNCTION("""COMPUTED_VALUE"""),"")</f>
        <v/>
      </c>
      <c r="Q1106" t="str">
        <f ca="1">IFERROR(__xludf.DUMMYFUNCTION("""COMPUTED_VALUE"""),"")</f>
        <v/>
      </c>
      <c r="R1106" s="2" t="s">
        <v>3520</v>
      </c>
    </row>
    <row r="1107" spans="1:18" ht="13" x14ac:dyDescent="0.15">
      <c r="A1107" s="3" t="str">
        <f ca="1">IFERROR(__xludf.DUMMYFUNCTION("""COMPUTED_VALUE"""),"")</f>
        <v/>
      </c>
      <c r="B1107" t="str">
        <f ca="1">IFERROR(__xludf.DUMMYFUNCTION("""COMPUTED_VALUE"""),"")</f>
        <v/>
      </c>
      <c r="C1107" t="str">
        <f ca="1">IFERROR(__xludf.DUMMYFUNCTION("""COMPUTED_VALUE"""),"")</f>
        <v/>
      </c>
      <c r="D1107" t="str">
        <f ca="1">IFERROR(__xludf.DUMMYFUNCTION("""COMPUTED_VALUE"""),"")</f>
        <v/>
      </c>
      <c r="E1107" t="str">
        <f ca="1">IFERROR(__xludf.DUMMYFUNCTION("""COMPUTED_VALUE"""),"")</f>
        <v/>
      </c>
      <c r="F1107" t="str">
        <f ca="1">IFERROR(__xludf.DUMMYFUNCTION("""COMPUTED_VALUE"""),"")</f>
        <v/>
      </c>
      <c r="G1107" t="str">
        <f ca="1">IFERROR(__xludf.DUMMYFUNCTION("""COMPUTED_VALUE"""),"")</f>
        <v/>
      </c>
      <c r="H1107" t="str">
        <f ca="1">IFERROR(__xludf.DUMMYFUNCTION("""COMPUTED_VALUE"""),"")</f>
        <v/>
      </c>
      <c r="I1107" s="4" t="str">
        <f ca="1">IFERROR(__xludf.DUMMYFUNCTION("""COMPUTED_VALUE"""),"")</f>
        <v/>
      </c>
      <c r="J1107" t="str">
        <f ca="1">IFERROR(__xludf.DUMMYFUNCTION("""COMPUTED_VALUE"""),"")</f>
        <v/>
      </c>
      <c r="K1107" t="str">
        <f ca="1">IFERROR(__xludf.DUMMYFUNCTION("""COMPUTED_VALUE"""),"")</f>
        <v/>
      </c>
      <c r="L1107" t="str">
        <f ca="1">IFERROR(__xludf.DUMMYFUNCTION("""COMPUTED_VALUE"""),"")</f>
        <v/>
      </c>
      <c r="M1107" t="str">
        <f ca="1">IFERROR(__xludf.DUMMYFUNCTION("""COMPUTED_VALUE"""),"")</f>
        <v/>
      </c>
      <c r="N1107" s="4" t="str">
        <f ca="1">IFERROR(__xludf.DUMMYFUNCTION("""COMPUTED_VALUE"""),"")</f>
        <v/>
      </c>
      <c r="O1107" s="4" t="str">
        <f ca="1">IFERROR(__xludf.DUMMYFUNCTION("""COMPUTED_VALUE"""),"")</f>
        <v/>
      </c>
      <c r="P1107" t="str">
        <f ca="1">IFERROR(__xludf.DUMMYFUNCTION("""COMPUTED_VALUE"""),"")</f>
        <v/>
      </c>
      <c r="Q1107" t="str">
        <f ca="1">IFERROR(__xludf.DUMMYFUNCTION("""COMPUTED_VALUE"""),"")</f>
        <v/>
      </c>
      <c r="R1107" s="2" t="s">
        <v>3521</v>
      </c>
    </row>
    <row r="1108" spans="1:18" ht="13" x14ac:dyDescent="0.15">
      <c r="A1108" s="3" t="str">
        <f ca="1">IFERROR(__xludf.DUMMYFUNCTION("""COMPUTED_VALUE"""),"")</f>
        <v/>
      </c>
      <c r="B1108" t="str">
        <f ca="1">IFERROR(__xludf.DUMMYFUNCTION("""COMPUTED_VALUE"""),"")</f>
        <v/>
      </c>
      <c r="C1108" t="str">
        <f ca="1">IFERROR(__xludf.DUMMYFUNCTION("""COMPUTED_VALUE"""),"")</f>
        <v/>
      </c>
      <c r="D1108" t="str">
        <f ca="1">IFERROR(__xludf.DUMMYFUNCTION("""COMPUTED_VALUE"""),"")</f>
        <v/>
      </c>
      <c r="E1108" t="str">
        <f ca="1">IFERROR(__xludf.DUMMYFUNCTION("""COMPUTED_VALUE"""),"")</f>
        <v/>
      </c>
      <c r="F1108" t="str">
        <f ca="1">IFERROR(__xludf.DUMMYFUNCTION("""COMPUTED_VALUE"""),"")</f>
        <v/>
      </c>
      <c r="G1108" t="str">
        <f ca="1">IFERROR(__xludf.DUMMYFUNCTION("""COMPUTED_VALUE"""),"")</f>
        <v/>
      </c>
      <c r="H1108" t="str">
        <f ca="1">IFERROR(__xludf.DUMMYFUNCTION("""COMPUTED_VALUE"""),"")</f>
        <v/>
      </c>
      <c r="I1108" s="4" t="str">
        <f ca="1">IFERROR(__xludf.DUMMYFUNCTION("""COMPUTED_VALUE"""),"")</f>
        <v/>
      </c>
      <c r="J1108" t="str">
        <f ca="1">IFERROR(__xludf.DUMMYFUNCTION("""COMPUTED_VALUE"""),"")</f>
        <v/>
      </c>
      <c r="K1108" t="str">
        <f ca="1">IFERROR(__xludf.DUMMYFUNCTION("""COMPUTED_VALUE"""),"")</f>
        <v/>
      </c>
      <c r="L1108" t="str">
        <f ca="1">IFERROR(__xludf.DUMMYFUNCTION("""COMPUTED_VALUE"""),"")</f>
        <v/>
      </c>
      <c r="M1108" t="str">
        <f ca="1">IFERROR(__xludf.DUMMYFUNCTION("""COMPUTED_VALUE"""),"")</f>
        <v/>
      </c>
      <c r="N1108" s="4" t="str">
        <f ca="1">IFERROR(__xludf.DUMMYFUNCTION("""COMPUTED_VALUE"""),"")</f>
        <v/>
      </c>
      <c r="O1108" s="4" t="str">
        <f ca="1">IFERROR(__xludf.DUMMYFUNCTION("""COMPUTED_VALUE"""),"")</f>
        <v/>
      </c>
      <c r="P1108" t="str">
        <f ca="1">IFERROR(__xludf.DUMMYFUNCTION("""COMPUTED_VALUE"""),"")</f>
        <v/>
      </c>
      <c r="Q1108" t="str">
        <f ca="1">IFERROR(__xludf.DUMMYFUNCTION("""COMPUTED_VALUE"""),"")</f>
        <v/>
      </c>
      <c r="R1108" s="2" t="s">
        <v>3522</v>
      </c>
    </row>
    <row r="1109" spans="1:18" ht="13" x14ac:dyDescent="0.15">
      <c r="A1109" s="3" t="str">
        <f ca="1">IFERROR(__xludf.DUMMYFUNCTION("""COMPUTED_VALUE"""),"")</f>
        <v/>
      </c>
      <c r="B1109" t="str">
        <f ca="1">IFERROR(__xludf.DUMMYFUNCTION("""COMPUTED_VALUE"""),"")</f>
        <v/>
      </c>
      <c r="C1109" t="str">
        <f ca="1">IFERROR(__xludf.DUMMYFUNCTION("""COMPUTED_VALUE"""),"")</f>
        <v/>
      </c>
      <c r="D1109" t="str">
        <f ca="1">IFERROR(__xludf.DUMMYFUNCTION("""COMPUTED_VALUE"""),"")</f>
        <v/>
      </c>
      <c r="E1109" t="str">
        <f ca="1">IFERROR(__xludf.DUMMYFUNCTION("""COMPUTED_VALUE"""),"")</f>
        <v/>
      </c>
      <c r="F1109" t="str">
        <f ca="1">IFERROR(__xludf.DUMMYFUNCTION("""COMPUTED_VALUE"""),"")</f>
        <v/>
      </c>
      <c r="G1109" t="str">
        <f ca="1">IFERROR(__xludf.DUMMYFUNCTION("""COMPUTED_VALUE"""),"")</f>
        <v/>
      </c>
      <c r="H1109" t="str">
        <f ca="1">IFERROR(__xludf.DUMMYFUNCTION("""COMPUTED_VALUE"""),"")</f>
        <v/>
      </c>
      <c r="I1109" s="4" t="str">
        <f ca="1">IFERROR(__xludf.DUMMYFUNCTION("""COMPUTED_VALUE"""),"")</f>
        <v/>
      </c>
      <c r="J1109" t="str">
        <f ca="1">IFERROR(__xludf.DUMMYFUNCTION("""COMPUTED_VALUE"""),"")</f>
        <v/>
      </c>
      <c r="K1109" t="str">
        <f ca="1">IFERROR(__xludf.DUMMYFUNCTION("""COMPUTED_VALUE"""),"")</f>
        <v/>
      </c>
      <c r="L1109" t="str">
        <f ca="1">IFERROR(__xludf.DUMMYFUNCTION("""COMPUTED_VALUE"""),"")</f>
        <v/>
      </c>
      <c r="M1109" t="str">
        <f ca="1">IFERROR(__xludf.DUMMYFUNCTION("""COMPUTED_VALUE"""),"")</f>
        <v/>
      </c>
      <c r="N1109" s="4" t="str">
        <f ca="1">IFERROR(__xludf.DUMMYFUNCTION("""COMPUTED_VALUE"""),"")</f>
        <v/>
      </c>
      <c r="O1109" s="4" t="str">
        <f ca="1">IFERROR(__xludf.DUMMYFUNCTION("""COMPUTED_VALUE"""),"")</f>
        <v/>
      </c>
      <c r="P1109" t="str">
        <f ca="1">IFERROR(__xludf.DUMMYFUNCTION("""COMPUTED_VALUE"""),"")</f>
        <v/>
      </c>
      <c r="Q1109" t="str">
        <f ca="1">IFERROR(__xludf.DUMMYFUNCTION("""COMPUTED_VALUE"""),"")</f>
        <v/>
      </c>
      <c r="R1109" s="2" t="s">
        <v>3523</v>
      </c>
    </row>
    <row r="1110" spans="1:18" ht="13" x14ac:dyDescent="0.15">
      <c r="A1110" s="3" t="str">
        <f ca="1">IFERROR(__xludf.DUMMYFUNCTION("""COMPUTED_VALUE"""),"")</f>
        <v/>
      </c>
      <c r="B1110" t="str">
        <f ca="1">IFERROR(__xludf.DUMMYFUNCTION("""COMPUTED_VALUE"""),"")</f>
        <v/>
      </c>
      <c r="C1110" t="str">
        <f ca="1">IFERROR(__xludf.DUMMYFUNCTION("""COMPUTED_VALUE"""),"")</f>
        <v/>
      </c>
      <c r="D1110" t="str">
        <f ca="1">IFERROR(__xludf.DUMMYFUNCTION("""COMPUTED_VALUE"""),"")</f>
        <v/>
      </c>
      <c r="E1110" t="str">
        <f ca="1">IFERROR(__xludf.DUMMYFUNCTION("""COMPUTED_VALUE"""),"")</f>
        <v/>
      </c>
      <c r="F1110" t="str">
        <f ca="1">IFERROR(__xludf.DUMMYFUNCTION("""COMPUTED_VALUE"""),"")</f>
        <v/>
      </c>
      <c r="G1110" t="str">
        <f ca="1">IFERROR(__xludf.DUMMYFUNCTION("""COMPUTED_VALUE"""),"")</f>
        <v/>
      </c>
      <c r="H1110" t="str">
        <f ca="1">IFERROR(__xludf.DUMMYFUNCTION("""COMPUTED_VALUE"""),"")</f>
        <v/>
      </c>
      <c r="I1110" s="4" t="str">
        <f ca="1">IFERROR(__xludf.DUMMYFUNCTION("""COMPUTED_VALUE"""),"")</f>
        <v/>
      </c>
      <c r="J1110" t="str">
        <f ca="1">IFERROR(__xludf.DUMMYFUNCTION("""COMPUTED_VALUE"""),"")</f>
        <v/>
      </c>
      <c r="K1110" t="str">
        <f ca="1">IFERROR(__xludf.DUMMYFUNCTION("""COMPUTED_VALUE"""),"")</f>
        <v/>
      </c>
      <c r="L1110" t="str">
        <f ca="1">IFERROR(__xludf.DUMMYFUNCTION("""COMPUTED_VALUE"""),"")</f>
        <v/>
      </c>
      <c r="M1110" t="str">
        <f ca="1">IFERROR(__xludf.DUMMYFUNCTION("""COMPUTED_VALUE"""),"")</f>
        <v/>
      </c>
      <c r="N1110" s="4" t="str">
        <f ca="1">IFERROR(__xludf.DUMMYFUNCTION("""COMPUTED_VALUE"""),"")</f>
        <v/>
      </c>
      <c r="O1110" s="4" t="str">
        <f ca="1">IFERROR(__xludf.DUMMYFUNCTION("""COMPUTED_VALUE"""),"")</f>
        <v/>
      </c>
      <c r="P1110" t="str">
        <f ca="1">IFERROR(__xludf.DUMMYFUNCTION("""COMPUTED_VALUE"""),"")</f>
        <v/>
      </c>
      <c r="Q1110" t="str">
        <f ca="1">IFERROR(__xludf.DUMMYFUNCTION("""COMPUTED_VALUE"""),"")</f>
        <v/>
      </c>
      <c r="R1110" s="2" t="s">
        <v>3524</v>
      </c>
    </row>
    <row r="1111" spans="1:18" ht="13" x14ac:dyDescent="0.15">
      <c r="A1111" s="3" t="str">
        <f ca="1">IFERROR(__xludf.DUMMYFUNCTION("""COMPUTED_VALUE"""),"")</f>
        <v/>
      </c>
      <c r="B1111" t="str">
        <f ca="1">IFERROR(__xludf.DUMMYFUNCTION("""COMPUTED_VALUE"""),"")</f>
        <v/>
      </c>
      <c r="C1111" t="str">
        <f ca="1">IFERROR(__xludf.DUMMYFUNCTION("""COMPUTED_VALUE"""),"")</f>
        <v/>
      </c>
      <c r="D1111" t="str">
        <f ca="1">IFERROR(__xludf.DUMMYFUNCTION("""COMPUTED_VALUE"""),"")</f>
        <v/>
      </c>
      <c r="E1111" t="str">
        <f ca="1">IFERROR(__xludf.DUMMYFUNCTION("""COMPUTED_VALUE"""),"")</f>
        <v/>
      </c>
      <c r="F1111" t="str">
        <f ca="1">IFERROR(__xludf.DUMMYFUNCTION("""COMPUTED_VALUE"""),"")</f>
        <v/>
      </c>
      <c r="G1111" t="str">
        <f ca="1">IFERROR(__xludf.DUMMYFUNCTION("""COMPUTED_VALUE"""),"")</f>
        <v/>
      </c>
      <c r="H1111" t="str">
        <f ca="1">IFERROR(__xludf.DUMMYFUNCTION("""COMPUTED_VALUE"""),"")</f>
        <v/>
      </c>
      <c r="I1111" s="4" t="str">
        <f ca="1">IFERROR(__xludf.DUMMYFUNCTION("""COMPUTED_VALUE"""),"")</f>
        <v/>
      </c>
      <c r="J1111" t="str">
        <f ca="1">IFERROR(__xludf.DUMMYFUNCTION("""COMPUTED_VALUE"""),"")</f>
        <v/>
      </c>
      <c r="K1111" t="str">
        <f ca="1">IFERROR(__xludf.DUMMYFUNCTION("""COMPUTED_VALUE"""),"")</f>
        <v/>
      </c>
      <c r="L1111" t="str">
        <f ca="1">IFERROR(__xludf.DUMMYFUNCTION("""COMPUTED_VALUE"""),"")</f>
        <v/>
      </c>
      <c r="M1111" t="str">
        <f ca="1">IFERROR(__xludf.DUMMYFUNCTION("""COMPUTED_VALUE"""),"")</f>
        <v/>
      </c>
      <c r="N1111" s="4" t="str">
        <f ca="1">IFERROR(__xludf.DUMMYFUNCTION("""COMPUTED_VALUE"""),"")</f>
        <v/>
      </c>
      <c r="O1111" s="4" t="str">
        <f ca="1">IFERROR(__xludf.DUMMYFUNCTION("""COMPUTED_VALUE"""),"")</f>
        <v/>
      </c>
      <c r="P1111" t="str">
        <f ca="1">IFERROR(__xludf.DUMMYFUNCTION("""COMPUTED_VALUE"""),"")</f>
        <v/>
      </c>
      <c r="Q1111" t="str">
        <f ca="1">IFERROR(__xludf.DUMMYFUNCTION("""COMPUTED_VALUE"""),"")</f>
        <v/>
      </c>
      <c r="R1111" s="2" t="s">
        <v>3525</v>
      </c>
    </row>
    <row r="1112" spans="1:18" ht="13" x14ac:dyDescent="0.15">
      <c r="A1112" s="3" t="str">
        <f ca="1">IFERROR(__xludf.DUMMYFUNCTION("""COMPUTED_VALUE"""),"")</f>
        <v/>
      </c>
      <c r="B1112" t="str">
        <f ca="1">IFERROR(__xludf.DUMMYFUNCTION("""COMPUTED_VALUE"""),"")</f>
        <v/>
      </c>
      <c r="C1112" t="str">
        <f ca="1">IFERROR(__xludf.DUMMYFUNCTION("""COMPUTED_VALUE"""),"")</f>
        <v/>
      </c>
      <c r="D1112" t="str">
        <f ca="1">IFERROR(__xludf.DUMMYFUNCTION("""COMPUTED_VALUE"""),"")</f>
        <v/>
      </c>
      <c r="E1112" t="str">
        <f ca="1">IFERROR(__xludf.DUMMYFUNCTION("""COMPUTED_VALUE"""),"")</f>
        <v/>
      </c>
      <c r="F1112" t="str">
        <f ca="1">IFERROR(__xludf.DUMMYFUNCTION("""COMPUTED_VALUE"""),"")</f>
        <v/>
      </c>
      <c r="G1112" t="str">
        <f ca="1">IFERROR(__xludf.DUMMYFUNCTION("""COMPUTED_VALUE"""),"")</f>
        <v/>
      </c>
      <c r="H1112" t="str">
        <f ca="1">IFERROR(__xludf.DUMMYFUNCTION("""COMPUTED_VALUE"""),"")</f>
        <v/>
      </c>
      <c r="I1112" s="4" t="str">
        <f ca="1">IFERROR(__xludf.DUMMYFUNCTION("""COMPUTED_VALUE"""),"")</f>
        <v/>
      </c>
      <c r="J1112" t="str">
        <f ca="1">IFERROR(__xludf.DUMMYFUNCTION("""COMPUTED_VALUE"""),"")</f>
        <v/>
      </c>
      <c r="K1112" t="str">
        <f ca="1">IFERROR(__xludf.DUMMYFUNCTION("""COMPUTED_VALUE"""),"")</f>
        <v/>
      </c>
      <c r="L1112" t="str">
        <f ca="1">IFERROR(__xludf.DUMMYFUNCTION("""COMPUTED_VALUE"""),"")</f>
        <v/>
      </c>
      <c r="M1112" t="str">
        <f ca="1">IFERROR(__xludf.DUMMYFUNCTION("""COMPUTED_VALUE"""),"")</f>
        <v/>
      </c>
      <c r="N1112" s="4" t="str">
        <f ca="1">IFERROR(__xludf.DUMMYFUNCTION("""COMPUTED_VALUE"""),"")</f>
        <v/>
      </c>
      <c r="O1112" s="4" t="str">
        <f ca="1">IFERROR(__xludf.DUMMYFUNCTION("""COMPUTED_VALUE"""),"")</f>
        <v/>
      </c>
      <c r="P1112" t="str">
        <f ca="1">IFERROR(__xludf.DUMMYFUNCTION("""COMPUTED_VALUE"""),"")</f>
        <v/>
      </c>
      <c r="Q1112" t="str">
        <f ca="1">IFERROR(__xludf.DUMMYFUNCTION("""COMPUTED_VALUE"""),"")</f>
        <v/>
      </c>
      <c r="R1112" s="2" t="s">
        <v>3526</v>
      </c>
    </row>
    <row r="1113" spans="1:18" ht="13" x14ac:dyDescent="0.15">
      <c r="A1113" s="3" t="str">
        <f ca="1">IFERROR(__xludf.DUMMYFUNCTION("""COMPUTED_VALUE"""),"")</f>
        <v/>
      </c>
      <c r="B1113" t="str">
        <f ca="1">IFERROR(__xludf.DUMMYFUNCTION("""COMPUTED_VALUE"""),"")</f>
        <v/>
      </c>
      <c r="C1113" t="str">
        <f ca="1">IFERROR(__xludf.DUMMYFUNCTION("""COMPUTED_VALUE"""),"")</f>
        <v/>
      </c>
      <c r="D1113" t="str">
        <f ca="1">IFERROR(__xludf.DUMMYFUNCTION("""COMPUTED_VALUE"""),"")</f>
        <v/>
      </c>
      <c r="E1113" t="str">
        <f ca="1">IFERROR(__xludf.DUMMYFUNCTION("""COMPUTED_VALUE"""),"")</f>
        <v/>
      </c>
      <c r="F1113" t="str">
        <f ca="1">IFERROR(__xludf.DUMMYFUNCTION("""COMPUTED_VALUE"""),"")</f>
        <v/>
      </c>
      <c r="G1113" t="str">
        <f ca="1">IFERROR(__xludf.DUMMYFUNCTION("""COMPUTED_VALUE"""),"")</f>
        <v/>
      </c>
      <c r="H1113" t="str">
        <f ca="1">IFERROR(__xludf.DUMMYFUNCTION("""COMPUTED_VALUE"""),"")</f>
        <v/>
      </c>
      <c r="I1113" s="4" t="str">
        <f ca="1">IFERROR(__xludf.DUMMYFUNCTION("""COMPUTED_VALUE"""),"")</f>
        <v/>
      </c>
      <c r="J1113" t="str">
        <f ca="1">IFERROR(__xludf.DUMMYFUNCTION("""COMPUTED_VALUE"""),"")</f>
        <v/>
      </c>
      <c r="K1113" t="str">
        <f ca="1">IFERROR(__xludf.DUMMYFUNCTION("""COMPUTED_VALUE"""),"")</f>
        <v/>
      </c>
      <c r="L1113" t="str">
        <f ca="1">IFERROR(__xludf.DUMMYFUNCTION("""COMPUTED_VALUE"""),"")</f>
        <v/>
      </c>
      <c r="M1113" t="str">
        <f ca="1">IFERROR(__xludf.DUMMYFUNCTION("""COMPUTED_VALUE"""),"")</f>
        <v/>
      </c>
      <c r="N1113" s="4" t="str">
        <f ca="1">IFERROR(__xludf.DUMMYFUNCTION("""COMPUTED_VALUE"""),"")</f>
        <v/>
      </c>
      <c r="O1113" s="4" t="str">
        <f ca="1">IFERROR(__xludf.DUMMYFUNCTION("""COMPUTED_VALUE"""),"")</f>
        <v/>
      </c>
      <c r="P1113" t="str">
        <f ca="1">IFERROR(__xludf.DUMMYFUNCTION("""COMPUTED_VALUE"""),"")</f>
        <v/>
      </c>
      <c r="Q1113" t="str">
        <f ca="1">IFERROR(__xludf.DUMMYFUNCTION("""COMPUTED_VALUE"""),"")</f>
        <v/>
      </c>
      <c r="R1113" s="2" t="s">
        <v>3527</v>
      </c>
    </row>
    <row r="1114" spans="1:18" ht="13" x14ac:dyDescent="0.15">
      <c r="A1114" s="3" t="str">
        <f ca="1">IFERROR(__xludf.DUMMYFUNCTION("""COMPUTED_VALUE"""),"")</f>
        <v/>
      </c>
      <c r="B1114" t="str">
        <f ca="1">IFERROR(__xludf.DUMMYFUNCTION("""COMPUTED_VALUE"""),"")</f>
        <v/>
      </c>
      <c r="C1114" t="str">
        <f ca="1">IFERROR(__xludf.DUMMYFUNCTION("""COMPUTED_VALUE"""),"")</f>
        <v/>
      </c>
      <c r="D1114" t="str">
        <f ca="1">IFERROR(__xludf.DUMMYFUNCTION("""COMPUTED_VALUE"""),"")</f>
        <v/>
      </c>
      <c r="E1114" t="str">
        <f ca="1">IFERROR(__xludf.DUMMYFUNCTION("""COMPUTED_VALUE"""),"")</f>
        <v/>
      </c>
      <c r="F1114" t="str">
        <f ca="1">IFERROR(__xludf.DUMMYFUNCTION("""COMPUTED_VALUE"""),"")</f>
        <v/>
      </c>
      <c r="G1114" t="str">
        <f ca="1">IFERROR(__xludf.DUMMYFUNCTION("""COMPUTED_VALUE"""),"")</f>
        <v/>
      </c>
      <c r="H1114" t="str">
        <f ca="1">IFERROR(__xludf.DUMMYFUNCTION("""COMPUTED_VALUE"""),"")</f>
        <v/>
      </c>
      <c r="I1114" s="4" t="str">
        <f ca="1">IFERROR(__xludf.DUMMYFUNCTION("""COMPUTED_VALUE"""),"")</f>
        <v/>
      </c>
      <c r="J1114" t="str">
        <f ca="1">IFERROR(__xludf.DUMMYFUNCTION("""COMPUTED_VALUE"""),"")</f>
        <v/>
      </c>
      <c r="K1114" t="str">
        <f ca="1">IFERROR(__xludf.DUMMYFUNCTION("""COMPUTED_VALUE"""),"")</f>
        <v/>
      </c>
      <c r="L1114" t="str">
        <f ca="1">IFERROR(__xludf.DUMMYFUNCTION("""COMPUTED_VALUE"""),"")</f>
        <v/>
      </c>
      <c r="M1114" t="str">
        <f ca="1">IFERROR(__xludf.DUMMYFUNCTION("""COMPUTED_VALUE"""),"")</f>
        <v/>
      </c>
      <c r="N1114" s="4" t="str">
        <f ca="1">IFERROR(__xludf.DUMMYFUNCTION("""COMPUTED_VALUE"""),"")</f>
        <v/>
      </c>
      <c r="O1114" s="4" t="str">
        <f ca="1">IFERROR(__xludf.DUMMYFUNCTION("""COMPUTED_VALUE"""),"")</f>
        <v/>
      </c>
      <c r="P1114" t="str">
        <f ca="1">IFERROR(__xludf.DUMMYFUNCTION("""COMPUTED_VALUE"""),"")</f>
        <v/>
      </c>
      <c r="Q1114" t="str">
        <f ca="1">IFERROR(__xludf.DUMMYFUNCTION("""COMPUTED_VALUE"""),"")</f>
        <v/>
      </c>
      <c r="R1114" s="2" t="s">
        <v>3528</v>
      </c>
    </row>
    <row r="1115" spans="1:18" ht="13" x14ac:dyDescent="0.15">
      <c r="A1115" s="3" t="str">
        <f ca="1">IFERROR(__xludf.DUMMYFUNCTION("""COMPUTED_VALUE"""),"")</f>
        <v/>
      </c>
      <c r="B1115" t="str">
        <f ca="1">IFERROR(__xludf.DUMMYFUNCTION("""COMPUTED_VALUE"""),"")</f>
        <v/>
      </c>
      <c r="C1115" t="str">
        <f ca="1">IFERROR(__xludf.DUMMYFUNCTION("""COMPUTED_VALUE"""),"")</f>
        <v/>
      </c>
      <c r="D1115" t="str">
        <f ca="1">IFERROR(__xludf.DUMMYFUNCTION("""COMPUTED_VALUE"""),"")</f>
        <v/>
      </c>
      <c r="E1115" t="str">
        <f ca="1">IFERROR(__xludf.DUMMYFUNCTION("""COMPUTED_VALUE"""),"")</f>
        <v/>
      </c>
      <c r="F1115" t="str">
        <f ca="1">IFERROR(__xludf.DUMMYFUNCTION("""COMPUTED_VALUE"""),"")</f>
        <v/>
      </c>
      <c r="G1115" t="str">
        <f ca="1">IFERROR(__xludf.DUMMYFUNCTION("""COMPUTED_VALUE"""),"")</f>
        <v/>
      </c>
      <c r="H1115" t="str">
        <f ca="1">IFERROR(__xludf.DUMMYFUNCTION("""COMPUTED_VALUE"""),"")</f>
        <v/>
      </c>
      <c r="I1115" s="4" t="str">
        <f ca="1">IFERROR(__xludf.DUMMYFUNCTION("""COMPUTED_VALUE"""),"")</f>
        <v/>
      </c>
      <c r="J1115" t="str">
        <f ca="1">IFERROR(__xludf.DUMMYFUNCTION("""COMPUTED_VALUE"""),"")</f>
        <v/>
      </c>
      <c r="K1115" t="str">
        <f ca="1">IFERROR(__xludf.DUMMYFUNCTION("""COMPUTED_VALUE"""),"")</f>
        <v/>
      </c>
      <c r="L1115" t="str">
        <f ca="1">IFERROR(__xludf.DUMMYFUNCTION("""COMPUTED_VALUE"""),"")</f>
        <v/>
      </c>
      <c r="M1115" t="str">
        <f ca="1">IFERROR(__xludf.DUMMYFUNCTION("""COMPUTED_VALUE"""),"")</f>
        <v/>
      </c>
      <c r="N1115" s="4" t="str">
        <f ca="1">IFERROR(__xludf.DUMMYFUNCTION("""COMPUTED_VALUE"""),"")</f>
        <v/>
      </c>
      <c r="O1115" s="4" t="str">
        <f ca="1">IFERROR(__xludf.DUMMYFUNCTION("""COMPUTED_VALUE"""),"")</f>
        <v/>
      </c>
      <c r="P1115" t="str">
        <f ca="1">IFERROR(__xludf.DUMMYFUNCTION("""COMPUTED_VALUE"""),"")</f>
        <v/>
      </c>
      <c r="Q1115" t="str">
        <f ca="1">IFERROR(__xludf.DUMMYFUNCTION("""COMPUTED_VALUE"""),"")</f>
        <v/>
      </c>
      <c r="R1115" s="2" t="s">
        <v>3529</v>
      </c>
    </row>
    <row r="1116" spans="1:18" ht="13" x14ac:dyDescent="0.15">
      <c r="A1116" s="3" t="str">
        <f ca="1">IFERROR(__xludf.DUMMYFUNCTION("""COMPUTED_VALUE"""),"")</f>
        <v/>
      </c>
      <c r="B1116" t="str">
        <f ca="1">IFERROR(__xludf.DUMMYFUNCTION("""COMPUTED_VALUE"""),"")</f>
        <v/>
      </c>
      <c r="C1116" t="str">
        <f ca="1">IFERROR(__xludf.DUMMYFUNCTION("""COMPUTED_VALUE"""),"")</f>
        <v/>
      </c>
      <c r="D1116" t="str">
        <f ca="1">IFERROR(__xludf.DUMMYFUNCTION("""COMPUTED_VALUE"""),"")</f>
        <v/>
      </c>
      <c r="E1116" t="str">
        <f ca="1">IFERROR(__xludf.DUMMYFUNCTION("""COMPUTED_VALUE"""),"")</f>
        <v/>
      </c>
      <c r="F1116" t="str">
        <f ca="1">IFERROR(__xludf.DUMMYFUNCTION("""COMPUTED_VALUE"""),"")</f>
        <v/>
      </c>
      <c r="G1116" t="str">
        <f ca="1">IFERROR(__xludf.DUMMYFUNCTION("""COMPUTED_VALUE"""),"")</f>
        <v/>
      </c>
      <c r="H1116" t="str">
        <f ca="1">IFERROR(__xludf.DUMMYFUNCTION("""COMPUTED_VALUE"""),"")</f>
        <v/>
      </c>
      <c r="I1116" s="4" t="str">
        <f ca="1">IFERROR(__xludf.DUMMYFUNCTION("""COMPUTED_VALUE"""),"")</f>
        <v/>
      </c>
      <c r="J1116" t="str">
        <f ca="1">IFERROR(__xludf.DUMMYFUNCTION("""COMPUTED_VALUE"""),"")</f>
        <v/>
      </c>
      <c r="K1116" t="str">
        <f ca="1">IFERROR(__xludf.DUMMYFUNCTION("""COMPUTED_VALUE"""),"")</f>
        <v/>
      </c>
      <c r="L1116" t="str">
        <f ca="1">IFERROR(__xludf.DUMMYFUNCTION("""COMPUTED_VALUE"""),"")</f>
        <v/>
      </c>
      <c r="M1116" t="str">
        <f ca="1">IFERROR(__xludf.DUMMYFUNCTION("""COMPUTED_VALUE"""),"")</f>
        <v/>
      </c>
      <c r="N1116" s="4" t="str">
        <f ca="1">IFERROR(__xludf.DUMMYFUNCTION("""COMPUTED_VALUE"""),"")</f>
        <v/>
      </c>
      <c r="O1116" s="4" t="str">
        <f ca="1">IFERROR(__xludf.DUMMYFUNCTION("""COMPUTED_VALUE"""),"")</f>
        <v/>
      </c>
      <c r="P1116" t="str">
        <f ca="1">IFERROR(__xludf.DUMMYFUNCTION("""COMPUTED_VALUE"""),"")</f>
        <v/>
      </c>
      <c r="Q1116" t="str">
        <f ca="1">IFERROR(__xludf.DUMMYFUNCTION("""COMPUTED_VALUE"""),"")</f>
        <v/>
      </c>
      <c r="R1116" s="2" t="s">
        <v>3530</v>
      </c>
    </row>
    <row r="1117" spans="1:18" ht="13" x14ac:dyDescent="0.15">
      <c r="A1117" s="3" t="str">
        <f ca="1">IFERROR(__xludf.DUMMYFUNCTION("""COMPUTED_VALUE"""),"")</f>
        <v/>
      </c>
      <c r="B1117" t="str">
        <f ca="1">IFERROR(__xludf.DUMMYFUNCTION("""COMPUTED_VALUE"""),"")</f>
        <v/>
      </c>
      <c r="C1117" t="str">
        <f ca="1">IFERROR(__xludf.DUMMYFUNCTION("""COMPUTED_VALUE"""),"")</f>
        <v/>
      </c>
      <c r="D1117" t="str">
        <f ca="1">IFERROR(__xludf.DUMMYFUNCTION("""COMPUTED_VALUE"""),"")</f>
        <v/>
      </c>
      <c r="E1117" t="str">
        <f ca="1">IFERROR(__xludf.DUMMYFUNCTION("""COMPUTED_VALUE"""),"")</f>
        <v/>
      </c>
      <c r="F1117" t="str">
        <f ca="1">IFERROR(__xludf.DUMMYFUNCTION("""COMPUTED_VALUE"""),"")</f>
        <v/>
      </c>
      <c r="G1117" t="str">
        <f ca="1">IFERROR(__xludf.DUMMYFUNCTION("""COMPUTED_VALUE"""),"")</f>
        <v/>
      </c>
      <c r="H1117" t="str">
        <f ca="1">IFERROR(__xludf.DUMMYFUNCTION("""COMPUTED_VALUE"""),"")</f>
        <v/>
      </c>
      <c r="I1117" s="4" t="str">
        <f ca="1">IFERROR(__xludf.DUMMYFUNCTION("""COMPUTED_VALUE"""),"")</f>
        <v/>
      </c>
      <c r="J1117" t="str">
        <f ca="1">IFERROR(__xludf.DUMMYFUNCTION("""COMPUTED_VALUE"""),"")</f>
        <v/>
      </c>
      <c r="K1117" t="str">
        <f ca="1">IFERROR(__xludf.DUMMYFUNCTION("""COMPUTED_VALUE"""),"")</f>
        <v/>
      </c>
      <c r="L1117" t="str">
        <f ca="1">IFERROR(__xludf.DUMMYFUNCTION("""COMPUTED_VALUE"""),"")</f>
        <v/>
      </c>
      <c r="M1117" t="str">
        <f ca="1">IFERROR(__xludf.DUMMYFUNCTION("""COMPUTED_VALUE"""),"")</f>
        <v/>
      </c>
      <c r="N1117" s="4" t="str">
        <f ca="1">IFERROR(__xludf.DUMMYFUNCTION("""COMPUTED_VALUE"""),"")</f>
        <v/>
      </c>
      <c r="O1117" s="4" t="str">
        <f ca="1">IFERROR(__xludf.DUMMYFUNCTION("""COMPUTED_VALUE"""),"")</f>
        <v/>
      </c>
      <c r="P1117" t="str">
        <f ca="1">IFERROR(__xludf.DUMMYFUNCTION("""COMPUTED_VALUE"""),"")</f>
        <v/>
      </c>
      <c r="Q1117" t="str">
        <f ca="1">IFERROR(__xludf.DUMMYFUNCTION("""COMPUTED_VALUE"""),"")</f>
        <v/>
      </c>
      <c r="R1117" s="2" t="s">
        <v>3531</v>
      </c>
    </row>
    <row r="1118" spans="1:18" ht="13" x14ac:dyDescent="0.15">
      <c r="A1118" s="3" t="str">
        <f ca="1">IFERROR(__xludf.DUMMYFUNCTION("""COMPUTED_VALUE"""),"")</f>
        <v/>
      </c>
      <c r="B1118" t="str">
        <f ca="1">IFERROR(__xludf.DUMMYFUNCTION("""COMPUTED_VALUE"""),"")</f>
        <v/>
      </c>
      <c r="C1118" t="str">
        <f ca="1">IFERROR(__xludf.DUMMYFUNCTION("""COMPUTED_VALUE"""),"")</f>
        <v/>
      </c>
      <c r="D1118" t="str">
        <f ca="1">IFERROR(__xludf.DUMMYFUNCTION("""COMPUTED_VALUE"""),"")</f>
        <v/>
      </c>
      <c r="E1118" t="str">
        <f ca="1">IFERROR(__xludf.DUMMYFUNCTION("""COMPUTED_VALUE"""),"")</f>
        <v/>
      </c>
      <c r="F1118" t="str">
        <f ca="1">IFERROR(__xludf.DUMMYFUNCTION("""COMPUTED_VALUE"""),"")</f>
        <v/>
      </c>
      <c r="G1118" t="str">
        <f ca="1">IFERROR(__xludf.DUMMYFUNCTION("""COMPUTED_VALUE"""),"")</f>
        <v/>
      </c>
      <c r="H1118" t="str">
        <f ca="1">IFERROR(__xludf.DUMMYFUNCTION("""COMPUTED_VALUE"""),"")</f>
        <v/>
      </c>
      <c r="I1118" s="4" t="str">
        <f ca="1">IFERROR(__xludf.DUMMYFUNCTION("""COMPUTED_VALUE"""),"")</f>
        <v/>
      </c>
      <c r="J1118" t="str">
        <f ca="1">IFERROR(__xludf.DUMMYFUNCTION("""COMPUTED_VALUE"""),"")</f>
        <v/>
      </c>
      <c r="K1118" t="str">
        <f ca="1">IFERROR(__xludf.DUMMYFUNCTION("""COMPUTED_VALUE"""),"")</f>
        <v/>
      </c>
      <c r="L1118" t="str">
        <f ca="1">IFERROR(__xludf.DUMMYFUNCTION("""COMPUTED_VALUE"""),"")</f>
        <v/>
      </c>
      <c r="M1118" t="str">
        <f ca="1">IFERROR(__xludf.DUMMYFUNCTION("""COMPUTED_VALUE"""),"")</f>
        <v/>
      </c>
      <c r="N1118" s="4" t="str">
        <f ca="1">IFERROR(__xludf.DUMMYFUNCTION("""COMPUTED_VALUE"""),"")</f>
        <v/>
      </c>
      <c r="O1118" s="4" t="str">
        <f ca="1">IFERROR(__xludf.DUMMYFUNCTION("""COMPUTED_VALUE"""),"")</f>
        <v/>
      </c>
      <c r="P1118" t="str">
        <f ca="1">IFERROR(__xludf.DUMMYFUNCTION("""COMPUTED_VALUE"""),"")</f>
        <v/>
      </c>
      <c r="Q1118" t="str">
        <f ca="1">IFERROR(__xludf.DUMMYFUNCTION("""COMPUTED_VALUE"""),"")</f>
        <v/>
      </c>
      <c r="R1118" s="2" t="s">
        <v>3532</v>
      </c>
    </row>
    <row r="1119" spans="1:18" ht="13" x14ac:dyDescent="0.15">
      <c r="A1119" s="3" t="str">
        <f ca="1">IFERROR(__xludf.DUMMYFUNCTION("""COMPUTED_VALUE"""),"")</f>
        <v/>
      </c>
      <c r="B1119" t="str">
        <f ca="1">IFERROR(__xludf.DUMMYFUNCTION("""COMPUTED_VALUE"""),"")</f>
        <v/>
      </c>
      <c r="C1119" t="str">
        <f ca="1">IFERROR(__xludf.DUMMYFUNCTION("""COMPUTED_VALUE"""),"")</f>
        <v/>
      </c>
      <c r="D1119" t="str">
        <f ca="1">IFERROR(__xludf.DUMMYFUNCTION("""COMPUTED_VALUE"""),"")</f>
        <v/>
      </c>
      <c r="E1119" t="str">
        <f ca="1">IFERROR(__xludf.DUMMYFUNCTION("""COMPUTED_VALUE"""),"")</f>
        <v/>
      </c>
      <c r="F1119" t="str">
        <f ca="1">IFERROR(__xludf.DUMMYFUNCTION("""COMPUTED_VALUE"""),"")</f>
        <v/>
      </c>
      <c r="G1119" t="str">
        <f ca="1">IFERROR(__xludf.DUMMYFUNCTION("""COMPUTED_VALUE"""),"")</f>
        <v/>
      </c>
      <c r="H1119" t="str">
        <f ca="1">IFERROR(__xludf.DUMMYFUNCTION("""COMPUTED_VALUE"""),"")</f>
        <v/>
      </c>
      <c r="I1119" s="4" t="str">
        <f ca="1">IFERROR(__xludf.DUMMYFUNCTION("""COMPUTED_VALUE"""),"")</f>
        <v/>
      </c>
      <c r="J1119" t="str">
        <f ca="1">IFERROR(__xludf.DUMMYFUNCTION("""COMPUTED_VALUE"""),"")</f>
        <v/>
      </c>
      <c r="K1119" t="str">
        <f ca="1">IFERROR(__xludf.DUMMYFUNCTION("""COMPUTED_VALUE"""),"")</f>
        <v/>
      </c>
      <c r="L1119" t="str">
        <f ca="1">IFERROR(__xludf.DUMMYFUNCTION("""COMPUTED_VALUE"""),"")</f>
        <v/>
      </c>
      <c r="M1119" t="str">
        <f ca="1">IFERROR(__xludf.DUMMYFUNCTION("""COMPUTED_VALUE"""),"")</f>
        <v/>
      </c>
      <c r="N1119" s="4" t="str">
        <f ca="1">IFERROR(__xludf.DUMMYFUNCTION("""COMPUTED_VALUE"""),"")</f>
        <v/>
      </c>
      <c r="O1119" s="4" t="str">
        <f ca="1">IFERROR(__xludf.DUMMYFUNCTION("""COMPUTED_VALUE"""),"")</f>
        <v/>
      </c>
      <c r="P1119" t="str">
        <f ca="1">IFERROR(__xludf.DUMMYFUNCTION("""COMPUTED_VALUE"""),"")</f>
        <v/>
      </c>
      <c r="Q1119" t="str">
        <f ca="1">IFERROR(__xludf.DUMMYFUNCTION("""COMPUTED_VALUE"""),"")</f>
        <v/>
      </c>
      <c r="R1119" s="2" t="s">
        <v>3533</v>
      </c>
    </row>
    <row r="1120" spans="1:18" ht="13" x14ac:dyDescent="0.15">
      <c r="A1120" s="3" t="str">
        <f ca="1">IFERROR(__xludf.DUMMYFUNCTION("""COMPUTED_VALUE"""),"")</f>
        <v/>
      </c>
      <c r="B1120" t="str">
        <f ca="1">IFERROR(__xludf.DUMMYFUNCTION("""COMPUTED_VALUE"""),"")</f>
        <v/>
      </c>
      <c r="C1120" t="str">
        <f ca="1">IFERROR(__xludf.DUMMYFUNCTION("""COMPUTED_VALUE"""),"")</f>
        <v/>
      </c>
      <c r="D1120" t="str">
        <f ca="1">IFERROR(__xludf.DUMMYFUNCTION("""COMPUTED_VALUE"""),"")</f>
        <v/>
      </c>
      <c r="E1120" t="str">
        <f ca="1">IFERROR(__xludf.DUMMYFUNCTION("""COMPUTED_VALUE"""),"")</f>
        <v/>
      </c>
      <c r="F1120" t="str">
        <f ca="1">IFERROR(__xludf.DUMMYFUNCTION("""COMPUTED_VALUE"""),"")</f>
        <v/>
      </c>
      <c r="G1120" t="str">
        <f ca="1">IFERROR(__xludf.DUMMYFUNCTION("""COMPUTED_VALUE"""),"")</f>
        <v/>
      </c>
      <c r="H1120" t="str">
        <f ca="1">IFERROR(__xludf.DUMMYFUNCTION("""COMPUTED_VALUE"""),"")</f>
        <v/>
      </c>
      <c r="I1120" s="4" t="str">
        <f ca="1">IFERROR(__xludf.DUMMYFUNCTION("""COMPUTED_VALUE"""),"")</f>
        <v/>
      </c>
      <c r="J1120" t="str">
        <f ca="1">IFERROR(__xludf.DUMMYFUNCTION("""COMPUTED_VALUE"""),"")</f>
        <v/>
      </c>
      <c r="K1120" t="str">
        <f ca="1">IFERROR(__xludf.DUMMYFUNCTION("""COMPUTED_VALUE"""),"")</f>
        <v/>
      </c>
      <c r="L1120" t="str">
        <f ca="1">IFERROR(__xludf.DUMMYFUNCTION("""COMPUTED_VALUE"""),"")</f>
        <v/>
      </c>
      <c r="M1120" t="str">
        <f ca="1">IFERROR(__xludf.DUMMYFUNCTION("""COMPUTED_VALUE"""),"")</f>
        <v/>
      </c>
      <c r="N1120" s="4" t="str">
        <f ca="1">IFERROR(__xludf.DUMMYFUNCTION("""COMPUTED_VALUE"""),"")</f>
        <v/>
      </c>
      <c r="O1120" s="4" t="str">
        <f ca="1">IFERROR(__xludf.DUMMYFUNCTION("""COMPUTED_VALUE"""),"")</f>
        <v/>
      </c>
      <c r="P1120" t="str">
        <f ca="1">IFERROR(__xludf.DUMMYFUNCTION("""COMPUTED_VALUE"""),"")</f>
        <v/>
      </c>
      <c r="Q1120" t="str">
        <f ca="1">IFERROR(__xludf.DUMMYFUNCTION("""COMPUTED_VALUE"""),"")</f>
        <v/>
      </c>
      <c r="R1120" s="2" t="s">
        <v>3534</v>
      </c>
    </row>
    <row r="1121" spans="1:18" ht="13" x14ac:dyDescent="0.15">
      <c r="A1121" s="3" t="str">
        <f ca="1">IFERROR(__xludf.DUMMYFUNCTION("""COMPUTED_VALUE"""),"")</f>
        <v/>
      </c>
      <c r="B1121" t="str">
        <f ca="1">IFERROR(__xludf.DUMMYFUNCTION("""COMPUTED_VALUE"""),"")</f>
        <v/>
      </c>
      <c r="C1121" t="str">
        <f ca="1">IFERROR(__xludf.DUMMYFUNCTION("""COMPUTED_VALUE"""),"")</f>
        <v/>
      </c>
      <c r="D1121" t="str">
        <f ca="1">IFERROR(__xludf.DUMMYFUNCTION("""COMPUTED_VALUE"""),"")</f>
        <v/>
      </c>
      <c r="E1121" t="str">
        <f ca="1">IFERROR(__xludf.DUMMYFUNCTION("""COMPUTED_VALUE"""),"")</f>
        <v/>
      </c>
      <c r="F1121" t="str">
        <f ca="1">IFERROR(__xludf.DUMMYFUNCTION("""COMPUTED_VALUE"""),"")</f>
        <v/>
      </c>
      <c r="G1121" t="str">
        <f ca="1">IFERROR(__xludf.DUMMYFUNCTION("""COMPUTED_VALUE"""),"")</f>
        <v/>
      </c>
      <c r="H1121" t="str">
        <f ca="1">IFERROR(__xludf.DUMMYFUNCTION("""COMPUTED_VALUE"""),"")</f>
        <v/>
      </c>
      <c r="I1121" s="4" t="str">
        <f ca="1">IFERROR(__xludf.DUMMYFUNCTION("""COMPUTED_VALUE"""),"")</f>
        <v/>
      </c>
      <c r="J1121" t="str">
        <f ca="1">IFERROR(__xludf.DUMMYFUNCTION("""COMPUTED_VALUE"""),"")</f>
        <v/>
      </c>
      <c r="K1121" t="str">
        <f ca="1">IFERROR(__xludf.DUMMYFUNCTION("""COMPUTED_VALUE"""),"")</f>
        <v/>
      </c>
      <c r="L1121" t="str">
        <f ca="1">IFERROR(__xludf.DUMMYFUNCTION("""COMPUTED_VALUE"""),"")</f>
        <v/>
      </c>
      <c r="M1121" t="str">
        <f ca="1">IFERROR(__xludf.DUMMYFUNCTION("""COMPUTED_VALUE"""),"")</f>
        <v/>
      </c>
      <c r="N1121" s="4" t="str">
        <f ca="1">IFERROR(__xludf.DUMMYFUNCTION("""COMPUTED_VALUE"""),"")</f>
        <v/>
      </c>
      <c r="O1121" s="4" t="str">
        <f ca="1">IFERROR(__xludf.DUMMYFUNCTION("""COMPUTED_VALUE"""),"")</f>
        <v/>
      </c>
      <c r="P1121" t="str">
        <f ca="1">IFERROR(__xludf.DUMMYFUNCTION("""COMPUTED_VALUE"""),"")</f>
        <v/>
      </c>
      <c r="Q1121" t="str">
        <f ca="1">IFERROR(__xludf.DUMMYFUNCTION("""COMPUTED_VALUE"""),"")</f>
        <v/>
      </c>
      <c r="R1121" s="2" t="s">
        <v>3535</v>
      </c>
    </row>
    <row r="1122" spans="1:18" ht="13" x14ac:dyDescent="0.15">
      <c r="A1122" s="3" t="str">
        <f ca="1">IFERROR(__xludf.DUMMYFUNCTION("""COMPUTED_VALUE"""),"")</f>
        <v/>
      </c>
      <c r="B1122" t="str">
        <f ca="1">IFERROR(__xludf.DUMMYFUNCTION("""COMPUTED_VALUE"""),"")</f>
        <v/>
      </c>
      <c r="C1122" t="str">
        <f ca="1">IFERROR(__xludf.DUMMYFUNCTION("""COMPUTED_VALUE"""),"")</f>
        <v/>
      </c>
      <c r="D1122" t="str">
        <f ca="1">IFERROR(__xludf.DUMMYFUNCTION("""COMPUTED_VALUE"""),"")</f>
        <v/>
      </c>
      <c r="E1122" t="str">
        <f ca="1">IFERROR(__xludf.DUMMYFUNCTION("""COMPUTED_VALUE"""),"")</f>
        <v/>
      </c>
      <c r="F1122" t="str">
        <f ca="1">IFERROR(__xludf.DUMMYFUNCTION("""COMPUTED_VALUE"""),"")</f>
        <v/>
      </c>
      <c r="G1122" t="str">
        <f ca="1">IFERROR(__xludf.DUMMYFUNCTION("""COMPUTED_VALUE"""),"")</f>
        <v/>
      </c>
      <c r="H1122" t="str">
        <f ca="1">IFERROR(__xludf.DUMMYFUNCTION("""COMPUTED_VALUE"""),"")</f>
        <v/>
      </c>
      <c r="I1122" s="4" t="str">
        <f ca="1">IFERROR(__xludf.DUMMYFUNCTION("""COMPUTED_VALUE"""),"")</f>
        <v/>
      </c>
      <c r="J1122" t="str">
        <f ca="1">IFERROR(__xludf.DUMMYFUNCTION("""COMPUTED_VALUE"""),"")</f>
        <v/>
      </c>
      <c r="K1122" t="str">
        <f ca="1">IFERROR(__xludf.DUMMYFUNCTION("""COMPUTED_VALUE"""),"")</f>
        <v/>
      </c>
      <c r="L1122" t="str">
        <f ca="1">IFERROR(__xludf.DUMMYFUNCTION("""COMPUTED_VALUE"""),"")</f>
        <v/>
      </c>
      <c r="M1122" t="str">
        <f ca="1">IFERROR(__xludf.DUMMYFUNCTION("""COMPUTED_VALUE"""),"")</f>
        <v/>
      </c>
      <c r="N1122" s="4" t="str">
        <f ca="1">IFERROR(__xludf.DUMMYFUNCTION("""COMPUTED_VALUE"""),"")</f>
        <v/>
      </c>
      <c r="O1122" s="4" t="str">
        <f ca="1">IFERROR(__xludf.DUMMYFUNCTION("""COMPUTED_VALUE"""),"")</f>
        <v/>
      </c>
      <c r="P1122" t="str">
        <f ca="1">IFERROR(__xludf.DUMMYFUNCTION("""COMPUTED_VALUE"""),"")</f>
        <v/>
      </c>
      <c r="Q1122" t="str">
        <f ca="1">IFERROR(__xludf.DUMMYFUNCTION("""COMPUTED_VALUE"""),"")</f>
        <v/>
      </c>
      <c r="R1122" s="2" t="s">
        <v>3536</v>
      </c>
    </row>
    <row r="1123" spans="1:18" ht="13" x14ac:dyDescent="0.15">
      <c r="A1123" s="3" t="str">
        <f ca="1">IFERROR(__xludf.DUMMYFUNCTION("""COMPUTED_VALUE"""),"")</f>
        <v/>
      </c>
      <c r="B1123" t="str">
        <f ca="1">IFERROR(__xludf.DUMMYFUNCTION("""COMPUTED_VALUE"""),"")</f>
        <v/>
      </c>
      <c r="C1123" t="str">
        <f ca="1">IFERROR(__xludf.DUMMYFUNCTION("""COMPUTED_VALUE"""),"")</f>
        <v/>
      </c>
      <c r="D1123" t="str">
        <f ca="1">IFERROR(__xludf.DUMMYFUNCTION("""COMPUTED_VALUE"""),"")</f>
        <v/>
      </c>
      <c r="E1123" t="str">
        <f ca="1">IFERROR(__xludf.DUMMYFUNCTION("""COMPUTED_VALUE"""),"")</f>
        <v/>
      </c>
      <c r="F1123" t="str">
        <f ca="1">IFERROR(__xludf.DUMMYFUNCTION("""COMPUTED_VALUE"""),"")</f>
        <v/>
      </c>
      <c r="G1123" t="str">
        <f ca="1">IFERROR(__xludf.DUMMYFUNCTION("""COMPUTED_VALUE"""),"")</f>
        <v/>
      </c>
      <c r="H1123" t="str">
        <f ca="1">IFERROR(__xludf.DUMMYFUNCTION("""COMPUTED_VALUE"""),"")</f>
        <v/>
      </c>
      <c r="I1123" s="4" t="str">
        <f ca="1">IFERROR(__xludf.DUMMYFUNCTION("""COMPUTED_VALUE"""),"")</f>
        <v/>
      </c>
      <c r="J1123" t="str">
        <f ca="1">IFERROR(__xludf.DUMMYFUNCTION("""COMPUTED_VALUE"""),"")</f>
        <v/>
      </c>
      <c r="K1123" t="str">
        <f ca="1">IFERROR(__xludf.DUMMYFUNCTION("""COMPUTED_VALUE"""),"")</f>
        <v/>
      </c>
      <c r="L1123" t="str">
        <f ca="1">IFERROR(__xludf.DUMMYFUNCTION("""COMPUTED_VALUE"""),"")</f>
        <v/>
      </c>
      <c r="M1123" t="str">
        <f ca="1">IFERROR(__xludf.DUMMYFUNCTION("""COMPUTED_VALUE"""),"")</f>
        <v/>
      </c>
      <c r="N1123" s="4" t="str">
        <f ca="1">IFERROR(__xludf.DUMMYFUNCTION("""COMPUTED_VALUE"""),"")</f>
        <v/>
      </c>
      <c r="O1123" s="4" t="str">
        <f ca="1">IFERROR(__xludf.DUMMYFUNCTION("""COMPUTED_VALUE"""),"")</f>
        <v/>
      </c>
      <c r="P1123" t="str">
        <f ca="1">IFERROR(__xludf.DUMMYFUNCTION("""COMPUTED_VALUE"""),"")</f>
        <v/>
      </c>
      <c r="Q1123" t="str">
        <f ca="1">IFERROR(__xludf.DUMMYFUNCTION("""COMPUTED_VALUE"""),"")</f>
        <v/>
      </c>
      <c r="R1123" s="2" t="s">
        <v>3537</v>
      </c>
    </row>
    <row r="1124" spans="1:18" ht="13" x14ac:dyDescent="0.15">
      <c r="A1124" s="3" t="str">
        <f ca="1">IFERROR(__xludf.DUMMYFUNCTION("""COMPUTED_VALUE"""),"")</f>
        <v/>
      </c>
      <c r="B1124" t="str">
        <f ca="1">IFERROR(__xludf.DUMMYFUNCTION("""COMPUTED_VALUE"""),"")</f>
        <v/>
      </c>
      <c r="C1124" t="str">
        <f ca="1">IFERROR(__xludf.DUMMYFUNCTION("""COMPUTED_VALUE"""),"")</f>
        <v/>
      </c>
      <c r="D1124" t="str">
        <f ca="1">IFERROR(__xludf.DUMMYFUNCTION("""COMPUTED_VALUE"""),"")</f>
        <v/>
      </c>
      <c r="E1124" t="str">
        <f ca="1">IFERROR(__xludf.DUMMYFUNCTION("""COMPUTED_VALUE"""),"")</f>
        <v/>
      </c>
      <c r="F1124" t="str">
        <f ca="1">IFERROR(__xludf.DUMMYFUNCTION("""COMPUTED_VALUE"""),"")</f>
        <v/>
      </c>
      <c r="G1124" t="str">
        <f ca="1">IFERROR(__xludf.DUMMYFUNCTION("""COMPUTED_VALUE"""),"")</f>
        <v/>
      </c>
      <c r="H1124" t="str">
        <f ca="1">IFERROR(__xludf.DUMMYFUNCTION("""COMPUTED_VALUE"""),"")</f>
        <v/>
      </c>
      <c r="I1124" s="4" t="str">
        <f ca="1">IFERROR(__xludf.DUMMYFUNCTION("""COMPUTED_VALUE"""),"")</f>
        <v/>
      </c>
      <c r="J1124" t="str">
        <f ca="1">IFERROR(__xludf.DUMMYFUNCTION("""COMPUTED_VALUE"""),"")</f>
        <v/>
      </c>
      <c r="K1124" t="str">
        <f ca="1">IFERROR(__xludf.DUMMYFUNCTION("""COMPUTED_VALUE"""),"")</f>
        <v/>
      </c>
      <c r="L1124" t="str">
        <f ca="1">IFERROR(__xludf.DUMMYFUNCTION("""COMPUTED_VALUE"""),"")</f>
        <v/>
      </c>
      <c r="M1124" t="str">
        <f ca="1">IFERROR(__xludf.DUMMYFUNCTION("""COMPUTED_VALUE"""),"")</f>
        <v/>
      </c>
      <c r="N1124" s="4" t="str">
        <f ca="1">IFERROR(__xludf.DUMMYFUNCTION("""COMPUTED_VALUE"""),"")</f>
        <v/>
      </c>
      <c r="O1124" s="4" t="str">
        <f ca="1">IFERROR(__xludf.DUMMYFUNCTION("""COMPUTED_VALUE"""),"")</f>
        <v/>
      </c>
      <c r="P1124" t="str">
        <f ca="1">IFERROR(__xludf.DUMMYFUNCTION("""COMPUTED_VALUE"""),"")</f>
        <v/>
      </c>
      <c r="Q1124" t="str">
        <f ca="1">IFERROR(__xludf.DUMMYFUNCTION("""COMPUTED_VALUE"""),"")</f>
        <v/>
      </c>
      <c r="R1124" s="2" t="s">
        <v>3538</v>
      </c>
    </row>
    <row r="1125" spans="1:18" ht="13" x14ac:dyDescent="0.15">
      <c r="A1125" s="3" t="str">
        <f ca="1">IFERROR(__xludf.DUMMYFUNCTION("""COMPUTED_VALUE"""),"")</f>
        <v/>
      </c>
      <c r="B1125" t="str">
        <f ca="1">IFERROR(__xludf.DUMMYFUNCTION("""COMPUTED_VALUE"""),"")</f>
        <v/>
      </c>
      <c r="C1125" t="str">
        <f ca="1">IFERROR(__xludf.DUMMYFUNCTION("""COMPUTED_VALUE"""),"")</f>
        <v/>
      </c>
      <c r="D1125" t="str">
        <f ca="1">IFERROR(__xludf.DUMMYFUNCTION("""COMPUTED_VALUE"""),"")</f>
        <v/>
      </c>
      <c r="E1125" t="str">
        <f ca="1">IFERROR(__xludf.DUMMYFUNCTION("""COMPUTED_VALUE"""),"")</f>
        <v/>
      </c>
      <c r="F1125" t="str">
        <f ca="1">IFERROR(__xludf.DUMMYFUNCTION("""COMPUTED_VALUE"""),"")</f>
        <v/>
      </c>
      <c r="G1125" t="str">
        <f ca="1">IFERROR(__xludf.DUMMYFUNCTION("""COMPUTED_VALUE"""),"")</f>
        <v/>
      </c>
      <c r="H1125" t="str">
        <f ca="1">IFERROR(__xludf.DUMMYFUNCTION("""COMPUTED_VALUE"""),"")</f>
        <v/>
      </c>
      <c r="I1125" s="4" t="str">
        <f ca="1">IFERROR(__xludf.DUMMYFUNCTION("""COMPUTED_VALUE"""),"")</f>
        <v/>
      </c>
      <c r="J1125" t="str">
        <f ca="1">IFERROR(__xludf.DUMMYFUNCTION("""COMPUTED_VALUE"""),"")</f>
        <v/>
      </c>
      <c r="K1125" t="str">
        <f ca="1">IFERROR(__xludf.DUMMYFUNCTION("""COMPUTED_VALUE"""),"")</f>
        <v/>
      </c>
      <c r="L1125" t="str">
        <f ca="1">IFERROR(__xludf.DUMMYFUNCTION("""COMPUTED_VALUE"""),"")</f>
        <v/>
      </c>
      <c r="M1125" t="str">
        <f ca="1">IFERROR(__xludf.DUMMYFUNCTION("""COMPUTED_VALUE"""),"")</f>
        <v/>
      </c>
      <c r="N1125" s="4" t="str">
        <f ca="1">IFERROR(__xludf.DUMMYFUNCTION("""COMPUTED_VALUE"""),"")</f>
        <v/>
      </c>
      <c r="O1125" s="4" t="str">
        <f ca="1">IFERROR(__xludf.DUMMYFUNCTION("""COMPUTED_VALUE"""),"")</f>
        <v/>
      </c>
      <c r="P1125" t="str">
        <f ca="1">IFERROR(__xludf.DUMMYFUNCTION("""COMPUTED_VALUE"""),"")</f>
        <v/>
      </c>
      <c r="Q1125" t="str">
        <f ca="1">IFERROR(__xludf.DUMMYFUNCTION("""COMPUTED_VALUE"""),"")</f>
        <v/>
      </c>
      <c r="R1125" s="2" t="s">
        <v>3539</v>
      </c>
    </row>
    <row r="1126" spans="1:18" ht="13" x14ac:dyDescent="0.15">
      <c r="A1126" s="3" t="str">
        <f ca="1">IFERROR(__xludf.DUMMYFUNCTION("""COMPUTED_VALUE"""),"")</f>
        <v/>
      </c>
      <c r="B1126" t="str">
        <f ca="1">IFERROR(__xludf.DUMMYFUNCTION("""COMPUTED_VALUE"""),"")</f>
        <v/>
      </c>
      <c r="C1126" t="str">
        <f ca="1">IFERROR(__xludf.DUMMYFUNCTION("""COMPUTED_VALUE"""),"")</f>
        <v/>
      </c>
      <c r="D1126" t="str">
        <f ca="1">IFERROR(__xludf.DUMMYFUNCTION("""COMPUTED_VALUE"""),"")</f>
        <v/>
      </c>
      <c r="E1126" t="str">
        <f ca="1">IFERROR(__xludf.DUMMYFUNCTION("""COMPUTED_VALUE"""),"")</f>
        <v/>
      </c>
      <c r="F1126" t="str">
        <f ca="1">IFERROR(__xludf.DUMMYFUNCTION("""COMPUTED_VALUE"""),"")</f>
        <v/>
      </c>
      <c r="G1126" t="str">
        <f ca="1">IFERROR(__xludf.DUMMYFUNCTION("""COMPUTED_VALUE"""),"")</f>
        <v/>
      </c>
      <c r="H1126" t="str">
        <f ca="1">IFERROR(__xludf.DUMMYFUNCTION("""COMPUTED_VALUE"""),"")</f>
        <v/>
      </c>
      <c r="I1126" s="4" t="str">
        <f ca="1">IFERROR(__xludf.DUMMYFUNCTION("""COMPUTED_VALUE"""),"")</f>
        <v/>
      </c>
      <c r="J1126" t="str">
        <f ca="1">IFERROR(__xludf.DUMMYFUNCTION("""COMPUTED_VALUE"""),"")</f>
        <v/>
      </c>
      <c r="K1126" t="str">
        <f ca="1">IFERROR(__xludf.DUMMYFUNCTION("""COMPUTED_VALUE"""),"")</f>
        <v/>
      </c>
      <c r="L1126" t="str">
        <f ca="1">IFERROR(__xludf.DUMMYFUNCTION("""COMPUTED_VALUE"""),"")</f>
        <v/>
      </c>
      <c r="M1126" t="str">
        <f ca="1">IFERROR(__xludf.DUMMYFUNCTION("""COMPUTED_VALUE"""),"")</f>
        <v/>
      </c>
      <c r="N1126" s="4" t="str">
        <f ca="1">IFERROR(__xludf.DUMMYFUNCTION("""COMPUTED_VALUE"""),"")</f>
        <v/>
      </c>
      <c r="O1126" s="4" t="str">
        <f ca="1">IFERROR(__xludf.DUMMYFUNCTION("""COMPUTED_VALUE"""),"")</f>
        <v/>
      </c>
      <c r="P1126" t="str">
        <f ca="1">IFERROR(__xludf.DUMMYFUNCTION("""COMPUTED_VALUE"""),"")</f>
        <v/>
      </c>
      <c r="Q1126" t="str">
        <f ca="1">IFERROR(__xludf.DUMMYFUNCTION("""COMPUTED_VALUE"""),"")</f>
        <v/>
      </c>
      <c r="R1126" s="2" t="s">
        <v>3540</v>
      </c>
    </row>
    <row r="1127" spans="1:18" ht="13" x14ac:dyDescent="0.15">
      <c r="A1127" s="3" t="str">
        <f ca="1">IFERROR(__xludf.DUMMYFUNCTION("""COMPUTED_VALUE"""),"")</f>
        <v/>
      </c>
      <c r="B1127" t="str">
        <f ca="1">IFERROR(__xludf.DUMMYFUNCTION("""COMPUTED_VALUE"""),"")</f>
        <v/>
      </c>
      <c r="C1127" t="str">
        <f ca="1">IFERROR(__xludf.DUMMYFUNCTION("""COMPUTED_VALUE"""),"")</f>
        <v/>
      </c>
      <c r="D1127" t="str">
        <f ca="1">IFERROR(__xludf.DUMMYFUNCTION("""COMPUTED_VALUE"""),"")</f>
        <v/>
      </c>
      <c r="E1127" t="str">
        <f ca="1">IFERROR(__xludf.DUMMYFUNCTION("""COMPUTED_VALUE"""),"")</f>
        <v/>
      </c>
      <c r="F1127" t="str">
        <f ca="1">IFERROR(__xludf.DUMMYFUNCTION("""COMPUTED_VALUE"""),"")</f>
        <v/>
      </c>
      <c r="G1127" t="str">
        <f ca="1">IFERROR(__xludf.DUMMYFUNCTION("""COMPUTED_VALUE"""),"")</f>
        <v/>
      </c>
      <c r="H1127" t="str">
        <f ca="1">IFERROR(__xludf.DUMMYFUNCTION("""COMPUTED_VALUE"""),"")</f>
        <v/>
      </c>
      <c r="I1127" s="4" t="str">
        <f ca="1">IFERROR(__xludf.DUMMYFUNCTION("""COMPUTED_VALUE"""),"")</f>
        <v/>
      </c>
      <c r="J1127" t="str">
        <f ca="1">IFERROR(__xludf.DUMMYFUNCTION("""COMPUTED_VALUE"""),"")</f>
        <v/>
      </c>
      <c r="K1127" t="str">
        <f ca="1">IFERROR(__xludf.DUMMYFUNCTION("""COMPUTED_VALUE"""),"")</f>
        <v/>
      </c>
      <c r="L1127" t="str">
        <f ca="1">IFERROR(__xludf.DUMMYFUNCTION("""COMPUTED_VALUE"""),"")</f>
        <v/>
      </c>
      <c r="M1127" t="str">
        <f ca="1">IFERROR(__xludf.DUMMYFUNCTION("""COMPUTED_VALUE"""),"")</f>
        <v/>
      </c>
      <c r="N1127" s="4" t="str">
        <f ca="1">IFERROR(__xludf.DUMMYFUNCTION("""COMPUTED_VALUE"""),"")</f>
        <v/>
      </c>
      <c r="O1127" s="4" t="str">
        <f ca="1">IFERROR(__xludf.DUMMYFUNCTION("""COMPUTED_VALUE"""),"")</f>
        <v/>
      </c>
      <c r="P1127" t="str">
        <f ca="1">IFERROR(__xludf.DUMMYFUNCTION("""COMPUTED_VALUE"""),"")</f>
        <v/>
      </c>
      <c r="Q1127" t="str">
        <f ca="1">IFERROR(__xludf.DUMMYFUNCTION("""COMPUTED_VALUE"""),"")</f>
        <v/>
      </c>
      <c r="R1127" s="2" t="s">
        <v>3541</v>
      </c>
    </row>
    <row r="1128" spans="1:18" ht="13" x14ac:dyDescent="0.15">
      <c r="A1128" s="3" t="str">
        <f ca="1">IFERROR(__xludf.DUMMYFUNCTION("""COMPUTED_VALUE"""),"")</f>
        <v/>
      </c>
      <c r="B1128" t="str">
        <f ca="1">IFERROR(__xludf.DUMMYFUNCTION("""COMPUTED_VALUE"""),"")</f>
        <v/>
      </c>
      <c r="C1128" t="str">
        <f ca="1">IFERROR(__xludf.DUMMYFUNCTION("""COMPUTED_VALUE"""),"")</f>
        <v/>
      </c>
      <c r="D1128" t="str">
        <f ca="1">IFERROR(__xludf.DUMMYFUNCTION("""COMPUTED_VALUE"""),"")</f>
        <v/>
      </c>
      <c r="E1128" t="str">
        <f ca="1">IFERROR(__xludf.DUMMYFUNCTION("""COMPUTED_VALUE"""),"")</f>
        <v/>
      </c>
      <c r="F1128" t="str">
        <f ca="1">IFERROR(__xludf.DUMMYFUNCTION("""COMPUTED_VALUE"""),"")</f>
        <v/>
      </c>
      <c r="G1128" t="str">
        <f ca="1">IFERROR(__xludf.DUMMYFUNCTION("""COMPUTED_VALUE"""),"")</f>
        <v/>
      </c>
      <c r="H1128" t="str">
        <f ca="1">IFERROR(__xludf.DUMMYFUNCTION("""COMPUTED_VALUE"""),"")</f>
        <v/>
      </c>
      <c r="I1128" s="4" t="str">
        <f ca="1">IFERROR(__xludf.DUMMYFUNCTION("""COMPUTED_VALUE"""),"")</f>
        <v/>
      </c>
      <c r="J1128" t="str">
        <f ca="1">IFERROR(__xludf.DUMMYFUNCTION("""COMPUTED_VALUE"""),"")</f>
        <v/>
      </c>
      <c r="K1128" t="str">
        <f ca="1">IFERROR(__xludf.DUMMYFUNCTION("""COMPUTED_VALUE"""),"")</f>
        <v/>
      </c>
      <c r="L1128" t="str">
        <f ca="1">IFERROR(__xludf.DUMMYFUNCTION("""COMPUTED_VALUE"""),"")</f>
        <v/>
      </c>
      <c r="M1128" t="str">
        <f ca="1">IFERROR(__xludf.DUMMYFUNCTION("""COMPUTED_VALUE"""),"")</f>
        <v/>
      </c>
      <c r="N1128" s="4" t="str">
        <f ca="1">IFERROR(__xludf.DUMMYFUNCTION("""COMPUTED_VALUE"""),"")</f>
        <v/>
      </c>
      <c r="O1128" s="4" t="str">
        <f ca="1">IFERROR(__xludf.DUMMYFUNCTION("""COMPUTED_VALUE"""),"")</f>
        <v/>
      </c>
      <c r="P1128" t="str">
        <f ca="1">IFERROR(__xludf.DUMMYFUNCTION("""COMPUTED_VALUE"""),"")</f>
        <v/>
      </c>
      <c r="Q1128" t="str">
        <f ca="1">IFERROR(__xludf.DUMMYFUNCTION("""COMPUTED_VALUE"""),"")</f>
        <v/>
      </c>
      <c r="R1128" s="2" t="s">
        <v>3542</v>
      </c>
    </row>
    <row r="1129" spans="1:18" ht="13" x14ac:dyDescent="0.15">
      <c r="A1129" s="3" t="str">
        <f ca="1">IFERROR(__xludf.DUMMYFUNCTION("""COMPUTED_VALUE"""),"")</f>
        <v/>
      </c>
      <c r="B1129" t="str">
        <f ca="1">IFERROR(__xludf.DUMMYFUNCTION("""COMPUTED_VALUE"""),"")</f>
        <v/>
      </c>
      <c r="C1129" t="str">
        <f ca="1">IFERROR(__xludf.DUMMYFUNCTION("""COMPUTED_VALUE"""),"")</f>
        <v/>
      </c>
      <c r="D1129" t="str">
        <f ca="1">IFERROR(__xludf.DUMMYFUNCTION("""COMPUTED_VALUE"""),"")</f>
        <v/>
      </c>
      <c r="E1129" t="str">
        <f ca="1">IFERROR(__xludf.DUMMYFUNCTION("""COMPUTED_VALUE"""),"")</f>
        <v/>
      </c>
      <c r="F1129" t="str">
        <f ca="1">IFERROR(__xludf.DUMMYFUNCTION("""COMPUTED_VALUE"""),"")</f>
        <v/>
      </c>
      <c r="G1129" t="str">
        <f ca="1">IFERROR(__xludf.DUMMYFUNCTION("""COMPUTED_VALUE"""),"")</f>
        <v/>
      </c>
      <c r="H1129" t="str">
        <f ca="1">IFERROR(__xludf.DUMMYFUNCTION("""COMPUTED_VALUE"""),"")</f>
        <v/>
      </c>
      <c r="I1129" s="4" t="str">
        <f ca="1">IFERROR(__xludf.DUMMYFUNCTION("""COMPUTED_VALUE"""),"")</f>
        <v/>
      </c>
      <c r="J1129" t="str">
        <f ca="1">IFERROR(__xludf.DUMMYFUNCTION("""COMPUTED_VALUE"""),"")</f>
        <v/>
      </c>
      <c r="K1129" t="str">
        <f ca="1">IFERROR(__xludf.DUMMYFUNCTION("""COMPUTED_VALUE"""),"")</f>
        <v/>
      </c>
      <c r="L1129" t="str">
        <f ca="1">IFERROR(__xludf.DUMMYFUNCTION("""COMPUTED_VALUE"""),"")</f>
        <v/>
      </c>
      <c r="M1129" t="str">
        <f ca="1">IFERROR(__xludf.DUMMYFUNCTION("""COMPUTED_VALUE"""),"")</f>
        <v/>
      </c>
      <c r="N1129" s="4" t="str">
        <f ca="1">IFERROR(__xludf.DUMMYFUNCTION("""COMPUTED_VALUE"""),"")</f>
        <v/>
      </c>
      <c r="O1129" s="4" t="str">
        <f ca="1">IFERROR(__xludf.DUMMYFUNCTION("""COMPUTED_VALUE"""),"")</f>
        <v/>
      </c>
      <c r="P1129" t="str">
        <f ca="1">IFERROR(__xludf.DUMMYFUNCTION("""COMPUTED_VALUE"""),"")</f>
        <v/>
      </c>
      <c r="Q1129" t="str">
        <f ca="1">IFERROR(__xludf.DUMMYFUNCTION("""COMPUTED_VALUE"""),"")</f>
        <v/>
      </c>
      <c r="R1129" s="2" t="s">
        <v>3543</v>
      </c>
    </row>
    <row r="1130" spans="1:18" ht="13" x14ac:dyDescent="0.15">
      <c r="A1130" s="3" t="str">
        <f ca="1">IFERROR(__xludf.DUMMYFUNCTION("""COMPUTED_VALUE"""),"")</f>
        <v/>
      </c>
      <c r="B1130" t="str">
        <f ca="1">IFERROR(__xludf.DUMMYFUNCTION("""COMPUTED_VALUE"""),"")</f>
        <v/>
      </c>
      <c r="C1130" t="str">
        <f ca="1">IFERROR(__xludf.DUMMYFUNCTION("""COMPUTED_VALUE"""),"")</f>
        <v/>
      </c>
      <c r="D1130" t="str">
        <f ca="1">IFERROR(__xludf.DUMMYFUNCTION("""COMPUTED_VALUE"""),"")</f>
        <v/>
      </c>
      <c r="E1130" t="str">
        <f ca="1">IFERROR(__xludf.DUMMYFUNCTION("""COMPUTED_VALUE"""),"")</f>
        <v/>
      </c>
      <c r="F1130" t="str">
        <f ca="1">IFERROR(__xludf.DUMMYFUNCTION("""COMPUTED_VALUE"""),"")</f>
        <v/>
      </c>
      <c r="G1130" t="str">
        <f ca="1">IFERROR(__xludf.DUMMYFUNCTION("""COMPUTED_VALUE"""),"")</f>
        <v/>
      </c>
      <c r="H1130" t="str">
        <f ca="1">IFERROR(__xludf.DUMMYFUNCTION("""COMPUTED_VALUE"""),"")</f>
        <v/>
      </c>
      <c r="I1130" s="4" t="str">
        <f ca="1">IFERROR(__xludf.DUMMYFUNCTION("""COMPUTED_VALUE"""),"")</f>
        <v/>
      </c>
      <c r="J1130" t="str">
        <f ca="1">IFERROR(__xludf.DUMMYFUNCTION("""COMPUTED_VALUE"""),"")</f>
        <v/>
      </c>
      <c r="K1130" t="str">
        <f ca="1">IFERROR(__xludf.DUMMYFUNCTION("""COMPUTED_VALUE"""),"")</f>
        <v/>
      </c>
      <c r="L1130" t="str">
        <f ca="1">IFERROR(__xludf.DUMMYFUNCTION("""COMPUTED_VALUE"""),"")</f>
        <v/>
      </c>
      <c r="M1130" t="str">
        <f ca="1">IFERROR(__xludf.DUMMYFUNCTION("""COMPUTED_VALUE"""),"")</f>
        <v/>
      </c>
      <c r="N1130" s="4" t="str">
        <f ca="1">IFERROR(__xludf.DUMMYFUNCTION("""COMPUTED_VALUE"""),"")</f>
        <v/>
      </c>
      <c r="O1130" s="4" t="str">
        <f ca="1">IFERROR(__xludf.DUMMYFUNCTION("""COMPUTED_VALUE"""),"")</f>
        <v/>
      </c>
      <c r="P1130" t="str">
        <f ca="1">IFERROR(__xludf.DUMMYFUNCTION("""COMPUTED_VALUE"""),"")</f>
        <v/>
      </c>
      <c r="Q1130" t="str">
        <f ca="1">IFERROR(__xludf.DUMMYFUNCTION("""COMPUTED_VALUE"""),"")</f>
        <v/>
      </c>
      <c r="R1130" s="2" t="s">
        <v>3544</v>
      </c>
    </row>
    <row r="1131" spans="1:18" ht="13" x14ac:dyDescent="0.15">
      <c r="A1131" s="3" t="str">
        <f ca="1">IFERROR(__xludf.DUMMYFUNCTION("""COMPUTED_VALUE"""),"")</f>
        <v/>
      </c>
      <c r="B1131" t="str">
        <f ca="1">IFERROR(__xludf.DUMMYFUNCTION("""COMPUTED_VALUE"""),"")</f>
        <v/>
      </c>
      <c r="C1131" t="str">
        <f ca="1">IFERROR(__xludf.DUMMYFUNCTION("""COMPUTED_VALUE"""),"")</f>
        <v/>
      </c>
      <c r="D1131" t="str">
        <f ca="1">IFERROR(__xludf.DUMMYFUNCTION("""COMPUTED_VALUE"""),"")</f>
        <v/>
      </c>
      <c r="E1131" t="str">
        <f ca="1">IFERROR(__xludf.DUMMYFUNCTION("""COMPUTED_VALUE"""),"")</f>
        <v/>
      </c>
      <c r="F1131" t="str">
        <f ca="1">IFERROR(__xludf.DUMMYFUNCTION("""COMPUTED_VALUE"""),"")</f>
        <v/>
      </c>
      <c r="G1131" t="str">
        <f ca="1">IFERROR(__xludf.DUMMYFUNCTION("""COMPUTED_VALUE"""),"")</f>
        <v/>
      </c>
      <c r="H1131" t="str">
        <f ca="1">IFERROR(__xludf.DUMMYFUNCTION("""COMPUTED_VALUE"""),"")</f>
        <v/>
      </c>
      <c r="I1131" s="4" t="str">
        <f ca="1">IFERROR(__xludf.DUMMYFUNCTION("""COMPUTED_VALUE"""),"")</f>
        <v/>
      </c>
      <c r="J1131" t="str">
        <f ca="1">IFERROR(__xludf.DUMMYFUNCTION("""COMPUTED_VALUE"""),"")</f>
        <v/>
      </c>
      <c r="K1131" t="str">
        <f ca="1">IFERROR(__xludf.DUMMYFUNCTION("""COMPUTED_VALUE"""),"")</f>
        <v/>
      </c>
      <c r="L1131" t="str">
        <f ca="1">IFERROR(__xludf.DUMMYFUNCTION("""COMPUTED_VALUE"""),"")</f>
        <v/>
      </c>
      <c r="M1131" t="str">
        <f ca="1">IFERROR(__xludf.DUMMYFUNCTION("""COMPUTED_VALUE"""),"")</f>
        <v/>
      </c>
      <c r="N1131" s="4" t="str">
        <f ca="1">IFERROR(__xludf.DUMMYFUNCTION("""COMPUTED_VALUE"""),"")</f>
        <v/>
      </c>
      <c r="O1131" s="4" t="str">
        <f ca="1">IFERROR(__xludf.DUMMYFUNCTION("""COMPUTED_VALUE"""),"")</f>
        <v/>
      </c>
      <c r="P1131" t="str">
        <f ca="1">IFERROR(__xludf.DUMMYFUNCTION("""COMPUTED_VALUE"""),"")</f>
        <v/>
      </c>
      <c r="Q1131" t="str">
        <f ca="1">IFERROR(__xludf.DUMMYFUNCTION("""COMPUTED_VALUE"""),"")</f>
        <v/>
      </c>
      <c r="R1131" s="2" t="s">
        <v>3545</v>
      </c>
    </row>
    <row r="1132" spans="1:18" ht="13" x14ac:dyDescent="0.15">
      <c r="A1132" s="3" t="str">
        <f ca="1">IFERROR(__xludf.DUMMYFUNCTION("""COMPUTED_VALUE"""),"")</f>
        <v/>
      </c>
      <c r="B1132" t="str">
        <f ca="1">IFERROR(__xludf.DUMMYFUNCTION("""COMPUTED_VALUE"""),"")</f>
        <v/>
      </c>
      <c r="C1132" t="str">
        <f ca="1">IFERROR(__xludf.DUMMYFUNCTION("""COMPUTED_VALUE"""),"")</f>
        <v/>
      </c>
      <c r="D1132" t="str">
        <f ca="1">IFERROR(__xludf.DUMMYFUNCTION("""COMPUTED_VALUE"""),"")</f>
        <v/>
      </c>
      <c r="E1132" t="str">
        <f ca="1">IFERROR(__xludf.DUMMYFUNCTION("""COMPUTED_VALUE"""),"")</f>
        <v/>
      </c>
      <c r="F1132" t="str">
        <f ca="1">IFERROR(__xludf.DUMMYFUNCTION("""COMPUTED_VALUE"""),"")</f>
        <v/>
      </c>
      <c r="G1132" t="str">
        <f ca="1">IFERROR(__xludf.DUMMYFUNCTION("""COMPUTED_VALUE"""),"")</f>
        <v/>
      </c>
      <c r="H1132" t="str">
        <f ca="1">IFERROR(__xludf.DUMMYFUNCTION("""COMPUTED_VALUE"""),"")</f>
        <v/>
      </c>
      <c r="I1132" s="4" t="str">
        <f ca="1">IFERROR(__xludf.DUMMYFUNCTION("""COMPUTED_VALUE"""),"")</f>
        <v/>
      </c>
      <c r="J1132" t="str">
        <f ca="1">IFERROR(__xludf.DUMMYFUNCTION("""COMPUTED_VALUE"""),"")</f>
        <v/>
      </c>
      <c r="K1132" t="str">
        <f ca="1">IFERROR(__xludf.DUMMYFUNCTION("""COMPUTED_VALUE"""),"")</f>
        <v/>
      </c>
      <c r="L1132" t="str">
        <f ca="1">IFERROR(__xludf.DUMMYFUNCTION("""COMPUTED_VALUE"""),"")</f>
        <v/>
      </c>
      <c r="M1132" t="str">
        <f ca="1">IFERROR(__xludf.DUMMYFUNCTION("""COMPUTED_VALUE"""),"")</f>
        <v/>
      </c>
      <c r="N1132" s="4" t="str">
        <f ca="1">IFERROR(__xludf.DUMMYFUNCTION("""COMPUTED_VALUE"""),"")</f>
        <v/>
      </c>
      <c r="O1132" s="4" t="str">
        <f ca="1">IFERROR(__xludf.DUMMYFUNCTION("""COMPUTED_VALUE"""),"")</f>
        <v/>
      </c>
      <c r="P1132" t="str">
        <f ca="1">IFERROR(__xludf.DUMMYFUNCTION("""COMPUTED_VALUE"""),"")</f>
        <v/>
      </c>
      <c r="Q1132" t="str">
        <f ca="1">IFERROR(__xludf.DUMMYFUNCTION("""COMPUTED_VALUE"""),"")</f>
        <v/>
      </c>
      <c r="R1132" s="2" t="s">
        <v>3546</v>
      </c>
    </row>
    <row r="1133" spans="1:18" ht="13" x14ac:dyDescent="0.15">
      <c r="A1133" s="3" t="str">
        <f ca="1">IFERROR(__xludf.DUMMYFUNCTION("""COMPUTED_VALUE"""),"")</f>
        <v/>
      </c>
      <c r="B1133" t="str">
        <f ca="1">IFERROR(__xludf.DUMMYFUNCTION("""COMPUTED_VALUE"""),"")</f>
        <v/>
      </c>
      <c r="C1133" t="str">
        <f ca="1">IFERROR(__xludf.DUMMYFUNCTION("""COMPUTED_VALUE"""),"")</f>
        <v/>
      </c>
      <c r="D1133" t="str">
        <f ca="1">IFERROR(__xludf.DUMMYFUNCTION("""COMPUTED_VALUE"""),"")</f>
        <v/>
      </c>
      <c r="E1133" t="str">
        <f ca="1">IFERROR(__xludf.DUMMYFUNCTION("""COMPUTED_VALUE"""),"")</f>
        <v/>
      </c>
      <c r="F1133" t="str">
        <f ca="1">IFERROR(__xludf.DUMMYFUNCTION("""COMPUTED_VALUE"""),"")</f>
        <v/>
      </c>
      <c r="G1133" t="str">
        <f ca="1">IFERROR(__xludf.DUMMYFUNCTION("""COMPUTED_VALUE"""),"")</f>
        <v/>
      </c>
      <c r="H1133" t="str">
        <f ca="1">IFERROR(__xludf.DUMMYFUNCTION("""COMPUTED_VALUE"""),"")</f>
        <v/>
      </c>
      <c r="I1133" s="4" t="str">
        <f ca="1">IFERROR(__xludf.DUMMYFUNCTION("""COMPUTED_VALUE"""),"")</f>
        <v/>
      </c>
      <c r="J1133" t="str">
        <f ca="1">IFERROR(__xludf.DUMMYFUNCTION("""COMPUTED_VALUE"""),"")</f>
        <v/>
      </c>
      <c r="K1133" t="str">
        <f ca="1">IFERROR(__xludf.DUMMYFUNCTION("""COMPUTED_VALUE"""),"")</f>
        <v/>
      </c>
      <c r="L1133" t="str">
        <f ca="1">IFERROR(__xludf.DUMMYFUNCTION("""COMPUTED_VALUE"""),"")</f>
        <v/>
      </c>
      <c r="M1133" t="str">
        <f ca="1">IFERROR(__xludf.DUMMYFUNCTION("""COMPUTED_VALUE"""),"")</f>
        <v/>
      </c>
      <c r="N1133" s="4" t="str">
        <f ca="1">IFERROR(__xludf.DUMMYFUNCTION("""COMPUTED_VALUE"""),"")</f>
        <v/>
      </c>
      <c r="O1133" s="4" t="str">
        <f ca="1">IFERROR(__xludf.DUMMYFUNCTION("""COMPUTED_VALUE"""),"")</f>
        <v/>
      </c>
      <c r="P1133" t="str">
        <f ca="1">IFERROR(__xludf.DUMMYFUNCTION("""COMPUTED_VALUE"""),"")</f>
        <v/>
      </c>
      <c r="Q1133" t="str">
        <f ca="1">IFERROR(__xludf.DUMMYFUNCTION("""COMPUTED_VALUE"""),"")</f>
        <v/>
      </c>
      <c r="R1133" s="2" t="s">
        <v>3547</v>
      </c>
    </row>
    <row r="1134" spans="1:18" ht="13" x14ac:dyDescent="0.15">
      <c r="A1134" s="3" t="str">
        <f ca="1">IFERROR(__xludf.DUMMYFUNCTION("""COMPUTED_VALUE"""),"")</f>
        <v/>
      </c>
      <c r="B1134" t="str">
        <f ca="1">IFERROR(__xludf.DUMMYFUNCTION("""COMPUTED_VALUE"""),"")</f>
        <v/>
      </c>
      <c r="C1134" t="str">
        <f ca="1">IFERROR(__xludf.DUMMYFUNCTION("""COMPUTED_VALUE"""),"")</f>
        <v/>
      </c>
      <c r="D1134" t="str">
        <f ca="1">IFERROR(__xludf.DUMMYFUNCTION("""COMPUTED_VALUE"""),"")</f>
        <v/>
      </c>
      <c r="E1134" t="str">
        <f ca="1">IFERROR(__xludf.DUMMYFUNCTION("""COMPUTED_VALUE"""),"")</f>
        <v/>
      </c>
      <c r="F1134" t="str">
        <f ca="1">IFERROR(__xludf.DUMMYFUNCTION("""COMPUTED_VALUE"""),"")</f>
        <v/>
      </c>
      <c r="G1134" t="str">
        <f ca="1">IFERROR(__xludf.DUMMYFUNCTION("""COMPUTED_VALUE"""),"")</f>
        <v/>
      </c>
      <c r="H1134" t="str">
        <f ca="1">IFERROR(__xludf.DUMMYFUNCTION("""COMPUTED_VALUE"""),"")</f>
        <v/>
      </c>
      <c r="I1134" s="4" t="str">
        <f ca="1">IFERROR(__xludf.DUMMYFUNCTION("""COMPUTED_VALUE"""),"")</f>
        <v/>
      </c>
      <c r="J1134" t="str">
        <f ca="1">IFERROR(__xludf.DUMMYFUNCTION("""COMPUTED_VALUE"""),"")</f>
        <v/>
      </c>
      <c r="K1134" t="str">
        <f ca="1">IFERROR(__xludf.DUMMYFUNCTION("""COMPUTED_VALUE"""),"")</f>
        <v/>
      </c>
      <c r="L1134" t="str">
        <f ca="1">IFERROR(__xludf.DUMMYFUNCTION("""COMPUTED_VALUE"""),"")</f>
        <v/>
      </c>
      <c r="M1134" t="str">
        <f ca="1">IFERROR(__xludf.DUMMYFUNCTION("""COMPUTED_VALUE"""),"")</f>
        <v/>
      </c>
      <c r="N1134" s="4" t="str">
        <f ca="1">IFERROR(__xludf.DUMMYFUNCTION("""COMPUTED_VALUE"""),"")</f>
        <v/>
      </c>
      <c r="O1134" s="4" t="str">
        <f ca="1">IFERROR(__xludf.DUMMYFUNCTION("""COMPUTED_VALUE"""),"")</f>
        <v/>
      </c>
      <c r="P1134" t="str">
        <f ca="1">IFERROR(__xludf.DUMMYFUNCTION("""COMPUTED_VALUE"""),"")</f>
        <v/>
      </c>
      <c r="Q1134" t="str">
        <f ca="1">IFERROR(__xludf.DUMMYFUNCTION("""COMPUTED_VALUE"""),"")</f>
        <v/>
      </c>
      <c r="R1134" s="2" t="s">
        <v>3548</v>
      </c>
    </row>
    <row r="1135" spans="1:18" ht="13" x14ac:dyDescent="0.15">
      <c r="A1135" s="3" t="str">
        <f ca="1">IFERROR(__xludf.DUMMYFUNCTION("""COMPUTED_VALUE"""),"")</f>
        <v/>
      </c>
      <c r="B1135" t="str">
        <f ca="1">IFERROR(__xludf.DUMMYFUNCTION("""COMPUTED_VALUE"""),"")</f>
        <v/>
      </c>
      <c r="C1135" t="str">
        <f ca="1">IFERROR(__xludf.DUMMYFUNCTION("""COMPUTED_VALUE"""),"")</f>
        <v/>
      </c>
      <c r="D1135" t="str">
        <f ca="1">IFERROR(__xludf.DUMMYFUNCTION("""COMPUTED_VALUE"""),"")</f>
        <v/>
      </c>
      <c r="E1135" t="str">
        <f ca="1">IFERROR(__xludf.DUMMYFUNCTION("""COMPUTED_VALUE"""),"")</f>
        <v/>
      </c>
      <c r="F1135" t="str">
        <f ca="1">IFERROR(__xludf.DUMMYFUNCTION("""COMPUTED_VALUE"""),"")</f>
        <v/>
      </c>
      <c r="G1135" t="str">
        <f ca="1">IFERROR(__xludf.DUMMYFUNCTION("""COMPUTED_VALUE"""),"")</f>
        <v/>
      </c>
      <c r="H1135" t="str">
        <f ca="1">IFERROR(__xludf.DUMMYFUNCTION("""COMPUTED_VALUE"""),"")</f>
        <v/>
      </c>
      <c r="I1135" s="4" t="str">
        <f ca="1">IFERROR(__xludf.DUMMYFUNCTION("""COMPUTED_VALUE"""),"")</f>
        <v/>
      </c>
      <c r="J1135" t="str">
        <f ca="1">IFERROR(__xludf.DUMMYFUNCTION("""COMPUTED_VALUE"""),"")</f>
        <v/>
      </c>
      <c r="K1135" t="str">
        <f ca="1">IFERROR(__xludf.DUMMYFUNCTION("""COMPUTED_VALUE"""),"")</f>
        <v/>
      </c>
      <c r="L1135" t="str">
        <f ca="1">IFERROR(__xludf.DUMMYFUNCTION("""COMPUTED_VALUE"""),"")</f>
        <v/>
      </c>
      <c r="M1135" t="str">
        <f ca="1">IFERROR(__xludf.DUMMYFUNCTION("""COMPUTED_VALUE"""),"")</f>
        <v/>
      </c>
      <c r="N1135" s="4" t="str">
        <f ca="1">IFERROR(__xludf.DUMMYFUNCTION("""COMPUTED_VALUE"""),"")</f>
        <v/>
      </c>
      <c r="O1135" s="4" t="str">
        <f ca="1">IFERROR(__xludf.DUMMYFUNCTION("""COMPUTED_VALUE"""),"")</f>
        <v/>
      </c>
      <c r="P1135" t="str">
        <f ca="1">IFERROR(__xludf.DUMMYFUNCTION("""COMPUTED_VALUE"""),"")</f>
        <v/>
      </c>
      <c r="Q1135" t="str">
        <f ca="1">IFERROR(__xludf.DUMMYFUNCTION("""COMPUTED_VALUE"""),"")</f>
        <v/>
      </c>
      <c r="R1135" s="2" t="s">
        <v>3549</v>
      </c>
    </row>
    <row r="1136" spans="1:18" ht="13" x14ac:dyDescent="0.15">
      <c r="A1136" s="3" t="str">
        <f ca="1">IFERROR(__xludf.DUMMYFUNCTION("""COMPUTED_VALUE"""),"")</f>
        <v/>
      </c>
      <c r="B1136" t="str">
        <f ca="1">IFERROR(__xludf.DUMMYFUNCTION("""COMPUTED_VALUE"""),"")</f>
        <v/>
      </c>
      <c r="C1136" t="str">
        <f ca="1">IFERROR(__xludf.DUMMYFUNCTION("""COMPUTED_VALUE"""),"")</f>
        <v/>
      </c>
      <c r="D1136" t="str">
        <f ca="1">IFERROR(__xludf.DUMMYFUNCTION("""COMPUTED_VALUE"""),"")</f>
        <v/>
      </c>
      <c r="E1136" t="str">
        <f ca="1">IFERROR(__xludf.DUMMYFUNCTION("""COMPUTED_VALUE"""),"")</f>
        <v/>
      </c>
      <c r="F1136" t="str">
        <f ca="1">IFERROR(__xludf.DUMMYFUNCTION("""COMPUTED_VALUE"""),"")</f>
        <v/>
      </c>
      <c r="G1136" t="str">
        <f ca="1">IFERROR(__xludf.DUMMYFUNCTION("""COMPUTED_VALUE"""),"")</f>
        <v/>
      </c>
      <c r="H1136" t="str">
        <f ca="1">IFERROR(__xludf.DUMMYFUNCTION("""COMPUTED_VALUE"""),"")</f>
        <v/>
      </c>
      <c r="I1136" s="4" t="str">
        <f ca="1">IFERROR(__xludf.DUMMYFUNCTION("""COMPUTED_VALUE"""),"")</f>
        <v/>
      </c>
      <c r="J1136" t="str">
        <f ca="1">IFERROR(__xludf.DUMMYFUNCTION("""COMPUTED_VALUE"""),"")</f>
        <v/>
      </c>
      <c r="K1136" t="str">
        <f ca="1">IFERROR(__xludf.DUMMYFUNCTION("""COMPUTED_VALUE"""),"")</f>
        <v/>
      </c>
      <c r="L1136" t="str">
        <f ca="1">IFERROR(__xludf.DUMMYFUNCTION("""COMPUTED_VALUE"""),"")</f>
        <v/>
      </c>
      <c r="M1136" t="str">
        <f ca="1">IFERROR(__xludf.DUMMYFUNCTION("""COMPUTED_VALUE"""),"")</f>
        <v/>
      </c>
      <c r="N1136" s="4" t="str">
        <f ca="1">IFERROR(__xludf.DUMMYFUNCTION("""COMPUTED_VALUE"""),"")</f>
        <v/>
      </c>
      <c r="O1136" s="4" t="str">
        <f ca="1">IFERROR(__xludf.DUMMYFUNCTION("""COMPUTED_VALUE"""),"")</f>
        <v/>
      </c>
      <c r="P1136" t="str">
        <f ca="1">IFERROR(__xludf.DUMMYFUNCTION("""COMPUTED_VALUE"""),"")</f>
        <v/>
      </c>
      <c r="Q1136" t="str">
        <f ca="1">IFERROR(__xludf.DUMMYFUNCTION("""COMPUTED_VALUE"""),"")</f>
        <v/>
      </c>
      <c r="R1136" s="2" t="s">
        <v>3550</v>
      </c>
    </row>
    <row r="1137" spans="1:18" ht="13" x14ac:dyDescent="0.15">
      <c r="A1137" s="3" t="str">
        <f ca="1">IFERROR(__xludf.DUMMYFUNCTION("""COMPUTED_VALUE"""),"")</f>
        <v/>
      </c>
      <c r="B1137" t="str">
        <f ca="1">IFERROR(__xludf.DUMMYFUNCTION("""COMPUTED_VALUE"""),"")</f>
        <v/>
      </c>
      <c r="C1137" t="str">
        <f ca="1">IFERROR(__xludf.DUMMYFUNCTION("""COMPUTED_VALUE"""),"")</f>
        <v/>
      </c>
      <c r="D1137" t="str">
        <f ca="1">IFERROR(__xludf.DUMMYFUNCTION("""COMPUTED_VALUE"""),"")</f>
        <v/>
      </c>
      <c r="E1137" t="str">
        <f ca="1">IFERROR(__xludf.DUMMYFUNCTION("""COMPUTED_VALUE"""),"")</f>
        <v/>
      </c>
      <c r="F1137" t="str">
        <f ca="1">IFERROR(__xludf.DUMMYFUNCTION("""COMPUTED_VALUE"""),"")</f>
        <v/>
      </c>
      <c r="G1137" t="str">
        <f ca="1">IFERROR(__xludf.DUMMYFUNCTION("""COMPUTED_VALUE"""),"")</f>
        <v/>
      </c>
      <c r="H1137" t="str">
        <f ca="1">IFERROR(__xludf.DUMMYFUNCTION("""COMPUTED_VALUE"""),"")</f>
        <v/>
      </c>
      <c r="I1137" s="4" t="str">
        <f ca="1">IFERROR(__xludf.DUMMYFUNCTION("""COMPUTED_VALUE"""),"")</f>
        <v/>
      </c>
      <c r="J1137" t="str">
        <f ca="1">IFERROR(__xludf.DUMMYFUNCTION("""COMPUTED_VALUE"""),"")</f>
        <v/>
      </c>
      <c r="K1137" t="str">
        <f ca="1">IFERROR(__xludf.DUMMYFUNCTION("""COMPUTED_VALUE"""),"")</f>
        <v/>
      </c>
      <c r="L1137" t="str">
        <f ca="1">IFERROR(__xludf.DUMMYFUNCTION("""COMPUTED_VALUE"""),"")</f>
        <v/>
      </c>
      <c r="M1137" t="str">
        <f ca="1">IFERROR(__xludf.DUMMYFUNCTION("""COMPUTED_VALUE"""),"")</f>
        <v/>
      </c>
      <c r="N1137" s="4" t="str">
        <f ca="1">IFERROR(__xludf.DUMMYFUNCTION("""COMPUTED_VALUE"""),"")</f>
        <v/>
      </c>
      <c r="O1137" s="4" t="str">
        <f ca="1">IFERROR(__xludf.DUMMYFUNCTION("""COMPUTED_VALUE"""),"")</f>
        <v/>
      </c>
      <c r="P1137" t="str">
        <f ca="1">IFERROR(__xludf.DUMMYFUNCTION("""COMPUTED_VALUE"""),"")</f>
        <v/>
      </c>
      <c r="Q1137" t="str">
        <f ca="1">IFERROR(__xludf.DUMMYFUNCTION("""COMPUTED_VALUE"""),"")</f>
        <v/>
      </c>
      <c r="R1137" s="2" t="s">
        <v>3551</v>
      </c>
    </row>
    <row r="1138" spans="1:18" ht="13" x14ac:dyDescent="0.15">
      <c r="A1138" s="3" t="str">
        <f ca="1">IFERROR(__xludf.DUMMYFUNCTION("""COMPUTED_VALUE"""),"")</f>
        <v/>
      </c>
      <c r="B1138" t="str">
        <f ca="1">IFERROR(__xludf.DUMMYFUNCTION("""COMPUTED_VALUE"""),"")</f>
        <v/>
      </c>
      <c r="C1138" t="str">
        <f ca="1">IFERROR(__xludf.DUMMYFUNCTION("""COMPUTED_VALUE"""),"")</f>
        <v/>
      </c>
      <c r="D1138" t="str">
        <f ca="1">IFERROR(__xludf.DUMMYFUNCTION("""COMPUTED_VALUE"""),"")</f>
        <v/>
      </c>
      <c r="E1138" t="str">
        <f ca="1">IFERROR(__xludf.DUMMYFUNCTION("""COMPUTED_VALUE"""),"")</f>
        <v/>
      </c>
      <c r="F1138" t="str">
        <f ca="1">IFERROR(__xludf.DUMMYFUNCTION("""COMPUTED_VALUE"""),"")</f>
        <v/>
      </c>
      <c r="G1138" t="str">
        <f ca="1">IFERROR(__xludf.DUMMYFUNCTION("""COMPUTED_VALUE"""),"")</f>
        <v/>
      </c>
      <c r="H1138" t="str">
        <f ca="1">IFERROR(__xludf.DUMMYFUNCTION("""COMPUTED_VALUE"""),"")</f>
        <v/>
      </c>
      <c r="I1138" s="4" t="str">
        <f ca="1">IFERROR(__xludf.DUMMYFUNCTION("""COMPUTED_VALUE"""),"")</f>
        <v/>
      </c>
      <c r="J1138" t="str">
        <f ca="1">IFERROR(__xludf.DUMMYFUNCTION("""COMPUTED_VALUE"""),"")</f>
        <v/>
      </c>
      <c r="K1138" t="str">
        <f ca="1">IFERROR(__xludf.DUMMYFUNCTION("""COMPUTED_VALUE"""),"")</f>
        <v/>
      </c>
      <c r="L1138" t="str">
        <f ca="1">IFERROR(__xludf.DUMMYFUNCTION("""COMPUTED_VALUE"""),"")</f>
        <v/>
      </c>
      <c r="M1138" t="str">
        <f ca="1">IFERROR(__xludf.DUMMYFUNCTION("""COMPUTED_VALUE"""),"")</f>
        <v/>
      </c>
      <c r="N1138" s="4" t="str">
        <f ca="1">IFERROR(__xludf.DUMMYFUNCTION("""COMPUTED_VALUE"""),"")</f>
        <v/>
      </c>
      <c r="O1138" s="4" t="str">
        <f ca="1">IFERROR(__xludf.DUMMYFUNCTION("""COMPUTED_VALUE"""),"")</f>
        <v/>
      </c>
      <c r="P1138" t="str">
        <f ca="1">IFERROR(__xludf.DUMMYFUNCTION("""COMPUTED_VALUE"""),"")</f>
        <v/>
      </c>
      <c r="Q1138" t="str">
        <f ca="1">IFERROR(__xludf.DUMMYFUNCTION("""COMPUTED_VALUE"""),"")</f>
        <v/>
      </c>
      <c r="R1138" s="2" t="s">
        <v>3552</v>
      </c>
    </row>
    <row r="1139" spans="1:18" ht="13" x14ac:dyDescent="0.15">
      <c r="A1139" s="3" t="str">
        <f ca="1">IFERROR(__xludf.DUMMYFUNCTION("""COMPUTED_VALUE"""),"")</f>
        <v/>
      </c>
      <c r="B1139" t="str">
        <f ca="1">IFERROR(__xludf.DUMMYFUNCTION("""COMPUTED_VALUE"""),"")</f>
        <v/>
      </c>
      <c r="C1139" t="str">
        <f ca="1">IFERROR(__xludf.DUMMYFUNCTION("""COMPUTED_VALUE"""),"")</f>
        <v/>
      </c>
      <c r="D1139" t="str">
        <f ca="1">IFERROR(__xludf.DUMMYFUNCTION("""COMPUTED_VALUE"""),"")</f>
        <v/>
      </c>
      <c r="E1139" t="str">
        <f ca="1">IFERROR(__xludf.DUMMYFUNCTION("""COMPUTED_VALUE"""),"")</f>
        <v/>
      </c>
      <c r="F1139" t="str">
        <f ca="1">IFERROR(__xludf.DUMMYFUNCTION("""COMPUTED_VALUE"""),"")</f>
        <v/>
      </c>
      <c r="G1139" t="str">
        <f ca="1">IFERROR(__xludf.DUMMYFUNCTION("""COMPUTED_VALUE"""),"")</f>
        <v/>
      </c>
      <c r="H1139" t="str">
        <f ca="1">IFERROR(__xludf.DUMMYFUNCTION("""COMPUTED_VALUE"""),"")</f>
        <v/>
      </c>
      <c r="I1139" s="4" t="str">
        <f ca="1">IFERROR(__xludf.DUMMYFUNCTION("""COMPUTED_VALUE"""),"")</f>
        <v/>
      </c>
      <c r="J1139" t="str">
        <f ca="1">IFERROR(__xludf.DUMMYFUNCTION("""COMPUTED_VALUE"""),"")</f>
        <v/>
      </c>
      <c r="K1139" t="str">
        <f ca="1">IFERROR(__xludf.DUMMYFUNCTION("""COMPUTED_VALUE"""),"")</f>
        <v/>
      </c>
      <c r="L1139" t="str">
        <f ca="1">IFERROR(__xludf.DUMMYFUNCTION("""COMPUTED_VALUE"""),"")</f>
        <v/>
      </c>
      <c r="M1139" t="str">
        <f ca="1">IFERROR(__xludf.DUMMYFUNCTION("""COMPUTED_VALUE"""),"")</f>
        <v/>
      </c>
      <c r="N1139" s="4" t="str">
        <f ca="1">IFERROR(__xludf.DUMMYFUNCTION("""COMPUTED_VALUE"""),"")</f>
        <v/>
      </c>
      <c r="O1139" s="4" t="str">
        <f ca="1">IFERROR(__xludf.DUMMYFUNCTION("""COMPUTED_VALUE"""),"")</f>
        <v/>
      </c>
      <c r="P1139" t="str">
        <f ca="1">IFERROR(__xludf.DUMMYFUNCTION("""COMPUTED_VALUE"""),"")</f>
        <v/>
      </c>
      <c r="Q1139" t="str">
        <f ca="1">IFERROR(__xludf.DUMMYFUNCTION("""COMPUTED_VALUE"""),"")</f>
        <v/>
      </c>
      <c r="R1139" s="2" t="s">
        <v>3553</v>
      </c>
    </row>
    <row r="1140" spans="1:18" ht="13" x14ac:dyDescent="0.15">
      <c r="A1140" s="3" t="str">
        <f ca="1">IFERROR(__xludf.DUMMYFUNCTION("""COMPUTED_VALUE"""),"")</f>
        <v/>
      </c>
      <c r="B1140" t="str">
        <f ca="1">IFERROR(__xludf.DUMMYFUNCTION("""COMPUTED_VALUE"""),"")</f>
        <v/>
      </c>
      <c r="C1140" t="str">
        <f ca="1">IFERROR(__xludf.DUMMYFUNCTION("""COMPUTED_VALUE"""),"")</f>
        <v/>
      </c>
      <c r="D1140" t="str">
        <f ca="1">IFERROR(__xludf.DUMMYFUNCTION("""COMPUTED_VALUE"""),"")</f>
        <v/>
      </c>
      <c r="E1140" t="str">
        <f ca="1">IFERROR(__xludf.DUMMYFUNCTION("""COMPUTED_VALUE"""),"")</f>
        <v/>
      </c>
      <c r="F1140" t="str">
        <f ca="1">IFERROR(__xludf.DUMMYFUNCTION("""COMPUTED_VALUE"""),"")</f>
        <v/>
      </c>
      <c r="G1140" t="str">
        <f ca="1">IFERROR(__xludf.DUMMYFUNCTION("""COMPUTED_VALUE"""),"")</f>
        <v/>
      </c>
      <c r="H1140" t="str">
        <f ca="1">IFERROR(__xludf.DUMMYFUNCTION("""COMPUTED_VALUE"""),"")</f>
        <v/>
      </c>
      <c r="I1140" s="4" t="str">
        <f ca="1">IFERROR(__xludf.DUMMYFUNCTION("""COMPUTED_VALUE"""),"")</f>
        <v/>
      </c>
      <c r="J1140" t="str">
        <f ca="1">IFERROR(__xludf.DUMMYFUNCTION("""COMPUTED_VALUE"""),"")</f>
        <v/>
      </c>
      <c r="K1140" t="str">
        <f ca="1">IFERROR(__xludf.DUMMYFUNCTION("""COMPUTED_VALUE"""),"")</f>
        <v/>
      </c>
      <c r="L1140" t="str">
        <f ca="1">IFERROR(__xludf.DUMMYFUNCTION("""COMPUTED_VALUE"""),"")</f>
        <v/>
      </c>
      <c r="M1140" t="str">
        <f ca="1">IFERROR(__xludf.DUMMYFUNCTION("""COMPUTED_VALUE"""),"")</f>
        <v/>
      </c>
      <c r="N1140" s="4" t="str">
        <f ca="1">IFERROR(__xludf.DUMMYFUNCTION("""COMPUTED_VALUE"""),"")</f>
        <v/>
      </c>
      <c r="O1140" s="4" t="str">
        <f ca="1">IFERROR(__xludf.DUMMYFUNCTION("""COMPUTED_VALUE"""),"")</f>
        <v/>
      </c>
      <c r="P1140" t="str">
        <f ca="1">IFERROR(__xludf.DUMMYFUNCTION("""COMPUTED_VALUE"""),"")</f>
        <v/>
      </c>
      <c r="Q1140" t="str">
        <f ca="1">IFERROR(__xludf.DUMMYFUNCTION("""COMPUTED_VALUE"""),"")</f>
        <v/>
      </c>
      <c r="R1140" s="2" t="s">
        <v>3554</v>
      </c>
    </row>
    <row r="1141" spans="1:18" ht="13" x14ac:dyDescent="0.15">
      <c r="A1141" s="3" t="str">
        <f ca="1">IFERROR(__xludf.DUMMYFUNCTION("""COMPUTED_VALUE"""),"")</f>
        <v/>
      </c>
      <c r="B1141" t="str">
        <f ca="1">IFERROR(__xludf.DUMMYFUNCTION("""COMPUTED_VALUE"""),"")</f>
        <v/>
      </c>
      <c r="C1141" t="str">
        <f ca="1">IFERROR(__xludf.DUMMYFUNCTION("""COMPUTED_VALUE"""),"")</f>
        <v/>
      </c>
      <c r="D1141" t="str">
        <f ca="1">IFERROR(__xludf.DUMMYFUNCTION("""COMPUTED_VALUE"""),"")</f>
        <v/>
      </c>
      <c r="E1141" t="str">
        <f ca="1">IFERROR(__xludf.DUMMYFUNCTION("""COMPUTED_VALUE"""),"")</f>
        <v/>
      </c>
      <c r="F1141" t="str">
        <f ca="1">IFERROR(__xludf.DUMMYFUNCTION("""COMPUTED_VALUE"""),"")</f>
        <v/>
      </c>
      <c r="G1141" t="str">
        <f ca="1">IFERROR(__xludf.DUMMYFUNCTION("""COMPUTED_VALUE"""),"")</f>
        <v/>
      </c>
      <c r="H1141" t="str">
        <f ca="1">IFERROR(__xludf.DUMMYFUNCTION("""COMPUTED_VALUE"""),"")</f>
        <v/>
      </c>
      <c r="I1141" s="4" t="str">
        <f ca="1">IFERROR(__xludf.DUMMYFUNCTION("""COMPUTED_VALUE"""),"")</f>
        <v/>
      </c>
      <c r="J1141" t="str">
        <f ca="1">IFERROR(__xludf.DUMMYFUNCTION("""COMPUTED_VALUE"""),"")</f>
        <v/>
      </c>
      <c r="K1141" t="str">
        <f ca="1">IFERROR(__xludf.DUMMYFUNCTION("""COMPUTED_VALUE"""),"")</f>
        <v/>
      </c>
      <c r="L1141" t="str">
        <f ca="1">IFERROR(__xludf.DUMMYFUNCTION("""COMPUTED_VALUE"""),"")</f>
        <v/>
      </c>
      <c r="M1141" t="str">
        <f ca="1">IFERROR(__xludf.DUMMYFUNCTION("""COMPUTED_VALUE"""),"")</f>
        <v/>
      </c>
      <c r="N1141" s="4" t="str">
        <f ca="1">IFERROR(__xludf.DUMMYFUNCTION("""COMPUTED_VALUE"""),"")</f>
        <v/>
      </c>
      <c r="O1141" s="4" t="str">
        <f ca="1">IFERROR(__xludf.DUMMYFUNCTION("""COMPUTED_VALUE"""),"")</f>
        <v/>
      </c>
      <c r="P1141" t="str">
        <f ca="1">IFERROR(__xludf.DUMMYFUNCTION("""COMPUTED_VALUE"""),"")</f>
        <v/>
      </c>
      <c r="Q1141" t="str">
        <f ca="1">IFERROR(__xludf.DUMMYFUNCTION("""COMPUTED_VALUE"""),"")</f>
        <v/>
      </c>
      <c r="R1141" s="2" t="s">
        <v>3555</v>
      </c>
    </row>
    <row r="1142" spans="1:18" ht="13" x14ac:dyDescent="0.15">
      <c r="A1142" s="3" t="str">
        <f ca="1">IFERROR(__xludf.DUMMYFUNCTION("""COMPUTED_VALUE"""),"")</f>
        <v/>
      </c>
      <c r="B1142" t="str">
        <f ca="1">IFERROR(__xludf.DUMMYFUNCTION("""COMPUTED_VALUE"""),"")</f>
        <v/>
      </c>
      <c r="C1142" t="str">
        <f ca="1">IFERROR(__xludf.DUMMYFUNCTION("""COMPUTED_VALUE"""),"")</f>
        <v/>
      </c>
      <c r="D1142" t="str">
        <f ca="1">IFERROR(__xludf.DUMMYFUNCTION("""COMPUTED_VALUE"""),"")</f>
        <v/>
      </c>
      <c r="E1142" t="str">
        <f ca="1">IFERROR(__xludf.DUMMYFUNCTION("""COMPUTED_VALUE"""),"")</f>
        <v/>
      </c>
      <c r="F1142" t="str">
        <f ca="1">IFERROR(__xludf.DUMMYFUNCTION("""COMPUTED_VALUE"""),"")</f>
        <v/>
      </c>
      <c r="G1142" t="str">
        <f ca="1">IFERROR(__xludf.DUMMYFUNCTION("""COMPUTED_VALUE"""),"")</f>
        <v/>
      </c>
      <c r="H1142" t="str">
        <f ca="1">IFERROR(__xludf.DUMMYFUNCTION("""COMPUTED_VALUE"""),"")</f>
        <v/>
      </c>
      <c r="I1142" s="4" t="str">
        <f ca="1">IFERROR(__xludf.DUMMYFUNCTION("""COMPUTED_VALUE"""),"")</f>
        <v/>
      </c>
      <c r="J1142" t="str">
        <f ca="1">IFERROR(__xludf.DUMMYFUNCTION("""COMPUTED_VALUE"""),"")</f>
        <v/>
      </c>
      <c r="K1142" t="str">
        <f ca="1">IFERROR(__xludf.DUMMYFUNCTION("""COMPUTED_VALUE"""),"")</f>
        <v/>
      </c>
      <c r="L1142" t="str">
        <f ca="1">IFERROR(__xludf.DUMMYFUNCTION("""COMPUTED_VALUE"""),"")</f>
        <v/>
      </c>
      <c r="M1142" t="str">
        <f ca="1">IFERROR(__xludf.DUMMYFUNCTION("""COMPUTED_VALUE"""),"")</f>
        <v/>
      </c>
      <c r="N1142" s="4" t="str">
        <f ca="1">IFERROR(__xludf.DUMMYFUNCTION("""COMPUTED_VALUE"""),"")</f>
        <v/>
      </c>
      <c r="O1142" s="4" t="str">
        <f ca="1">IFERROR(__xludf.DUMMYFUNCTION("""COMPUTED_VALUE"""),"")</f>
        <v/>
      </c>
      <c r="P1142" t="str">
        <f ca="1">IFERROR(__xludf.DUMMYFUNCTION("""COMPUTED_VALUE"""),"")</f>
        <v/>
      </c>
      <c r="Q1142" t="str">
        <f ca="1">IFERROR(__xludf.DUMMYFUNCTION("""COMPUTED_VALUE"""),"")</f>
        <v/>
      </c>
      <c r="R1142" s="2" t="s">
        <v>3556</v>
      </c>
    </row>
    <row r="1143" spans="1:18" ht="13" x14ac:dyDescent="0.15">
      <c r="A1143" s="3" t="str">
        <f ca="1">IFERROR(__xludf.DUMMYFUNCTION("""COMPUTED_VALUE"""),"")</f>
        <v/>
      </c>
      <c r="B1143" t="str">
        <f ca="1">IFERROR(__xludf.DUMMYFUNCTION("""COMPUTED_VALUE"""),"")</f>
        <v/>
      </c>
      <c r="C1143" t="str">
        <f ca="1">IFERROR(__xludf.DUMMYFUNCTION("""COMPUTED_VALUE"""),"")</f>
        <v/>
      </c>
      <c r="D1143" t="str">
        <f ca="1">IFERROR(__xludf.DUMMYFUNCTION("""COMPUTED_VALUE"""),"")</f>
        <v/>
      </c>
      <c r="E1143" t="str">
        <f ca="1">IFERROR(__xludf.DUMMYFUNCTION("""COMPUTED_VALUE"""),"")</f>
        <v/>
      </c>
      <c r="F1143" t="str">
        <f ca="1">IFERROR(__xludf.DUMMYFUNCTION("""COMPUTED_VALUE"""),"")</f>
        <v/>
      </c>
      <c r="G1143" t="str">
        <f ca="1">IFERROR(__xludf.DUMMYFUNCTION("""COMPUTED_VALUE"""),"")</f>
        <v/>
      </c>
      <c r="H1143" t="str">
        <f ca="1">IFERROR(__xludf.DUMMYFUNCTION("""COMPUTED_VALUE"""),"")</f>
        <v/>
      </c>
      <c r="I1143" s="4" t="str">
        <f ca="1">IFERROR(__xludf.DUMMYFUNCTION("""COMPUTED_VALUE"""),"")</f>
        <v/>
      </c>
      <c r="J1143" t="str">
        <f ca="1">IFERROR(__xludf.DUMMYFUNCTION("""COMPUTED_VALUE"""),"")</f>
        <v/>
      </c>
      <c r="K1143" t="str">
        <f ca="1">IFERROR(__xludf.DUMMYFUNCTION("""COMPUTED_VALUE"""),"")</f>
        <v/>
      </c>
      <c r="L1143" t="str">
        <f ca="1">IFERROR(__xludf.DUMMYFUNCTION("""COMPUTED_VALUE"""),"")</f>
        <v/>
      </c>
      <c r="M1143" t="str">
        <f ca="1">IFERROR(__xludf.DUMMYFUNCTION("""COMPUTED_VALUE"""),"")</f>
        <v/>
      </c>
      <c r="N1143" s="4" t="str">
        <f ca="1">IFERROR(__xludf.DUMMYFUNCTION("""COMPUTED_VALUE"""),"")</f>
        <v/>
      </c>
      <c r="O1143" s="4" t="str">
        <f ca="1">IFERROR(__xludf.DUMMYFUNCTION("""COMPUTED_VALUE"""),"")</f>
        <v/>
      </c>
      <c r="P1143" t="str">
        <f ca="1">IFERROR(__xludf.DUMMYFUNCTION("""COMPUTED_VALUE"""),"")</f>
        <v/>
      </c>
      <c r="Q1143" t="str">
        <f ca="1">IFERROR(__xludf.DUMMYFUNCTION("""COMPUTED_VALUE"""),"")</f>
        <v/>
      </c>
      <c r="R1143" s="2" t="s">
        <v>3557</v>
      </c>
    </row>
    <row r="1144" spans="1:18" ht="13" x14ac:dyDescent="0.15">
      <c r="A1144" s="3" t="str">
        <f ca="1">IFERROR(__xludf.DUMMYFUNCTION("""COMPUTED_VALUE"""),"")</f>
        <v/>
      </c>
      <c r="B1144" t="str">
        <f ca="1">IFERROR(__xludf.DUMMYFUNCTION("""COMPUTED_VALUE"""),"")</f>
        <v/>
      </c>
      <c r="C1144" t="str">
        <f ca="1">IFERROR(__xludf.DUMMYFUNCTION("""COMPUTED_VALUE"""),"")</f>
        <v/>
      </c>
      <c r="D1144" t="str">
        <f ca="1">IFERROR(__xludf.DUMMYFUNCTION("""COMPUTED_VALUE"""),"")</f>
        <v/>
      </c>
      <c r="E1144" t="str">
        <f ca="1">IFERROR(__xludf.DUMMYFUNCTION("""COMPUTED_VALUE"""),"")</f>
        <v/>
      </c>
      <c r="F1144" t="str">
        <f ca="1">IFERROR(__xludf.DUMMYFUNCTION("""COMPUTED_VALUE"""),"")</f>
        <v/>
      </c>
      <c r="G1144" t="str">
        <f ca="1">IFERROR(__xludf.DUMMYFUNCTION("""COMPUTED_VALUE"""),"")</f>
        <v/>
      </c>
      <c r="H1144" t="str">
        <f ca="1">IFERROR(__xludf.DUMMYFUNCTION("""COMPUTED_VALUE"""),"")</f>
        <v/>
      </c>
      <c r="I1144" s="4" t="str">
        <f ca="1">IFERROR(__xludf.DUMMYFUNCTION("""COMPUTED_VALUE"""),"")</f>
        <v/>
      </c>
      <c r="J1144" t="str">
        <f ca="1">IFERROR(__xludf.DUMMYFUNCTION("""COMPUTED_VALUE"""),"")</f>
        <v/>
      </c>
      <c r="K1144" t="str">
        <f ca="1">IFERROR(__xludf.DUMMYFUNCTION("""COMPUTED_VALUE"""),"")</f>
        <v/>
      </c>
      <c r="L1144" t="str">
        <f ca="1">IFERROR(__xludf.DUMMYFUNCTION("""COMPUTED_VALUE"""),"")</f>
        <v/>
      </c>
      <c r="M1144" t="str">
        <f ca="1">IFERROR(__xludf.DUMMYFUNCTION("""COMPUTED_VALUE"""),"")</f>
        <v/>
      </c>
      <c r="N1144" s="4" t="str">
        <f ca="1">IFERROR(__xludf.DUMMYFUNCTION("""COMPUTED_VALUE"""),"")</f>
        <v/>
      </c>
      <c r="O1144" s="4" t="str">
        <f ca="1">IFERROR(__xludf.DUMMYFUNCTION("""COMPUTED_VALUE"""),"")</f>
        <v/>
      </c>
      <c r="P1144" t="str">
        <f ca="1">IFERROR(__xludf.DUMMYFUNCTION("""COMPUTED_VALUE"""),"")</f>
        <v/>
      </c>
      <c r="Q1144" t="str">
        <f ca="1">IFERROR(__xludf.DUMMYFUNCTION("""COMPUTED_VALUE"""),"")</f>
        <v/>
      </c>
      <c r="R1144" s="2" t="s">
        <v>3558</v>
      </c>
    </row>
    <row r="1145" spans="1:18" ht="13" x14ac:dyDescent="0.15">
      <c r="A1145" s="3" t="str">
        <f ca="1">IFERROR(__xludf.DUMMYFUNCTION("""COMPUTED_VALUE"""),"")</f>
        <v/>
      </c>
      <c r="B1145" t="str">
        <f ca="1">IFERROR(__xludf.DUMMYFUNCTION("""COMPUTED_VALUE"""),"")</f>
        <v/>
      </c>
      <c r="C1145" t="str">
        <f ca="1">IFERROR(__xludf.DUMMYFUNCTION("""COMPUTED_VALUE"""),"")</f>
        <v/>
      </c>
      <c r="D1145" t="str">
        <f ca="1">IFERROR(__xludf.DUMMYFUNCTION("""COMPUTED_VALUE"""),"")</f>
        <v/>
      </c>
      <c r="E1145" t="str">
        <f ca="1">IFERROR(__xludf.DUMMYFUNCTION("""COMPUTED_VALUE"""),"")</f>
        <v/>
      </c>
      <c r="F1145" t="str">
        <f ca="1">IFERROR(__xludf.DUMMYFUNCTION("""COMPUTED_VALUE"""),"")</f>
        <v/>
      </c>
      <c r="G1145" t="str">
        <f ca="1">IFERROR(__xludf.DUMMYFUNCTION("""COMPUTED_VALUE"""),"")</f>
        <v/>
      </c>
      <c r="H1145" t="str">
        <f ca="1">IFERROR(__xludf.DUMMYFUNCTION("""COMPUTED_VALUE"""),"")</f>
        <v/>
      </c>
      <c r="I1145" s="4" t="str">
        <f ca="1">IFERROR(__xludf.DUMMYFUNCTION("""COMPUTED_VALUE"""),"")</f>
        <v/>
      </c>
      <c r="J1145" t="str">
        <f ca="1">IFERROR(__xludf.DUMMYFUNCTION("""COMPUTED_VALUE"""),"")</f>
        <v/>
      </c>
      <c r="K1145" t="str">
        <f ca="1">IFERROR(__xludf.DUMMYFUNCTION("""COMPUTED_VALUE"""),"")</f>
        <v/>
      </c>
      <c r="L1145" t="str">
        <f ca="1">IFERROR(__xludf.DUMMYFUNCTION("""COMPUTED_VALUE"""),"")</f>
        <v/>
      </c>
      <c r="M1145" t="str">
        <f ca="1">IFERROR(__xludf.DUMMYFUNCTION("""COMPUTED_VALUE"""),"")</f>
        <v/>
      </c>
      <c r="N1145" s="4" t="str">
        <f ca="1">IFERROR(__xludf.DUMMYFUNCTION("""COMPUTED_VALUE"""),"")</f>
        <v/>
      </c>
      <c r="O1145" s="4" t="str">
        <f ca="1">IFERROR(__xludf.DUMMYFUNCTION("""COMPUTED_VALUE"""),"")</f>
        <v/>
      </c>
      <c r="P1145" t="str">
        <f ca="1">IFERROR(__xludf.DUMMYFUNCTION("""COMPUTED_VALUE"""),"")</f>
        <v/>
      </c>
      <c r="Q1145" t="str">
        <f ca="1">IFERROR(__xludf.DUMMYFUNCTION("""COMPUTED_VALUE"""),"")</f>
        <v/>
      </c>
      <c r="R1145" s="2" t="s">
        <v>3559</v>
      </c>
    </row>
    <row r="1146" spans="1:18" ht="13" x14ac:dyDescent="0.15">
      <c r="A1146" s="3" t="str">
        <f ca="1">IFERROR(__xludf.DUMMYFUNCTION("""COMPUTED_VALUE"""),"")</f>
        <v/>
      </c>
      <c r="B1146" t="str">
        <f ca="1">IFERROR(__xludf.DUMMYFUNCTION("""COMPUTED_VALUE"""),"")</f>
        <v/>
      </c>
      <c r="C1146" t="str">
        <f ca="1">IFERROR(__xludf.DUMMYFUNCTION("""COMPUTED_VALUE"""),"")</f>
        <v/>
      </c>
      <c r="D1146" t="str">
        <f ca="1">IFERROR(__xludf.DUMMYFUNCTION("""COMPUTED_VALUE"""),"")</f>
        <v/>
      </c>
      <c r="E1146" t="str">
        <f ca="1">IFERROR(__xludf.DUMMYFUNCTION("""COMPUTED_VALUE"""),"")</f>
        <v/>
      </c>
      <c r="F1146" t="str">
        <f ca="1">IFERROR(__xludf.DUMMYFUNCTION("""COMPUTED_VALUE"""),"")</f>
        <v/>
      </c>
      <c r="G1146" t="str">
        <f ca="1">IFERROR(__xludf.DUMMYFUNCTION("""COMPUTED_VALUE"""),"")</f>
        <v/>
      </c>
      <c r="H1146" t="str">
        <f ca="1">IFERROR(__xludf.DUMMYFUNCTION("""COMPUTED_VALUE"""),"")</f>
        <v/>
      </c>
      <c r="I1146" s="4" t="str">
        <f ca="1">IFERROR(__xludf.DUMMYFUNCTION("""COMPUTED_VALUE"""),"")</f>
        <v/>
      </c>
      <c r="J1146" t="str">
        <f ca="1">IFERROR(__xludf.DUMMYFUNCTION("""COMPUTED_VALUE"""),"")</f>
        <v/>
      </c>
      <c r="K1146" t="str">
        <f ca="1">IFERROR(__xludf.DUMMYFUNCTION("""COMPUTED_VALUE"""),"")</f>
        <v/>
      </c>
      <c r="L1146" t="str">
        <f ca="1">IFERROR(__xludf.DUMMYFUNCTION("""COMPUTED_VALUE"""),"")</f>
        <v/>
      </c>
      <c r="M1146" t="str">
        <f ca="1">IFERROR(__xludf.DUMMYFUNCTION("""COMPUTED_VALUE"""),"")</f>
        <v/>
      </c>
      <c r="N1146" s="4" t="str">
        <f ca="1">IFERROR(__xludf.DUMMYFUNCTION("""COMPUTED_VALUE"""),"")</f>
        <v/>
      </c>
      <c r="O1146" s="4" t="str">
        <f ca="1">IFERROR(__xludf.DUMMYFUNCTION("""COMPUTED_VALUE"""),"")</f>
        <v/>
      </c>
      <c r="P1146" t="str">
        <f ca="1">IFERROR(__xludf.DUMMYFUNCTION("""COMPUTED_VALUE"""),"")</f>
        <v/>
      </c>
      <c r="Q1146" t="str">
        <f ca="1">IFERROR(__xludf.DUMMYFUNCTION("""COMPUTED_VALUE"""),"")</f>
        <v/>
      </c>
      <c r="R1146" s="2" t="s">
        <v>3560</v>
      </c>
    </row>
    <row r="1147" spans="1:18" ht="13" x14ac:dyDescent="0.15">
      <c r="A1147" s="3" t="str">
        <f ca="1">IFERROR(__xludf.DUMMYFUNCTION("""COMPUTED_VALUE"""),"")</f>
        <v/>
      </c>
      <c r="B1147" t="str">
        <f ca="1">IFERROR(__xludf.DUMMYFUNCTION("""COMPUTED_VALUE"""),"")</f>
        <v/>
      </c>
      <c r="C1147" t="str">
        <f ca="1">IFERROR(__xludf.DUMMYFUNCTION("""COMPUTED_VALUE"""),"")</f>
        <v/>
      </c>
      <c r="D1147" t="str">
        <f ca="1">IFERROR(__xludf.DUMMYFUNCTION("""COMPUTED_VALUE"""),"")</f>
        <v/>
      </c>
      <c r="E1147" t="str">
        <f ca="1">IFERROR(__xludf.DUMMYFUNCTION("""COMPUTED_VALUE"""),"")</f>
        <v/>
      </c>
      <c r="F1147" t="str">
        <f ca="1">IFERROR(__xludf.DUMMYFUNCTION("""COMPUTED_VALUE"""),"")</f>
        <v/>
      </c>
      <c r="G1147" t="str">
        <f ca="1">IFERROR(__xludf.DUMMYFUNCTION("""COMPUTED_VALUE"""),"")</f>
        <v/>
      </c>
      <c r="H1147" t="str">
        <f ca="1">IFERROR(__xludf.DUMMYFUNCTION("""COMPUTED_VALUE"""),"")</f>
        <v/>
      </c>
      <c r="I1147" s="4" t="str">
        <f ca="1">IFERROR(__xludf.DUMMYFUNCTION("""COMPUTED_VALUE"""),"")</f>
        <v/>
      </c>
      <c r="J1147" t="str">
        <f ca="1">IFERROR(__xludf.DUMMYFUNCTION("""COMPUTED_VALUE"""),"")</f>
        <v/>
      </c>
      <c r="K1147" t="str">
        <f ca="1">IFERROR(__xludf.DUMMYFUNCTION("""COMPUTED_VALUE"""),"")</f>
        <v/>
      </c>
      <c r="L1147" t="str">
        <f ca="1">IFERROR(__xludf.DUMMYFUNCTION("""COMPUTED_VALUE"""),"")</f>
        <v/>
      </c>
      <c r="M1147" t="str">
        <f ca="1">IFERROR(__xludf.DUMMYFUNCTION("""COMPUTED_VALUE"""),"")</f>
        <v/>
      </c>
      <c r="N1147" s="4" t="str">
        <f ca="1">IFERROR(__xludf.DUMMYFUNCTION("""COMPUTED_VALUE"""),"")</f>
        <v/>
      </c>
      <c r="O1147" s="4" t="str">
        <f ca="1">IFERROR(__xludf.DUMMYFUNCTION("""COMPUTED_VALUE"""),"")</f>
        <v/>
      </c>
      <c r="P1147" t="str">
        <f ca="1">IFERROR(__xludf.DUMMYFUNCTION("""COMPUTED_VALUE"""),"")</f>
        <v/>
      </c>
      <c r="Q1147" t="str">
        <f ca="1">IFERROR(__xludf.DUMMYFUNCTION("""COMPUTED_VALUE"""),"")</f>
        <v/>
      </c>
      <c r="R1147" s="2" t="s">
        <v>3561</v>
      </c>
    </row>
    <row r="1148" spans="1:18" ht="13" x14ac:dyDescent="0.15">
      <c r="A1148" s="3" t="str">
        <f ca="1">IFERROR(__xludf.DUMMYFUNCTION("""COMPUTED_VALUE"""),"")</f>
        <v/>
      </c>
      <c r="B1148" t="str">
        <f ca="1">IFERROR(__xludf.DUMMYFUNCTION("""COMPUTED_VALUE"""),"")</f>
        <v/>
      </c>
      <c r="C1148" t="str">
        <f ca="1">IFERROR(__xludf.DUMMYFUNCTION("""COMPUTED_VALUE"""),"")</f>
        <v/>
      </c>
      <c r="D1148" t="str">
        <f ca="1">IFERROR(__xludf.DUMMYFUNCTION("""COMPUTED_VALUE"""),"")</f>
        <v/>
      </c>
      <c r="E1148" t="str">
        <f ca="1">IFERROR(__xludf.DUMMYFUNCTION("""COMPUTED_VALUE"""),"")</f>
        <v/>
      </c>
      <c r="F1148" t="str">
        <f ca="1">IFERROR(__xludf.DUMMYFUNCTION("""COMPUTED_VALUE"""),"")</f>
        <v/>
      </c>
      <c r="G1148" t="str">
        <f ca="1">IFERROR(__xludf.DUMMYFUNCTION("""COMPUTED_VALUE"""),"")</f>
        <v/>
      </c>
      <c r="H1148" t="str">
        <f ca="1">IFERROR(__xludf.DUMMYFUNCTION("""COMPUTED_VALUE"""),"")</f>
        <v/>
      </c>
      <c r="I1148" s="4" t="str">
        <f ca="1">IFERROR(__xludf.DUMMYFUNCTION("""COMPUTED_VALUE"""),"")</f>
        <v/>
      </c>
      <c r="J1148" t="str">
        <f ca="1">IFERROR(__xludf.DUMMYFUNCTION("""COMPUTED_VALUE"""),"")</f>
        <v/>
      </c>
      <c r="K1148" t="str">
        <f ca="1">IFERROR(__xludf.DUMMYFUNCTION("""COMPUTED_VALUE"""),"")</f>
        <v/>
      </c>
      <c r="L1148" t="str">
        <f ca="1">IFERROR(__xludf.DUMMYFUNCTION("""COMPUTED_VALUE"""),"")</f>
        <v/>
      </c>
      <c r="M1148" t="str">
        <f ca="1">IFERROR(__xludf.DUMMYFUNCTION("""COMPUTED_VALUE"""),"")</f>
        <v/>
      </c>
      <c r="N1148" s="4" t="str">
        <f ca="1">IFERROR(__xludf.DUMMYFUNCTION("""COMPUTED_VALUE"""),"")</f>
        <v/>
      </c>
      <c r="O1148" s="4" t="str">
        <f ca="1">IFERROR(__xludf.DUMMYFUNCTION("""COMPUTED_VALUE"""),"")</f>
        <v/>
      </c>
      <c r="P1148" t="str">
        <f ca="1">IFERROR(__xludf.DUMMYFUNCTION("""COMPUTED_VALUE"""),"")</f>
        <v/>
      </c>
      <c r="Q1148" t="str">
        <f ca="1">IFERROR(__xludf.DUMMYFUNCTION("""COMPUTED_VALUE"""),"")</f>
        <v/>
      </c>
      <c r="R1148" s="2" t="s">
        <v>3562</v>
      </c>
    </row>
    <row r="1149" spans="1:18" ht="13" x14ac:dyDescent="0.15">
      <c r="A1149" s="3" t="str">
        <f ca="1">IFERROR(__xludf.DUMMYFUNCTION("""COMPUTED_VALUE"""),"")</f>
        <v/>
      </c>
      <c r="B1149" t="str">
        <f ca="1">IFERROR(__xludf.DUMMYFUNCTION("""COMPUTED_VALUE"""),"")</f>
        <v/>
      </c>
      <c r="C1149" t="str">
        <f ca="1">IFERROR(__xludf.DUMMYFUNCTION("""COMPUTED_VALUE"""),"")</f>
        <v/>
      </c>
      <c r="D1149" t="str">
        <f ca="1">IFERROR(__xludf.DUMMYFUNCTION("""COMPUTED_VALUE"""),"")</f>
        <v/>
      </c>
      <c r="E1149" t="str">
        <f ca="1">IFERROR(__xludf.DUMMYFUNCTION("""COMPUTED_VALUE"""),"")</f>
        <v/>
      </c>
      <c r="F1149" t="str">
        <f ca="1">IFERROR(__xludf.DUMMYFUNCTION("""COMPUTED_VALUE"""),"")</f>
        <v/>
      </c>
      <c r="G1149" t="str">
        <f ca="1">IFERROR(__xludf.DUMMYFUNCTION("""COMPUTED_VALUE"""),"")</f>
        <v/>
      </c>
      <c r="H1149" t="str">
        <f ca="1">IFERROR(__xludf.DUMMYFUNCTION("""COMPUTED_VALUE"""),"")</f>
        <v/>
      </c>
      <c r="I1149" s="4" t="str">
        <f ca="1">IFERROR(__xludf.DUMMYFUNCTION("""COMPUTED_VALUE"""),"")</f>
        <v/>
      </c>
      <c r="J1149" t="str">
        <f ca="1">IFERROR(__xludf.DUMMYFUNCTION("""COMPUTED_VALUE"""),"")</f>
        <v/>
      </c>
      <c r="K1149" t="str">
        <f ca="1">IFERROR(__xludf.DUMMYFUNCTION("""COMPUTED_VALUE"""),"")</f>
        <v/>
      </c>
      <c r="L1149" t="str">
        <f ca="1">IFERROR(__xludf.DUMMYFUNCTION("""COMPUTED_VALUE"""),"")</f>
        <v/>
      </c>
      <c r="M1149" t="str">
        <f ca="1">IFERROR(__xludf.DUMMYFUNCTION("""COMPUTED_VALUE"""),"")</f>
        <v/>
      </c>
      <c r="N1149" s="4" t="str">
        <f ca="1">IFERROR(__xludf.DUMMYFUNCTION("""COMPUTED_VALUE"""),"")</f>
        <v/>
      </c>
      <c r="O1149" s="4" t="str">
        <f ca="1">IFERROR(__xludf.DUMMYFUNCTION("""COMPUTED_VALUE"""),"")</f>
        <v/>
      </c>
      <c r="P1149" t="str">
        <f ca="1">IFERROR(__xludf.DUMMYFUNCTION("""COMPUTED_VALUE"""),"")</f>
        <v/>
      </c>
      <c r="Q1149" t="str">
        <f ca="1">IFERROR(__xludf.DUMMYFUNCTION("""COMPUTED_VALUE"""),"")</f>
        <v/>
      </c>
      <c r="R1149" s="2" t="s">
        <v>3563</v>
      </c>
    </row>
    <row r="1150" spans="1:18" ht="13" x14ac:dyDescent="0.15">
      <c r="A1150" s="3" t="str">
        <f ca="1">IFERROR(__xludf.DUMMYFUNCTION("""COMPUTED_VALUE"""),"")</f>
        <v/>
      </c>
      <c r="B1150" t="str">
        <f ca="1">IFERROR(__xludf.DUMMYFUNCTION("""COMPUTED_VALUE"""),"")</f>
        <v/>
      </c>
      <c r="C1150" t="str">
        <f ca="1">IFERROR(__xludf.DUMMYFUNCTION("""COMPUTED_VALUE"""),"")</f>
        <v/>
      </c>
      <c r="D1150" t="str">
        <f ca="1">IFERROR(__xludf.DUMMYFUNCTION("""COMPUTED_VALUE"""),"")</f>
        <v/>
      </c>
      <c r="E1150" t="str">
        <f ca="1">IFERROR(__xludf.DUMMYFUNCTION("""COMPUTED_VALUE"""),"")</f>
        <v/>
      </c>
      <c r="F1150" t="str">
        <f ca="1">IFERROR(__xludf.DUMMYFUNCTION("""COMPUTED_VALUE"""),"")</f>
        <v/>
      </c>
      <c r="G1150" t="str">
        <f ca="1">IFERROR(__xludf.DUMMYFUNCTION("""COMPUTED_VALUE"""),"")</f>
        <v/>
      </c>
      <c r="H1150" t="str">
        <f ca="1">IFERROR(__xludf.DUMMYFUNCTION("""COMPUTED_VALUE"""),"")</f>
        <v/>
      </c>
      <c r="I1150" s="4" t="str">
        <f ca="1">IFERROR(__xludf.DUMMYFUNCTION("""COMPUTED_VALUE"""),"")</f>
        <v/>
      </c>
      <c r="J1150" t="str">
        <f ca="1">IFERROR(__xludf.DUMMYFUNCTION("""COMPUTED_VALUE"""),"")</f>
        <v/>
      </c>
      <c r="K1150" t="str">
        <f ca="1">IFERROR(__xludf.DUMMYFUNCTION("""COMPUTED_VALUE"""),"")</f>
        <v/>
      </c>
      <c r="L1150" t="str">
        <f ca="1">IFERROR(__xludf.DUMMYFUNCTION("""COMPUTED_VALUE"""),"")</f>
        <v/>
      </c>
      <c r="M1150" t="str">
        <f ca="1">IFERROR(__xludf.DUMMYFUNCTION("""COMPUTED_VALUE"""),"")</f>
        <v/>
      </c>
      <c r="N1150" s="4" t="str">
        <f ca="1">IFERROR(__xludf.DUMMYFUNCTION("""COMPUTED_VALUE"""),"")</f>
        <v/>
      </c>
      <c r="O1150" s="4" t="str">
        <f ca="1">IFERROR(__xludf.DUMMYFUNCTION("""COMPUTED_VALUE"""),"")</f>
        <v/>
      </c>
      <c r="P1150" t="str">
        <f ca="1">IFERROR(__xludf.DUMMYFUNCTION("""COMPUTED_VALUE"""),"")</f>
        <v/>
      </c>
      <c r="Q1150" t="str">
        <f ca="1">IFERROR(__xludf.DUMMYFUNCTION("""COMPUTED_VALUE"""),"")</f>
        <v/>
      </c>
      <c r="R1150" s="2" t="s">
        <v>3564</v>
      </c>
    </row>
    <row r="1151" spans="1:18" ht="13" x14ac:dyDescent="0.15">
      <c r="A1151" s="3" t="str">
        <f ca="1">IFERROR(__xludf.DUMMYFUNCTION("""COMPUTED_VALUE"""),"")</f>
        <v/>
      </c>
      <c r="B1151" t="str">
        <f ca="1">IFERROR(__xludf.DUMMYFUNCTION("""COMPUTED_VALUE"""),"")</f>
        <v/>
      </c>
      <c r="C1151" t="str">
        <f ca="1">IFERROR(__xludf.DUMMYFUNCTION("""COMPUTED_VALUE"""),"")</f>
        <v/>
      </c>
      <c r="D1151" t="str">
        <f ca="1">IFERROR(__xludf.DUMMYFUNCTION("""COMPUTED_VALUE"""),"")</f>
        <v/>
      </c>
      <c r="E1151" t="str">
        <f ca="1">IFERROR(__xludf.DUMMYFUNCTION("""COMPUTED_VALUE"""),"")</f>
        <v/>
      </c>
      <c r="F1151" t="str">
        <f ca="1">IFERROR(__xludf.DUMMYFUNCTION("""COMPUTED_VALUE"""),"")</f>
        <v/>
      </c>
      <c r="G1151" t="str">
        <f ca="1">IFERROR(__xludf.DUMMYFUNCTION("""COMPUTED_VALUE"""),"")</f>
        <v/>
      </c>
      <c r="H1151" t="str">
        <f ca="1">IFERROR(__xludf.DUMMYFUNCTION("""COMPUTED_VALUE"""),"")</f>
        <v/>
      </c>
      <c r="I1151" s="4" t="str">
        <f ca="1">IFERROR(__xludf.DUMMYFUNCTION("""COMPUTED_VALUE"""),"")</f>
        <v/>
      </c>
      <c r="J1151" t="str">
        <f ca="1">IFERROR(__xludf.DUMMYFUNCTION("""COMPUTED_VALUE"""),"")</f>
        <v/>
      </c>
      <c r="K1151" t="str">
        <f ca="1">IFERROR(__xludf.DUMMYFUNCTION("""COMPUTED_VALUE"""),"")</f>
        <v/>
      </c>
      <c r="L1151" t="str">
        <f ca="1">IFERROR(__xludf.DUMMYFUNCTION("""COMPUTED_VALUE"""),"")</f>
        <v/>
      </c>
      <c r="M1151" t="str">
        <f ca="1">IFERROR(__xludf.DUMMYFUNCTION("""COMPUTED_VALUE"""),"")</f>
        <v/>
      </c>
      <c r="N1151" s="4" t="str">
        <f ca="1">IFERROR(__xludf.DUMMYFUNCTION("""COMPUTED_VALUE"""),"")</f>
        <v/>
      </c>
      <c r="O1151" s="4" t="str">
        <f ca="1">IFERROR(__xludf.DUMMYFUNCTION("""COMPUTED_VALUE"""),"")</f>
        <v/>
      </c>
      <c r="P1151" t="str">
        <f ca="1">IFERROR(__xludf.DUMMYFUNCTION("""COMPUTED_VALUE"""),"")</f>
        <v/>
      </c>
      <c r="Q1151" t="str">
        <f ca="1">IFERROR(__xludf.DUMMYFUNCTION("""COMPUTED_VALUE"""),"")</f>
        <v/>
      </c>
      <c r="R1151" s="2" t="s">
        <v>3565</v>
      </c>
    </row>
    <row r="1152" spans="1:18" ht="13" x14ac:dyDescent="0.15">
      <c r="A1152" s="3" t="str">
        <f ca="1">IFERROR(__xludf.DUMMYFUNCTION("""COMPUTED_VALUE"""),"")</f>
        <v/>
      </c>
      <c r="B1152" t="str">
        <f ca="1">IFERROR(__xludf.DUMMYFUNCTION("""COMPUTED_VALUE"""),"")</f>
        <v/>
      </c>
      <c r="C1152" t="str">
        <f ca="1">IFERROR(__xludf.DUMMYFUNCTION("""COMPUTED_VALUE"""),"")</f>
        <v/>
      </c>
      <c r="D1152" t="str">
        <f ca="1">IFERROR(__xludf.DUMMYFUNCTION("""COMPUTED_VALUE"""),"")</f>
        <v/>
      </c>
      <c r="E1152" t="str">
        <f ca="1">IFERROR(__xludf.DUMMYFUNCTION("""COMPUTED_VALUE"""),"")</f>
        <v/>
      </c>
      <c r="F1152" t="str">
        <f ca="1">IFERROR(__xludf.DUMMYFUNCTION("""COMPUTED_VALUE"""),"")</f>
        <v/>
      </c>
      <c r="G1152" t="str">
        <f ca="1">IFERROR(__xludf.DUMMYFUNCTION("""COMPUTED_VALUE"""),"")</f>
        <v/>
      </c>
      <c r="H1152" t="str">
        <f ca="1">IFERROR(__xludf.DUMMYFUNCTION("""COMPUTED_VALUE"""),"")</f>
        <v/>
      </c>
      <c r="I1152" s="4" t="str">
        <f ca="1">IFERROR(__xludf.DUMMYFUNCTION("""COMPUTED_VALUE"""),"")</f>
        <v/>
      </c>
      <c r="J1152" t="str">
        <f ca="1">IFERROR(__xludf.DUMMYFUNCTION("""COMPUTED_VALUE"""),"")</f>
        <v/>
      </c>
      <c r="K1152" t="str">
        <f ca="1">IFERROR(__xludf.DUMMYFUNCTION("""COMPUTED_VALUE"""),"")</f>
        <v/>
      </c>
      <c r="L1152" t="str">
        <f ca="1">IFERROR(__xludf.DUMMYFUNCTION("""COMPUTED_VALUE"""),"")</f>
        <v/>
      </c>
      <c r="M1152" t="str">
        <f ca="1">IFERROR(__xludf.DUMMYFUNCTION("""COMPUTED_VALUE"""),"")</f>
        <v/>
      </c>
      <c r="N1152" s="4" t="str">
        <f ca="1">IFERROR(__xludf.DUMMYFUNCTION("""COMPUTED_VALUE"""),"")</f>
        <v/>
      </c>
      <c r="O1152" s="4" t="str">
        <f ca="1">IFERROR(__xludf.DUMMYFUNCTION("""COMPUTED_VALUE"""),"")</f>
        <v/>
      </c>
      <c r="P1152" t="str">
        <f ca="1">IFERROR(__xludf.DUMMYFUNCTION("""COMPUTED_VALUE"""),"")</f>
        <v/>
      </c>
      <c r="Q1152" t="str">
        <f ca="1">IFERROR(__xludf.DUMMYFUNCTION("""COMPUTED_VALUE"""),"")</f>
        <v/>
      </c>
      <c r="R1152" s="2" t="s">
        <v>3566</v>
      </c>
    </row>
    <row r="1153" spans="1:18" ht="13" x14ac:dyDescent="0.15">
      <c r="A1153" s="3" t="str">
        <f ca="1">IFERROR(__xludf.DUMMYFUNCTION("""COMPUTED_VALUE"""),"")</f>
        <v/>
      </c>
      <c r="B1153" t="str">
        <f ca="1">IFERROR(__xludf.DUMMYFUNCTION("""COMPUTED_VALUE"""),"")</f>
        <v/>
      </c>
      <c r="C1153" t="str">
        <f ca="1">IFERROR(__xludf.DUMMYFUNCTION("""COMPUTED_VALUE"""),"")</f>
        <v/>
      </c>
      <c r="D1153" t="str">
        <f ca="1">IFERROR(__xludf.DUMMYFUNCTION("""COMPUTED_VALUE"""),"")</f>
        <v/>
      </c>
      <c r="E1153" t="str">
        <f ca="1">IFERROR(__xludf.DUMMYFUNCTION("""COMPUTED_VALUE"""),"")</f>
        <v/>
      </c>
      <c r="F1153" t="str">
        <f ca="1">IFERROR(__xludf.DUMMYFUNCTION("""COMPUTED_VALUE"""),"")</f>
        <v/>
      </c>
      <c r="G1153" t="str">
        <f ca="1">IFERROR(__xludf.DUMMYFUNCTION("""COMPUTED_VALUE"""),"")</f>
        <v/>
      </c>
      <c r="H1153" t="str">
        <f ca="1">IFERROR(__xludf.DUMMYFUNCTION("""COMPUTED_VALUE"""),"")</f>
        <v/>
      </c>
      <c r="I1153" s="4" t="str">
        <f ca="1">IFERROR(__xludf.DUMMYFUNCTION("""COMPUTED_VALUE"""),"")</f>
        <v/>
      </c>
      <c r="J1153" t="str">
        <f ca="1">IFERROR(__xludf.DUMMYFUNCTION("""COMPUTED_VALUE"""),"")</f>
        <v/>
      </c>
      <c r="K1153" t="str">
        <f ca="1">IFERROR(__xludf.DUMMYFUNCTION("""COMPUTED_VALUE"""),"")</f>
        <v/>
      </c>
      <c r="L1153" t="str">
        <f ca="1">IFERROR(__xludf.DUMMYFUNCTION("""COMPUTED_VALUE"""),"")</f>
        <v/>
      </c>
      <c r="M1153" t="str">
        <f ca="1">IFERROR(__xludf.DUMMYFUNCTION("""COMPUTED_VALUE"""),"")</f>
        <v/>
      </c>
      <c r="N1153" s="4" t="str">
        <f ca="1">IFERROR(__xludf.DUMMYFUNCTION("""COMPUTED_VALUE"""),"")</f>
        <v/>
      </c>
      <c r="O1153" s="4" t="str">
        <f ca="1">IFERROR(__xludf.DUMMYFUNCTION("""COMPUTED_VALUE"""),"")</f>
        <v/>
      </c>
      <c r="P1153" t="str">
        <f ca="1">IFERROR(__xludf.DUMMYFUNCTION("""COMPUTED_VALUE"""),"")</f>
        <v/>
      </c>
      <c r="Q1153" t="str">
        <f ca="1">IFERROR(__xludf.DUMMYFUNCTION("""COMPUTED_VALUE"""),"")</f>
        <v/>
      </c>
      <c r="R1153" s="2" t="s">
        <v>3567</v>
      </c>
    </row>
    <row r="1154" spans="1:18" ht="13" x14ac:dyDescent="0.15">
      <c r="A1154" s="3" t="str">
        <f ca="1">IFERROR(__xludf.DUMMYFUNCTION("""COMPUTED_VALUE"""),"")</f>
        <v/>
      </c>
      <c r="B1154" t="str">
        <f ca="1">IFERROR(__xludf.DUMMYFUNCTION("""COMPUTED_VALUE"""),"")</f>
        <v/>
      </c>
      <c r="C1154" t="str">
        <f ca="1">IFERROR(__xludf.DUMMYFUNCTION("""COMPUTED_VALUE"""),"")</f>
        <v/>
      </c>
      <c r="D1154" t="str">
        <f ca="1">IFERROR(__xludf.DUMMYFUNCTION("""COMPUTED_VALUE"""),"")</f>
        <v/>
      </c>
      <c r="E1154" t="str">
        <f ca="1">IFERROR(__xludf.DUMMYFUNCTION("""COMPUTED_VALUE"""),"")</f>
        <v/>
      </c>
      <c r="F1154" t="str">
        <f ca="1">IFERROR(__xludf.DUMMYFUNCTION("""COMPUTED_VALUE"""),"")</f>
        <v/>
      </c>
      <c r="G1154" t="str">
        <f ca="1">IFERROR(__xludf.DUMMYFUNCTION("""COMPUTED_VALUE"""),"")</f>
        <v/>
      </c>
      <c r="H1154" t="str">
        <f ca="1">IFERROR(__xludf.DUMMYFUNCTION("""COMPUTED_VALUE"""),"")</f>
        <v/>
      </c>
      <c r="I1154" s="4" t="str">
        <f ca="1">IFERROR(__xludf.DUMMYFUNCTION("""COMPUTED_VALUE"""),"")</f>
        <v/>
      </c>
      <c r="J1154" t="str">
        <f ca="1">IFERROR(__xludf.DUMMYFUNCTION("""COMPUTED_VALUE"""),"")</f>
        <v/>
      </c>
      <c r="K1154" t="str">
        <f ca="1">IFERROR(__xludf.DUMMYFUNCTION("""COMPUTED_VALUE"""),"")</f>
        <v/>
      </c>
      <c r="L1154" t="str">
        <f ca="1">IFERROR(__xludf.DUMMYFUNCTION("""COMPUTED_VALUE"""),"")</f>
        <v/>
      </c>
      <c r="M1154" t="str">
        <f ca="1">IFERROR(__xludf.DUMMYFUNCTION("""COMPUTED_VALUE"""),"")</f>
        <v/>
      </c>
      <c r="N1154" s="4" t="str">
        <f ca="1">IFERROR(__xludf.DUMMYFUNCTION("""COMPUTED_VALUE"""),"")</f>
        <v/>
      </c>
      <c r="O1154" s="4" t="str">
        <f ca="1">IFERROR(__xludf.DUMMYFUNCTION("""COMPUTED_VALUE"""),"")</f>
        <v/>
      </c>
      <c r="P1154" t="str">
        <f ca="1">IFERROR(__xludf.DUMMYFUNCTION("""COMPUTED_VALUE"""),"")</f>
        <v/>
      </c>
      <c r="Q1154" t="str">
        <f ca="1">IFERROR(__xludf.DUMMYFUNCTION("""COMPUTED_VALUE"""),"")</f>
        <v/>
      </c>
      <c r="R1154" s="2" t="s">
        <v>3568</v>
      </c>
    </row>
    <row r="1155" spans="1:18" ht="13" x14ac:dyDescent="0.15">
      <c r="A1155" s="3" t="str">
        <f ca="1">IFERROR(__xludf.DUMMYFUNCTION("""COMPUTED_VALUE"""),"")</f>
        <v/>
      </c>
      <c r="B1155" t="str">
        <f ca="1">IFERROR(__xludf.DUMMYFUNCTION("""COMPUTED_VALUE"""),"")</f>
        <v/>
      </c>
      <c r="C1155" t="str">
        <f ca="1">IFERROR(__xludf.DUMMYFUNCTION("""COMPUTED_VALUE"""),"")</f>
        <v/>
      </c>
      <c r="D1155" t="str">
        <f ca="1">IFERROR(__xludf.DUMMYFUNCTION("""COMPUTED_VALUE"""),"")</f>
        <v/>
      </c>
      <c r="E1155" t="str">
        <f ca="1">IFERROR(__xludf.DUMMYFUNCTION("""COMPUTED_VALUE"""),"")</f>
        <v/>
      </c>
      <c r="F1155" t="str">
        <f ca="1">IFERROR(__xludf.DUMMYFUNCTION("""COMPUTED_VALUE"""),"")</f>
        <v/>
      </c>
      <c r="G1155" t="str">
        <f ca="1">IFERROR(__xludf.DUMMYFUNCTION("""COMPUTED_VALUE"""),"")</f>
        <v/>
      </c>
      <c r="H1155" t="str">
        <f ca="1">IFERROR(__xludf.DUMMYFUNCTION("""COMPUTED_VALUE"""),"")</f>
        <v/>
      </c>
      <c r="I1155" s="4" t="str">
        <f ca="1">IFERROR(__xludf.DUMMYFUNCTION("""COMPUTED_VALUE"""),"")</f>
        <v/>
      </c>
      <c r="J1155" t="str">
        <f ca="1">IFERROR(__xludf.DUMMYFUNCTION("""COMPUTED_VALUE"""),"")</f>
        <v/>
      </c>
      <c r="K1155" t="str">
        <f ca="1">IFERROR(__xludf.DUMMYFUNCTION("""COMPUTED_VALUE"""),"")</f>
        <v/>
      </c>
      <c r="L1155" t="str">
        <f ca="1">IFERROR(__xludf.DUMMYFUNCTION("""COMPUTED_VALUE"""),"")</f>
        <v/>
      </c>
      <c r="M1155" t="str">
        <f ca="1">IFERROR(__xludf.DUMMYFUNCTION("""COMPUTED_VALUE"""),"")</f>
        <v/>
      </c>
      <c r="N1155" s="4" t="str">
        <f ca="1">IFERROR(__xludf.DUMMYFUNCTION("""COMPUTED_VALUE"""),"")</f>
        <v/>
      </c>
      <c r="O1155" s="4" t="str">
        <f ca="1">IFERROR(__xludf.DUMMYFUNCTION("""COMPUTED_VALUE"""),"")</f>
        <v/>
      </c>
      <c r="P1155" t="str">
        <f ca="1">IFERROR(__xludf.DUMMYFUNCTION("""COMPUTED_VALUE"""),"")</f>
        <v/>
      </c>
      <c r="Q1155" t="str">
        <f ca="1">IFERROR(__xludf.DUMMYFUNCTION("""COMPUTED_VALUE"""),"")</f>
        <v/>
      </c>
      <c r="R1155" s="2" t="s">
        <v>3569</v>
      </c>
    </row>
    <row r="1156" spans="1:18" ht="13" x14ac:dyDescent="0.15">
      <c r="A1156" s="3" t="str">
        <f ca="1">IFERROR(__xludf.DUMMYFUNCTION("""COMPUTED_VALUE"""),"")</f>
        <v/>
      </c>
      <c r="B1156" t="str">
        <f ca="1">IFERROR(__xludf.DUMMYFUNCTION("""COMPUTED_VALUE"""),"")</f>
        <v/>
      </c>
      <c r="C1156" t="str">
        <f ca="1">IFERROR(__xludf.DUMMYFUNCTION("""COMPUTED_VALUE"""),"")</f>
        <v/>
      </c>
      <c r="D1156" t="str">
        <f ca="1">IFERROR(__xludf.DUMMYFUNCTION("""COMPUTED_VALUE"""),"")</f>
        <v/>
      </c>
      <c r="E1156" t="str">
        <f ca="1">IFERROR(__xludf.DUMMYFUNCTION("""COMPUTED_VALUE"""),"")</f>
        <v/>
      </c>
      <c r="F1156" t="str">
        <f ca="1">IFERROR(__xludf.DUMMYFUNCTION("""COMPUTED_VALUE"""),"")</f>
        <v/>
      </c>
      <c r="G1156" t="str">
        <f ca="1">IFERROR(__xludf.DUMMYFUNCTION("""COMPUTED_VALUE"""),"")</f>
        <v/>
      </c>
      <c r="H1156" t="str">
        <f ca="1">IFERROR(__xludf.DUMMYFUNCTION("""COMPUTED_VALUE"""),"")</f>
        <v/>
      </c>
      <c r="I1156" s="4" t="str">
        <f ca="1">IFERROR(__xludf.DUMMYFUNCTION("""COMPUTED_VALUE"""),"")</f>
        <v/>
      </c>
      <c r="J1156" t="str">
        <f ca="1">IFERROR(__xludf.DUMMYFUNCTION("""COMPUTED_VALUE"""),"")</f>
        <v/>
      </c>
      <c r="K1156" t="str">
        <f ca="1">IFERROR(__xludf.DUMMYFUNCTION("""COMPUTED_VALUE"""),"")</f>
        <v/>
      </c>
      <c r="L1156" t="str">
        <f ca="1">IFERROR(__xludf.DUMMYFUNCTION("""COMPUTED_VALUE"""),"")</f>
        <v/>
      </c>
      <c r="M1156" t="str">
        <f ca="1">IFERROR(__xludf.DUMMYFUNCTION("""COMPUTED_VALUE"""),"")</f>
        <v/>
      </c>
      <c r="N1156" s="4" t="str">
        <f ca="1">IFERROR(__xludf.DUMMYFUNCTION("""COMPUTED_VALUE"""),"")</f>
        <v/>
      </c>
      <c r="O1156" s="4" t="str">
        <f ca="1">IFERROR(__xludf.DUMMYFUNCTION("""COMPUTED_VALUE"""),"")</f>
        <v/>
      </c>
      <c r="P1156" t="str">
        <f ca="1">IFERROR(__xludf.DUMMYFUNCTION("""COMPUTED_VALUE"""),"")</f>
        <v/>
      </c>
      <c r="Q1156" t="str">
        <f ca="1">IFERROR(__xludf.DUMMYFUNCTION("""COMPUTED_VALUE"""),"")</f>
        <v/>
      </c>
      <c r="R1156" s="2" t="s">
        <v>3570</v>
      </c>
    </row>
    <row r="1157" spans="1:18" ht="13" x14ac:dyDescent="0.15">
      <c r="A1157" s="3" t="str">
        <f ca="1">IFERROR(__xludf.DUMMYFUNCTION("""COMPUTED_VALUE"""),"")</f>
        <v/>
      </c>
      <c r="B1157" t="str">
        <f ca="1">IFERROR(__xludf.DUMMYFUNCTION("""COMPUTED_VALUE"""),"")</f>
        <v/>
      </c>
      <c r="C1157" t="str">
        <f ca="1">IFERROR(__xludf.DUMMYFUNCTION("""COMPUTED_VALUE"""),"")</f>
        <v/>
      </c>
      <c r="D1157" t="str">
        <f ca="1">IFERROR(__xludf.DUMMYFUNCTION("""COMPUTED_VALUE"""),"")</f>
        <v/>
      </c>
      <c r="E1157" t="str">
        <f ca="1">IFERROR(__xludf.DUMMYFUNCTION("""COMPUTED_VALUE"""),"")</f>
        <v/>
      </c>
      <c r="F1157" t="str">
        <f ca="1">IFERROR(__xludf.DUMMYFUNCTION("""COMPUTED_VALUE"""),"")</f>
        <v/>
      </c>
      <c r="G1157" t="str">
        <f ca="1">IFERROR(__xludf.DUMMYFUNCTION("""COMPUTED_VALUE"""),"")</f>
        <v/>
      </c>
      <c r="H1157" t="str">
        <f ca="1">IFERROR(__xludf.DUMMYFUNCTION("""COMPUTED_VALUE"""),"")</f>
        <v/>
      </c>
      <c r="I1157" s="4" t="str">
        <f ca="1">IFERROR(__xludf.DUMMYFUNCTION("""COMPUTED_VALUE"""),"")</f>
        <v/>
      </c>
      <c r="J1157" t="str">
        <f ca="1">IFERROR(__xludf.DUMMYFUNCTION("""COMPUTED_VALUE"""),"")</f>
        <v/>
      </c>
      <c r="K1157" t="str">
        <f ca="1">IFERROR(__xludf.DUMMYFUNCTION("""COMPUTED_VALUE"""),"")</f>
        <v/>
      </c>
      <c r="L1157" t="str">
        <f ca="1">IFERROR(__xludf.DUMMYFUNCTION("""COMPUTED_VALUE"""),"")</f>
        <v/>
      </c>
      <c r="M1157" t="str">
        <f ca="1">IFERROR(__xludf.DUMMYFUNCTION("""COMPUTED_VALUE"""),"")</f>
        <v/>
      </c>
      <c r="N1157" s="4" t="str">
        <f ca="1">IFERROR(__xludf.DUMMYFUNCTION("""COMPUTED_VALUE"""),"")</f>
        <v/>
      </c>
      <c r="O1157" s="4" t="str">
        <f ca="1">IFERROR(__xludf.DUMMYFUNCTION("""COMPUTED_VALUE"""),"")</f>
        <v/>
      </c>
      <c r="P1157" t="str">
        <f ca="1">IFERROR(__xludf.DUMMYFUNCTION("""COMPUTED_VALUE"""),"")</f>
        <v/>
      </c>
      <c r="Q1157" t="str">
        <f ca="1">IFERROR(__xludf.DUMMYFUNCTION("""COMPUTED_VALUE"""),"")</f>
        <v/>
      </c>
      <c r="R1157" s="2" t="s">
        <v>3571</v>
      </c>
    </row>
    <row r="1158" spans="1:18" ht="13" x14ac:dyDescent="0.15">
      <c r="A1158" s="3" t="str">
        <f ca="1">IFERROR(__xludf.DUMMYFUNCTION("""COMPUTED_VALUE"""),"")</f>
        <v/>
      </c>
      <c r="B1158" t="str">
        <f ca="1">IFERROR(__xludf.DUMMYFUNCTION("""COMPUTED_VALUE"""),"")</f>
        <v/>
      </c>
      <c r="C1158" t="str">
        <f ca="1">IFERROR(__xludf.DUMMYFUNCTION("""COMPUTED_VALUE"""),"")</f>
        <v/>
      </c>
      <c r="D1158" t="str">
        <f ca="1">IFERROR(__xludf.DUMMYFUNCTION("""COMPUTED_VALUE"""),"")</f>
        <v/>
      </c>
      <c r="E1158" t="str">
        <f ca="1">IFERROR(__xludf.DUMMYFUNCTION("""COMPUTED_VALUE"""),"")</f>
        <v/>
      </c>
      <c r="F1158" t="str">
        <f ca="1">IFERROR(__xludf.DUMMYFUNCTION("""COMPUTED_VALUE"""),"")</f>
        <v/>
      </c>
      <c r="G1158" t="str">
        <f ca="1">IFERROR(__xludf.DUMMYFUNCTION("""COMPUTED_VALUE"""),"")</f>
        <v/>
      </c>
      <c r="H1158" t="str">
        <f ca="1">IFERROR(__xludf.DUMMYFUNCTION("""COMPUTED_VALUE"""),"")</f>
        <v/>
      </c>
      <c r="I1158" s="4" t="str">
        <f ca="1">IFERROR(__xludf.DUMMYFUNCTION("""COMPUTED_VALUE"""),"")</f>
        <v/>
      </c>
      <c r="J1158" t="str">
        <f ca="1">IFERROR(__xludf.DUMMYFUNCTION("""COMPUTED_VALUE"""),"")</f>
        <v/>
      </c>
      <c r="K1158" t="str">
        <f ca="1">IFERROR(__xludf.DUMMYFUNCTION("""COMPUTED_VALUE"""),"")</f>
        <v/>
      </c>
      <c r="L1158" t="str">
        <f ca="1">IFERROR(__xludf.DUMMYFUNCTION("""COMPUTED_VALUE"""),"")</f>
        <v/>
      </c>
      <c r="M1158" t="str">
        <f ca="1">IFERROR(__xludf.DUMMYFUNCTION("""COMPUTED_VALUE"""),"")</f>
        <v/>
      </c>
      <c r="N1158" s="4" t="str">
        <f ca="1">IFERROR(__xludf.DUMMYFUNCTION("""COMPUTED_VALUE"""),"")</f>
        <v/>
      </c>
      <c r="O1158" s="4" t="str">
        <f ca="1">IFERROR(__xludf.DUMMYFUNCTION("""COMPUTED_VALUE"""),"")</f>
        <v/>
      </c>
      <c r="P1158" t="str">
        <f ca="1">IFERROR(__xludf.DUMMYFUNCTION("""COMPUTED_VALUE"""),"")</f>
        <v/>
      </c>
      <c r="Q1158" t="str">
        <f ca="1">IFERROR(__xludf.DUMMYFUNCTION("""COMPUTED_VALUE"""),"")</f>
        <v/>
      </c>
      <c r="R1158" s="2" t="s">
        <v>3572</v>
      </c>
    </row>
    <row r="1159" spans="1:18" ht="13" x14ac:dyDescent="0.15">
      <c r="A1159" s="3" t="str">
        <f ca="1">IFERROR(__xludf.DUMMYFUNCTION("""COMPUTED_VALUE"""),"")</f>
        <v/>
      </c>
      <c r="B1159" t="str">
        <f ca="1">IFERROR(__xludf.DUMMYFUNCTION("""COMPUTED_VALUE"""),"")</f>
        <v/>
      </c>
      <c r="C1159" t="str">
        <f ca="1">IFERROR(__xludf.DUMMYFUNCTION("""COMPUTED_VALUE"""),"")</f>
        <v/>
      </c>
      <c r="D1159" t="str">
        <f ca="1">IFERROR(__xludf.DUMMYFUNCTION("""COMPUTED_VALUE"""),"")</f>
        <v/>
      </c>
      <c r="E1159" t="str">
        <f ca="1">IFERROR(__xludf.DUMMYFUNCTION("""COMPUTED_VALUE"""),"")</f>
        <v/>
      </c>
      <c r="F1159" t="str">
        <f ca="1">IFERROR(__xludf.DUMMYFUNCTION("""COMPUTED_VALUE"""),"")</f>
        <v/>
      </c>
      <c r="G1159" t="str">
        <f ca="1">IFERROR(__xludf.DUMMYFUNCTION("""COMPUTED_VALUE"""),"")</f>
        <v/>
      </c>
      <c r="H1159" t="str">
        <f ca="1">IFERROR(__xludf.DUMMYFUNCTION("""COMPUTED_VALUE"""),"")</f>
        <v/>
      </c>
      <c r="I1159" s="4" t="str">
        <f ca="1">IFERROR(__xludf.DUMMYFUNCTION("""COMPUTED_VALUE"""),"")</f>
        <v/>
      </c>
      <c r="J1159" t="str">
        <f ca="1">IFERROR(__xludf.DUMMYFUNCTION("""COMPUTED_VALUE"""),"")</f>
        <v/>
      </c>
      <c r="K1159" t="str">
        <f ca="1">IFERROR(__xludf.DUMMYFUNCTION("""COMPUTED_VALUE"""),"")</f>
        <v/>
      </c>
      <c r="L1159" t="str">
        <f ca="1">IFERROR(__xludf.DUMMYFUNCTION("""COMPUTED_VALUE"""),"")</f>
        <v/>
      </c>
      <c r="M1159" t="str">
        <f ca="1">IFERROR(__xludf.DUMMYFUNCTION("""COMPUTED_VALUE"""),"")</f>
        <v/>
      </c>
      <c r="N1159" s="4" t="str">
        <f ca="1">IFERROR(__xludf.DUMMYFUNCTION("""COMPUTED_VALUE"""),"")</f>
        <v/>
      </c>
      <c r="O1159" s="4" t="str">
        <f ca="1">IFERROR(__xludf.DUMMYFUNCTION("""COMPUTED_VALUE"""),"")</f>
        <v/>
      </c>
      <c r="P1159" t="str">
        <f ca="1">IFERROR(__xludf.DUMMYFUNCTION("""COMPUTED_VALUE"""),"")</f>
        <v/>
      </c>
      <c r="Q1159" t="str">
        <f ca="1">IFERROR(__xludf.DUMMYFUNCTION("""COMPUTED_VALUE"""),"")</f>
        <v/>
      </c>
      <c r="R1159" s="2" t="s">
        <v>3573</v>
      </c>
    </row>
    <row r="1160" spans="1:18" ht="13" x14ac:dyDescent="0.15">
      <c r="A1160" s="3" t="str">
        <f ca="1">IFERROR(__xludf.DUMMYFUNCTION("""COMPUTED_VALUE"""),"")</f>
        <v/>
      </c>
      <c r="B1160" t="str">
        <f ca="1">IFERROR(__xludf.DUMMYFUNCTION("""COMPUTED_VALUE"""),"")</f>
        <v/>
      </c>
      <c r="C1160" t="str">
        <f ca="1">IFERROR(__xludf.DUMMYFUNCTION("""COMPUTED_VALUE"""),"")</f>
        <v/>
      </c>
      <c r="D1160" t="str">
        <f ca="1">IFERROR(__xludf.DUMMYFUNCTION("""COMPUTED_VALUE"""),"")</f>
        <v/>
      </c>
      <c r="E1160" t="str">
        <f ca="1">IFERROR(__xludf.DUMMYFUNCTION("""COMPUTED_VALUE"""),"")</f>
        <v/>
      </c>
      <c r="F1160" t="str">
        <f ca="1">IFERROR(__xludf.DUMMYFUNCTION("""COMPUTED_VALUE"""),"")</f>
        <v/>
      </c>
      <c r="G1160" t="str">
        <f ca="1">IFERROR(__xludf.DUMMYFUNCTION("""COMPUTED_VALUE"""),"")</f>
        <v/>
      </c>
      <c r="H1160" t="str">
        <f ca="1">IFERROR(__xludf.DUMMYFUNCTION("""COMPUTED_VALUE"""),"")</f>
        <v/>
      </c>
      <c r="I1160" s="4" t="str">
        <f ca="1">IFERROR(__xludf.DUMMYFUNCTION("""COMPUTED_VALUE"""),"")</f>
        <v/>
      </c>
      <c r="J1160" t="str">
        <f ca="1">IFERROR(__xludf.DUMMYFUNCTION("""COMPUTED_VALUE"""),"")</f>
        <v/>
      </c>
      <c r="K1160" t="str">
        <f ca="1">IFERROR(__xludf.DUMMYFUNCTION("""COMPUTED_VALUE"""),"")</f>
        <v/>
      </c>
      <c r="L1160" t="str">
        <f ca="1">IFERROR(__xludf.DUMMYFUNCTION("""COMPUTED_VALUE"""),"")</f>
        <v/>
      </c>
      <c r="M1160" t="str">
        <f ca="1">IFERROR(__xludf.DUMMYFUNCTION("""COMPUTED_VALUE"""),"")</f>
        <v/>
      </c>
      <c r="N1160" s="4" t="str">
        <f ca="1">IFERROR(__xludf.DUMMYFUNCTION("""COMPUTED_VALUE"""),"")</f>
        <v/>
      </c>
      <c r="O1160" s="4" t="str">
        <f ca="1">IFERROR(__xludf.DUMMYFUNCTION("""COMPUTED_VALUE"""),"")</f>
        <v/>
      </c>
      <c r="P1160" t="str">
        <f ca="1">IFERROR(__xludf.DUMMYFUNCTION("""COMPUTED_VALUE"""),"")</f>
        <v/>
      </c>
      <c r="Q1160" t="str">
        <f ca="1">IFERROR(__xludf.DUMMYFUNCTION("""COMPUTED_VALUE"""),"")</f>
        <v/>
      </c>
      <c r="R1160" s="2" t="s">
        <v>3574</v>
      </c>
    </row>
    <row r="1161" spans="1:18" ht="13" x14ac:dyDescent="0.15">
      <c r="A1161" s="3" t="str">
        <f ca="1">IFERROR(__xludf.DUMMYFUNCTION("""COMPUTED_VALUE"""),"")</f>
        <v/>
      </c>
      <c r="B1161" t="str">
        <f ca="1">IFERROR(__xludf.DUMMYFUNCTION("""COMPUTED_VALUE"""),"")</f>
        <v/>
      </c>
      <c r="C1161" t="str">
        <f ca="1">IFERROR(__xludf.DUMMYFUNCTION("""COMPUTED_VALUE"""),"")</f>
        <v/>
      </c>
      <c r="D1161" t="str">
        <f ca="1">IFERROR(__xludf.DUMMYFUNCTION("""COMPUTED_VALUE"""),"")</f>
        <v/>
      </c>
      <c r="E1161" t="str">
        <f ca="1">IFERROR(__xludf.DUMMYFUNCTION("""COMPUTED_VALUE"""),"")</f>
        <v/>
      </c>
      <c r="F1161" t="str">
        <f ca="1">IFERROR(__xludf.DUMMYFUNCTION("""COMPUTED_VALUE"""),"")</f>
        <v/>
      </c>
      <c r="G1161" t="str">
        <f ca="1">IFERROR(__xludf.DUMMYFUNCTION("""COMPUTED_VALUE"""),"")</f>
        <v/>
      </c>
      <c r="H1161" t="str">
        <f ca="1">IFERROR(__xludf.DUMMYFUNCTION("""COMPUTED_VALUE"""),"")</f>
        <v/>
      </c>
      <c r="I1161" s="4" t="str">
        <f ca="1">IFERROR(__xludf.DUMMYFUNCTION("""COMPUTED_VALUE"""),"")</f>
        <v/>
      </c>
      <c r="J1161" t="str">
        <f ca="1">IFERROR(__xludf.DUMMYFUNCTION("""COMPUTED_VALUE"""),"")</f>
        <v/>
      </c>
      <c r="K1161" t="str">
        <f ca="1">IFERROR(__xludf.DUMMYFUNCTION("""COMPUTED_VALUE"""),"")</f>
        <v/>
      </c>
      <c r="L1161" t="str">
        <f ca="1">IFERROR(__xludf.DUMMYFUNCTION("""COMPUTED_VALUE"""),"")</f>
        <v/>
      </c>
      <c r="M1161" t="str">
        <f ca="1">IFERROR(__xludf.DUMMYFUNCTION("""COMPUTED_VALUE"""),"")</f>
        <v/>
      </c>
      <c r="N1161" s="4" t="str">
        <f ca="1">IFERROR(__xludf.DUMMYFUNCTION("""COMPUTED_VALUE"""),"")</f>
        <v/>
      </c>
      <c r="O1161" s="4" t="str">
        <f ca="1">IFERROR(__xludf.DUMMYFUNCTION("""COMPUTED_VALUE"""),"")</f>
        <v/>
      </c>
      <c r="P1161" t="str">
        <f ca="1">IFERROR(__xludf.DUMMYFUNCTION("""COMPUTED_VALUE"""),"")</f>
        <v/>
      </c>
      <c r="Q1161" t="str">
        <f ca="1">IFERROR(__xludf.DUMMYFUNCTION("""COMPUTED_VALUE"""),"")</f>
        <v/>
      </c>
      <c r="R1161" s="2" t="s">
        <v>3575</v>
      </c>
    </row>
    <row r="1162" spans="1:18" ht="13" x14ac:dyDescent="0.15">
      <c r="A1162" s="3" t="str">
        <f ca="1">IFERROR(__xludf.DUMMYFUNCTION("""COMPUTED_VALUE"""),"")</f>
        <v/>
      </c>
      <c r="B1162" t="str">
        <f ca="1">IFERROR(__xludf.DUMMYFUNCTION("""COMPUTED_VALUE"""),"")</f>
        <v/>
      </c>
      <c r="C1162" t="str">
        <f ca="1">IFERROR(__xludf.DUMMYFUNCTION("""COMPUTED_VALUE"""),"")</f>
        <v/>
      </c>
      <c r="D1162" t="str">
        <f ca="1">IFERROR(__xludf.DUMMYFUNCTION("""COMPUTED_VALUE"""),"")</f>
        <v/>
      </c>
      <c r="E1162" t="str">
        <f ca="1">IFERROR(__xludf.DUMMYFUNCTION("""COMPUTED_VALUE"""),"")</f>
        <v/>
      </c>
      <c r="F1162" t="str">
        <f ca="1">IFERROR(__xludf.DUMMYFUNCTION("""COMPUTED_VALUE"""),"")</f>
        <v/>
      </c>
      <c r="G1162" t="str">
        <f ca="1">IFERROR(__xludf.DUMMYFUNCTION("""COMPUTED_VALUE"""),"")</f>
        <v/>
      </c>
      <c r="H1162" t="str">
        <f ca="1">IFERROR(__xludf.DUMMYFUNCTION("""COMPUTED_VALUE"""),"")</f>
        <v/>
      </c>
      <c r="I1162" s="4" t="str">
        <f ca="1">IFERROR(__xludf.DUMMYFUNCTION("""COMPUTED_VALUE"""),"")</f>
        <v/>
      </c>
      <c r="J1162" t="str">
        <f ca="1">IFERROR(__xludf.DUMMYFUNCTION("""COMPUTED_VALUE"""),"")</f>
        <v/>
      </c>
      <c r="K1162" t="str">
        <f ca="1">IFERROR(__xludf.DUMMYFUNCTION("""COMPUTED_VALUE"""),"")</f>
        <v/>
      </c>
      <c r="L1162" t="str">
        <f ca="1">IFERROR(__xludf.DUMMYFUNCTION("""COMPUTED_VALUE"""),"")</f>
        <v/>
      </c>
      <c r="M1162" t="str">
        <f ca="1">IFERROR(__xludf.DUMMYFUNCTION("""COMPUTED_VALUE"""),"")</f>
        <v/>
      </c>
      <c r="N1162" s="4" t="str">
        <f ca="1">IFERROR(__xludf.DUMMYFUNCTION("""COMPUTED_VALUE"""),"")</f>
        <v/>
      </c>
      <c r="O1162" s="4" t="str">
        <f ca="1">IFERROR(__xludf.DUMMYFUNCTION("""COMPUTED_VALUE"""),"")</f>
        <v/>
      </c>
      <c r="P1162" t="str">
        <f ca="1">IFERROR(__xludf.DUMMYFUNCTION("""COMPUTED_VALUE"""),"")</f>
        <v/>
      </c>
      <c r="Q1162" t="str">
        <f ca="1">IFERROR(__xludf.DUMMYFUNCTION("""COMPUTED_VALUE"""),"")</f>
        <v/>
      </c>
      <c r="R1162" s="2" t="s">
        <v>3576</v>
      </c>
    </row>
    <row r="1163" spans="1:18" ht="13" x14ac:dyDescent="0.15">
      <c r="A1163" s="3" t="str">
        <f ca="1">IFERROR(__xludf.DUMMYFUNCTION("""COMPUTED_VALUE"""),"")</f>
        <v/>
      </c>
      <c r="B1163" t="str">
        <f ca="1">IFERROR(__xludf.DUMMYFUNCTION("""COMPUTED_VALUE"""),"")</f>
        <v/>
      </c>
      <c r="C1163" t="str">
        <f ca="1">IFERROR(__xludf.DUMMYFUNCTION("""COMPUTED_VALUE"""),"")</f>
        <v/>
      </c>
      <c r="D1163" t="str">
        <f ca="1">IFERROR(__xludf.DUMMYFUNCTION("""COMPUTED_VALUE"""),"")</f>
        <v/>
      </c>
      <c r="E1163" t="str">
        <f ca="1">IFERROR(__xludf.DUMMYFUNCTION("""COMPUTED_VALUE"""),"")</f>
        <v/>
      </c>
      <c r="F1163" t="str">
        <f ca="1">IFERROR(__xludf.DUMMYFUNCTION("""COMPUTED_VALUE"""),"")</f>
        <v/>
      </c>
      <c r="G1163" t="str">
        <f ca="1">IFERROR(__xludf.DUMMYFUNCTION("""COMPUTED_VALUE"""),"")</f>
        <v/>
      </c>
      <c r="H1163" t="str">
        <f ca="1">IFERROR(__xludf.DUMMYFUNCTION("""COMPUTED_VALUE"""),"")</f>
        <v/>
      </c>
      <c r="I1163" s="4" t="str">
        <f ca="1">IFERROR(__xludf.DUMMYFUNCTION("""COMPUTED_VALUE"""),"")</f>
        <v/>
      </c>
      <c r="J1163" t="str">
        <f ca="1">IFERROR(__xludf.DUMMYFUNCTION("""COMPUTED_VALUE"""),"")</f>
        <v/>
      </c>
      <c r="K1163" t="str">
        <f ca="1">IFERROR(__xludf.DUMMYFUNCTION("""COMPUTED_VALUE"""),"")</f>
        <v/>
      </c>
      <c r="L1163" t="str">
        <f ca="1">IFERROR(__xludf.DUMMYFUNCTION("""COMPUTED_VALUE"""),"")</f>
        <v/>
      </c>
      <c r="M1163" t="str">
        <f ca="1">IFERROR(__xludf.DUMMYFUNCTION("""COMPUTED_VALUE"""),"")</f>
        <v/>
      </c>
      <c r="N1163" s="4" t="str">
        <f ca="1">IFERROR(__xludf.DUMMYFUNCTION("""COMPUTED_VALUE"""),"")</f>
        <v/>
      </c>
      <c r="O1163" s="4" t="str">
        <f ca="1">IFERROR(__xludf.DUMMYFUNCTION("""COMPUTED_VALUE"""),"")</f>
        <v/>
      </c>
      <c r="P1163" t="str">
        <f ca="1">IFERROR(__xludf.DUMMYFUNCTION("""COMPUTED_VALUE"""),"")</f>
        <v/>
      </c>
      <c r="Q1163" t="str">
        <f ca="1">IFERROR(__xludf.DUMMYFUNCTION("""COMPUTED_VALUE"""),"")</f>
        <v/>
      </c>
      <c r="R1163" s="2" t="s">
        <v>3577</v>
      </c>
    </row>
    <row r="1164" spans="1:18" ht="13" x14ac:dyDescent="0.15">
      <c r="A1164" s="3" t="str">
        <f ca="1">IFERROR(__xludf.DUMMYFUNCTION("""COMPUTED_VALUE"""),"")</f>
        <v/>
      </c>
      <c r="B1164" t="str">
        <f ca="1">IFERROR(__xludf.DUMMYFUNCTION("""COMPUTED_VALUE"""),"")</f>
        <v/>
      </c>
      <c r="C1164" t="str">
        <f ca="1">IFERROR(__xludf.DUMMYFUNCTION("""COMPUTED_VALUE"""),"")</f>
        <v/>
      </c>
      <c r="D1164" t="str">
        <f ca="1">IFERROR(__xludf.DUMMYFUNCTION("""COMPUTED_VALUE"""),"")</f>
        <v/>
      </c>
      <c r="E1164" t="str">
        <f ca="1">IFERROR(__xludf.DUMMYFUNCTION("""COMPUTED_VALUE"""),"")</f>
        <v/>
      </c>
      <c r="F1164" t="str">
        <f ca="1">IFERROR(__xludf.DUMMYFUNCTION("""COMPUTED_VALUE"""),"")</f>
        <v/>
      </c>
      <c r="G1164" t="str">
        <f ca="1">IFERROR(__xludf.DUMMYFUNCTION("""COMPUTED_VALUE"""),"")</f>
        <v/>
      </c>
      <c r="H1164" t="str">
        <f ca="1">IFERROR(__xludf.DUMMYFUNCTION("""COMPUTED_VALUE"""),"")</f>
        <v/>
      </c>
      <c r="I1164" s="4" t="str">
        <f ca="1">IFERROR(__xludf.DUMMYFUNCTION("""COMPUTED_VALUE"""),"")</f>
        <v/>
      </c>
      <c r="J1164" t="str">
        <f ca="1">IFERROR(__xludf.DUMMYFUNCTION("""COMPUTED_VALUE"""),"")</f>
        <v/>
      </c>
      <c r="K1164" t="str">
        <f ca="1">IFERROR(__xludf.DUMMYFUNCTION("""COMPUTED_VALUE"""),"")</f>
        <v/>
      </c>
      <c r="L1164" t="str">
        <f ca="1">IFERROR(__xludf.DUMMYFUNCTION("""COMPUTED_VALUE"""),"")</f>
        <v/>
      </c>
      <c r="M1164" t="str">
        <f ca="1">IFERROR(__xludf.DUMMYFUNCTION("""COMPUTED_VALUE"""),"")</f>
        <v/>
      </c>
      <c r="N1164" s="4" t="str">
        <f ca="1">IFERROR(__xludf.DUMMYFUNCTION("""COMPUTED_VALUE"""),"")</f>
        <v/>
      </c>
      <c r="O1164" s="4" t="str">
        <f ca="1">IFERROR(__xludf.DUMMYFUNCTION("""COMPUTED_VALUE"""),"")</f>
        <v/>
      </c>
      <c r="P1164" t="str">
        <f ca="1">IFERROR(__xludf.DUMMYFUNCTION("""COMPUTED_VALUE"""),"")</f>
        <v/>
      </c>
      <c r="Q1164" t="str">
        <f ca="1">IFERROR(__xludf.DUMMYFUNCTION("""COMPUTED_VALUE"""),"")</f>
        <v/>
      </c>
      <c r="R1164" s="2" t="s">
        <v>3578</v>
      </c>
    </row>
    <row r="1165" spans="1:18" ht="13" x14ac:dyDescent="0.15">
      <c r="A1165" s="3" t="str">
        <f ca="1">IFERROR(__xludf.DUMMYFUNCTION("""COMPUTED_VALUE"""),"")</f>
        <v/>
      </c>
      <c r="B1165" t="str">
        <f ca="1">IFERROR(__xludf.DUMMYFUNCTION("""COMPUTED_VALUE"""),"")</f>
        <v/>
      </c>
      <c r="C1165" t="str">
        <f ca="1">IFERROR(__xludf.DUMMYFUNCTION("""COMPUTED_VALUE"""),"")</f>
        <v/>
      </c>
      <c r="D1165" t="str">
        <f ca="1">IFERROR(__xludf.DUMMYFUNCTION("""COMPUTED_VALUE"""),"")</f>
        <v/>
      </c>
      <c r="E1165" t="str">
        <f ca="1">IFERROR(__xludf.DUMMYFUNCTION("""COMPUTED_VALUE"""),"")</f>
        <v/>
      </c>
      <c r="F1165" t="str">
        <f ca="1">IFERROR(__xludf.DUMMYFUNCTION("""COMPUTED_VALUE"""),"")</f>
        <v/>
      </c>
      <c r="G1165" t="str">
        <f ca="1">IFERROR(__xludf.DUMMYFUNCTION("""COMPUTED_VALUE"""),"")</f>
        <v/>
      </c>
      <c r="H1165" t="str">
        <f ca="1">IFERROR(__xludf.DUMMYFUNCTION("""COMPUTED_VALUE"""),"")</f>
        <v/>
      </c>
      <c r="I1165" s="4" t="str">
        <f ca="1">IFERROR(__xludf.DUMMYFUNCTION("""COMPUTED_VALUE"""),"")</f>
        <v/>
      </c>
      <c r="J1165" t="str">
        <f ca="1">IFERROR(__xludf.DUMMYFUNCTION("""COMPUTED_VALUE"""),"")</f>
        <v/>
      </c>
      <c r="K1165" t="str">
        <f ca="1">IFERROR(__xludf.DUMMYFUNCTION("""COMPUTED_VALUE"""),"")</f>
        <v/>
      </c>
      <c r="L1165" t="str">
        <f ca="1">IFERROR(__xludf.DUMMYFUNCTION("""COMPUTED_VALUE"""),"")</f>
        <v/>
      </c>
      <c r="M1165" t="str">
        <f ca="1">IFERROR(__xludf.DUMMYFUNCTION("""COMPUTED_VALUE"""),"")</f>
        <v/>
      </c>
      <c r="N1165" s="4" t="str">
        <f ca="1">IFERROR(__xludf.DUMMYFUNCTION("""COMPUTED_VALUE"""),"")</f>
        <v/>
      </c>
      <c r="O1165" s="4" t="str">
        <f ca="1">IFERROR(__xludf.DUMMYFUNCTION("""COMPUTED_VALUE"""),"")</f>
        <v/>
      </c>
      <c r="P1165" t="str">
        <f ca="1">IFERROR(__xludf.DUMMYFUNCTION("""COMPUTED_VALUE"""),"")</f>
        <v/>
      </c>
      <c r="Q1165" t="str">
        <f ca="1">IFERROR(__xludf.DUMMYFUNCTION("""COMPUTED_VALUE"""),"")</f>
        <v/>
      </c>
      <c r="R1165" s="2" t="s">
        <v>3579</v>
      </c>
    </row>
    <row r="1166" spans="1:18" ht="13" x14ac:dyDescent="0.15">
      <c r="A1166" s="3" t="str">
        <f ca="1">IFERROR(__xludf.DUMMYFUNCTION("""COMPUTED_VALUE"""),"")</f>
        <v/>
      </c>
      <c r="B1166" t="str">
        <f ca="1">IFERROR(__xludf.DUMMYFUNCTION("""COMPUTED_VALUE"""),"")</f>
        <v/>
      </c>
      <c r="C1166" t="str">
        <f ca="1">IFERROR(__xludf.DUMMYFUNCTION("""COMPUTED_VALUE"""),"")</f>
        <v/>
      </c>
      <c r="D1166" t="str">
        <f ca="1">IFERROR(__xludf.DUMMYFUNCTION("""COMPUTED_VALUE"""),"")</f>
        <v/>
      </c>
      <c r="E1166" t="str">
        <f ca="1">IFERROR(__xludf.DUMMYFUNCTION("""COMPUTED_VALUE"""),"")</f>
        <v/>
      </c>
      <c r="F1166" t="str">
        <f ca="1">IFERROR(__xludf.DUMMYFUNCTION("""COMPUTED_VALUE"""),"")</f>
        <v/>
      </c>
      <c r="G1166" t="str">
        <f ca="1">IFERROR(__xludf.DUMMYFUNCTION("""COMPUTED_VALUE"""),"")</f>
        <v/>
      </c>
      <c r="H1166" t="str">
        <f ca="1">IFERROR(__xludf.DUMMYFUNCTION("""COMPUTED_VALUE"""),"")</f>
        <v/>
      </c>
      <c r="I1166" s="4" t="str">
        <f ca="1">IFERROR(__xludf.DUMMYFUNCTION("""COMPUTED_VALUE"""),"")</f>
        <v/>
      </c>
      <c r="J1166" t="str">
        <f ca="1">IFERROR(__xludf.DUMMYFUNCTION("""COMPUTED_VALUE"""),"")</f>
        <v/>
      </c>
      <c r="K1166" t="str">
        <f ca="1">IFERROR(__xludf.DUMMYFUNCTION("""COMPUTED_VALUE"""),"")</f>
        <v/>
      </c>
      <c r="L1166" t="str">
        <f ca="1">IFERROR(__xludf.DUMMYFUNCTION("""COMPUTED_VALUE"""),"")</f>
        <v/>
      </c>
      <c r="M1166" t="str">
        <f ca="1">IFERROR(__xludf.DUMMYFUNCTION("""COMPUTED_VALUE"""),"")</f>
        <v/>
      </c>
      <c r="N1166" s="4" t="str">
        <f ca="1">IFERROR(__xludf.DUMMYFUNCTION("""COMPUTED_VALUE"""),"")</f>
        <v/>
      </c>
      <c r="O1166" s="4" t="str">
        <f ca="1">IFERROR(__xludf.DUMMYFUNCTION("""COMPUTED_VALUE"""),"")</f>
        <v/>
      </c>
      <c r="P1166" t="str">
        <f ca="1">IFERROR(__xludf.DUMMYFUNCTION("""COMPUTED_VALUE"""),"")</f>
        <v/>
      </c>
      <c r="Q1166" t="str">
        <f ca="1">IFERROR(__xludf.DUMMYFUNCTION("""COMPUTED_VALUE"""),"")</f>
        <v/>
      </c>
      <c r="R1166" s="2" t="s">
        <v>3580</v>
      </c>
    </row>
    <row r="1167" spans="1:18" ht="13" x14ac:dyDescent="0.15">
      <c r="A1167" s="3" t="str">
        <f ca="1">IFERROR(__xludf.DUMMYFUNCTION("""COMPUTED_VALUE"""),"")</f>
        <v/>
      </c>
      <c r="B1167" t="str">
        <f ca="1">IFERROR(__xludf.DUMMYFUNCTION("""COMPUTED_VALUE"""),"")</f>
        <v/>
      </c>
      <c r="C1167" t="str">
        <f ca="1">IFERROR(__xludf.DUMMYFUNCTION("""COMPUTED_VALUE"""),"")</f>
        <v/>
      </c>
      <c r="D1167" t="str">
        <f ca="1">IFERROR(__xludf.DUMMYFUNCTION("""COMPUTED_VALUE"""),"")</f>
        <v/>
      </c>
      <c r="E1167" t="str">
        <f ca="1">IFERROR(__xludf.DUMMYFUNCTION("""COMPUTED_VALUE"""),"")</f>
        <v/>
      </c>
      <c r="F1167" t="str">
        <f ca="1">IFERROR(__xludf.DUMMYFUNCTION("""COMPUTED_VALUE"""),"")</f>
        <v/>
      </c>
      <c r="G1167" t="str">
        <f ca="1">IFERROR(__xludf.DUMMYFUNCTION("""COMPUTED_VALUE"""),"")</f>
        <v/>
      </c>
      <c r="H1167" t="str">
        <f ca="1">IFERROR(__xludf.DUMMYFUNCTION("""COMPUTED_VALUE"""),"")</f>
        <v/>
      </c>
      <c r="I1167" s="4" t="str">
        <f ca="1">IFERROR(__xludf.DUMMYFUNCTION("""COMPUTED_VALUE"""),"")</f>
        <v/>
      </c>
      <c r="J1167" t="str">
        <f ca="1">IFERROR(__xludf.DUMMYFUNCTION("""COMPUTED_VALUE"""),"")</f>
        <v/>
      </c>
      <c r="K1167" t="str">
        <f ca="1">IFERROR(__xludf.DUMMYFUNCTION("""COMPUTED_VALUE"""),"")</f>
        <v/>
      </c>
      <c r="L1167" t="str">
        <f ca="1">IFERROR(__xludf.DUMMYFUNCTION("""COMPUTED_VALUE"""),"")</f>
        <v/>
      </c>
      <c r="M1167" t="str">
        <f ca="1">IFERROR(__xludf.DUMMYFUNCTION("""COMPUTED_VALUE"""),"")</f>
        <v/>
      </c>
      <c r="N1167" s="4" t="str">
        <f ca="1">IFERROR(__xludf.DUMMYFUNCTION("""COMPUTED_VALUE"""),"")</f>
        <v/>
      </c>
      <c r="O1167" s="4" t="str">
        <f ca="1">IFERROR(__xludf.DUMMYFUNCTION("""COMPUTED_VALUE"""),"")</f>
        <v/>
      </c>
      <c r="P1167" t="str">
        <f ca="1">IFERROR(__xludf.DUMMYFUNCTION("""COMPUTED_VALUE"""),"")</f>
        <v/>
      </c>
      <c r="Q1167" t="str">
        <f ca="1">IFERROR(__xludf.DUMMYFUNCTION("""COMPUTED_VALUE"""),"")</f>
        <v/>
      </c>
      <c r="R1167" s="2" t="s">
        <v>3581</v>
      </c>
    </row>
    <row r="1168" spans="1:18" ht="13" x14ac:dyDescent="0.15">
      <c r="A1168" s="3" t="str">
        <f ca="1">IFERROR(__xludf.DUMMYFUNCTION("""COMPUTED_VALUE"""),"")</f>
        <v/>
      </c>
      <c r="B1168" t="str">
        <f ca="1">IFERROR(__xludf.DUMMYFUNCTION("""COMPUTED_VALUE"""),"")</f>
        <v/>
      </c>
      <c r="C1168" t="str">
        <f ca="1">IFERROR(__xludf.DUMMYFUNCTION("""COMPUTED_VALUE"""),"")</f>
        <v/>
      </c>
      <c r="D1168" t="str">
        <f ca="1">IFERROR(__xludf.DUMMYFUNCTION("""COMPUTED_VALUE"""),"")</f>
        <v/>
      </c>
      <c r="E1168" t="str">
        <f ca="1">IFERROR(__xludf.DUMMYFUNCTION("""COMPUTED_VALUE"""),"")</f>
        <v/>
      </c>
      <c r="F1168" t="str">
        <f ca="1">IFERROR(__xludf.DUMMYFUNCTION("""COMPUTED_VALUE"""),"")</f>
        <v/>
      </c>
      <c r="G1168" t="str">
        <f ca="1">IFERROR(__xludf.DUMMYFUNCTION("""COMPUTED_VALUE"""),"")</f>
        <v/>
      </c>
      <c r="H1168" t="str">
        <f ca="1">IFERROR(__xludf.DUMMYFUNCTION("""COMPUTED_VALUE"""),"")</f>
        <v/>
      </c>
      <c r="I1168" s="4" t="str">
        <f ca="1">IFERROR(__xludf.DUMMYFUNCTION("""COMPUTED_VALUE"""),"")</f>
        <v/>
      </c>
      <c r="J1168" t="str">
        <f ca="1">IFERROR(__xludf.DUMMYFUNCTION("""COMPUTED_VALUE"""),"")</f>
        <v/>
      </c>
      <c r="K1168" t="str">
        <f ca="1">IFERROR(__xludf.DUMMYFUNCTION("""COMPUTED_VALUE"""),"")</f>
        <v/>
      </c>
      <c r="L1168" t="str">
        <f ca="1">IFERROR(__xludf.DUMMYFUNCTION("""COMPUTED_VALUE"""),"")</f>
        <v/>
      </c>
      <c r="M1168" t="str">
        <f ca="1">IFERROR(__xludf.DUMMYFUNCTION("""COMPUTED_VALUE"""),"")</f>
        <v/>
      </c>
      <c r="N1168" s="4" t="str">
        <f ca="1">IFERROR(__xludf.DUMMYFUNCTION("""COMPUTED_VALUE"""),"")</f>
        <v/>
      </c>
      <c r="O1168" s="4" t="str">
        <f ca="1">IFERROR(__xludf.DUMMYFUNCTION("""COMPUTED_VALUE"""),"")</f>
        <v/>
      </c>
      <c r="P1168" t="str">
        <f ca="1">IFERROR(__xludf.DUMMYFUNCTION("""COMPUTED_VALUE"""),"")</f>
        <v/>
      </c>
      <c r="Q1168" t="str">
        <f ca="1">IFERROR(__xludf.DUMMYFUNCTION("""COMPUTED_VALUE"""),"")</f>
        <v/>
      </c>
      <c r="R1168" s="2" t="s">
        <v>3582</v>
      </c>
    </row>
    <row r="1169" spans="1:18" ht="13" x14ac:dyDescent="0.15">
      <c r="A1169" s="3" t="str">
        <f ca="1">IFERROR(__xludf.DUMMYFUNCTION("""COMPUTED_VALUE"""),"")</f>
        <v/>
      </c>
      <c r="B1169" t="str">
        <f ca="1">IFERROR(__xludf.DUMMYFUNCTION("""COMPUTED_VALUE"""),"")</f>
        <v/>
      </c>
      <c r="C1169" t="str">
        <f ca="1">IFERROR(__xludf.DUMMYFUNCTION("""COMPUTED_VALUE"""),"")</f>
        <v/>
      </c>
      <c r="D1169" t="str">
        <f ca="1">IFERROR(__xludf.DUMMYFUNCTION("""COMPUTED_VALUE"""),"")</f>
        <v/>
      </c>
      <c r="E1169" t="str">
        <f ca="1">IFERROR(__xludf.DUMMYFUNCTION("""COMPUTED_VALUE"""),"")</f>
        <v/>
      </c>
      <c r="F1169" t="str">
        <f ca="1">IFERROR(__xludf.DUMMYFUNCTION("""COMPUTED_VALUE"""),"")</f>
        <v/>
      </c>
      <c r="G1169" t="str">
        <f ca="1">IFERROR(__xludf.DUMMYFUNCTION("""COMPUTED_VALUE"""),"")</f>
        <v/>
      </c>
      <c r="H1169" t="str">
        <f ca="1">IFERROR(__xludf.DUMMYFUNCTION("""COMPUTED_VALUE"""),"")</f>
        <v/>
      </c>
      <c r="I1169" s="4" t="str">
        <f ca="1">IFERROR(__xludf.DUMMYFUNCTION("""COMPUTED_VALUE"""),"")</f>
        <v/>
      </c>
      <c r="J1169" t="str">
        <f ca="1">IFERROR(__xludf.DUMMYFUNCTION("""COMPUTED_VALUE"""),"")</f>
        <v/>
      </c>
      <c r="K1169" t="str">
        <f ca="1">IFERROR(__xludf.DUMMYFUNCTION("""COMPUTED_VALUE"""),"")</f>
        <v/>
      </c>
      <c r="L1169" t="str">
        <f ca="1">IFERROR(__xludf.DUMMYFUNCTION("""COMPUTED_VALUE"""),"")</f>
        <v/>
      </c>
      <c r="M1169" t="str">
        <f ca="1">IFERROR(__xludf.DUMMYFUNCTION("""COMPUTED_VALUE"""),"")</f>
        <v/>
      </c>
      <c r="N1169" s="4" t="str">
        <f ca="1">IFERROR(__xludf.DUMMYFUNCTION("""COMPUTED_VALUE"""),"")</f>
        <v/>
      </c>
      <c r="O1169" s="4" t="str">
        <f ca="1">IFERROR(__xludf.DUMMYFUNCTION("""COMPUTED_VALUE"""),"")</f>
        <v/>
      </c>
      <c r="P1169" t="str">
        <f ca="1">IFERROR(__xludf.DUMMYFUNCTION("""COMPUTED_VALUE"""),"")</f>
        <v/>
      </c>
      <c r="Q1169" t="str">
        <f ca="1">IFERROR(__xludf.DUMMYFUNCTION("""COMPUTED_VALUE"""),"")</f>
        <v/>
      </c>
      <c r="R1169" s="2"/>
    </row>
    <row r="1170" spans="1:18" ht="13" x14ac:dyDescent="0.15">
      <c r="A1170" s="3" t="str">
        <f ca="1">IFERROR(__xludf.DUMMYFUNCTION("""COMPUTED_VALUE"""),"")</f>
        <v/>
      </c>
      <c r="B1170" t="str">
        <f ca="1">IFERROR(__xludf.DUMMYFUNCTION("""COMPUTED_VALUE"""),"")</f>
        <v/>
      </c>
      <c r="C1170" t="str">
        <f ca="1">IFERROR(__xludf.DUMMYFUNCTION("""COMPUTED_VALUE"""),"")</f>
        <v/>
      </c>
      <c r="D1170" t="str">
        <f ca="1">IFERROR(__xludf.DUMMYFUNCTION("""COMPUTED_VALUE"""),"")</f>
        <v/>
      </c>
      <c r="E1170" t="str">
        <f ca="1">IFERROR(__xludf.DUMMYFUNCTION("""COMPUTED_VALUE"""),"")</f>
        <v/>
      </c>
      <c r="F1170" t="str">
        <f ca="1">IFERROR(__xludf.DUMMYFUNCTION("""COMPUTED_VALUE"""),"")</f>
        <v/>
      </c>
      <c r="G1170" t="str">
        <f ca="1">IFERROR(__xludf.DUMMYFUNCTION("""COMPUTED_VALUE"""),"")</f>
        <v/>
      </c>
      <c r="H1170" t="str">
        <f ca="1">IFERROR(__xludf.DUMMYFUNCTION("""COMPUTED_VALUE"""),"")</f>
        <v/>
      </c>
      <c r="I1170" s="4" t="str">
        <f ca="1">IFERROR(__xludf.DUMMYFUNCTION("""COMPUTED_VALUE"""),"")</f>
        <v/>
      </c>
      <c r="J1170" t="str">
        <f ca="1">IFERROR(__xludf.DUMMYFUNCTION("""COMPUTED_VALUE"""),"")</f>
        <v/>
      </c>
      <c r="K1170" t="str">
        <f ca="1">IFERROR(__xludf.DUMMYFUNCTION("""COMPUTED_VALUE"""),"")</f>
        <v/>
      </c>
      <c r="L1170" t="str">
        <f ca="1">IFERROR(__xludf.DUMMYFUNCTION("""COMPUTED_VALUE"""),"")</f>
        <v/>
      </c>
      <c r="M1170" t="str">
        <f ca="1">IFERROR(__xludf.DUMMYFUNCTION("""COMPUTED_VALUE"""),"")</f>
        <v/>
      </c>
      <c r="N1170" s="4" t="str">
        <f ca="1">IFERROR(__xludf.DUMMYFUNCTION("""COMPUTED_VALUE"""),"")</f>
        <v/>
      </c>
      <c r="O1170" s="4" t="str">
        <f ca="1">IFERROR(__xludf.DUMMYFUNCTION("""COMPUTED_VALUE"""),"")</f>
        <v/>
      </c>
      <c r="P1170" t="str">
        <f ca="1">IFERROR(__xludf.DUMMYFUNCTION("""COMPUTED_VALUE"""),"")</f>
        <v/>
      </c>
      <c r="Q1170" t="str">
        <f ca="1">IFERROR(__xludf.DUMMYFUNCTION("""COMPUTED_VALUE"""),"")</f>
        <v/>
      </c>
      <c r="R1170" s="2"/>
    </row>
    <row r="1171" spans="1:18" ht="13" x14ac:dyDescent="0.15">
      <c r="A1171" s="3" t="str">
        <f ca="1">IFERROR(__xludf.DUMMYFUNCTION("""COMPUTED_VALUE"""),"")</f>
        <v/>
      </c>
      <c r="B1171" t="str">
        <f ca="1">IFERROR(__xludf.DUMMYFUNCTION("""COMPUTED_VALUE"""),"")</f>
        <v/>
      </c>
      <c r="C1171" t="str">
        <f ca="1">IFERROR(__xludf.DUMMYFUNCTION("""COMPUTED_VALUE"""),"")</f>
        <v/>
      </c>
      <c r="D1171" t="str">
        <f ca="1">IFERROR(__xludf.DUMMYFUNCTION("""COMPUTED_VALUE"""),"")</f>
        <v/>
      </c>
      <c r="E1171" t="str">
        <f ca="1">IFERROR(__xludf.DUMMYFUNCTION("""COMPUTED_VALUE"""),"")</f>
        <v/>
      </c>
      <c r="F1171" t="str">
        <f ca="1">IFERROR(__xludf.DUMMYFUNCTION("""COMPUTED_VALUE"""),"")</f>
        <v/>
      </c>
      <c r="G1171" t="str">
        <f ca="1">IFERROR(__xludf.DUMMYFUNCTION("""COMPUTED_VALUE"""),"")</f>
        <v/>
      </c>
      <c r="H1171" t="str">
        <f ca="1">IFERROR(__xludf.DUMMYFUNCTION("""COMPUTED_VALUE"""),"")</f>
        <v/>
      </c>
      <c r="I1171" s="4" t="str">
        <f ca="1">IFERROR(__xludf.DUMMYFUNCTION("""COMPUTED_VALUE"""),"")</f>
        <v/>
      </c>
      <c r="J1171" t="str">
        <f ca="1">IFERROR(__xludf.DUMMYFUNCTION("""COMPUTED_VALUE"""),"")</f>
        <v/>
      </c>
      <c r="K1171" t="str">
        <f ca="1">IFERROR(__xludf.DUMMYFUNCTION("""COMPUTED_VALUE"""),"")</f>
        <v/>
      </c>
      <c r="L1171" t="str">
        <f ca="1">IFERROR(__xludf.DUMMYFUNCTION("""COMPUTED_VALUE"""),"")</f>
        <v/>
      </c>
      <c r="M1171" t="str">
        <f ca="1">IFERROR(__xludf.DUMMYFUNCTION("""COMPUTED_VALUE"""),"")</f>
        <v/>
      </c>
      <c r="N1171" s="4" t="str">
        <f ca="1">IFERROR(__xludf.DUMMYFUNCTION("""COMPUTED_VALUE"""),"")</f>
        <v/>
      </c>
      <c r="O1171" s="4" t="str">
        <f ca="1">IFERROR(__xludf.DUMMYFUNCTION("""COMPUTED_VALUE"""),"")</f>
        <v/>
      </c>
      <c r="P1171" t="str">
        <f ca="1">IFERROR(__xludf.DUMMYFUNCTION("""COMPUTED_VALUE"""),"")</f>
        <v/>
      </c>
      <c r="Q1171" t="str">
        <f ca="1">IFERROR(__xludf.DUMMYFUNCTION("""COMPUTED_VALUE"""),"")</f>
        <v/>
      </c>
      <c r="R1171" s="2"/>
    </row>
    <row r="1172" spans="1:18" ht="13" x14ac:dyDescent="0.15">
      <c r="A1172" s="3" t="str">
        <f ca="1">IFERROR(__xludf.DUMMYFUNCTION("""COMPUTED_VALUE"""),"")</f>
        <v/>
      </c>
      <c r="B1172" t="str">
        <f ca="1">IFERROR(__xludf.DUMMYFUNCTION("""COMPUTED_VALUE"""),"")</f>
        <v/>
      </c>
      <c r="C1172" t="str">
        <f ca="1">IFERROR(__xludf.DUMMYFUNCTION("""COMPUTED_VALUE"""),"")</f>
        <v/>
      </c>
      <c r="D1172" t="str">
        <f ca="1">IFERROR(__xludf.DUMMYFUNCTION("""COMPUTED_VALUE"""),"")</f>
        <v/>
      </c>
      <c r="E1172" t="str">
        <f ca="1">IFERROR(__xludf.DUMMYFUNCTION("""COMPUTED_VALUE"""),"")</f>
        <v/>
      </c>
      <c r="F1172" t="str">
        <f ca="1">IFERROR(__xludf.DUMMYFUNCTION("""COMPUTED_VALUE"""),"")</f>
        <v/>
      </c>
      <c r="G1172" t="str">
        <f ca="1">IFERROR(__xludf.DUMMYFUNCTION("""COMPUTED_VALUE"""),"")</f>
        <v/>
      </c>
      <c r="H1172" t="str">
        <f ca="1">IFERROR(__xludf.DUMMYFUNCTION("""COMPUTED_VALUE"""),"")</f>
        <v/>
      </c>
      <c r="I1172" s="4" t="str">
        <f ca="1">IFERROR(__xludf.DUMMYFUNCTION("""COMPUTED_VALUE"""),"")</f>
        <v/>
      </c>
      <c r="J1172" t="str">
        <f ca="1">IFERROR(__xludf.DUMMYFUNCTION("""COMPUTED_VALUE"""),"")</f>
        <v/>
      </c>
      <c r="K1172" t="str">
        <f ca="1">IFERROR(__xludf.DUMMYFUNCTION("""COMPUTED_VALUE"""),"")</f>
        <v/>
      </c>
      <c r="L1172" t="str">
        <f ca="1">IFERROR(__xludf.DUMMYFUNCTION("""COMPUTED_VALUE"""),"")</f>
        <v/>
      </c>
      <c r="M1172" t="str">
        <f ca="1">IFERROR(__xludf.DUMMYFUNCTION("""COMPUTED_VALUE"""),"")</f>
        <v/>
      </c>
      <c r="N1172" s="4" t="str">
        <f ca="1">IFERROR(__xludf.DUMMYFUNCTION("""COMPUTED_VALUE"""),"")</f>
        <v/>
      </c>
      <c r="O1172" s="4" t="str">
        <f ca="1">IFERROR(__xludf.DUMMYFUNCTION("""COMPUTED_VALUE"""),"")</f>
        <v/>
      </c>
      <c r="P1172" t="str">
        <f ca="1">IFERROR(__xludf.DUMMYFUNCTION("""COMPUTED_VALUE"""),"")</f>
        <v/>
      </c>
      <c r="Q1172" t="str">
        <f ca="1">IFERROR(__xludf.DUMMYFUNCTION("""COMPUTED_VALUE"""),"")</f>
        <v/>
      </c>
      <c r="R1172" s="2"/>
    </row>
    <row r="1173" spans="1:18" ht="13" x14ac:dyDescent="0.15">
      <c r="A1173" s="3" t="str">
        <f ca="1">IFERROR(__xludf.DUMMYFUNCTION("""COMPUTED_VALUE"""),"")</f>
        <v/>
      </c>
      <c r="B1173" t="str">
        <f ca="1">IFERROR(__xludf.DUMMYFUNCTION("""COMPUTED_VALUE"""),"")</f>
        <v/>
      </c>
      <c r="C1173" t="str">
        <f ca="1">IFERROR(__xludf.DUMMYFUNCTION("""COMPUTED_VALUE"""),"")</f>
        <v/>
      </c>
      <c r="D1173" t="str">
        <f ca="1">IFERROR(__xludf.DUMMYFUNCTION("""COMPUTED_VALUE"""),"")</f>
        <v/>
      </c>
      <c r="E1173" t="str">
        <f ca="1">IFERROR(__xludf.DUMMYFUNCTION("""COMPUTED_VALUE"""),"")</f>
        <v/>
      </c>
      <c r="F1173" t="str">
        <f ca="1">IFERROR(__xludf.DUMMYFUNCTION("""COMPUTED_VALUE"""),"")</f>
        <v/>
      </c>
      <c r="G1173" t="str">
        <f ca="1">IFERROR(__xludf.DUMMYFUNCTION("""COMPUTED_VALUE"""),"")</f>
        <v/>
      </c>
      <c r="H1173" t="str">
        <f ca="1">IFERROR(__xludf.DUMMYFUNCTION("""COMPUTED_VALUE"""),"")</f>
        <v/>
      </c>
      <c r="I1173" s="4" t="str">
        <f ca="1">IFERROR(__xludf.DUMMYFUNCTION("""COMPUTED_VALUE"""),"")</f>
        <v/>
      </c>
      <c r="J1173" t="str">
        <f ca="1">IFERROR(__xludf.DUMMYFUNCTION("""COMPUTED_VALUE"""),"")</f>
        <v/>
      </c>
      <c r="K1173" t="str">
        <f ca="1">IFERROR(__xludf.DUMMYFUNCTION("""COMPUTED_VALUE"""),"")</f>
        <v/>
      </c>
      <c r="L1173" t="str">
        <f ca="1">IFERROR(__xludf.DUMMYFUNCTION("""COMPUTED_VALUE"""),"")</f>
        <v/>
      </c>
      <c r="M1173" t="str">
        <f ca="1">IFERROR(__xludf.DUMMYFUNCTION("""COMPUTED_VALUE"""),"")</f>
        <v/>
      </c>
      <c r="N1173" s="4" t="str">
        <f ca="1">IFERROR(__xludf.DUMMYFUNCTION("""COMPUTED_VALUE"""),"")</f>
        <v/>
      </c>
      <c r="O1173" s="4" t="str">
        <f ca="1">IFERROR(__xludf.DUMMYFUNCTION("""COMPUTED_VALUE"""),"")</f>
        <v/>
      </c>
      <c r="P1173" t="str">
        <f ca="1">IFERROR(__xludf.DUMMYFUNCTION("""COMPUTED_VALUE"""),"")</f>
        <v/>
      </c>
      <c r="Q1173" t="str">
        <f ca="1">IFERROR(__xludf.DUMMYFUNCTION("""COMPUTED_VALUE"""),"")</f>
        <v/>
      </c>
      <c r="R1173" s="2"/>
    </row>
    <row r="1174" spans="1:18" ht="13" x14ac:dyDescent="0.15">
      <c r="A1174" s="3" t="str">
        <f ca="1">IFERROR(__xludf.DUMMYFUNCTION("""COMPUTED_VALUE"""),"")</f>
        <v/>
      </c>
      <c r="B1174" t="str">
        <f ca="1">IFERROR(__xludf.DUMMYFUNCTION("""COMPUTED_VALUE"""),"")</f>
        <v/>
      </c>
      <c r="C1174" t="str">
        <f ca="1">IFERROR(__xludf.DUMMYFUNCTION("""COMPUTED_VALUE"""),"")</f>
        <v/>
      </c>
      <c r="D1174" t="str">
        <f ca="1">IFERROR(__xludf.DUMMYFUNCTION("""COMPUTED_VALUE"""),"")</f>
        <v/>
      </c>
      <c r="E1174" t="str">
        <f ca="1">IFERROR(__xludf.DUMMYFUNCTION("""COMPUTED_VALUE"""),"")</f>
        <v/>
      </c>
      <c r="F1174" t="str">
        <f ca="1">IFERROR(__xludf.DUMMYFUNCTION("""COMPUTED_VALUE"""),"")</f>
        <v/>
      </c>
      <c r="G1174" t="str">
        <f ca="1">IFERROR(__xludf.DUMMYFUNCTION("""COMPUTED_VALUE"""),"")</f>
        <v/>
      </c>
      <c r="H1174" t="str">
        <f ca="1">IFERROR(__xludf.DUMMYFUNCTION("""COMPUTED_VALUE"""),"")</f>
        <v/>
      </c>
      <c r="I1174" s="4" t="str">
        <f ca="1">IFERROR(__xludf.DUMMYFUNCTION("""COMPUTED_VALUE"""),"")</f>
        <v/>
      </c>
      <c r="J1174" t="str">
        <f ca="1">IFERROR(__xludf.DUMMYFUNCTION("""COMPUTED_VALUE"""),"")</f>
        <v/>
      </c>
      <c r="K1174" t="str">
        <f ca="1">IFERROR(__xludf.DUMMYFUNCTION("""COMPUTED_VALUE"""),"")</f>
        <v/>
      </c>
      <c r="L1174" t="str">
        <f ca="1">IFERROR(__xludf.DUMMYFUNCTION("""COMPUTED_VALUE"""),"")</f>
        <v/>
      </c>
      <c r="M1174" t="str">
        <f ca="1">IFERROR(__xludf.DUMMYFUNCTION("""COMPUTED_VALUE"""),"")</f>
        <v/>
      </c>
      <c r="N1174" s="4" t="str">
        <f ca="1">IFERROR(__xludf.DUMMYFUNCTION("""COMPUTED_VALUE"""),"")</f>
        <v/>
      </c>
      <c r="O1174" s="4" t="str">
        <f ca="1">IFERROR(__xludf.DUMMYFUNCTION("""COMPUTED_VALUE"""),"")</f>
        <v/>
      </c>
      <c r="P1174" t="str">
        <f ca="1">IFERROR(__xludf.DUMMYFUNCTION("""COMPUTED_VALUE"""),"")</f>
        <v/>
      </c>
      <c r="Q1174" t="str">
        <f ca="1">IFERROR(__xludf.DUMMYFUNCTION("""COMPUTED_VALUE"""),"")</f>
        <v/>
      </c>
      <c r="R1174" s="2"/>
    </row>
    <row r="1175" spans="1:18" ht="13" x14ac:dyDescent="0.15">
      <c r="A1175" s="3" t="str">
        <f ca="1">IFERROR(__xludf.DUMMYFUNCTION("""COMPUTED_VALUE"""),"")</f>
        <v/>
      </c>
      <c r="B1175" t="str">
        <f ca="1">IFERROR(__xludf.DUMMYFUNCTION("""COMPUTED_VALUE"""),"")</f>
        <v/>
      </c>
      <c r="C1175" t="str">
        <f ca="1">IFERROR(__xludf.DUMMYFUNCTION("""COMPUTED_VALUE"""),"")</f>
        <v/>
      </c>
      <c r="D1175" t="str">
        <f ca="1">IFERROR(__xludf.DUMMYFUNCTION("""COMPUTED_VALUE"""),"")</f>
        <v/>
      </c>
      <c r="E1175" t="str">
        <f ca="1">IFERROR(__xludf.DUMMYFUNCTION("""COMPUTED_VALUE"""),"")</f>
        <v/>
      </c>
      <c r="F1175" t="str">
        <f ca="1">IFERROR(__xludf.DUMMYFUNCTION("""COMPUTED_VALUE"""),"")</f>
        <v/>
      </c>
      <c r="G1175" t="str">
        <f ca="1">IFERROR(__xludf.DUMMYFUNCTION("""COMPUTED_VALUE"""),"")</f>
        <v/>
      </c>
      <c r="H1175" t="str">
        <f ca="1">IFERROR(__xludf.DUMMYFUNCTION("""COMPUTED_VALUE"""),"")</f>
        <v/>
      </c>
      <c r="I1175" s="4" t="str">
        <f ca="1">IFERROR(__xludf.DUMMYFUNCTION("""COMPUTED_VALUE"""),"")</f>
        <v/>
      </c>
      <c r="J1175" t="str">
        <f ca="1">IFERROR(__xludf.DUMMYFUNCTION("""COMPUTED_VALUE"""),"")</f>
        <v/>
      </c>
      <c r="K1175" t="str">
        <f ca="1">IFERROR(__xludf.DUMMYFUNCTION("""COMPUTED_VALUE"""),"")</f>
        <v/>
      </c>
      <c r="L1175" t="str">
        <f ca="1">IFERROR(__xludf.DUMMYFUNCTION("""COMPUTED_VALUE"""),"")</f>
        <v/>
      </c>
      <c r="M1175" t="str">
        <f ca="1">IFERROR(__xludf.DUMMYFUNCTION("""COMPUTED_VALUE"""),"")</f>
        <v/>
      </c>
      <c r="N1175" s="4" t="str">
        <f ca="1">IFERROR(__xludf.DUMMYFUNCTION("""COMPUTED_VALUE"""),"")</f>
        <v/>
      </c>
      <c r="O1175" s="4" t="str">
        <f ca="1">IFERROR(__xludf.DUMMYFUNCTION("""COMPUTED_VALUE"""),"")</f>
        <v/>
      </c>
      <c r="P1175" t="str">
        <f ca="1">IFERROR(__xludf.DUMMYFUNCTION("""COMPUTED_VALUE"""),"")</f>
        <v/>
      </c>
      <c r="Q1175" t="str">
        <f ca="1">IFERROR(__xludf.DUMMYFUNCTION("""COMPUTED_VALUE"""),"")</f>
        <v/>
      </c>
      <c r="R1175" s="2"/>
    </row>
    <row r="1176" spans="1:18" ht="13" x14ac:dyDescent="0.15">
      <c r="A1176" s="3" t="str">
        <f ca="1">IFERROR(__xludf.DUMMYFUNCTION("""COMPUTED_VALUE"""),"")</f>
        <v/>
      </c>
      <c r="B1176" t="str">
        <f ca="1">IFERROR(__xludf.DUMMYFUNCTION("""COMPUTED_VALUE"""),"")</f>
        <v/>
      </c>
      <c r="C1176" t="str">
        <f ca="1">IFERROR(__xludf.DUMMYFUNCTION("""COMPUTED_VALUE"""),"")</f>
        <v/>
      </c>
      <c r="D1176" t="str">
        <f ca="1">IFERROR(__xludf.DUMMYFUNCTION("""COMPUTED_VALUE"""),"")</f>
        <v/>
      </c>
      <c r="E1176" t="str">
        <f ca="1">IFERROR(__xludf.DUMMYFUNCTION("""COMPUTED_VALUE"""),"")</f>
        <v/>
      </c>
      <c r="F1176" t="str">
        <f ca="1">IFERROR(__xludf.DUMMYFUNCTION("""COMPUTED_VALUE"""),"")</f>
        <v/>
      </c>
      <c r="G1176" t="str">
        <f ca="1">IFERROR(__xludf.DUMMYFUNCTION("""COMPUTED_VALUE"""),"")</f>
        <v/>
      </c>
      <c r="H1176" t="str">
        <f ca="1">IFERROR(__xludf.DUMMYFUNCTION("""COMPUTED_VALUE"""),"")</f>
        <v/>
      </c>
      <c r="I1176" s="4" t="str">
        <f ca="1">IFERROR(__xludf.DUMMYFUNCTION("""COMPUTED_VALUE"""),"")</f>
        <v/>
      </c>
      <c r="J1176" t="str">
        <f ca="1">IFERROR(__xludf.DUMMYFUNCTION("""COMPUTED_VALUE"""),"")</f>
        <v/>
      </c>
      <c r="K1176" t="str">
        <f ca="1">IFERROR(__xludf.DUMMYFUNCTION("""COMPUTED_VALUE"""),"")</f>
        <v/>
      </c>
      <c r="L1176" t="str">
        <f ca="1">IFERROR(__xludf.DUMMYFUNCTION("""COMPUTED_VALUE"""),"")</f>
        <v/>
      </c>
      <c r="M1176" t="str">
        <f ca="1">IFERROR(__xludf.DUMMYFUNCTION("""COMPUTED_VALUE"""),"")</f>
        <v/>
      </c>
      <c r="N1176" s="4" t="str">
        <f ca="1">IFERROR(__xludf.DUMMYFUNCTION("""COMPUTED_VALUE"""),"")</f>
        <v/>
      </c>
      <c r="O1176" s="4" t="str">
        <f ca="1">IFERROR(__xludf.DUMMYFUNCTION("""COMPUTED_VALUE"""),"")</f>
        <v/>
      </c>
      <c r="P1176" t="str">
        <f ca="1">IFERROR(__xludf.DUMMYFUNCTION("""COMPUTED_VALUE"""),"")</f>
        <v/>
      </c>
      <c r="Q1176" t="str">
        <f ca="1">IFERROR(__xludf.DUMMYFUNCTION("""COMPUTED_VALUE"""),"")</f>
        <v/>
      </c>
      <c r="R1176" s="2"/>
    </row>
    <row r="1177" spans="1:18" ht="13" x14ac:dyDescent="0.15">
      <c r="A1177" s="3" t="str">
        <f ca="1">IFERROR(__xludf.DUMMYFUNCTION("""COMPUTED_VALUE"""),"")</f>
        <v/>
      </c>
      <c r="B1177" t="str">
        <f ca="1">IFERROR(__xludf.DUMMYFUNCTION("""COMPUTED_VALUE"""),"")</f>
        <v/>
      </c>
      <c r="C1177" t="str">
        <f ca="1">IFERROR(__xludf.DUMMYFUNCTION("""COMPUTED_VALUE"""),"")</f>
        <v/>
      </c>
      <c r="D1177" t="str">
        <f ca="1">IFERROR(__xludf.DUMMYFUNCTION("""COMPUTED_VALUE"""),"")</f>
        <v/>
      </c>
      <c r="E1177" t="str">
        <f ca="1">IFERROR(__xludf.DUMMYFUNCTION("""COMPUTED_VALUE"""),"")</f>
        <v/>
      </c>
      <c r="F1177" t="str">
        <f ca="1">IFERROR(__xludf.DUMMYFUNCTION("""COMPUTED_VALUE"""),"")</f>
        <v/>
      </c>
      <c r="G1177" t="str">
        <f ca="1">IFERROR(__xludf.DUMMYFUNCTION("""COMPUTED_VALUE"""),"")</f>
        <v/>
      </c>
      <c r="H1177" t="str">
        <f ca="1">IFERROR(__xludf.DUMMYFUNCTION("""COMPUTED_VALUE"""),"")</f>
        <v/>
      </c>
      <c r="I1177" s="4" t="str">
        <f ca="1">IFERROR(__xludf.DUMMYFUNCTION("""COMPUTED_VALUE"""),"")</f>
        <v/>
      </c>
      <c r="J1177" t="str">
        <f ca="1">IFERROR(__xludf.DUMMYFUNCTION("""COMPUTED_VALUE"""),"")</f>
        <v/>
      </c>
      <c r="K1177" t="str">
        <f ca="1">IFERROR(__xludf.DUMMYFUNCTION("""COMPUTED_VALUE"""),"")</f>
        <v/>
      </c>
      <c r="L1177" t="str">
        <f ca="1">IFERROR(__xludf.DUMMYFUNCTION("""COMPUTED_VALUE"""),"")</f>
        <v/>
      </c>
      <c r="M1177" t="str">
        <f ca="1">IFERROR(__xludf.DUMMYFUNCTION("""COMPUTED_VALUE"""),"")</f>
        <v/>
      </c>
      <c r="N1177" s="4" t="str">
        <f ca="1">IFERROR(__xludf.DUMMYFUNCTION("""COMPUTED_VALUE"""),"")</f>
        <v/>
      </c>
      <c r="O1177" s="4" t="str">
        <f ca="1">IFERROR(__xludf.DUMMYFUNCTION("""COMPUTED_VALUE"""),"")</f>
        <v/>
      </c>
      <c r="P1177" t="str">
        <f ca="1">IFERROR(__xludf.DUMMYFUNCTION("""COMPUTED_VALUE"""),"")</f>
        <v/>
      </c>
      <c r="Q1177" t="str">
        <f ca="1">IFERROR(__xludf.DUMMYFUNCTION("""COMPUTED_VALUE"""),"")</f>
        <v/>
      </c>
      <c r="R1177" s="2"/>
    </row>
    <row r="1178" spans="1:18" ht="13" x14ac:dyDescent="0.15">
      <c r="A1178" s="3" t="str">
        <f ca="1">IFERROR(__xludf.DUMMYFUNCTION("""COMPUTED_VALUE"""),"")</f>
        <v/>
      </c>
      <c r="B1178" t="str">
        <f ca="1">IFERROR(__xludf.DUMMYFUNCTION("""COMPUTED_VALUE"""),"")</f>
        <v/>
      </c>
      <c r="C1178" t="str">
        <f ca="1">IFERROR(__xludf.DUMMYFUNCTION("""COMPUTED_VALUE"""),"")</f>
        <v/>
      </c>
      <c r="D1178" t="str">
        <f ca="1">IFERROR(__xludf.DUMMYFUNCTION("""COMPUTED_VALUE"""),"")</f>
        <v/>
      </c>
      <c r="E1178" t="str">
        <f ca="1">IFERROR(__xludf.DUMMYFUNCTION("""COMPUTED_VALUE"""),"")</f>
        <v/>
      </c>
      <c r="F1178" t="str">
        <f ca="1">IFERROR(__xludf.DUMMYFUNCTION("""COMPUTED_VALUE"""),"")</f>
        <v/>
      </c>
      <c r="G1178" t="str">
        <f ca="1">IFERROR(__xludf.DUMMYFUNCTION("""COMPUTED_VALUE"""),"")</f>
        <v/>
      </c>
      <c r="H1178" t="str">
        <f ca="1">IFERROR(__xludf.DUMMYFUNCTION("""COMPUTED_VALUE"""),"")</f>
        <v/>
      </c>
      <c r="I1178" s="4" t="str">
        <f ca="1">IFERROR(__xludf.DUMMYFUNCTION("""COMPUTED_VALUE"""),"")</f>
        <v/>
      </c>
      <c r="J1178" t="str">
        <f ca="1">IFERROR(__xludf.DUMMYFUNCTION("""COMPUTED_VALUE"""),"")</f>
        <v/>
      </c>
      <c r="K1178" t="str">
        <f ca="1">IFERROR(__xludf.DUMMYFUNCTION("""COMPUTED_VALUE"""),"")</f>
        <v/>
      </c>
      <c r="L1178" t="str">
        <f ca="1">IFERROR(__xludf.DUMMYFUNCTION("""COMPUTED_VALUE"""),"")</f>
        <v/>
      </c>
      <c r="M1178" t="str">
        <f ca="1">IFERROR(__xludf.DUMMYFUNCTION("""COMPUTED_VALUE"""),"")</f>
        <v/>
      </c>
      <c r="N1178" s="4" t="str">
        <f ca="1">IFERROR(__xludf.DUMMYFUNCTION("""COMPUTED_VALUE"""),"")</f>
        <v/>
      </c>
      <c r="O1178" s="4" t="str">
        <f ca="1">IFERROR(__xludf.DUMMYFUNCTION("""COMPUTED_VALUE"""),"")</f>
        <v/>
      </c>
      <c r="P1178" t="str">
        <f ca="1">IFERROR(__xludf.DUMMYFUNCTION("""COMPUTED_VALUE"""),"")</f>
        <v/>
      </c>
      <c r="Q1178" t="str">
        <f ca="1">IFERROR(__xludf.DUMMYFUNCTION("""COMPUTED_VALUE"""),"")</f>
        <v/>
      </c>
      <c r="R1178" s="2"/>
    </row>
    <row r="1179" spans="1:18" ht="13" x14ac:dyDescent="0.15">
      <c r="A1179" s="3" t="str">
        <f ca="1">IFERROR(__xludf.DUMMYFUNCTION("""COMPUTED_VALUE"""),"")</f>
        <v/>
      </c>
      <c r="B1179" t="str">
        <f ca="1">IFERROR(__xludf.DUMMYFUNCTION("""COMPUTED_VALUE"""),"")</f>
        <v/>
      </c>
      <c r="C1179" t="str">
        <f ca="1">IFERROR(__xludf.DUMMYFUNCTION("""COMPUTED_VALUE"""),"")</f>
        <v/>
      </c>
      <c r="D1179" t="str">
        <f ca="1">IFERROR(__xludf.DUMMYFUNCTION("""COMPUTED_VALUE"""),"")</f>
        <v/>
      </c>
      <c r="E1179" t="str">
        <f ca="1">IFERROR(__xludf.DUMMYFUNCTION("""COMPUTED_VALUE"""),"")</f>
        <v/>
      </c>
      <c r="F1179" t="str">
        <f ca="1">IFERROR(__xludf.DUMMYFUNCTION("""COMPUTED_VALUE"""),"")</f>
        <v/>
      </c>
      <c r="G1179" t="str">
        <f ca="1">IFERROR(__xludf.DUMMYFUNCTION("""COMPUTED_VALUE"""),"")</f>
        <v/>
      </c>
      <c r="H1179" t="str">
        <f ca="1">IFERROR(__xludf.DUMMYFUNCTION("""COMPUTED_VALUE"""),"")</f>
        <v/>
      </c>
      <c r="I1179" s="4" t="str">
        <f ca="1">IFERROR(__xludf.DUMMYFUNCTION("""COMPUTED_VALUE"""),"")</f>
        <v/>
      </c>
      <c r="J1179" t="str">
        <f ca="1">IFERROR(__xludf.DUMMYFUNCTION("""COMPUTED_VALUE"""),"")</f>
        <v/>
      </c>
      <c r="K1179" t="str">
        <f ca="1">IFERROR(__xludf.DUMMYFUNCTION("""COMPUTED_VALUE"""),"")</f>
        <v/>
      </c>
      <c r="L1179" t="str">
        <f ca="1">IFERROR(__xludf.DUMMYFUNCTION("""COMPUTED_VALUE"""),"")</f>
        <v/>
      </c>
      <c r="M1179" t="str">
        <f ca="1">IFERROR(__xludf.DUMMYFUNCTION("""COMPUTED_VALUE"""),"")</f>
        <v/>
      </c>
      <c r="N1179" s="4" t="str">
        <f ca="1">IFERROR(__xludf.DUMMYFUNCTION("""COMPUTED_VALUE"""),"")</f>
        <v/>
      </c>
      <c r="O1179" s="4" t="str">
        <f ca="1">IFERROR(__xludf.DUMMYFUNCTION("""COMPUTED_VALUE"""),"")</f>
        <v/>
      </c>
      <c r="P1179" t="str">
        <f ca="1">IFERROR(__xludf.DUMMYFUNCTION("""COMPUTED_VALUE"""),"")</f>
        <v/>
      </c>
      <c r="Q1179" t="str">
        <f ca="1">IFERROR(__xludf.DUMMYFUNCTION("""COMPUTED_VALUE"""),"")</f>
        <v/>
      </c>
      <c r="R1179" s="2"/>
    </row>
    <row r="1180" spans="1:18" ht="13" x14ac:dyDescent="0.15">
      <c r="A1180" s="3" t="str">
        <f ca="1">IFERROR(__xludf.DUMMYFUNCTION("""COMPUTED_VALUE"""),"")</f>
        <v/>
      </c>
      <c r="B1180" t="str">
        <f ca="1">IFERROR(__xludf.DUMMYFUNCTION("""COMPUTED_VALUE"""),"")</f>
        <v/>
      </c>
      <c r="C1180" t="str">
        <f ca="1">IFERROR(__xludf.DUMMYFUNCTION("""COMPUTED_VALUE"""),"")</f>
        <v/>
      </c>
      <c r="D1180" t="str">
        <f ca="1">IFERROR(__xludf.DUMMYFUNCTION("""COMPUTED_VALUE"""),"")</f>
        <v/>
      </c>
      <c r="E1180" t="str">
        <f ca="1">IFERROR(__xludf.DUMMYFUNCTION("""COMPUTED_VALUE"""),"")</f>
        <v/>
      </c>
      <c r="F1180" t="str">
        <f ca="1">IFERROR(__xludf.DUMMYFUNCTION("""COMPUTED_VALUE"""),"")</f>
        <v/>
      </c>
      <c r="G1180" t="str">
        <f ca="1">IFERROR(__xludf.DUMMYFUNCTION("""COMPUTED_VALUE"""),"")</f>
        <v/>
      </c>
      <c r="H1180" t="str">
        <f ca="1">IFERROR(__xludf.DUMMYFUNCTION("""COMPUTED_VALUE"""),"")</f>
        <v/>
      </c>
      <c r="I1180" s="4" t="str">
        <f ca="1">IFERROR(__xludf.DUMMYFUNCTION("""COMPUTED_VALUE"""),"")</f>
        <v/>
      </c>
      <c r="J1180" t="str">
        <f ca="1">IFERROR(__xludf.DUMMYFUNCTION("""COMPUTED_VALUE"""),"")</f>
        <v/>
      </c>
      <c r="K1180" t="str">
        <f ca="1">IFERROR(__xludf.DUMMYFUNCTION("""COMPUTED_VALUE"""),"")</f>
        <v/>
      </c>
      <c r="L1180" t="str">
        <f ca="1">IFERROR(__xludf.DUMMYFUNCTION("""COMPUTED_VALUE"""),"")</f>
        <v/>
      </c>
      <c r="M1180" t="str">
        <f ca="1">IFERROR(__xludf.DUMMYFUNCTION("""COMPUTED_VALUE"""),"")</f>
        <v/>
      </c>
      <c r="N1180" s="4" t="str">
        <f ca="1">IFERROR(__xludf.DUMMYFUNCTION("""COMPUTED_VALUE"""),"")</f>
        <v/>
      </c>
      <c r="O1180" s="4" t="str">
        <f ca="1">IFERROR(__xludf.DUMMYFUNCTION("""COMPUTED_VALUE"""),"")</f>
        <v/>
      </c>
      <c r="P1180" t="str">
        <f ca="1">IFERROR(__xludf.DUMMYFUNCTION("""COMPUTED_VALUE"""),"")</f>
        <v/>
      </c>
      <c r="Q1180" t="str">
        <f ca="1">IFERROR(__xludf.DUMMYFUNCTION("""COMPUTED_VALUE"""),"")</f>
        <v/>
      </c>
      <c r="R1180" s="2"/>
    </row>
    <row r="1181" spans="1:18" ht="13" x14ac:dyDescent="0.15">
      <c r="A1181" s="3" t="str">
        <f ca="1">IFERROR(__xludf.DUMMYFUNCTION("""COMPUTED_VALUE"""),"")</f>
        <v/>
      </c>
      <c r="B1181" t="str">
        <f ca="1">IFERROR(__xludf.DUMMYFUNCTION("""COMPUTED_VALUE"""),"")</f>
        <v/>
      </c>
      <c r="C1181" t="str">
        <f ca="1">IFERROR(__xludf.DUMMYFUNCTION("""COMPUTED_VALUE"""),"")</f>
        <v/>
      </c>
      <c r="D1181" t="str">
        <f ca="1">IFERROR(__xludf.DUMMYFUNCTION("""COMPUTED_VALUE"""),"")</f>
        <v/>
      </c>
      <c r="E1181" t="str">
        <f ca="1">IFERROR(__xludf.DUMMYFUNCTION("""COMPUTED_VALUE"""),"")</f>
        <v/>
      </c>
      <c r="F1181" t="str">
        <f ca="1">IFERROR(__xludf.DUMMYFUNCTION("""COMPUTED_VALUE"""),"")</f>
        <v/>
      </c>
      <c r="G1181" t="str">
        <f ca="1">IFERROR(__xludf.DUMMYFUNCTION("""COMPUTED_VALUE"""),"")</f>
        <v/>
      </c>
      <c r="H1181" t="str">
        <f ca="1">IFERROR(__xludf.DUMMYFUNCTION("""COMPUTED_VALUE"""),"")</f>
        <v/>
      </c>
      <c r="I1181" s="4" t="str">
        <f ca="1">IFERROR(__xludf.DUMMYFUNCTION("""COMPUTED_VALUE"""),"")</f>
        <v/>
      </c>
      <c r="J1181" t="str">
        <f ca="1">IFERROR(__xludf.DUMMYFUNCTION("""COMPUTED_VALUE"""),"")</f>
        <v/>
      </c>
      <c r="K1181" t="str">
        <f ca="1">IFERROR(__xludf.DUMMYFUNCTION("""COMPUTED_VALUE"""),"")</f>
        <v/>
      </c>
      <c r="L1181" t="str">
        <f ca="1">IFERROR(__xludf.DUMMYFUNCTION("""COMPUTED_VALUE"""),"")</f>
        <v/>
      </c>
      <c r="M1181" t="str">
        <f ca="1">IFERROR(__xludf.DUMMYFUNCTION("""COMPUTED_VALUE"""),"")</f>
        <v/>
      </c>
      <c r="N1181" s="4" t="str">
        <f ca="1">IFERROR(__xludf.DUMMYFUNCTION("""COMPUTED_VALUE"""),"")</f>
        <v/>
      </c>
      <c r="O1181" s="4" t="str">
        <f ca="1">IFERROR(__xludf.DUMMYFUNCTION("""COMPUTED_VALUE"""),"")</f>
        <v/>
      </c>
      <c r="P1181" t="str">
        <f ca="1">IFERROR(__xludf.DUMMYFUNCTION("""COMPUTED_VALUE"""),"")</f>
        <v/>
      </c>
      <c r="Q1181" t="str">
        <f ca="1">IFERROR(__xludf.DUMMYFUNCTION("""COMPUTED_VALUE"""),"")</f>
        <v/>
      </c>
      <c r="R1181" s="2"/>
    </row>
    <row r="1182" spans="1:18" ht="13" x14ac:dyDescent="0.15">
      <c r="A1182" s="3" t="str">
        <f ca="1">IFERROR(__xludf.DUMMYFUNCTION("""COMPUTED_VALUE"""),"")</f>
        <v/>
      </c>
      <c r="B1182" t="str">
        <f ca="1">IFERROR(__xludf.DUMMYFUNCTION("""COMPUTED_VALUE"""),"")</f>
        <v/>
      </c>
      <c r="C1182" t="str">
        <f ca="1">IFERROR(__xludf.DUMMYFUNCTION("""COMPUTED_VALUE"""),"")</f>
        <v/>
      </c>
      <c r="D1182" t="str">
        <f ca="1">IFERROR(__xludf.DUMMYFUNCTION("""COMPUTED_VALUE"""),"")</f>
        <v/>
      </c>
      <c r="E1182" t="str">
        <f ca="1">IFERROR(__xludf.DUMMYFUNCTION("""COMPUTED_VALUE"""),"")</f>
        <v/>
      </c>
      <c r="F1182" t="str">
        <f ca="1">IFERROR(__xludf.DUMMYFUNCTION("""COMPUTED_VALUE"""),"")</f>
        <v/>
      </c>
      <c r="G1182" t="str">
        <f ca="1">IFERROR(__xludf.DUMMYFUNCTION("""COMPUTED_VALUE"""),"")</f>
        <v/>
      </c>
      <c r="H1182" t="str">
        <f ca="1">IFERROR(__xludf.DUMMYFUNCTION("""COMPUTED_VALUE"""),"")</f>
        <v/>
      </c>
      <c r="I1182" s="4" t="str">
        <f ca="1">IFERROR(__xludf.DUMMYFUNCTION("""COMPUTED_VALUE"""),"")</f>
        <v/>
      </c>
      <c r="J1182" t="str">
        <f ca="1">IFERROR(__xludf.DUMMYFUNCTION("""COMPUTED_VALUE"""),"")</f>
        <v/>
      </c>
      <c r="K1182" t="str">
        <f ca="1">IFERROR(__xludf.DUMMYFUNCTION("""COMPUTED_VALUE"""),"")</f>
        <v/>
      </c>
      <c r="L1182" t="str">
        <f ca="1">IFERROR(__xludf.DUMMYFUNCTION("""COMPUTED_VALUE"""),"")</f>
        <v/>
      </c>
      <c r="M1182" t="str">
        <f ca="1">IFERROR(__xludf.DUMMYFUNCTION("""COMPUTED_VALUE"""),"")</f>
        <v/>
      </c>
      <c r="N1182" s="4" t="str">
        <f ca="1">IFERROR(__xludf.DUMMYFUNCTION("""COMPUTED_VALUE"""),"")</f>
        <v/>
      </c>
      <c r="O1182" s="4" t="str">
        <f ca="1">IFERROR(__xludf.DUMMYFUNCTION("""COMPUTED_VALUE"""),"")</f>
        <v/>
      </c>
      <c r="P1182" t="str">
        <f ca="1">IFERROR(__xludf.DUMMYFUNCTION("""COMPUTED_VALUE"""),"")</f>
        <v/>
      </c>
      <c r="Q1182" t="str">
        <f ca="1">IFERROR(__xludf.DUMMYFUNCTION("""COMPUTED_VALUE"""),"")</f>
        <v/>
      </c>
      <c r="R1182" s="2"/>
    </row>
    <row r="1183" spans="1:18" ht="13" x14ac:dyDescent="0.15">
      <c r="A1183" s="3" t="str">
        <f ca="1">IFERROR(__xludf.DUMMYFUNCTION("""COMPUTED_VALUE"""),"")</f>
        <v/>
      </c>
      <c r="B1183" t="str">
        <f ca="1">IFERROR(__xludf.DUMMYFUNCTION("""COMPUTED_VALUE"""),"")</f>
        <v/>
      </c>
      <c r="C1183" t="str">
        <f ca="1">IFERROR(__xludf.DUMMYFUNCTION("""COMPUTED_VALUE"""),"")</f>
        <v/>
      </c>
      <c r="D1183" t="str">
        <f ca="1">IFERROR(__xludf.DUMMYFUNCTION("""COMPUTED_VALUE"""),"")</f>
        <v/>
      </c>
      <c r="E1183" t="str">
        <f ca="1">IFERROR(__xludf.DUMMYFUNCTION("""COMPUTED_VALUE"""),"")</f>
        <v/>
      </c>
      <c r="F1183" t="str">
        <f ca="1">IFERROR(__xludf.DUMMYFUNCTION("""COMPUTED_VALUE"""),"")</f>
        <v/>
      </c>
      <c r="G1183" t="str">
        <f ca="1">IFERROR(__xludf.DUMMYFUNCTION("""COMPUTED_VALUE"""),"")</f>
        <v/>
      </c>
      <c r="H1183" t="str">
        <f ca="1">IFERROR(__xludf.DUMMYFUNCTION("""COMPUTED_VALUE"""),"")</f>
        <v/>
      </c>
      <c r="I1183" s="4" t="str">
        <f ca="1">IFERROR(__xludf.DUMMYFUNCTION("""COMPUTED_VALUE"""),"")</f>
        <v/>
      </c>
      <c r="J1183" t="str">
        <f ca="1">IFERROR(__xludf.DUMMYFUNCTION("""COMPUTED_VALUE"""),"")</f>
        <v/>
      </c>
      <c r="K1183" t="str">
        <f ca="1">IFERROR(__xludf.DUMMYFUNCTION("""COMPUTED_VALUE"""),"")</f>
        <v/>
      </c>
      <c r="L1183" t="str">
        <f ca="1">IFERROR(__xludf.DUMMYFUNCTION("""COMPUTED_VALUE"""),"")</f>
        <v/>
      </c>
      <c r="M1183" t="str">
        <f ca="1">IFERROR(__xludf.DUMMYFUNCTION("""COMPUTED_VALUE"""),"")</f>
        <v/>
      </c>
      <c r="N1183" s="4" t="str">
        <f ca="1">IFERROR(__xludf.DUMMYFUNCTION("""COMPUTED_VALUE"""),"")</f>
        <v/>
      </c>
      <c r="O1183" s="4" t="str">
        <f ca="1">IFERROR(__xludf.DUMMYFUNCTION("""COMPUTED_VALUE"""),"")</f>
        <v/>
      </c>
      <c r="P1183" t="str">
        <f ca="1">IFERROR(__xludf.DUMMYFUNCTION("""COMPUTED_VALUE"""),"")</f>
        <v/>
      </c>
      <c r="Q1183" t="str">
        <f ca="1">IFERROR(__xludf.DUMMYFUNCTION("""COMPUTED_VALUE"""),"")</f>
        <v/>
      </c>
      <c r="R1183" s="2"/>
    </row>
    <row r="1184" spans="1:18" ht="13" x14ac:dyDescent="0.15">
      <c r="A1184" s="3" t="str">
        <f ca="1">IFERROR(__xludf.DUMMYFUNCTION("""COMPUTED_VALUE"""),"")</f>
        <v/>
      </c>
      <c r="B1184" t="str">
        <f ca="1">IFERROR(__xludf.DUMMYFUNCTION("""COMPUTED_VALUE"""),"")</f>
        <v/>
      </c>
      <c r="C1184" t="str">
        <f ca="1">IFERROR(__xludf.DUMMYFUNCTION("""COMPUTED_VALUE"""),"")</f>
        <v/>
      </c>
      <c r="D1184" t="str">
        <f ca="1">IFERROR(__xludf.DUMMYFUNCTION("""COMPUTED_VALUE"""),"")</f>
        <v/>
      </c>
      <c r="E1184" t="str">
        <f ca="1">IFERROR(__xludf.DUMMYFUNCTION("""COMPUTED_VALUE"""),"")</f>
        <v/>
      </c>
      <c r="F1184" t="str">
        <f ca="1">IFERROR(__xludf.DUMMYFUNCTION("""COMPUTED_VALUE"""),"")</f>
        <v/>
      </c>
      <c r="G1184" t="str">
        <f ca="1">IFERROR(__xludf.DUMMYFUNCTION("""COMPUTED_VALUE"""),"")</f>
        <v/>
      </c>
      <c r="H1184" t="str">
        <f ca="1">IFERROR(__xludf.DUMMYFUNCTION("""COMPUTED_VALUE"""),"")</f>
        <v/>
      </c>
      <c r="I1184" s="4" t="str">
        <f ca="1">IFERROR(__xludf.DUMMYFUNCTION("""COMPUTED_VALUE"""),"")</f>
        <v/>
      </c>
      <c r="J1184" t="str">
        <f ca="1">IFERROR(__xludf.DUMMYFUNCTION("""COMPUTED_VALUE"""),"")</f>
        <v/>
      </c>
      <c r="K1184" t="str">
        <f ca="1">IFERROR(__xludf.DUMMYFUNCTION("""COMPUTED_VALUE"""),"")</f>
        <v/>
      </c>
      <c r="L1184" t="str">
        <f ca="1">IFERROR(__xludf.DUMMYFUNCTION("""COMPUTED_VALUE"""),"")</f>
        <v/>
      </c>
      <c r="M1184" t="str">
        <f ca="1">IFERROR(__xludf.DUMMYFUNCTION("""COMPUTED_VALUE"""),"")</f>
        <v/>
      </c>
      <c r="N1184" s="4" t="str">
        <f ca="1">IFERROR(__xludf.DUMMYFUNCTION("""COMPUTED_VALUE"""),"")</f>
        <v/>
      </c>
      <c r="O1184" s="4" t="str">
        <f ca="1">IFERROR(__xludf.DUMMYFUNCTION("""COMPUTED_VALUE"""),"")</f>
        <v/>
      </c>
      <c r="P1184" t="str">
        <f ca="1">IFERROR(__xludf.DUMMYFUNCTION("""COMPUTED_VALUE"""),"")</f>
        <v/>
      </c>
      <c r="Q1184" t="str">
        <f ca="1">IFERROR(__xludf.DUMMYFUNCTION("""COMPUTED_VALUE"""),"")</f>
        <v/>
      </c>
      <c r="R1184" s="2"/>
    </row>
    <row r="1185" spans="1:18" ht="13" x14ac:dyDescent="0.15">
      <c r="A1185" s="3" t="str">
        <f ca="1">IFERROR(__xludf.DUMMYFUNCTION("""COMPUTED_VALUE"""),"")</f>
        <v/>
      </c>
      <c r="B1185" t="str">
        <f ca="1">IFERROR(__xludf.DUMMYFUNCTION("""COMPUTED_VALUE"""),"")</f>
        <v/>
      </c>
      <c r="C1185" t="str">
        <f ca="1">IFERROR(__xludf.DUMMYFUNCTION("""COMPUTED_VALUE"""),"")</f>
        <v/>
      </c>
      <c r="D1185" t="str">
        <f ca="1">IFERROR(__xludf.DUMMYFUNCTION("""COMPUTED_VALUE"""),"")</f>
        <v/>
      </c>
      <c r="E1185" t="str">
        <f ca="1">IFERROR(__xludf.DUMMYFUNCTION("""COMPUTED_VALUE"""),"")</f>
        <v/>
      </c>
      <c r="F1185" t="str">
        <f ca="1">IFERROR(__xludf.DUMMYFUNCTION("""COMPUTED_VALUE"""),"")</f>
        <v/>
      </c>
      <c r="G1185" t="str">
        <f ca="1">IFERROR(__xludf.DUMMYFUNCTION("""COMPUTED_VALUE"""),"")</f>
        <v/>
      </c>
      <c r="H1185" t="str">
        <f ca="1">IFERROR(__xludf.DUMMYFUNCTION("""COMPUTED_VALUE"""),"")</f>
        <v/>
      </c>
      <c r="I1185" s="4" t="str">
        <f ca="1">IFERROR(__xludf.DUMMYFUNCTION("""COMPUTED_VALUE"""),"")</f>
        <v/>
      </c>
      <c r="J1185" t="str">
        <f ca="1">IFERROR(__xludf.DUMMYFUNCTION("""COMPUTED_VALUE"""),"")</f>
        <v/>
      </c>
      <c r="K1185" t="str">
        <f ca="1">IFERROR(__xludf.DUMMYFUNCTION("""COMPUTED_VALUE"""),"")</f>
        <v/>
      </c>
      <c r="L1185" t="str">
        <f ca="1">IFERROR(__xludf.DUMMYFUNCTION("""COMPUTED_VALUE"""),"")</f>
        <v/>
      </c>
      <c r="M1185" t="str">
        <f ca="1">IFERROR(__xludf.DUMMYFUNCTION("""COMPUTED_VALUE"""),"")</f>
        <v/>
      </c>
      <c r="N1185" s="4" t="str">
        <f ca="1">IFERROR(__xludf.DUMMYFUNCTION("""COMPUTED_VALUE"""),"")</f>
        <v/>
      </c>
      <c r="O1185" s="4" t="str">
        <f ca="1">IFERROR(__xludf.DUMMYFUNCTION("""COMPUTED_VALUE"""),"")</f>
        <v/>
      </c>
      <c r="P1185" t="str">
        <f ca="1">IFERROR(__xludf.DUMMYFUNCTION("""COMPUTED_VALUE"""),"")</f>
        <v/>
      </c>
      <c r="Q1185" t="str">
        <f ca="1">IFERROR(__xludf.DUMMYFUNCTION("""COMPUTED_VALUE"""),"")</f>
        <v/>
      </c>
      <c r="R1185" s="2"/>
    </row>
    <row r="1186" spans="1:18" ht="13" x14ac:dyDescent="0.15">
      <c r="A1186" s="3" t="str">
        <f ca="1">IFERROR(__xludf.DUMMYFUNCTION("""COMPUTED_VALUE"""),"")</f>
        <v/>
      </c>
      <c r="B1186" t="str">
        <f ca="1">IFERROR(__xludf.DUMMYFUNCTION("""COMPUTED_VALUE"""),"")</f>
        <v/>
      </c>
      <c r="C1186" t="str">
        <f ca="1">IFERROR(__xludf.DUMMYFUNCTION("""COMPUTED_VALUE"""),"")</f>
        <v/>
      </c>
      <c r="D1186" t="str">
        <f ca="1">IFERROR(__xludf.DUMMYFUNCTION("""COMPUTED_VALUE"""),"")</f>
        <v/>
      </c>
      <c r="E1186" t="str">
        <f ca="1">IFERROR(__xludf.DUMMYFUNCTION("""COMPUTED_VALUE"""),"")</f>
        <v/>
      </c>
      <c r="F1186" t="str">
        <f ca="1">IFERROR(__xludf.DUMMYFUNCTION("""COMPUTED_VALUE"""),"")</f>
        <v/>
      </c>
      <c r="G1186" t="str">
        <f ca="1">IFERROR(__xludf.DUMMYFUNCTION("""COMPUTED_VALUE"""),"")</f>
        <v/>
      </c>
      <c r="H1186" t="str">
        <f ca="1">IFERROR(__xludf.DUMMYFUNCTION("""COMPUTED_VALUE"""),"")</f>
        <v/>
      </c>
      <c r="I1186" s="4" t="str">
        <f ca="1">IFERROR(__xludf.DUMMYFUNCTION("""COMPUTED_VALUE"""),"")</f>
        <v/>
      </c>
      <c r="J1186" t="str">
        <f ca="1">IFERROR(__xludf.DUMMYFUNCTION("""COMPUTED_VALUE"""),"")</f>
        <v/>
      </c>
      <c r="K1186" t="str">
        <f ca="1">IFERROR(__xludf.DUMMYFUNCTION("""COMPUTED_VALUE"""),"")</f>
        <v/>
      </c>
      <c r="L1186" t="str">
        <f ca="1">IFERROR(__xludf.DUMMYFUNCTION("""COMPUTED_VALUE"""),"")</f>
        <v/>
      </c>
      <c r="M1186" t="str">
        <f ca="1">IFERROR(__xludf.DUMMYFUNCTION("""COMPUTED_VALUE"""),"")</f>
        <v/>
      </c>
      <c r="N1186" s="4" t="str">
        <f ca="1">IFERROR(__xludf.DUMMYFUNCTION("""COMPUTED_VALUE"""),"")</f>
        <v/>
      </c>
      <c r="O1186" s="4" t="str">
        <f ca="1">IFERROR(__xludf.DUMMYFUNCTION("""COMPUTED_VALUE"""),"")</f>
        <v/>
      </c>
      <c r="P1186" t="str">
        <f ca="1">IFERROR(__xludf.DUMMYFUNCTION("""COMPUTED_VALUE"""),"")</f>
        <v/>
      </c>
      <c r="Q1186" t="str">
        <f ca="1">IFERROR(__xludf.DUMMYFUNCTION("""COMPUTED_VALUE"""),"")</f>
        <v/>
      </c>
      <c r="R1186" s="2"/>
    </row>
    <row r="1187" spans="1:18" ht="13" x14ac:dyDescent="0.15">
      <c r="A1187" s="3" t="str">
        <f ca="1">IFERROR(__xludf.DUMMYFUNCTION("""COMPUTED_VALUE"""),"")</f>
        <v/>
      </c>
      <c r="B1187" t="str">
        <f ca="1">IFERROR(__xludf.DUMMYFUNCTION("""COMPUTED_VALUE"""),"")</f>
        <v/>
      </c>
      <c r="C1187" t="str">
        <f ca="1">IFERROR(__xludf.DUMMYFUNCTION("""COMPUTED_VALUE"""),"")</f>
        <v/>
      </c>
      <c r="D1187" t="str">
        <f ca="1">IFERROR(__xludf.DUMMYFUNCTION("""COMPUTED_VALUE"""),"")</f>
        <v/>
      </c>
      <c r="E1187" t="str">
        <f ca="1">IFERROR(__xludf.DUMMYFUNCTION("""COMPUTED_VALUE"""),"")</f>
        <v/>
      </c>
      <c r="F1187" t="str">
        <f ca="1">IFERROR(__xludf.DUMMYFUNCTION("""COMPUTED_VALUE"""),"")</f>
        <v/>
      </c>
      <c r="G1187" t="str">
        <f ca="1">IFERROR(__xludf.DUMMYFUNCTION("""COMPUTED_VALUE"""),"")</f>
        <v/>
      </c>
      <c r="H1187" t="str">
        <f ca="1">IFERROR(__xludf.DUMMYFUNCTION("""COMPUTED_VALUE"""),"")</f>
        <v/>
      </c>
      <c r="I1187" s="4" t="str">
        <f ca="1">IFERROR(__xludf.DUMMYFUNCTION("""COMPUTED_VALUE"""),"")</f>
        <v/>
      </c>
      <c r="J1187" t="str">
        <f ca="1">IFERROR(__xludf.DUMMYFUNCTION("""COMPUTED_VALUE"""),"")</f>
        <v/>
      </c>
      <c r="K1187" t="str">
        <f ca="1">IFERROR(__xludf.DUMMYFUNCTION("""COMPUTED_VALUE"""),"")</f>
        <v/>
      </c>
      <c r="L1187" t="str">
        <f ca="1">IFERROR(__xludf.DUMMYFUNCTION("""COMPUTED_VALUE"""),"")</f>
        <v/>
      </c>
      <c r="M1187" t="str">
        <f ca="1">IFERROR(__xludf.DUMMYFUNCTION("""COMPUTED_VALUE"""),"")</f>
        <v/>
      </c>
      <c r="N1187" s="4" t="str">
        <f ca="1">IFERROR(__xludf.DUMMYFUNCTION("""COMPUTED_VALUE"""),"")</f>
        <v/>
      </c>
      <c r="O1187" s="4" t="str">
        <f ca="1">IFERROR(__xludf.DUMMYFUNCTION("""COMPUTED_VALUE"""),"")</f>
        <v/>
      </c>
      <c r="P1187" t="str">
        <f ca="1">IFERROR(__xludf.DUMMYFUNCTION("""COMPUTED_VALUE"""),"")</f>
        <v/>
      </c>
      <c r="Q1187" t="str">
        <f ca="1">IFERROR(__xludf.DUMMYFUNCTION("""COMPUTED_VALUE"""),"")</f>
        <v/>
      </c>
      <c r="R1187" s="2"/>
    </row>
    <row r="1188" spans="1:18" ht="13" x14ac:dyDescent="0.15">
      <c r="A1188" s="3" t="str">
        <f ca="1">IFERROR(__xludf.DUMMYFUNCTION("""COMPUTED_VALUE"""),"")</f>
        <v/>
      </c>
      <c r="B1188" t="str">
        <f ca="1">IFERROR(__xludf.DUMMYFUNCTION("""COMPUTED_VALUE"""),"")</f>
        <v/>
      </c>
      <c r="C1188" t="str">
        <f ca="1">IFERROR(__xludf.DUMMYFUNCTION("""COMPUTED_VALUE"""),"")</f>
        <v/>
      </c>
      <c r="D1188" t="str">
        <f ca="1">IFERROR(__xludf.DUMMYFUNCTION("""COMPUTED_VALUE"""),"")</f>
        <v/>
      </c>
      <c r="E1188" t="str">
        <f ca="1">IFERROR(__xludf.DUMMYFUNCTION("""COMPUTED_VALUE"""),"")</f>
        <v/>
      </c>
      <c r="F1188" t="str">
        <f ca="1">IFERROR(__xludf.DUMMYFUNCTION("""COMPUTED_VALUE"""),"")</f>
        <v/>
      </c>
      <c r="G1188" t="str">
        <f ca="1">IFERROR(__xludf.DUMMYFUNCTION("""COMPUTED_VALUE"""),"")</f>
        <v/>
      </c>
      <c r="H1188" t="str">
        <f ca="1">IFERROR(__xludf.DUMMYFUNCTION("""COMPUTED_VALUE"""),"")</f>
        <v/>
      </c>
      <c r="I1188" s="4" t="str">
        <f ca="1">IFERROR(__xludf.DUMMYFUNCTION("""COMPUTED_VALUE"""),"")</f>
        <v/>
      </c>
      <c r="J1188" t="str">
        <f ca="1">IFERROR(__xludf.DUMMYFUNCTION("""COMPUTED_VALUE"""),"")</f>
        <v/>
      </c>
      <c r="K1188" t="str">
        <f ca="1">IFERROR(__xludf.DUMMYFUNCTION("""COMPUTED_VALUE"""),"")</f>
        <v/>
      </c>
      <c r="L1188" t="str">
        <f ca="1">IFERROR(__xludf.DUMMYFUNCTION("""COMPUTED_VALUE"""),"")</f>
        <v/>
      </c>
      <c r="M1188" t="str">
        <f ca="1">IFERROR(__xludf.DUMMYFUNCTION("""COMPUTED_VALUE"""),"")</f>
        <v/>
      </c>
      <c r="N1188" s="4" t="str">
        <f ca="1">IFERROR(__xludf.DUMMYFUNCTION("""COMPUTED_VALUE"""),"")</f>
        <v/>
      </c>
      <c r="O1188" s="4" t="str">
        <f ca="1">IFERROR(__xludf.DUMMYFUNCTION("""COMPUTED_VALUE"""),"")</f>
        <v/>
      </c>
      <c r="P1188" t="str">
        <f ca="1">IFERROR(__xludf.DUMMYFUNCTION("""COMPUTED_VALUE"""),"")</f>
        <v/>
      </c>
      <c r="Q1188" t="str">
        <f ca="1">IFERROR(__xludf.DUMMYFUNCTION("""COMPUTED_VALUE"""),"")</f>
        <v/>
      </c>
      <c r="R1188" s="2"/>
    </row>
    <row r="1189" spans="1:18" ht="13" x14ac:dyDescent="0.15">
      <c r="A1189" s="3" t="str">
        <f ca="1">IFERROR(__xludf.DUMMYFUNCTION("""COMPUTED_VALUE"""),"")</f>
        <v/>
      </c>
      <c r="B1189" t="str">
        <f ca="1">IFERROR(__xludf.DUMMYFUNCTION("""COMPUTED_VALUE"""),"")</f>
        <v/>
      </c>
      <c r="C1189" t="str">
        <f ca="1">IFERROR(__xludf.DUMMYFUNCTION("""COMPUTED_VALUE"""),"")</f>
        <v/>
      </c>
      <c r="D1189" t="str">
        <f ca="1">IFERROR(__xludf.DUMMYFUNCTION("""COMPUTED_VALUE"""),"")</f>
        <v/>
      </c>
      <c r="E1189" t="str">
        <f ca="1">IFERROR(__xludf.DUMMYFUNCTION("""COMPUTED_VALUE"""),"")</f>
        <v/>
      </c>
      <c r="F1189" t="str">
        <f ca="1">IFERROR(__xludf.DUMMYFUNCTION("""COMPUTED_VALUE"""),"")</f>
        <v/>
      </c>
      <c r="G1189" t="str">
        <f ca="1">IFERROR(__xludf.DUMMYFUNCTION("""COMPUTED_VALUE"""),"")</f>
        <v/>
      </c>
      <c r="H1189" t="str">
        <f ca="1">IFERROR(__xludf.DUMMYFUNCTION("""COMPUTED_VALUE"""),"")</f>
        <v/>
      </c>
      <c r="I1189" s="4" t="str">
        <f ca="1">IFERROR(__xludf.DUMMYFUNCTION("""COMPUTED_VALUE"""),"")</f>
        <v/>
      </c>
      <c r="J1189" t="str">
        <f ca="1">IFERROR(__xludf.DUMMYFUNCTION("""COMPUTED_VALUE"""),"")</f>
        <v/>
      </c>
      <c r="K1189" t="str">
        <f ca="1">IFERROR(__xludf.DUMMYFUNCTION("""COMPUTED_VALUE"""),"")</f>
        <v/>
      </c>
      <c r="L1189" t="str">
        <f ca="1">IFERROR(__xludf.DUMMYFUNCTION("""COMPUTED_VALUE"""),"")</f>
        <v/>
      </c>
      <c r="M1189" t="str">
        <f ca="1">IFERROR(__xludf.DUMMYFUNCTION("""COMPUTED_VALUE"""),"")</f>
        <v/>
      </c>
      <c r="N1189" s="4" t="str">
        <f ca="1">IFERROR(__xludf.DUMMYFUNCTION("""COMPUTED_VALUE"""),"")</f>
        <v/>
      </c>
      <c r="O1189" s="4" t="str">
        <f ca="1">IFERROR(__xludf.DUMMYFUNCTION("""COMPUTED_VALUE"""),"")</f>
        <v/>
      </c>
      <c r="P1189" t="str">
        <f ca="1">IFERROR(__xludf.DUMMYFUNCTION("""COMPUTED_VALUE"""),"")</f>
        <v/>
      </c>
      <c r="Q1189" t="str">
        <f ca="1">IFERROR(__xludf.DUMMYFUNCTION("""COMPUTED_VALUE"""),"")</f>
        <v/>
      </c>
      <c r="R1189" s="2"/>
    </row>
    <row r="1190" spans="1:18" ht="13" x14ac:dyDescent="0.15">
      <c r="R1190" s="2"/>
    </row>
    <row r="1191" spans="1:18" ht="13" x14ac:dyDescent="0.15">
      <c r="R1191" s="2"/>
    </row>
    <row r="1192" spans="1:18" ht="13" x14ac:dyDescent="0.15">
      <c r="R1192" s="2"/>
    </row>
    <row r="1193" spans="1:18" ht="13" x14ac:dyDescent="0.15">
      <c r="R1193" s="2"/>
    </row>
    <row r="1194" spans="1:18" ht="13" x14ac:dyDescent="0.15">
      <c r="R1194" s="2"/>
    </row>
    <row r="1195" spans="1:18" ht="13" x14ac:dyDescent="0.15">
      <c r="R1195" s="2"/>
    </row>
    <row r="1196" spans="1:18" ht="13" x14ac:dyDescent="0.15">
      <c r="R1196" s="2"/>
    </row>
    <row r="1197" spans="1:18" ht="13" x14ac:dyDescent="0.15">
      <c r="R1197" s="2"/>
    </row>
    <row r="1198" spans="1:18" ht="13" x14ac:dyDescent="0.15">
      <c r="R1198" s="2"/>
    </row>
    <row r="1199" spans="1:18" ht="13" x14ac:dyDescent="0.15">
      <c r="R1199" s="2"/>
    </row>
    <row r="1200" spans="1:18" ht="13" x14ac:dyDescent="0.15">
      <c r="R1200" s="2"/>
    </row>
    <row r="1201" spans="18:18" ht="13" x14ac:dyDescent="0.15">
      <c r="R1201" s="2"/>
    </row>
    <row r="1202" spans="18:18" ht="13" x14ac:dyDescent="0.15">
      <c r="R1202" s="2"/>
    </row>
    <row r="1203" spans="18:18" ht="13" x14ac:dyDescent="0.15">
      <c r="R1203" s="2"/>
    </row>
    <row r="1204" spans="18:18" ht="13" x14ac:dyDescent="0.15">
      <c r="R1204" s="2"/>
    </row>
    <row r="1205" spans="18:18" ht="13" x14ac:dyDescent="0.15">
      <c r="R1205" s="2"/>
    </row>
    <row r="1206" spans="18:18" ht="13" x14ac:dyDescent="0.15">
      <c r="R1206" s="2"/>
    </row>
    <row r="1207" spans="18:18" ht="13" x14ac:dyDescent="0.15">
      <c r="R1207" s="2"/>
    </row>
    <row r="1208" spans="18:18" ht="13" x14ac:dyDescent="0.15">
      <c r="R1208" s="2"/>
    </row>
    <row r="1209" spans="18:18" ht="13" x14ac:dyDescent="0.15">
      <c r="R1209" s="2"/>
    </row>
    <row r="1210" spans="18:18" ht="13" x14ac:dyDescent="0.15">
      <c r="R1210" s="2"/>
    </row>
    <row r="1211" spans="18:18" ht="13" x14ac:dyDescent="0.15">
      <c r="R1211" s="2"/>
    </row>
    <row r="1212" spans="18:18" ht="13" x14ac:dyDescent="0.15">
      <c r="R1212" s="2"/>
    </row>
    <row r="1213" spans="18:18" ht="13" x14ac:dyDescent="0.15">
      <c r="R1213" s="2"/>
    </row>
    <row r="1214" spans="18:18" ht="13" x14ac:dyDescent="0.15">
      <c r="R1214" s="2"/>
    </row>
    <row r="1215" spans="18:18" ht="13" x14ac:dyDescent="0.15">
      <c r="R1215" s="2"/>
    </row>
    <row r="1216" spans="18:18" ht="13" x14ac:dyDescent="0.15">
      <c r="R1216" s="2"/>
    </row>
    <row r="1217" spans="18:18" ht="13" x14ac:dyDescent="0.15">
      <c r="R1217" s="2"/>
    </row>
    <row r="1218" spans="18:18" ht="13" x14ac:dyDescent="0.15">
      <c r="R1218" s="2"/>
    </row>
    <row r="1219" spans="18:18" ht="13" x14ac:dyDescent="0.15">
      <c r="R1219" s="2"/>
    </row>
    <row r="1220" spans="18:18" ht="13" x14ac:dyDescent="0.15">
      <c r="R1220" s="2"/>
    </row>
    <row r="1221" spans="18:18" ht="13" x14ac:dyDescent="0.15">
      <c r="R1221" s="2"/>
    </row>
    <row r="1222" spans="18:18" ht="13" x14ac:dyDescent="0.15">
      <c r="R1222" s="2"/>
    </row>
    <row r="1223" spans="18:18" ht="13" x14ac:dyDescent="0.15">
      <c r="R1223" s="2"/>
    </row>
    <row r="1224" spans="18:18" ht="13" x14ac:dyDescent="0.15">
      <c r="R1224" s="2"/>
    </row>
    <row r="1225" spans="18:18" ht="13" x14ac:dyDescent="0.15">
      <c r="R1225" s="2"/>
    </row>
    <row r="1226" spans="18:18" ht="13" x14ac:dyDescent="0.15">
      <c r="R1226" s="2"/>
    </row>
    <row r="1227" spans="18:18" ht="13" x14ac:dyDescent="0.15">
      <c r="R1227" s="2"/>
    </row>
    <row r="1228" spans="18:18" ht="13" x14ac:dyDescent="0.15">
      <c r="R1228" s="2"/>
    </row>
    <row r="1229" spans="18:18" ht="13" x14ac:dyDescent="0.15">
      <c r="R1229" s="2"/>
    </row>
    <row r="1230" spans="18:18" ht="13" x14ac:dyDescent="0.15">
      <c r="R1230" s="2"/>
    </row>
    <row r="1231" spans="18:18" ht="13" x14ac:dyDescent="0.15">
      <c r="R1231" s="2"/>
    </row>
    <row r="1232" spans="18:18" ht="13" x14ac:dyDescent="0.15">
      <c r="R1232" s="2"/>
    </row>
    <row r="1233" spans="18:18" ht="13" x14ac:dyDescent="0.15">
      <c r="R1233" s="2"/>
    </row>
    <row r="1234" spans="18:18" ht="13" x14ac:dyDescent="0.15">
      <c r="R1234" s="2"/>
    </row>
    <row r="1235" spans="18:18" ht="13" x14ac:dyDescent="0.15">
      <c r="R1235" s="2"/>
    </row>
    <row r="1236" spans="18:18" ht="13" x14ac:dyDescent="0.15">
      <c r="R1236" s="2"/>
    </row>
    <row r="1237" spans="18:18" ht="13" x14ac:dyDescent="0.15">
      <c r="R1237" s="2"/>
    </row>
    <row r="1238" spans="18:18" ht="13" x14ac:dyDescent="0.15">
      <c r="R1238" s="2"/>
    </row>
    <row r="1239" spans="18:18" ht="13" x14ac:dyDescent="0.15">
      <c r="R1239" s="2"/>
    </row>
    <row r="1240" spans="18:18" ht="13" x14ac:dyDescent="0.15">
      <c r="R1240" s="2"/>
    </row>
    <row r="1241" spans="18:18" ht="13" x14ac:dyDescent="0.15">
      <c r="R1241" s="2"/>
    </row>
    <row r="1242" spans="18:18" ht="13" x14ac:dyDescent="0.15">
      <c r="R1242" s="2"/>
    </row>
    <row r="1243" spans="18:18" ht="13" x14ac:dyDescent="0.15">
      <c r="R1243" s="2"/>
    </row>
    <row r="1244" spans="18:18" ht="13" x14ac:dyDescent="0.15">
      <c r="R1244" s="2"/>
    </row>
    <row r="1245" spans="18:18" ht="13" x14ac:dyDescent="0.15">
      <c r="R1245" s="2"/>
    </row>
    <row r="1246" spans="18:18" ht="13" x14ac:dyDescent="0.15">
      <c r="R1246" s="2"/>
    </row>
    <row r="1247" spans="18:18" ht="13" x14ac:dyDescent="0.15">
      <c r="R1247" s="2"/>
    </row>
    <row r="1248" spans="18:18" ht="13" x14ac:dyDescent="0.15">
      <c r="R1248" s="2"/>
    </row>
    <row r="1249" spans="18:18" ht="13" x14ac:dyDescent="0.15">
      <c r="R1249" s="2"/>
    </row>
    <row r="1250" spans="18:18" ht="13" x14ac:dyDescent="0.15">
      <c r="R1250" s="2"/>
    </row>
    <row r="1251" spans="18:18" ht="13" x14ac:dyDescent="0.15">
      <c r="R1251" s="2"/>
    </row>
    <row r="1252" spans="18:18" ht="13" x14ac:dyDescent="0.15">
      <c r="R1252" s="2"/>
    </row>
    <row r="1253" spans="18:18" ht="13" x14ac:dyDescent="0.15">
      <c r="R1253" s="2"/>
    </row>
    <row r="1254" spans="18:18" ht="13" x14ac:dyDescent="0.15">
      <c r="R1254" s="2"/>
    </row>
    <row r="1255" spans="18:18" ht="13" x14ac:dyDescent="0.15">
      <c r="R1255" s="2"/>
    </row>
    <row r="1256" spans="18:18" ht="13" x14ac:dyDescent="0.15">
      <c r="R1256" s="2"/>
    </row>
    <row r="1257" spans="18:18" ht="13" x14ac:dyDescent="0.15">
      <c r="R1257" s="2"/>
    </row>
    <row r="1258" spans="18:18" ht="13" x14ac:dyDescent="0.15">
      <c r="R1258" s="2"/>
    </row>
    <row r="1259" spans="18:18" ht="13" x14ac:dyDescent="0.15">
      <c r="R1259" s="2"/>
    </row>
    <row r="1260" spans="18:18" ht="13" x14ac:dyDescent="0.15">
      <c r="R1260" s="2"/>
    </row>
    <row r="1261" spans="18:18" ht="13" x14ac:dyDescent="0.15">
      <c r="R1261" s="2"/>
    </row>
    <row r="1262" spans="18:18" ht="13" x14ac:dyDescent="0.15">
      <c r="R1262" s="2"/>
    </row>
    <row r="1263" spans="18:18" ht="13" x14ac:dyDescent="0.15">
      <c r="R1263" s="2"/>
    </row>
    <row r="1264" spans="18:18" ht="13" x14ac:dyDescent="0.15">
      <c r="R1264" s="2"/>
    </row>
    <row r="1265" spans="18:18" ht="13" x14ac:dyDescent="0.15">
      <c r="R1265" s="2"/>
    </row>
    <row r="1266" spans="18:18" ht="13" x14ac:dyDescent="0.15">
      <c r="R1266" s="2"/>
    </row>
    <row r="1267" spans="18:18" ht="13" x14ac:dyDescent="0.15">
      <c r="R1267" s="2"/>
    </row>
    <row r="1268" spans="18:18" ht="13" x14ac:dyDescent="0.15">
      <c r="R1268" s="2"/>
    </row>
    <row r="1269" spans="18:18" ht="13" x14ac:dyDescent="0.15">
      <c r="R1269" s="2"/>
    </row>
    <row r="1270" spans="18:18" ht="13" x14ac:dyDescent="0.15">
      <c r="R1270" s="2"/>
    </row>
    <row r="1271" spans="18:18" ht="13" x14ac:dyDescent="0.15">
      <c r="R1271" s="2"/>
    </row>
    <row r="1272" spans="18:18" ht="13" x14ac:dyDescent="0.15">
      <c r="R1272" s="2"/>
    </row>
    <row r="1273" spans="18:18" ht="13" x14ac:dyDescent="0.15">
      <c r="R1273" s="2"/>
    </row>
    <row r="1274" spans="18:18" ht="13" x14ac:dyDescent="0.15">
      <c r="R1274" s="2"/>
    </row>
    <row r="1275" spans="18:18" ht="13" x14ac:dyDescent="0.15">
      <c r="R1275" s="2"/>
    </row>
    <row r="1276" spans="18:18" ht="13" x14ac:dyDescent="0.15">
      <c r="R1276" s="2"/>
    </row>
    <row r="1277" spans="18:18" ht="13" x14ac:dyDescent="0.15">
      <c r="R1277" s="2"/>
    </row>
    <row r="1278" spans="18:18" ht="13" x14ac:dyDescent="0.15">
      <c r="R1278" s="2"/>
    </row>
    <row r="1279" spans="18:18" ht="13" x14ac:dyDescent="0.15">
      <c r="R1279" s="2"/>
    </row>
    <row r="1280" spans="18:18" ht="13" x14ac:dyDescent="0.15">
      <c r="R1280" s="2"/>
    </row>
    <row r="1281" spans="18:18" ht="13" x14ac:dyDescent="0.15">
      <c r="R1281" s="2"/>
    </row>
    <row r="1282" spans="18:18" ht="13" x14ac:dyDescent="0.15">
      <c r="R1282" s="2"/>
    </row>
    <row r="1283" spans="18:18" ht="13" x14ac:dyDescent="0.15">
      <c r="R1283" s="2"/>
    </row>
    <row r="1284" spans="18:18" ht="13" x14ac:dyDescent="0.15">
      <c r="R1284" s="2"/>
    </row>
    <row r="1285" spans="18:18" ht="13" x14ac:dyDescent="0.15">
      <c r="R1285" s="2"/>
    </row>
    <row r="1286" spans="18:18" ht="13" x14ac:dyDescent="0.15">
      <c r="R1286" s="2"/>
    </row>
    <row r="1287" spans="18:18" ht="13" x14ac:dyDescent="0.15">
      <c r="R1287" s="2"/>
    </row>
    <row r="1288" spans="18:18" ht="13" x14ac:dyDescent="0.15">
      <c r="R1288" s="2"/>
    </row>
    <row r="1289" spans="18:18" ht="13" x14ac:dyDescent="0.15">
      <c r="R1289" s="2"/>
    </row>
    <row r="1290" spans="18:18" ht="13" x14ac:dyDescent="0.15">
      <c r="R1290" s="2"/>
    </row>
    <row r="1291" spans="18:18" ht="13" x14ac:dyDescent="0.15">
      <c r="R1291" s="2"/>
    </row>
    <row r="1292" spans="18:18" ht="13" x14ac:dyDescent="0.15">
      <c r="R1292" s="2"/>
    </row>
    <row r="1293" spans="18:18" ht="13" x14ac:dyDescent="0.15">
      <c r="R1293" s="2"/>
    </row>
    <row r="1294" spans="18:18" ht="13" x14ac:dyDescent="0.15">
      <c r="R1294" s="2"/>
    </row>
    <row r="1295" spans="18:18" ht="13" x14ac:dyDescent="0.15">
      <c r="R1295" s="2"/>
    </row>
    <row r="1296" spans="18:18" ht="13" x14ac:dyDescent="0.15">
      <c r="R1296" s="2"/>
    </row>
    <row r="1297" spans="18:18" ht="13" x14ac:dyDescent="0.15">
      <c r="R1297" s="2"/>
    </row>
    <row r="1298" spans="18:18" ht="13" x14ac:dyDescent="0.15">
      <c r="R1298" s="2"/>
    </row>
    <row r="1299" spans="18:18" ht="13" x14ac:dyDescent="0.15">
      <c r="R1299" s="2"/>
    </row>
    <row r="1300" spans="18:18" ht="13" x14ac:dyDescent="0.15">
      <c r="R1300" s="2"/>
    </row>
    <row r="1301" spans="18:18" ht="13" x14ac:dyDescent="0.15">
      <c r="R1301" s="2"/>
    </row>
    <row r="1302" spans="18:18" ht="13" x14ac:dyDescent="0.15">
      <c r="R1302" s="2"/>
    </row>
    <row r="1303" spans="18:18" ht="13" x14ac:dyDescent="0.15">
      <c r="R1303" s="2"/>
    </row>
    <row r="1304" spans="18:18" ht="13" x14ac:dyDescent="0.15">
      <c r="R1304" s="2"/>
    </row>
    <row r="1305" spans="18:18" ht="13" x14ac:dyDescent="0.15">
      <c r="R1305" s="2"/>
    </row>
    <row r="1306" spans="18:18" ht="13" x14ac:dyDescent="0.15">
      <c r="R1306" s="2"/>
    </row>
    <row r="1307" spans="18:18" ht="13" x14ac:dyDescent="0.15">
      <c r="R1307" s="2"/>
    </row>
    <row r="1308" spans="18:18" ht="13" x14ac:dyDescent="0.15">
      <c r="R1308" s="2"/>
    </row>
    <row r="1309" spans="18:18" ht="13" x14ac:dyDescent="0.15">
      <c r="R1309" s="2"/>
    </row>
    <row r="1310" spans="18:18" ht="13" x14ac:dyDescent="0.15">
      <c r="R1310" s="2"/>
    </row>
    <row r="1311" spans="18:18" ht="13" x14ac:dyDescent="0.15">
      <c r="R1311" s="2"/>
    </row>
    <row r="1312" spans="18:18" ht="13" x14ac:dyDescent="0.15">
      <c r="R1312" s="2"/>
    </row>
    <row r="1313" spans="18:18" ht="13" x14ac:dyDescent="0.15">
      <c r="R1313" s="2"/>
    </row>
    <row r="1314" spans="18:18" ht="13" x14ac:dyDescent="0.15">
      <c r="R1314" s="2"/>
    </row>
    <row r="1315" spans="18:18" ht="13" x14ac:dyDescent="0.15">
      <c r="R1315" s="2"/>
    </row>
    <row r="1316" spans="18:18" ht="13" x14ac:dyDescent="0.15">
      <c r="R1316" s="2"/>
    </row>
    <row r="1317" spans="18:18" ht="13" x14ac:dyDescent="0.15">
      <c r="R1317" s="2"/>
    </row>
    <row r="1318" spans="18:18" ht="13" x14ac:dyDescent="0.15">
      <c r="R1318" s="2"/>
    </row>
    <row r="1319" spans="18:18" ht="13" x14ac:dyDescent="0.15">
      <c r="R1319" s="2"/>
    </row>
    <row r="1320" spans="18:18" ht="13" x14ac:dyDescent="0.15">
      <c r="R1320" s="2"/>
    </row>
    <row r="1321" spans="18:18" ht="13" x14ac:dyDescent="0.15">
      <c r="R1321" s="2"/>
    </row>
    <row r="1322" spans="18:18" ht="13" x14ac:dyDescent="0.15">
      <c r="R1322" s="2"/>
    </row>
    <row r="1323" spans="18:18" ht="13" x14ac:dyDescent="0.15">
      <c r="R1323" s="2"/>
    </row>
    <row r="1324" spans="18:18" ht="13" x14ac:dyDescent="0.15">
      <c r="R1324" s="2"/>
    </row>
    <row r="1325" spans="18:18" ht="13" x14ac:dyDescent="0.15">
      <c r="R1325" s="2"/>
    </row>
    <row r="1326" spans="18:18" ht="13" x14ac:dyDescent="0.15">
      <c r="R1326" s="2"/>
    </row>
    <row r="1327" spans="18:18" ht="13" x14ac:dyDescent="0.15">
      <c r="R1327" s="2"/>
    </row>
    <row r="1328" spans="18:18" ht="13" x14ac:dyDescent="0.15">
      <c r="R1328" s="2"/>
    </row>
    <row r="1329" spans="18:18" ht="13" x14ac:dyDescent="0.15">
      <c r="R1329" s="2"/>
    </row>
    <row r="1330" spans="18:18" ht="13" x14ac:dyDescent="0.15">
      <c r="R1330" s="2"/>
    </row>
    <row r="1331" spans="18:18" ht="13" x14ac:dyDescent="0.15">
      <c r="R1331" s="2"/>
    </row>
    <row r="1332" spans="18:18" ht="13" x14ac:dyDescent="0.15">
      <c r="R1332" s="2"/>
    </row>
    <row r="1333" spans="18:18" ht="13" x14ac:dyDescent="0.15">
      <c r="R1333" s="2"/>
    </row>
    <row r="1334" spans="18:18" ht="13" x14ac:dyDescent="0.15">
      <c r="R1334" s="2"/>
    </row>
    <row r="1335" spans="18:18" ht="13" x14ac:dyDescent="0.15">
      <c r="R1335" s="2"/>
    </row>
    <row r="1336" spans="18:18" ht="13" x14ac:dyDescent="0.15">
      <c r="R1336" s="2"/>
    </row>
    <row r="1337" spans="18:18" ht="13" x14ac:dyDescent="0.15">
      <c r="R1337" s="2"/>
    </row>
    <row r="1338" spans="18:18" ht="13" x14ac:dyDescent="0.15">
      <c r="R1338" s="2"/>
    </row>
    <row r="1339" spans="18:18" ht="13" x14ac:dyDescent="0.15">
      <c r="R1339" s="2"/>
    </row>
    <row r="1340" spans="18:18" ht="13" x14ac:dyDescent="0.15">
      <c r="R1340" s="2"/>
    </row>
    <row r="1341" spans="18:18" ht="13" x14ac:dyDescent="0.15">
      <c r="R1341" s="2"/>
    </row>
    <row r="1342" spans="18:18" ht="13" x14ac:dyDescent="0.15">
      <c r="R1342" s="2"/>
    </row>
    <row r="1343" spans="18:18" ht="13" x14ac:dyDescent="0.15">
      <c r="R1343" s="2"/>
    </row>
    <row r="1344" spans="18:18" ht="13" x14ac:dyDescent="0.15">
      <c r="R1344" s="2"/>
    </row>
    <row r="1345" spans="18:18" ht="13" x14ac:dyDescent="0.15">
      <c r="R1345" s="2"/>
    </row>
    <row r="1346" spans="18:18" ht="13" x14ac:dyDescent="0.15">
      <c r="R1346" s="2"/>
    </row>
    <row r="1347" spans="18:18" ht="13" x14ac:dyDescent="0.15">
      <c r="R1347" s="2"/>
    </row>
    <row r="1348" spans="18:18" ht="13" x14ac:dyDescent="0.15">
      <c r="R1348" s="2"/>
    </row>
    <row r="1349" spans="18:18" ht="13" x14ac:dyDescent="0.15">
      <c r="R1349" s="2"/>
    </row>
    <row r="1350" spans="18:18" ht="13" x14ac:dyDescent="0.15">
      <c r="R1350" s="2"/>
    </row>
    <row r="1351" spans="18:18" ht="13" x14ac:dyDescent="0.15">
      <c r="R1351" s="2"/>
    </row>
    <row r="1352" spans="18:18" ht="13" x14ac:dyDescent="0.15">
      <c r="R1352" s="2"/>
    </row>
    <row r="1353" spans="18:18" ht="13" x14ac:dyDescent="0.15">
      <c r="R1353" s="2"/>
    </row>
    <row r="1354" spans="18:18" ht="13" x14ac:dyDescent="0.15">
      <c r="R1354" s="2"/>
    </row>
    <row r="1355" spans="18:18" ht="13" x14ac:dyDescent="0.15">
      <c r="R1355" s="2"/>
    </row>
    <row r="1356" spans="18:18" ht="13" x14ac:dyDescent="0.15">
      <c r="R1356" s="2"/>
    </row>
    <row r="1357" spans="18:18" ht="13" x14ac:dyDescent="0.15">
      <c r="R1357" s="2"/>
    </row>
    <row r="1358" spans="18:18" ht="13" x14ac:dyDescent="0.15">
      <c r="R1358" s="2"/>
    </row>
    <row r="1359" spans="18:18" ht="13" x14ac:dyDescent="0.15">
      <c r="R1359" s="2"/>
    </row>
    <row r="1360" spans="18:18" ht="13" x14ac:dyDescent="0.15">
      <c r="R1360" s="2"/>
    </row>
    <row r="1361" spans="18:18" ht="13" x14ac:dyDescent="0.15">
      <c r="R1361" s="2"/>
    </row>
    <row r="1362" spans="18:18" ht="13" x14ac:dyDescent="0.15">
      <c r="R1362" s="2"/>
    </row>
    <row r="1363" spans="18:18" ht="13" x14ac:dyDescent="0.15">
      <c r="R1363" s="2"/>
    </row>
    <row r="1364" spans="18:18" ht="13" x14ac:dyDescent="0.15">
      <c r="R1364" s="2"/>
    </row>
    <row r="1365" spans="18:18" ht="13" x14ac:dyDescent="0.15">
      <c r="R1365" s="2"/>
    </row>
    <row r="1366" spans="18:18" ht="13" x14ac:dyDescent="0.15">
      <c r="R1366" s="2"/>
    </row>
    <row r="1367" spans="18:18" ht="13" x14ac:dyDescent="0.15">
      <c r="R1367" s="2"/>
    </row>
    <row r="1368" spans="18:18" ht="13" x14ac:dyDescent="0.15">
      <c r="R1368" s="2"/>
    </row>
    <row r="1369" spans="18:18" ht="13" x14ac:dyDescent="0.15">
      <c r="R1369" s="2"/>
    </row>
    <row r="1370" spans="18:18" ht="13" x14ac:dyDescent="0.15">
      <c r="R1370" s="2"/>
    </row>
    <row r="1371" spans="18:18" ht="13" x14ac:dyDescent="0.15">
      <c r="R1371" s="2"/>
    </row>
    <row r="1372" spans="18:18" ht="13" x14ac:dyDescent="0.15">
      <c r="R1372" s="2"/>
    </row>
    <row r="1373" spans="18:18" ht="13" x14ac:dyDescent="0.15">
      <c r="R1373" s="2"/>
    </row>
    <row r="1374" spans="18:18" ht="13" x14ac:dyDescent="0.15">
      <c r="R1374" s="2"/>
    </row>
    <row r="1375" spans="18:18" ht="13" x14ac:dyDescent="0.15">
      <c r="R1375" s="2"/>
    </row>
    <row r="1376" spans="18:18" ht="13" x14ac:dyDescent="0.15">
      <c r="R1376" s="2"/>
    </row>
    <row r="1377" spans="18:18" ht="13" x14ac:dyDescent="0.15">
      <c r="R1377" s="2"/>
    </row>
    <row r="1378" spans="18:18" ht="13" x14ac:dyDescent="0.15">
      <c r="R1378" s="2"/>
    </row>
    <row r="1379" spans="18:18" ht="13" x14ac:dyDescent="0.15">
      <c r="R1379" s="2"/>
    </row>
    <row r="1380" spans="18:18" ht="13" x14ac:dyDescent="0.15">
      <c r="R1380" s="2"/>
    </row>
    <row r="1381" spans="18:18" ht="13" x14ac:dyDescent="0.15">
      <c r="R1381" s="2"/>
    </row>
    <row r="1382" spans="18:18" ht="13" x14ac:dyDescent="0.15">
      <c r="R1382" s="2"/>
    </row>
    <row r="1383" spans="18:18" ht="13" x14ac:dyDescent="0.15">
      <c r="R1383" s="2"/>
    </row>
    <row r="1384" spans="18:18" ht="13" x14ac:dyDescent="0.15">
      <c r="R1384" s="2"/>
    </row>
    <row r="1385" spans="18:18" ht="13" x14ac:dyDescent="0.15">
      <c r="R1385" s="2"/>
    </row>
    <row r="1386" spans="18:18" ht="13" x14ac:dyDescent="0.15">
      <c r="R1386" s="2"/>
    </row>
    <row r="1387" spans="18:18" ht="13" x14ac:dyDescent="0.15">
      <c r="R1387" s="2"/>
    </row>
    <row r="1388" spans="18:18" ht="13" x14ac:dyDescent="0.15">
      <c r="R1388" s="2"/>
    </row>
    <row r="1389" spans="18:18" ht="13" x14ac:dyDescent="0.15">
      <c r="R1389" s="2"/>
    </row>
    <row r="1390" spans="18:18" ht="13" x14ac:dyDescent="0.15">
      <c r="R1390" s="2"/>
    </row>
    <row r="1391" spans="18:18" ht="13" x14ac:dyDescent="0.15">
      <c r="R1391" s="2"/>
    </row>
    <row r="1392" spans="18:18" ht="13" x14ac:dyDescent="0.15">
      <c r="R1392" s="2"/>
    </row>
    <row r="1393" spans="18:18" ht="13" x14ac:dyDescent="0.15">
      <c r="R1393" s="2"/>
    </row>
    <row r="1394" spans="18:18" ht="13" x14ac:dyDescent="0.15">
      <c r="R1394" s="2"/>
    </row>
    <row r="1395" spans="18:18" ht="13" x14ac:dyDescent="0.15">
      <c r="R1395" s="2"/>
    </row>
    <row r="1396" spans="18:18" ht="13" x14ac:dyDescent="0.15">
      <c r="R1396" s="2"/>
    </row>
    <row r="1397" spans="18:18" ht="13" x14ac:dyDescent="0.15">
      <c r="R1397" s="2"/>
    </row>
    <row r="1398" spans="18:18" ht="13" x14ac:dyDescent="0.15">
      <c r="R1398" s="2"/>
    </row>
    <row r="1399" spans="18:18" ht="13" x14ac:dyDescent="0.15">
      <c r="R1399" s="2"/>
    </row>
    <row r="1400" spans="18:18" ht="13" x14ac:dyDescent="0.15">
      <c r="R1400" s="2"/>
    </row>
    <row r="1401" spans="18:18" ht="13" x14ac:dyDescent="0.15">
      <c r="R1401" s="2"/>
    </row>
    <row r="1402" spans="18:18" ht="13" x14ac:dyDescent="0.15">
      <c r="R1402" s="2"/>
    </row>
    <row r="1403" spans="18:18" ht="13" x14ac:dyDescent="0.15">
      <c r="R1403" s="2"/>
    </row>
    <row r="1404" spans="18:18" ht="13" x14ac:dyDescent="0.15">
      <c r="R1404" s="2"/>
    </row>
    <row r="1405" spans="18:18" ht="13" x14ac:dyDescent="0.15">
      <c r="R1405" s="2"/>
    </row>
    <row r="1406" spans="18:18" ht="13" x14ac:dyDescent="0.15">
      <c r="R1406" s="2"/>
    </row>
    <row r="1407" spans="18:18" ht="13" x14ac:dyDescent="0.15">
      <c r="R1407" s="2"/>
    </row>
    <row r="1408" spans="18:18" ht="13" x14ac:dyDescent="0.15">
      <c r="R1408" s="2"/>
    </row>
    <row r="1409" spans="18:18" ht="13" x14ac:dyDescent="0.15">
      <c r="R1409" s="2"/>
    </row>
    <row r="1410" spans="18:18" ht="13" x14ac:dyDescent="0.15">
      <c r="R1410" s="2"/>
    </row>
    <row r="1411" spans="18:18" ht="13" x14ac:dyDescent="0.15">
      <c r="R1411" s="2"/>
    </row>
    <row r="1412" spans="18:18" ht="13" x14ac:dyDescent="0.15">
      <c r="R1412" s="2"/>
    </row>
    <row r="1413" spans="18:18" ht="13" x14ac:dyDescent="0.15">
      <c r="R1413" s="2"/>
    </row>
    <row r="1414" spans="18:18" ht="13" x14ac:dyDescent="0.15">
      <c r="R1414" s="2"/>
    </row>
    <row r="1415" spans="18:18" ht="13" x14ac:dyDescent="0.15">
      <c r="R1415" s="2"/>
    </row>
    <row r="1416" spans="18:18" ht="13" x14ac:dyDescent="0.15">
      <c r="R1416" s="2"/>
    </row>
    <row r="1417" spans="18:18" ht="13" x14ac:dyDescent="0.15">
      <c r="R1417" s="2"/>
    </row>
    <row r="1418" spans="18:18" ht="13" x14ac:dyDescent="0.15">
      <c r="R1418" s="2"/>
    </row>
    <row r="1419" spans="18:18" ht="13" x14ac:dyDescent="0.15">
      <c r="R1419" s="2"/>
    </row>
    <row r="1420" spans="18:18" ht="13" x14ac:dyDescent="0.15">
      <c r="R1420" s="2"/>
    </row>
    <row r="1421" spans="18:18" ht="13" x14ac:dyDescent="0.15">
      <c r="R1421" s="2"/>
    </row>
    <row r="1422" spans="18:18" ht="13" x14ac:dyDescent="0.15">
      <c r="R1422" s="2"/>
    </row>
    <row r="1423" spans="18:18" ht="13" x14ac:dyDescent="0.15">
      <c r="R1423" s="2"/>
    </row>
    <row r="1424" spans="18:18" ht="13" x14ac:dyDescent="0.15">
      <c r="R1424" s="2"/>
    </row>
    <row r="1425" spans="18:18" ht="13" x14ac:dyDescent="0.15">
      <c r="R1425" s="2"/>
    </row>
    <row r="1426" spans="18:18" ht="13" x14ac:dyDescent="0.15">
      <c r="R1426" s="2"/>
    </row>
    <row r="1427" spans="18:18" ht="13" x14ac:dyDescent="0.15">
      <c r="R1427" s="2"/>
    </row>
    <row r="1428" spans="18:18" ht="13" x14ac:dyDescent="0.15">
      <c r="R1428" s="2"/>
    </row>
    <row r="1429" spans="18:18" ht="13" x14ac:dyDescent="0.15">
      <c r="R1429" s="2"/>
    </row>
    <row r="1430" spans="18:18" ht="13" x14ac:dyDescent="0.15">
      <c r="R1430" s="2"/>
    </row>
    <row r="1431" spans="18:18" ht="13" x14ac:dyDescent="0.15">
      <c r="R1431" s="2"/>
    </row>
    <row r="1432" spans="18:18" ht="13" x14ac:dyDescent="0.15">
      <c r="R1432" s="2"/>
    </row>
    <row r="1433" spans="18:18" ht="13" x14ac:dyDescent="0.15">
      <c r="R1433" s="2"/>
    </row>
    <row r="1434" spans="18:18" ht="13" x14ac:dyDescent="0.15">
      <c r="R1434" s="2"/>
    </row>
    <row r="1435" spans="18:18" ht="13" x14ac:dyDescent="0.15">
      <c r="R1435" s="2"/>
    </row>
    <row r="1436" spans="18:18" ht="13" x14ac:dyDescent="0.15">
      <c r="R1436" s="2"/>
    </row>
    <row r="1437" spans="18:18" ht="13" x14ac:dyDescent="0.15">
      <c r="R1437" s="2"/>
    </row>
    <row r="1438" spans="18:18" ht="13" x14ac:dyDescent="0.15">
      <c r="R1438" s="2"/>
    </row>
    <row r="1439" spans="18:18" ht="13" x14ac:dyDescent="0.15">
      <c r="R1439" s="2"/>
    </row>
    <row r="1440" spans="18:18" ht="13" x14ac:dyDescent="0.15">
      <c r="R1440" s="2"/>
    </row>
    <row r="1441" spans="18:18" ht="13" x14ac:dyDescent="0.15">
      <c r="R1441" s="2"/>
    </row>
    <row r="1442" spans="18:18" ht="13" x14ac:dyDescent="0.15">
      <c r="R1442" s="2"/>
    </row>
    <row r="1443" spans="18:18" ht="13" x14ac:dyDescent="0.15">
      <c r="R1443" s="2"/>
    </row>
    <row r="1444" spans="18:18" ht="13" x14ac:dyDescent="0.15">
      <c r="R1444" s="2"/>
    </row>
    <row r="1445" spans="18:18" ht="13" x14ac:dyDescent="0.15">
      <c r="R1445" s="2"/>
    </row>
    <row r="1446" spans="18:18" ht="13" x14ac:dyDescent="0.15">
      <c r="R1446" s="2"/>
    </row>
    <row r="1447" spans="18:18" ht="13" x14ac:dyDescent="0.15">
      <c r="R1447" s="2"/>
    </row>
    <row r="1448" spans="18:18" ht="13" x14ac:dyDescent="0.15">
      <c r="R1448" s="2"/>
    </row>
    <row r="1449" spans="18:18" ht="13" x14ac:dyDescent="0.15">
      <c r="R1449" s="2"/>
    </row>
    <row r="1450" spans="18:18" ht="13" x14ac:dyDescent="0.15">
      <c r="R1450" s="2"/>
    </row>
    <row r="1451" spans="18:18" ht="13" x14ac:dyDescent="0.15">
      <c r="R1451" s="2"/>
    </row>
    <row r="1452" spans="18:18" ht="13" x14ac:dyDescent="0.15">
      <c r="R1452" s="2"/>
    </row>
    <row r="1453" spans="18:18" ht="13" x14ac:dyDescent="0.15">
      <c r="R1453" s="2"/>
    </row>
    <row r="1454" spans="18:18" ht="13" x14ac:dyDescent="0.15">
      <c r="R1454" s="2"/>
    </row>
    <row r="1455" spans="18:18" ht="13" x14ac:dyDescent="0.15">
      <c r="R1455" s="2"/>
    </row>
    <row r="1456" spans="18:18" ht="13" x14ac:dyDescent="0.15">
      <c r="R1456" s="2"/>
    </row>
    <row r="1457" spans="18:18" ht="13" x14ac:dyDescent="0.15">
      <c r="R1457" s="2"/>
    </row>
    <row r="1458" spans="18:18" ht="13" x14ac:dyDescent="0.15">
      <c r="R1458" s="2"/>
    </row>
    <row r="1459" spans="18:18" ht="13" x14ac:dyDescent="0.15">
      <c r="R1459" s="2"/>
    </row>
    <row r="1460" spans="18:18" ht="13" x14ac:dyDescent="0.15">
      <c r="R1460" s="2"/>
    </row>
    <row r="1461" spans="18:18" ht="13" x14ac:dyDescent="0.15">
      <c r="R1461" s="2"/>
    </row>
    <row r="1462" spans="18:18" ht="13" x14ac:dyDescent="0.15">
      <c r="R1462" s="2"/>
    </row>
    <row r="1463" spans="18:18" ht="13" x14ac:dyDescent="0.15">
      <c r="R1463" s="2"/>
    </row>
    <row r="1464" spans="18:18" ht="13" x14ac:dyDescent="0.15">
      <c r="R1464" s="2"/>
    </row>
    <row r="1465" spans="18:18" ht="13" x14ac:dyDescent="0.15">
      <c r="R1465" s="2"/>
    </row>
    <row r="1466" spans="18:18" ht="13" x14ac:dyDescent="0.15">
      <c r="R1466" s="2"/>
    </row>
    <row r="1467" spans="18:18" ht="13" x14ac:dyDescent="0.15">
      <c r="R1467" s="2"/>
    </row>
    <row r="1468" spans="18:18" ht="13" x14ac:dyDescent="0.15">
      <c r="R1468" s="2"/>
    </row>
    <row r="1469" spans="18:18" ht="13" x14ac:dyDescent="0.15">
      <c r="R1469" s="2"/>
    </row>
    <row r="1470" spans="18:18" ht="13" x14ac:dyDescent="0.15">
      <c r="R1470" s="2"/>
    </row>
    <row r="1471" spans="18:18" ht="13" x14ac:dyDescent="0.15">
      <c r="R1471" s="2"/>
    </row>
    <row r="1472" spans="18:18" ht="13" x14ac:dyDescent="0.15">
      <c r="R1472" s="2"/>
    </row>
    <row r="1473" spans="18:18" ht="13" x14ac:dyDescent="0.15">
      <c r="R1473" s="2"/>
    </row>
    <row r="1474" spans="18:18" ht="13" x14ac:dyDescent="0.15">
      <c r="R1474" s="2"/>
    </row>
    <row r="1475" spans="18:18" ht="13" x14ac:dyDescent="0.15">
      <c r="R1475" s="2"/>
    </row>
    <row r="1476" spans="18:18" ht="13" x14ac:dyDescent="0.15">
      <c r="R1476" s="2"/>
    </row>
    <row r="1477" spans="18:18" ht="13" x14ac:dyDescent="0.15">
      <c r="R1477" s="2"/>
    </row>
    <row r="1478" spans="18:18" ht="13" x14ac:dyDescent="0.15">
      <c r="R1478" s="2"/>
    </row>
    <row r="1479" spans="18:18" ht="13" x14ac:dyDescent="0.15">
      <c r="R1479" s="2"/>
    </row>
    <row r="1480" spans="18:18" ht="13" x14ac:dyDescent="0.15">
      <c r="R1480" s="2"/>
    </row>
    <row r="1481" spans="18:18" ht="13" x14ac:dyDescent="0.15">
      <c r="R1481" s="2"/>
    </row>
    <row r="1482" spans="18:18" ht="13" x14ac:dyDescent="0.15">
      <c r="R1482" s="2"/>
    </row>
    <row r="1483" spans="18:18" ht="13" x14ac:dyDescent="0.15">
      <c r="R1483" s="2"/>
    </row>
    <row r="1484" spans="18:18" ht="13" x14ac:dyDescent="0.15">
      <c r="R1484" s="2"/>
    </row>
    <row r="1485" spans="18:18" ht="13" x14ac:dyDescent="0.15">
      <c r="R1485" s="2"/>
    </row>
    <row r="1486" spans="18:18" ht="13" x14ac:dyDescent="0.15">
      <c r="R1486" s="2"/>
    </row>
    <row r="1487" spans="18:18" ht="13" x14ac:dyDescent="0.15">
      <c r="R1487" s="2"/>
    </row>
    <row r="1488" spans="18:18" ht="13" x14ac:dyDescent="0.15">
      <c r="R1488" s="2"/>
    </row>
    <row r="1489" spans="18:18" ht="13" x14ac:dyDescent="0.15">
      <c r="R1489" s="2"/>
    </row>
    <row r="1490" spans="18:18" ht="13" x14ac:dyDescent="0.15">
      <c r="R1490" s="2"/>
    </row>
    <row r="1491" spans="18:18" ht="13" x14ac:dyDescent="0.15">
      <c r="R1491" s="2"/>
    </row>
    <row r="1492" spans="18:18" ht="13" x14ac:dyDescent="0.15">
      <c r="R1492" s="2"/>
    </row>
    <row r="1493" spans="18:18" ht="13" x14ac:dyDescent="0.15">
      <c r="R1493" s="2"/>
    </row>
    <row r="1494" spans="18:18" ht="13" x14ac:dyDescent="0.15">
      <c r="R1494" s="2"/>
    </row>
    <row r="1495" spans="18:18" ht="13" x14ac:dyDescent="0.15">
      <c r="R1495" s="2"/>
    </row>
    <row r="1496" spans="18:18" ht="13" x14ac:dyDescent="0.15">
      <c r="R1496" s="2"/>
    </row>
    <row r="1497" spans="18:18" ht="13" x14ac:dyDescent="0.15">
      <c r="R1497" s="2"/>
    </row>
    <row r="1498" spans="18:18" ht="13" x14ac:dyDescent="0.15">
      <c r="R1498" s="2"/>
    </row>
    <row r="1499" spans="18:18" ht="13" x14ac:dyDescent="0.15">
      <c r="R1499" s="2"/>
    </row>
    <row r="1500" spans="18:18" ht="13" x14ac:dyDescent="0.15">
      <c r="R1500" s="2"/>
    </row>
    <row r="1501" spans="18:18" ht="13" x14ac:dyDescent="0.15">
      <c r="R1501" s="2"/>
    </row>
    <row r="1502" spans="18:18" ht="13" x14ac:dyDescent="0.15">
      <c r="R1502" s="2"/>
    </row>
    <row r="1503" spans="18:18" ht="13" x14ac:dyDescent="0.15">
      <c r="R1503" s="2"/>
    </row>
    <row r="1504" spans="18:18" ht="13" x14ac:dyDescent="0.15">
      <c r="R1504" s="2"/>
    </row>
    <row r="1505" spans="18:18" ht="13" x14ac:dyDescent="0.15">
      <c r="R1505" s="2"/>
    </row>
    <row r="1506" spans="18:18" ht="13" x14ac:dyDescent="0.15">
      <c r="R1506" s="2"/>
    </row>
    <row r="1507" spans="18:18" ht="13" x14ac:dyDescent="0.15">
      <c r="R1507" s="2"/>
    </row>
    <row r="1508" spans="18:18" ht="13" x14ac:dyDescent="0.15">
      <c r="R1508" s="2"/>
    </row>
    <row r="1509" spans="18:18" ht="13" x14ac:dyDescent="0.15">
      <c r="R1509" s="2"/>
    </row>
    <row r="1510" spans="18:18" ht="13" x14ac:dyDescent="0.15">
      <c r="R1510" s="2"/>
    </row>
    <row r="1511" spans="18:18" ht="13" x14ac:dyDescent="0.15">
      <c r="R1511" s="2"/>
    </row>
    <row r="1512" spans="18:18" ht="13" x14ac:dyDescent="0.15">
      <c r="R1512" s="2"/>
    </row>
    <row r="1513" spans="18:18" ht="13" x14ac:dyDescent="0.15">
      <c r="R1513" s="2"/>
    </row>
    <row r="1514" spans="18:18" ht="13" x14ac:dyDescent="0.15">
      <c r="R1514" s="2"/>
    </row>
    <row r="1515" spans="18:18" ht="13" x14ac:dyDescent="0.15">
      <c r="R1515" s="2"/>
    </row>
    <row r="1516" spans="18:18" ht="13" x14ac:dyDescent="0.15">
      <c r="R1516" s="2"/>
    </row>
    <row r="1517" spans="18:18" ht="13" x14ac:dyDescent="0.15">
      <c r="R1517" s="2"/>
    </row>
    <row r="1518" spans="18:18" ht="13" x14ac:dyDescent="0.15">
      <c r="R1518" s="2"/>
    </row>
    <row r="1519" spans="18:18" ht="13" x14ac:dyDescent="0.15">
      <c r="R1519" s="2"/>
    </row>
    <row r="1520" spans="18:18" ht="13" x14ac:dyDescent="0.15">
      <c r="R1520" s="2"/>
    </row>
    <row r="1521" spans="18:18" ht="13" x14ac:dyDescent="0.15">
      <c r="R1521" s="2"/>
    </row>
    <row r="1522" spans="18:18" ht="13" x14ac:dyDescent="0.15">
      <c r="R1522" s="2"/>
    </row>
    <row r="1523" spans="18:18" ht="13" x14ac:dyDescent="0.15">
      <c r="R1523" s="2"/>
    </row>
    <row r="1524" spans="18:18" ht="13" x14ac:dyDescent="0.15">
      <c r="R1524" s="2"/>
    </row>
    <row r="1525" spans="18:18" ht="13" x14ac:dyDescent="0.15">
      <c r="R1525" s="2"/>
    </row>
    <row r="1526" spans="18:18" ht="13" x14ac:dyDescent="0.15">
      <c r="R1526" s="2"/>
    </row>
    <row r="1527" spans="18:18" ht="13" x14ac:dyDescent="0.15">
      <c r="R1527" s="2"/>
    </row>
    <row r="1528" spans="18:18" ht="13" x14ac:dyDescent="0.15">
      <c r="R1528" s="2"/>
    </row>
    <row r="1529" spans="18:18" ht="13" x14ac:dyDescent="0.15">
      <c r="R1529" s="2"/>
    </row>
    <row r="1530" spans="18:18" ht="13" x14ac:dyDescent="0.15">
      <c r="R1530" s="2"/>
    </row>
    <row r="1531" spans="18:18" ht="13" x14ac:dyDescent="0.15">
      <c r="R1531" s="2"/>
    </row>
    <row r="1532" spans="18:18" ht="13" x14ac:dyDescent="0.15">
      <c r="R1532" s="2"/>
    </row>
    <row r="1533" spans="18:18" ht="13" x14ac:dyDescent="0.15">
      <c r="R1533" s="2"/>
    </row>
    <row r="1534" spans="18:18" ht="13" x14ac:dyDescent="0.15">
      <c r="R1534" s="2"/>
    </row>
    <row r="1535" spans="18:18" ht="13" x14ac:dyDescent="0.15">
      <c r="R1535" s="2"/>
    </row>
    <row r="1536" spans="18:18" ht="13" x14ac:dyDescent="0.15">
      <c r="R1536" s="2"/>
    </row>
    <row r="1537" spans="18:18" ht="13" x14ac:dyDescent="0.15">
      <c r="R1537" s="2"/>
    </row>
    <row r="1538" spans="18:18" ht="13" x14ac:dyDescent="0.15">
      <c r="R1538" s="2"/>
    </row>
    <row r="1539" spans="18:18" ht="13" x14ac:dyDescent="0.15">
      <c r="R1539" s="2"/>
    </row>
    <row r="1540" spans="18:18" ht="13" x14ac:dyDescent="0.15">
      <c r="R1540" s="2"/>
    </row>
    <row r="1541" spans="18:18" ht="13" x14ac:dyDescent="0.15">
      <c r="R1541" s="2"/>
    </row>
    <row r="1542" spans="18:18" ht="13" x14ac:dyDescent="0.15">
      <c r="R1542" s="2"/>
    </row>
    <row r="1543" spans="18:18" ht="13" x14ac:dyDescent="0.15">
      <c r="R1543" s="2"/>
    </row>
    <row r="1544" spans="18:18" ht="13" x14ac:dyDescent="0.15">
      <c r="R1544" s="2"/>
    </row>
    <row r="1545" spans="18:18" ht="13" x14ac:dyDescent="0.15">
      <c r="R1545" s="2"/>
    </row>
    <row r="1546" spans="18:18" ht="13" x14ac:dyDescent="0.15">
      <c r="R1546" s="2"/>
    </row>
    <row r="1547" spans="18:18" ht="13" x14ac:dyDescent="0.15">
      <c r="R1547" s="2"/>
    </row>
    <row r="1548" spans="18:18" ht="13" x14ac:dyDescent="0.15">
      <c r="R1548" s="2"/>
    </row>
    <row r="1549" spans="18:18" ht="13" x14ac:dyDescent="0.15">
      <c r="R1549" s="2"/>
    </row>
    <row r="1550" spans="18:18" ht="13" x14ac:dyDescent="0.15">
      <c r="R1550" s="2"/>
    </row>
    <row r="1551" spans="18:18" ht="13" x14ac:dyDescent="0.15">
      <c r="R1551" s="2"/>
    </row>
    <row r="1552" spans="18:18" ht="13" x14ac:dyDescent="0.15">
      <c r="R1552" s="2"/>
    </row>
    <row r="1553" spans="18:18" ht="13" x14ac:dyDescent="0.15">
      <c r="R1553" s="2"/>
    </row>
    <row r="1554" spans="18:18" ht="13" x14ac:dyDescent="0.15">
      <c r="R1554" s="2"/>
    </row>
    <row r="1555" spans="18:18" ht="13" x14ac:dyDescent="0.15">
      <c r="R1555" s="2"/>
    </row>
    <row r="1556" spans="18:18" ht="13" x14ac:dyDescent="0.15">
      <c r="R1556" s="2"/>
    </row>
    <row r="1557" spans="18:18" ht="13" x14ac:dyDescent="0.15">
      <c r="R1557" s="2"/>
    </row>
    <row r="1558" spans="18:18" ht="13" x14ac:dyDescent="0.15">
      <c r="R1558" s="2"/>
    </row>
    <row r="1559" spans="18:18" ht="13" x14ac:dyDescent="0.15">
      <c r="R1559" s="2"/>
    </row>
    <row r="1560" spans="18:18" ht="13" x14ac:dyDescent="0.15">
      <c r="R1560" s="2"/>
    </row>
    <row r="1561" spans="18:18" ht="13" x14ac:dyDescent="0.15">
      <c r="R1561" s="2"/>
    </row>
    <row r="1562" spans="18:18" ht="13" x14ac:dyDescent="0.15">
      <c r="R1562" s="2"/>
    </row>
    <row r="1563" spans="18:18" ht="13" x14ac:dyDescent="0.15">
      <c r="R1563" s="2"/>
    </row>
    <row r="1564" spans="18:18" ht="13" x14ac:dyDescent="0.15">
      <c r="R1564" s="2"/>
    </row>
    <row r="1565" spans="18:18" ht="13" x14ac:dyDescent="0.15">
      <c r="R1565" s="2"/>
    </row>
    <row r="1566" spans="18:18" ht="13" x14ac:dyDescent="0.15">
      <c r="R1566" s="2"/>
    </row>
    <row r="1567" spans="18:18" ht="13" x14ac:dyDescent="0.15">
      <c r="R1567" s="2"/>
    </row>
    <row r="1568" spans="18:18" ht="13" x14ac:dyDescent="0.15">
      <c r="R1568" s="2"/>
    </row>
    <row r="1569" spans="18:18" ht="13" x14ac:dyDescent="0.15">
      <c r="R1569" s="2"/>
    </row>
    <row r="1570" spans="18:18" ht="13" x14ac:dyDescent="0.15">
      <c r="R1570" s="2"/>
    </row>
    <row r="1571" spans="18:18" ht="13" x14ac:dyDescent="0.15">
      <c r="R1571" s="2"/>
    </row>
    <row r="1572" spans="18:18" ht="13" x14ac:dyDescent="0.15">
      <c r="R1572" s="2"/>
    </row>
    <row r="1573" spans="18:18" ht="13" x14ac:dyDescent="0.15">
      <c r="R1573" s="2"/>
    </row>
    <row r="1574" spans="18:18" ht="13" x14ac:dyDescent="0.15">
      <c r="R1574" s="2"/>
    </row>
    <row r="1575" spans="18:18" ht="13" x14ac:dyDescent="0.15">
      <c r="R1575" s="2"/>
    </row>
    <row r="1576" spans="18:18" ht="13" x14ac:dyDescent="0.15">
      <c r="R1576" s="2"/>
    </row>
    <row r="1577" spans="18:18" ht="13" x14ac:dyDescent="0.15">
      <c r="R1577" s="2"/>
    </row>
    <row r="1578" spans="18:18" ht="13" x14ac:dyDescent="0.15">
      <c r="R1578" s="2"/>
    </row>
    <row r="1579" spans="18:18" ht="13" x14ac:dyDescent="0.15">
      <c r="R1579" s="2"/>
    </row>
    <row r="1580" spans="18:18" ht="13" x14ac:dyDescent="0.15">
      <c r="R1580" s="2"/>
    </row>
    <row r="1581" spans="18:18" ht="13" x14ac:dyDescent="0.15">
      <c r="R1581" s="2"/>
    </row>
    <row r="1582" spans="18:18" ht="13" x14ac:dyDescent="0.15">
      <c r="R1582" s="2"/>
    </row>
    <row r="1583" spans="18:18" ht="13" x14ac:dyDescent="0.15">
      <c r="R1583" s="2"/>
    </row>
    <row r="1584" spans="18:18" ht="13" x14ac:dyDescent="0.15">
      <c r="R1584" s="2"/>
    </row>
    <row r="1585" spans="18:18" ht="13" x14ac:dyDescent="0.15">
      <c r="R1585" s="2"/>
    </row>
    <row r="1586" spans="18:18" ht="13" x14ac:dyDescent="0.15">
      <c r="R1586" s="2"/>
    </row>
    <row r="1587" spans="18:18" ht="13" x14ac:dyDescent="0.15">
      <c r="R1587" s="2"/>
    </row>
    <row r="1588" spans="18:18" ht="13" x14ac:dyDescent="0.15">
      <c r="R1588" s="2"/>
    </row>
    <row r="1589" spans="18:18" ht="13" x14ac:dyDescent="0.15">
      <c r="R1589" s="2"/>
    </row>
    <row r="1590" spans="18:18" ht="13" x14ac:dyDescent="0.15">
      <c r="R1590" s="2"/>
    </row>
    <row r="1591" spans="18:18" ht="13" x14ac:dyDescent="0.15">
      <c r="R1591" s="2"/>
    </row>
    <row r="1592" spans="18:18" ht="13" x14ac:dyDescent="0.15">
      <c r="R1592" s="2"/>
    </row>
    <row r="1593" spans="18:18" ht="13" x14ac:dyDescent="0.15">
      <c r="R1593" s="2"/>
    </row>
    <row r="1594" spans="18:18" ht="13" x14ac:dyDescent="0.15">
      <c r="R1594" s="2"/>
    </row>
    <row r="1595" spans="18:18" ht="13" x14ac:dyDescent="0.15">
      <c r="R1595" s="2"/>
    </row>
    <row r="1596" spans="18:18" ht="13" x14ac:dyDescent="0.15">
      <c r="R1596" s="2"/>
    </row>
    <row r="1597" spans="18:18" ht="13" x14ac:dyDescent="0.15">
      <c r="R1597" s="2"/>
    </row>
    <row r="1598" spans="18:18" ht="13" x14ac:dyDescent="0.15">
      <c r="R1598" s="2"/>
    </row>
    <row r="1599" spans="18:18" ht="13" x14ac:dyDescent="0.15">
      <c r="R1599" s="2"/>
    </row>
    <row r="1600" spans="18:18" ht="13" x14ac:dyDescent="0.15">
      <c r="R1600" s="2"/>
    </row>
    <row r="1601" spans="18:18" ht="13" x14ac:dyDescent="0.15">
      <c r="R1601" s="2"/>
    </row>
    <row r="1602" spans="18:18" ht="13" x14ac:dyDescent="0.15">
      <c r="R1602" s="2"/>
    </row>
    <row r="1603" spans="18:18" ht="13" x14ac:dyDescent="0.15">
      <c r="R1603" s="2"/>
    </row>
    <row r="1604" spans="18:18" ht="13" x14ac:dyDescent="0.15">
      <c r="R1604" s="2"/>
    </row>
    <row r="1605" spans="18:18" ht="13" x14ac:dyDescent="0.15">
      <c r="R1605" s="2"/>
    </row>
    <row r="1606" spans="18:18" ht="13" x14ac:dyDescent="0.15">
      <c r="R1606" s="2"/>
    </row>
    <row r="1607" spans="18:18" ht="13" x14ac:dyDescent="0.15">
      <c r="R1607" s="2"/>
    </row>
    <row r="1608" spans="18:18" ht="13" x14ac:dyDescent="0.15">
      <c r="R1608" s="2"/>
    </row>
    <row r="1609" spans="18:18" ht="13" x14ac:dyDescent="0.15">
      <c r="R1609" s="2"/>
    </row>
    <row r="1610" spans="18:18" ht="13" x14ac:dyDescent="0.15">
      <c r="R1610" s="2"/>
    </row>
    <row r="1611" spans="18:18" ht="13" x14ac:dyDescent="0.15">
      <c r="R1611" s="2"/>
    </row>
    <row r="1612" spans="18:18" ht="13" x14ac:dyDescent="0.15">
      <c r="R1612" s="2"/>
    </row>
    <row r="1613" spans="18:18" ht="13" x14ac:dyDescent="0.15">
      <c r="R1613" s="2"/>
    </row>
    <row r="1614" spans="18:18" ht="13" x14ac:dyDescent="0.15">
      <c r="R1614" s="2"/>
    </row>
    <row r="1615" spans="18:18" ht="13" x14ac:dyDescent="0.15">
      <c r="R1615" s="2"/>
    </row>
    <row r="1616" spans="18:18" ht="13" x14ac:dyDescent="0.15">
      <c r="R1616" s="2"/>
    </row>
    <row r="1617" spans="18:18" ht="13" x14ac:dyDescent="0.15">
      <c r="R1617" s="2"/>
    </row>
    <row r="1618" spans="18:18" ht="13" x14ac:dyDescent="0.15">
      <c r="R1618" s="2"/>
    </row>
    <row r="1619" spans="18:18" ht="13" x14ac:dyDescent="0.15">
      <c r="R1619" s="2"/>
    </row>
    <row r="1620" spans="18:18" ht="13" x14ac:dyDescent="0.15">
      <c r="R1620" s="2"/>
    </row>
    <row r="1621" spans="18:18" ht="13" x14ac:dyDescent="0.15">
      <c r="R1621" s="2"/>
    </row>
    <row r="1622" spans="18:18" ht="13" x14ac:dyDescent="0.15">
      <c r="R1622" s="2"/>
    </row>
    <row r="1623" spans="18:18" ht="13" x14ac:dyDescent="0.15">
      <c r="R1623" s="2"/>
    </row>
    <row r="1624" spans="18:18" ht="13" x14ac:dyDescent="0.15">
      <c r="R1624" s="2"/>
    </row>
    <row r="1625" spans="18:18" ht="13" x14ac:dyDescent="0.15">
      <c r="R1625" s="2"/>
    </row>
    <row r="1626" spans="18:18" ht="13" x14ac:dyDescent="0.15">
      <c r="R1626" s="2"/>
    </row>
    <row r="1627" spans="18:18" ht="13" x14ac:dyDescent="0.15">
      <c r="R1627" s="2"/>
    </row>
    <row r="1628" spans="18:18" ht="13" x14ac:dyDescent="0.15">
      <c r="R1628" s="2"/>
    </row>
    <row r="1629" spans="18:18" ht="13" x14ac:dyDescent="0.15">
      <c r="R1629" s="2"/>
    </row>
    <row r="1630" spans="18:18" ht="13" x14ac:dyDescent="0.15">
      <c r="R1630" s="2"/>
    </row>
    <row r="1631" spans="18:18" ht="13" x14ac:dyDescent="0.15">
      <c r="R1631" s="2"/>
    </row>
    <row r="1632" spans="18:18" ht="13" x14ac:dyDescent="0.15">
      <c r="R1632" s="2"/>
    </row>
    <row r="1633" spans="18:18" ht="13" x14ac:dyDescent="0.15">
      <c r="R1633" s="2"/>
    </row>
    <row r="1634" spans="18:18" ht="13" x14ac:dyDescent="0.15">
      <c r="R1634" s="2"/>
    </row>
    <row r="1635" spans="18:18" ht="13" x14ac:dyDescent="0.15">
      <c r="R1635" s="2"/>
    </row>
    <row r="1636" spans="18:18" ht="13" x14ac:dyDescent="0.15">
      <c r="R1636" s="2"/>
    </row>
    <row r="1637" spans="18:18" ht="13" x14ac:dyDescent="0.15">
      <c r="R1637" s="2"/>
    </row>
    <row r="1638" spans="18:18" ht="13" x14ac:dyDescent="0.15">
      <c r="R1638" s="2"/>
    </row>
    <row r="1639" spans="18:18" ht="13" x14ac:dyDescent="0.15">
      <c r="R1639" s="2"/>
    </row>
    <row r="1640" spans="18:18" ht="13" x14ac:dyDescent="0.15">
      <c r="R1640" s="2"/>
    </row>
    <row r="1641" spans="18:18" ht="13" x14ac:dyDescent="0.15">
      <c r="R1641" s="2"/>
    </row>
    <row r="1642" spans="18:18" ht="13" x14ac:dyDescent="0.15">
      <c r="R1642" s="2"/>
    </row>
    <row r="1643" spans="18:18" ht="13" x14ac:dyDescent="0.15">
      <c r="R1643" s="2"/>
    </row>
    <row r="1644" spans="18:18" ht="13" x14ac:dyDescent="0.15">
      <c r="R1644" s="2"/>
    </row>
    <row r="1645" spans="18:18" ht="13" x14ac:dyDescent="0.15">
      <c r="R1645" s="2"/>
    </row>
    <row r="1646" spans="18:18" ht="13" x14ac:dyDescent="0.15">
      <c r="R1646" s="2"/>
    </row>
    <row r="1647" spans="18:18" ht="13" x14ac:dyDescent="0.15">
      <c r="R1647" s="2"/>
    </row>
    <row r="1648" spans="18:18" ht="13" x14ac:dyDescent="0.15">
      <c r="R1648" s="2"/>
    </row>
    <row r="1649" spans="18:18" ht="13" x14ac:dyDescent="0.15">
      <c r="R1649" s="2"/>
    </row>
    <row r="1650" spans="18:18" ht="13" x14ac:dyDescent="0.15">
      <c r="R1650" s="2"/>
    </row>
    <row r="1651" spans="18:18" ht="13" x14ac:dyDescent="0.15">
      <c r="R1651" s="2"/>
    </row>
    <row r="1652" spans="18:18" ht="13" x14ac:dyDescent="0.15">
      <c r="R1652" s="2"/>
    </row>
    <row r="1653" spans="18:18" ht="13" x14ac:dyDescent="0.15">
      <c r="R1653" s="2"/>
    </row>
    <row r="1654" spans="18:18" ht="13" x14ac:dyDescent="0.15">
      <c r="R1654" s="2"/>
    </row>
    <row r="1655" spans="18:18" ht="13" x14ac:dyDescent="0.15">
      <c r="R1655" s="2"/>
    </row>
    <row r="1656" spans="18:18" ht="13" x14ac:dyDescent="0.15">
      <c r="R1656" s="2"/>
    </row>
    <row r="1657" spans="18:18" ht="13" x14ac:dyDescent="0.15">
      <c r="R1657" s="2"/>
    </row>
    <row r="1658" spans="18:18" ht="13" x14ac:dyDescent="0.15">
      <c r="R1658" s="2"/>
    </row>
    <row r="1659" spans="18:18" ht="13" x14ac:dyDescent="0.15">
      <c r="R1659" s="2"/>
    </row>
    <row r="1660" spans="18:18" ht="13" x14ac:dyDescent="0.15">
      <c r="R1660" s="2"/>
    </row>
    <row r="1661" spans="18:18" ht="13" x14ac:dyDescent="0.15">
      <c r="R1661" s="2"/>
    </row>
    <row r="1662" spans="18:18" ht="13" x14ac:dyDescent="0.15">
      <c r="R1662" s="2"/>
    </row>
    <row r="1663" spans="18:18" ht="13" x14ac:dyDescent="0.15">
      <c r="R1663" s="2"/>
    </row>
    <row r="1664" spans="18:18" ht="13" x14ac:dyDescent="0.15">
      <c r="R1664" s="2"/>
    </row>
    <row r="1665" spans="18:18" ht="13" x14ac:dyDescent="0.15">
      <c r="R1665" s="2"/>
    </row>
    <row r="1666" spans="18:18" ht="13" x14ac:dyDescent="0.15">
      <c r="R1666" s="2"/>
    </row>
    <row r="1667" spans="18:18" ht="13" x14ac:dyDescent="0.15">
      <c r="R1667" s="2"/>
    </row>
    <row r="1668" spans="18:18" ht="13" x14ac:dyDescent="0.15">
      <c r="R1668" s="2"/>
    </row>
    <row r="1669" spans="18:18" ht="13" x14ac:dyDescent="0.15">
      <c r="R1669" s="2"/>
    </row>
    <row r="1670" spans="18:18" ht="13" x14ac:dyDescent="0.15">
      <c r="R1670" s="2"/>
    </row>
    <row r="1671" spans="18:18" ht="13" x14ac:dyDescent="0.15">
      <c r="R1671" s="2"/>
    </row>
    <row r="1672" spans="18:18" ht="13" x14ac:dyDescent="0.15">
      <c r="R1672" s="2"/>
    </row>
    <row r="1673" spans="18:18" ht="13" x14ac:dyDescent="0.15">
      <c r="R1673" s="2"/>
    </row>
    <row r="1674" spans="18:18" ht="13" x14ac:dyDescent="0.15">
      <c r="R1674" s="2"/>
    </row>
    <row r="1675" spans="18:18" ht="13" x14ac:dyDescent="0.15">
      <c r="R1675" s="2"/>
    </row>
    <row r="1676" spans="18:18" ht="13" x14ac:dyDescent="0.15">
      <c r="R1676" s="2"/>
    </row>
    <row r="1677" spans="18:18" ht="13" x14ac:dyDescent="0.15">
      <c r="R1677" s="2"/>
    </row>
    <row r="1678" spans="18:18" ht="13" x14ac:dyDescent="0.15">
      <c r="R1678" s="2"/>
    </row>
    <row r="1679" spans="18:18" ht="13" x14ac:dyDescent="0.15">
      <c r="R1679" s="2"/>
    </row>
    <row r="1680" spans="18:18" ht="13" x14ac:dyDescent="0.15">
      <c r="R1680" s="2"/>
    </row>
    <row r="1681" spans="18:18" ht="13" x14ac:dyDescent="0.15">
      <c r="R1681" s="2"/>
    </row>
    <row r="1682" spans="18:18" ht="13" x14ac:dyDescent="0.15">
      <c r="R1682" s="2"/>
    </row>
    <row r="1683" spans="18:18" ht="13" x14ac:dyDescent="0.15">
      <c r="R1683" s="2"/>
    </row>
    <row r="1684" spans="18:18" ht="13" x14ac:dyDescent="0.15">
      <c r="R1684" s="2"/>
    </row>
    <row r="1685" spans="18:18" ht="13" x14ac:dyDescent="0.15">
      <c r="R1685" s="2"/>
    </row>
    <row r="1686" spans="18:18" ht="13" x14ac:dyDescent="0.15">
      <c r="R1686" s="2"/>
    </row>
    <row r="1687" spans="18:18" ht="13" x14ac:dyDescent="0.15">
      <c r="R1687" s="2"/>
    </row>
    <row r="1688" spans="18:18" ht="13" x14ac:dyDescent="0.15">
      <c r="R1688" s="2"/>
    </row>
    <row r="1689" spans="18:18" ht="13" x14ac:dyDescent="0.15">
      <c r="R1689" s="2"/>
    </row>
    <row r="1690" spans="18:18" ht="13" x14ac:dyDescent="0.15">
      <c r="R1690" s="2"/>
    </row>
    <row r="1691" spans="18:18" ht="13" x14ac:dyDescent="0.15">
      <c r="R1691" s="2"/>
    </row>
    <row r="1692" spans="18:18" ht="13" x14ac:dyDescent="0.15">
      <c r="R1692" s="2"/>
    </row>
    <row r="1693" spans="18:18" ht="13" x14ac:dyDescent="0.15">
      <c r="R1693" s="2"/>
    </row>
    <row r="1694" spans="18:18" ht="13" x14ac:dyDescent="0.15">
      <c r="R1694" s="2"/>
    </row>
    <row r="1695" spans="18:18" ht="13" x14ac:dyDescent="0.15">
      <c r="R1695" s="2"/>
    </row>
    <row r="1696" spans="18:18" ht="13" x14ac:dyDescent="0.15">
      <c r="R1696" s="2"/>
    </row>
    <row r="1697" spans="18:18" ht="13" x14ac:dyDescent="0.15">
      <c r="R1697" s="2"/>
    </row>
    <row r="1698" spans="18:18" ht="13" x14ac:dyDescent="0.15">
      <c r="R1698" s="2"/>
    </row>
    <row r="1699" spans="18:18" ht="13" x14ac:dyDescent="0.15">
      <c r="R1699" s="2"/>
    </row>
    <row r="1700" spans="18:18" ht="13" x14ac:dyDescent="0.15">
      <c r="R1700" s="2"/>
    </row>
    <row r="1701" spans="18:18" ht="13" x14ac:dyDescent="0.15">
      <c r="R1701" s="2"/>
    </row>
    <row r="1702" spans="18:18" ht="13" x14ac:dyDescent="0.15">
      <c r="R1702" s="2"/>
    </row>
    <row r="1703" spans="18:18" ht="13" x14ac:dyDescent="0.15">
      <c r="R1703" s="2"/>
    </row>
    <row r="1704" spans="18:18" ht="13" x14ac:dyDescent="0.15">
      <c r="R1704" s="2"/>
    </row>
    <row r="1705" spans="18:18" ht="13" x14ac:dyDescent="0.15">
      <c r="R1705" s="2"/>
    </row>
    <row r="1706" spans="18:18" ht="13" x14ac:dyDescent="0.15">
      <c r="R1706" s="2"/>
    </row>
    <row r="1707" spans="18:18" ht="13" x14ac:dyDescent="0.15">
      <c r="R1707" s="2"/>
    </row>
    <row r="1708" spans="18:18" ht="13" x14ac:dyDescent="0.15">
      <c r="R1708" s="2"/>
    </row>
    <row r="1709" spans="18:18" ht="13" x14ac:dyDescent="0.15">
      <c r="R1709" s="2"/>
    </row>
    <row r="1710" spans="18:18" ht="13" x14ac:dyDescent="0.15">
      <c r="R1710" s="2"/>
    </row>
    <row r="1711" spans="18:18" ht="13" x14ac:dyDescent="0.15">
      <c r="R1711" s="2"/>
    </row>
    <row r="1712" spans="18:18" ht="13" x14ac:dyDescent="0.15">
      <c r="R1712" s="2"/>
    </row>
    <row r="1713" spans="18:18" ht="13" x14ac:dyDescent="0.15">
      <c r="R1713" s="2"/>
    </row>
    <row r="1714" spans="18:18" ht="13" x14ac:dyDescent="0.15">
      <c r="R1714" s="2"/>
    </row>
    <row r="1715" spans="18:18" ht="13" x14ac:dyDescent="0.15">
      <c r="R1715" s="2"/>
    </row>
    <row r="1716" spans="18:18" ht="13" x14ac:dyDescent="0.15">
      <c r="R1716" s="2"/>
    </row>
    <row r="1717" spans="18:18" ht="13" x14ac:dyDescent="0.15">
      <c r="R1717" s="2"/>
    </row>
    <row r="1718" spans="18:18" ht="13" x14ac:dyDescent="0.15">
      <c r="R1718" s="2"/>
    </row>
    <row r="1719" spans="18:18" ht="13" x14ac:dyDescent="0.15">
      <c r="R1719" s="2"/>
    </row>
    <row r="1720" spans="18:18" ht="13" x14ac:dyDescent="0.15">
      <c r="R1720" s="2"/>
    </row>
    <row r="1721" spans="18:18" ht="13" x14ac:dyDescent="0.15">
      <c r="R1721" s="2"/>
    </row>
    <row r="1722" spans="18:18" ht="13" x14ac:dyDescent="0.15">
      <c r="R1722" s="2"/>
    </row>
    <row r="1723" spans="18:18" ht="13" x14ac:dyDescent="0.15">
      <c r="R1723" s="2"/>
    </row>
    <row r="1724" spans="18:18" ht="13" x14ac:dyDescent="0.15">
      <c r="R1724" s="2"/>
    </row>
    <row r="1725" spans="18:18" ht="13" x14ac:dyDescent="0.15">
      <c r="R1725" s="2"/>
    </row>
    <row r="1726" spans="18:18" ht="13" x14ac:dyDescent="0.15">
      <c r="R1726" s="2"/>
    </row>
    <row r="1727" spans="18:18" ht="13" x14ac:dyDescent="0.15">
      <c r="R1727" s="2"/>
    </row>
    <row r="1728" spans="18:18" ht="13" x14ac:dyDescent="0.15">
      <c r="R1728" s="2"/>
    </row>
    <row r="1729" spans="18:18" ht="13" x14ac:dyDescent="0.15">
      <c r="R1729" s="2"/>
    </row>
    <row r="1730" spans="18:18" ht="13" x14ac:dyDescent="0.15">
      <c r="R1730" s="2"/>
    </row>
    <row r="1731" spans="18:18" ht="13" x14ac:dyDescent="0.15">
      <c r="R1731" s="2"/>
    </row>
    <row r="1732" spans="18:18" ht="13" x14ac:dyDescent="0.15">
      <c r="R1732" s="2"/>
    </row>
    <row r="1733" spans="18:18" ht="13" x14ac:dyDescent="0.15">
      <c r="R1733" s="2"/>
    </row>
    <row r="1734" spans="18:18" ht="13" x14ac:dyDescent="0.15">
      <c r="R1734" s="2"/>
    </row>
    <row r="1735" spans="18:18" ht="13" x14ac:dyDescent="0.15">
      <c r="R1735" s="2"/>
    </row>
    <row r="1736" spans="18:18" ht="13" x14ac:dyDescent="0.15">
      <c r="R1736" s="2"/>
    </row>
    <row r="1737" spans="18:18" ht="13" x14ac:dyDescent="0.15">
      <c r="R1737" s="2"/>
    </row>
    <row r="1738" spans="18:18" ht="13" x14ac:dyDescent="0.15">
      <c r="R1738" s="2"/>
    </row>
    <row r="1739" spans="18:18" ht="13" x14ac:dyDescent="0.15">
      <c r="R1739" s="2"/>
    </row>
    <row r="1740" spans="18:18" ht="13" x14ac:dyDescent="0.15">
      <c r="R1740" s="2"/>
    </row>
    <row r="1741" spans="18:18" ht="13" x14ac:dyDescent="0.15">
      <c r="R1741" s="2"/>
    </row>
    <row r="1742" spans="18:18" ht="13" x14ac:dyDescent="0.15">
      <c r="R1742" s="2"/>
    </row>
    <row r="1743" spans="18:18" ht="13" x14ac:dyDescent="0.15">
      <c r="R1743" s="2"/>
    </row>
    <row r="1744" spans="18:18" ht="13" x14ac:dyDescent="0.15">
      <c r="R1744" s="2"/>
    </row>
    <row r="1745" spans="18:18" ht="13" x14ac:dyDescent="0.15">
      <c r="R1745" s="2"/>
    </row>
    <row r="1746" spans="18:18" ht="13" x14ac:dyDescent="0.15">
      <c r="R1746" s="2"/>
    </row>
    <row r="1747" spans="18:18" ht="13" x14ac:dyDescent="0.15">
      <c r="R1747" s="2"/>
    </row>
    <row r="1748" spans="18:18" ht="13" x14ac:dyDescent="0.15">
      <c r="R1748" s="2"/>
    </row>
    <row r="1749" spans="18:18" ht="13" x14ac:dyDescent="0.15">
      <c r="R1749" s="2"/>
    </row>
    <row r="1750" spans="18:18" ht="13" x14ac:dyDescent="0.15">
      <c r="R1750" s="2"/>
    </row>
    <row r="1751" spans="18:18" ht="13" x14ac:dyDescent="0.15">
      <c r="R1751" s="2"/>
    </row>
    <row r="1752" spans="18:18" ht="13" x14ac:dyDescent="0.15">
      <c r="R1752" s="2"/>
    </row>
    <row r="1753" spans="18:18" ht="13" x14ac:dyDescent="0.15">
      <c r="R1753" s="2"/>
    </row>
    <row r="1754" spans="18:18" ht="13" x14ac:dyDescent="0.15">
      <c r="R1754" s="2"/>
    </row>
    <row r="1755" spans="18:18" ht="13" x14ac:dyDescent="0.15">
      <c r="R1755" s="2"/>
    </row>
    <row r="1756" spans="18:18" ht="13" x14ac:dyDescent="0.15">
      <c r="R1756" s="2"/>
    </row>
    <row r="1757" spans="18:18" ht="13" x14ac:dyDescent="0.15">
      <c r="R1757" s="2"/>
    </row>
    <row r="1758" spans="18:18" ht="13" x14ac:dyDescent="0.15">
      <c r="R1758" s="2"/>
    </row>
    <row r="1759" spans="18:18" ht="13" x14ac:dyDescent="0.15">
      <c r="R1759" s="2"/>
    </row>
    <row r="1760" spans="18:18" ht="13" x14ac:dyDescent="0.15">
      <c r="R1760" s="2"/>
    </row>
    <row r="1761" spans="18:18" ht="13" x14ac:dyDescent="0.15">
      <c r="R1761" s="2"/>
    </row>
    <row r="1762" spans="18:18" ht="13" x14ac:dyDescent="0.15">
      <c r="R1762" s="2"/>
    </row>
    <row r="1763" spans="18:18" ht="13" x14ac:dyDescent="0.15">
      <c r="R1763" s="2"/>
    </row>
    <row r="1764" spans="18:18" ht="13" x14ac:dyDescent="0.15">
      <c r="R1764" s="2"/>
    </row>
    <row r="1765" spans="18:18" ht="13" x14ac:dyDescent="0.15">
      <c r="R1765" s="2"/>
    </row>
    <row r="1766" spans="18:18" ht="13" x14ac:dyDescent="0.15">
      <c r="R1766" s="2"/>
    </row>
    <row r="1767" spans="18:18" ht="13" x14ac:dyDescent="0.15">
      <c r="R1767" s="2"/>
    </row>
    <row r="1768" spans="18:18" ht="13" x14ac:dyDescent="0.15">
      <c r="R1768" s="2"/>
    </row>
    <row r="1769" spans="18:18" ht="13" x14ac:dyDescent="0.15">
      <c r="R1769" s="2"/>
    </row>
    <row r="1770" spans="18:18" ht="13" x14ac:dyDescent="0.15">
      <c r="R1770" s="2"/>
    </row>
    <row r="1771" spans="18:18" ht="13" x14ac:dyDescent="0.15">
      <c r="R1771" s="2"/>
    </row>
    <row r="1772" spans="18:18" ht="13" x14ac:dyDescent="0.15">
      <c r="R1772" s="2"/>
    </row>
    <row r="1773" spans="18:18" ht="13" x14ac:dyDescent="0.15">
      <c r="R1773" s="2"/>
    </row>
    <row r="1774" spans="18:18" ht="13" x14ac:dyDescent="0.15">
      <c r="R1774" s="2"/>
    </row>
    <row r="1775" spans="18:18" ht="13" x14ac:dyDescent="0.15">
      <c r="R1775" s="2"/>
    </row>
    <row r="1776" spans="18:18" ht="13" x14ac:dyDescent="0.15">
      <c r="R1776" s="2"/>
    </row>
    <row r="1777" spans="18:18" ht="13" x14ac:dyDescent="0.15">
      <c r="R1777" s="2"/>
    </row>
    <row r="1778" spans="18:18" ht="13" x14ac:dyDescent="0.15">
      <c r="R1778" s="2"/>
    </row>
    <row r="1779" spans="18:18" ht="13" x14ac:dyDescent="0.15">
      <c r="R1779" s="2"/>
    </row>
    <row r="1780" spans="18:18" ht="13" x14ac:dyDescent="0.15">
      <c r="R1780" s="2"/>
    </row>
    <row r="1781" spans="18:18" ht="13" x14ac:dyDescent="0.15">
      <c r="R1781" s="2"/>
    </row>
    <row r="1782" spans="18:18" ht="13" x14ac:dyDescent="0.15">
      <c r="R1782" s="2"/>
    </row>
    <row r="1783" spans="18:18" ht="13" x14ac:dyDescent="0.15">
      <c r="R1783" s="2"/>
    </row>
    <row r="1784" spans="18:18" ht="13" x14ac:dyDescent="0.15">
      <c r="R1784" s="2"/>
    </row>
    <row r="1785" spans="18:18" ht="13" x14ac:dyDescent="0.15">
      <c r="R1785" s="2"/>
    </row>
    <row r="1786" spans="18:18" ht="13" x14ac:dyDescent="0.15">
      <c r="R1786" s="2"/>
    </row>
    <row r="1787" spans="18:18" ht="13" x14ac:dyDescent="0.15">
      <c r="R1787" s="2"/>
    </row>
    <row r="1788" spans="18:18" ht="13" x14ac:dyDescent="0.15">
      <c r="R1788" s="2"/>
    </row>
    <row r="1789" spans="18:18" ht="13" x14ac:dyDescent="0.15">
      <c r="R1789" s="2"/>
    </row>
    <row r="1790" spans="18:18" ht="13" x14ac:dyDescent="0.15">
      <c r="R1790" s="2"/>
    </row>
    <row r="1791" spans="18:18" ht="13" x14ac:dyDescent="0.15">
      <c r="R1791" s="2"/>
    </row>
    <row r="1792" spans="18:18" ht="13" x14ac:dyDescent="0.15">
      <c r="R1792" s="2"/>
    </row>
    <row r="1793" spans="18:18" ht="13" x14ac:dyDescent="0.15">
      <c r="R1793" s="2"/>
    </row>
    <row r="1794" spans="18:18" ht="13" x14ac:dyDescent="0.15">
      <c r="R1794" s="2"/>
    </row>
    <row r="1795" spans="18:18" ht="13" x14ac:dyDescent="0.15">
      <c r="R1795" s="2"/>
    </row>
    <row r="1796" spans="18:18" ht="13" x14ac:dyDescent="0.15">
      <c r="R1796" s="2"/>
    </row>
    <row r="1797" spans="18:18" ht="13" x14ac:dyDescent="0.15">
      <c r="R1797" s="2"/>
    </row>
    <row r="1798" spans="18:18" ht="13" x14ac:dyDescent="0.15">
      <c r="R1798" s="2"/>
    </row>
    <row r="1799" spans="18:18" ht="13" x14ac:dyDescent="0.15">
      <c r="R1799" s="2"/>
    </row>
    <row r="1800" spans="18:18" ht="13" x14ac:dyDescent="0.15">
      <c r="R1800" s="2"/>
    </row>
    <row r="1801" spans="18:18" ht="13" x14ac:dyDescent="0.15">
      <c r="R1801" s="2"/>
    </row>
    <row r="1802" spans="18:18" ht="13" x14ac:dyDescent="0.15">
      <c r="R1802" s="2"/>
    </row>
    <row r="1803" spans="18:18" ht="13" x14ac:dyDescent="0.15">
      <c r="R1803" s="2"/>
    </row>
    <row r="1804" spans="18:18" ht="13" x14ac:dyDescent="0.15">
      <c r="R1804" s="2"/>
    </row>
    <row r="1805" spans="18:18" ht="13" x14ac:dyDescent="0.15">
      <c r="R1805" s="2"/>
    </row>
    <row r="1806" spans="18:18" ht="13" x14ac:dyDescent="0.15">
      <c r="R1806" s="2"/>
    </row>
    <row r="1807" spans="18:18" ht="13" x14ac:dyDescent="0.15">
      <c r="R1807" s="2"/>
    </row>
    <row r="1808" spans="18:18" ht="13" x14ac:dyDescent="0.15">
      <c r="R1808" s="2"/>
    </row>
    <row r="1809" spans="18:18" ht="13" x14ac:dyDescent="0.15">
      <c r="R1809" s="2"/>
    </row>
    <row r="1810" spans="18:18" ht="13" x14ac:dyDescent="0.15">
      <c r="R1810" s="2"/>
    </row>
    <row r="1811" spans="18:18" ht="13" x14ac:dyDescent="0.15">
      <c r="R1811" s="2"/>
    </row>
    <row r="1812" spans="18:18" ht="13" x14ac:dyDescent="0.15">
      <c r="R1812" s="2"/>
    </row>
    <row r="1813" spans="18:18" ht="13" x14ac:dyDescent="0.15">
      <c r="R1813" s="2"/>
    </row>
    <row r="1814" spans="18:18" ht="13" x14ac:dyDescent="0.15">
      <c r="R1814" s="2"/>
    </row>
    <row r="1815" spans="18:18" ht="13" x14ac:dyDescent="0.15">
      <c r="R1815" s="2"/>
    </row>
    <row r="1816" spans="18:18" ht="13" x14ac:dyDescent="0.15">
      <c r="R1816" s="2"/>
    </row>
    <row r="1817" spans="18:18" ht="13" x14ac:dyDescent="0.15">
      <c r="R1817" s="2"/>
    </row>
    <row r="1818" spans="18:18" ht="13" x14ac:dyDescent="0.15">
      <c r="R1818" s="2"/>
    </row>
    <row r="1819" spans="18:18" ht="13" x14ac:dyDescent="0.15">
      <c r="R1819" s="2"/>
    </row>
    <row r="1820" spans="18:18" ht="13" x14ac:dyDescent="0.15">
      <c r="R1820" s="2"/>
    </row>
    <row r="1821" spans="18:18" ht="13" x14ac:dyDescent="0.15">
      <c r="R1821" s="2"/>
    </row>
    <row r="1822" spans="18:18" ht="13" x14ac:dyDescent="0.15">
      <c r="R1822" s="2"/>
    </row>
    <row r="1823" spans="18:18" ht="13" x14ac:dyDescent="0.15">
      <c r="R1823" s="2"/>
    </row>
    <row r="1824" spans="18:18" ht="13" x14ac:dyDescent="0.15">
      <c r="R1824" s="2"/>
    </row>
    <row r="1825" spans="18:18" ht="13" x14ac:dyDescent="0.15">
      <c r="R1825" s="2"/>
    </row>
    <row r="1826" spans="18:18" ht="13" x14ac:dyDescent="0.15">
      <c r="R1826" s="2"/>
    </row>
    <row r="1827" spans="18:18" ht="13" x14ac:dyDescent="0.15">
      <c r="R1827" s="2"/>
    </row>
    <row r="1828" spans="18:18" ht="13" x14ac:dyDescent="0.15">
      <c r="R1828" s="2"/>
    </row>
    <row r="1829" spans="18:18" ht="13" x14ac:dyDescent="0.15">
      <c r="R1829" s="2"/>
    </row>
    <row r="1830" spans="18:18" ht="13" x14ac:dyDescent="0.15">
      <c r="R1830" s="2"/>
    </row>
    <row r="1831" spans="18:18" ht="13" x14ac:dyDescent="0.15">
      <c r="R1831" s="2"/>
    </row>
    <row r="1832" spans="18:18" ht="13" x14ac:dyDescent="0.15">
      <c r="R1832" s="2"/>
    </row>
    <row r="1833" spans="18:18" ht="13" x14ac:dyDescent="0.15">
      <c r="R1833" s="2"/>
    </row>
    <row r="1834" spans="18:18" ht="13" x14ac:dyDescent="0.15">
      <c r="R1834" s="2"/>
    </row>
    <row r="1835" spans="18:18" ht="13" x14ac:dyDescent="0.15">
      <c r="R1835" s="2"/>
    </row>
    <row r="1836" spans="18:18" ht="13" x14ac:dyDescent="0.15">
      <c r="R1836" s="2"/>
    </row>
    <row r="1837" spans="18:18" ht="13" x14ac:dyDescent="0.15">
      <c r="R1837" s="2"/>
    </row>
    <row r="1838" spans="18:18" ht="13" x14ac:dyDescent="0.15">
      <c r="R1838" s="2"/>
    </row>
    <row r="1839" spans="18:18" ht="13" x14ac:dyDescent="0.15">
      <c r="R1839" s="2"/>
    </row>
    <row r="1840" spans="18:18" ht="13" x14ac:dyDescent="0.15">
      <c r="R1840" s="2"/>
    </row>
    <row r="1841" spans="18:18" ht="13" x14ac:dyDescent="0.15">
      <c r="R1841" s="2"/>
    </row>
    <row r="1842" spans="18:18" ht="13" x14ac:dyDescent="0.15">
      <c r="R1842" s="2"/>
    </row>
    <row r="1843" spans="18:18" ht="13" x14ac:dyDescent="0.15">
      <c r="R1843" s="2"/>
    </row>
    <row r="1844" spans="18:18" ht="13" x14ac:dyDescent="0.15">
      <c r="R1844" s="2"/>
    </row>
    <row r="1845" spans="18:18" ht="13" x14ac:dyDescent="0.15">
      <c r="R1845" s="2"/>
    </row>
    <row r="1846" spans="18:18" ht="13" x14ac:dyDescent="0.15">
      <c r="R1846" s="2"/>
    </row>
    <row r="1847" spans="18:18" ht="13" x14ac:dyDescent="0.15">
      <c r="R1847" s="2"/>
    </row>
    <row r="1848" spans="18:18" ht="13" x14ac:dyDescent="0.15">
      <c r="R1848" s="2"/>
    </row>
    <row r="1849" spans="18:18" ht="13" x14ac:dyDescent="0.15">
      <c r="R1849" s="2"/>
    </row>
    <row r="1850" spans="18:18" ht="13" x14ac:dyDescent="0.15">
      <c r="R1850" s="2"/>
    </row>
    <row r="1851" spans="18:18" ht="13" x14ac:dyDescent="0.15">
      <c r="R1851" s="2"/>
    </row>
    <row r="1852" spans="18:18" ht="13" x14ac:dyDescent="0.15">
      <c r="R1852" s="2"/>
    </row>
    <row r="1853" spans="18:18" ht="13" x14ac:dyDescent="0.15">
      <c r="R1853" s="2"/>
    </row>
    <row r="1854" spans="18:18" ht="13" x14ac:dyDescent="0.15">
      <c r="R1854" s="2"/>
    </row>
    <row r="1855" spans="18:18" ht="13" x14ac:dyDescent="0.15">
      <c r="R1855" s="2"/>
    </row>
    <row r="1856" spans="18:18" ht="13" x14ac:dyDescent="0.15">
      <c r="R1856" s="2"/>
    </row>
    <row r="1857" spans="18:18" ht="13" x14ac:dyDescent="0.15">
      <c r="R1857" s="2"/>
    </row>
    <row r="1858" spans="18:18" ht="13" x14ac:dyDescent="0.15">
      <c r="R1858" s="2"/>
    </row>
    <row r="1859" spans="18:18" ht="13" x14ac:dyDescent="0.15">
      <c r="R1859" s="2"/>
    </row>
    <row r="1860" spans="18:18" ht="13" x14ac:dyDescent="0.15">
      <c r="R1860" s="2"/>
    </row>
    <row r="1861" spans="18:18" ht="13" x14ac:dyDescent="0.15">
      <c r="R1861" s="2"/>
    </row>
    <row r="1862" spans="18:18" ht="13" x14ac:dyDescent="0.15">
      <c r="R1862" s="2"/>
    </row>
    <row r="1863" spans="18:18" ht="13" x14ac:dyDescent="0.15">
      <c r="R1863" s="2"/>
    </row>
    <row r="1864" spans="18:18" ht="13" x14ac:dyDescent="0.15">
      <c r="R1864" s="2"/>
    </row>
    <row r="1865" spans="18:18" ht="13" x14ac:dyDescent="0.15">
      <c r="R1865" s="2"/>
    </row>
    <row r="1866" spans="18:18" ht="13" x14ac:dyDescent="0.15">
      <c r="R1866" s="2"/>
    </row>
    <row r="1867" spans="18:18" ht="13" x14ac:dyDescent="0.15">
      <c r="R1867" s="2"/>
    </row>
    <row r="1868" spans="18:18" ht="13" x14ac:dyDescent="0.15">
      <c r="R1868" s="2"/>
    </row>
    <row r="1869" spans="18:18" ht="13" x14ac:dyDescent="0.15">
      <c r="R1869" s="2"/>
    </row>
    <row r="1870" spans="18:18" ht="13" x14ac:dyDescent="0.15">
      <c r="R1870" s="2"/>
    </row>
    <row r="1871" spans="18:18" ht="13" x14ac:dyDescent="0.15">
      <c r="R1871" s="2"/>
    </row>
    <row r="1872" spans="18:18" ht="13" x14ac:dyDescent="0.15">
      <c r="R1872" s="2"/>
    </row>
    <row r="1873" spans="18:18" ht="13" x14ac:dyDescent="0.15">
      <c r="R1873" s="2"/>
    </row>
    <row r="1874" spans="18:18" ht="13" x14ac:dyDescent="0.15">
      <c r="R1874" s="2"/>
    </row>
    <row r="1875" spans="18:18" ht="13" x14ac:dyDescent="0.15">
      <c r="R1875" s="2"/>
    </row>
    <row r="1876" spans="18:18" ht="13" x14ac:dyDescent="0.15">
      <c r="R1876" s="2"/>
    </row>
    <row r="1877" spans="18:18" ht="13" x14ac:dyDescent="0.15">
      <c r="R1877" s="2"/>
    </row>
    <row r="1878" spans="18:18" ht="13" x14ac:dyDescent="0.15">
      <c r="R1878" s="2"/>
    </row>
    <row r="1879" spans="18:18" ht="13" x14ac:dyDescent="0.15">
      <c r="R1879" s="2"/>
    </row>
    <row r="1880" spans="18:18" ht="13" x14ac:dyDescent="0.15">
      <c r="R1880" s="2"/>
    </row>
    <row r="1881" spans="18:18" ht="13" x14ac:dyDescent="0.15">
      <c r="R1881" s="2"/>
    </row>
    <row r="1882" spans="18:18" ht="13" x14ac:dyDescent="0.15">
      <c r="R1882" s="2"/>
    </row>
    <row r="1883" spans="18:18" ht="13" x14ac:dyDescent="0.15">
      <c r="R1883" s="2"/>
    </row>
    <row r="1884" spans="18:18" ht="13" x14ac:dyDescent="0.15">
      <c r="R1884" s="2"/>
    </row>
    <row r="1885" spans="18:18" ht="13" x14ac:dyDescent="0.15">
      <c r="R1885" s="2"/>
    </row>
    <row r="1886" spans="18:18" ht="13" x14ac:dyDescent="0.15">
      <c r="R1886" s="2"/>
    </row>
    <row r="1887" spans="18:18" ht="13" x14ac:dyDescent="0.15">
      <c r="R1887" s="2"/>
    </row>
    <row r="1888" spans="18:18" ht="13" x14ac:dyDescent="0.15">
      <c r="R1888" s="2"/>
    </row>
    <row r="1889" spans="18:18" ht="13" x14ac:dyDescent="0.15">
      <c r="R1889" s="2"/>
    </row>
    <row r="1890" spans="18:18" ht="13" x14ac:dyDescent="0.15">
      <c r="R1890" s="2"/>
    </row>
    <row r="1891" spans="18:18" ht="13" x14ac:dyDescent="0.15">
      <c r="R1891" s="2"/>
    </row>
    <row r="1892" spans="18:18" ht="13" x14ac:dyDescent="0.15">
      <c r="R1892" s="2"/>
    </row>
    <row r="1893" spans="18:18" ht="13" x14ac:dyDescent="0.15">
      <c r="R1893" s="2"/>
    </row>
    <row r="1894" spans="18:18" ht="13" x14ac:dyDescent="0.15">
      <c r="R1894" s="2"/>
    </row>
    <row r="1895" spans="18:18" ht="13" x14ac:dyDescent="0.15">
      <c r="R1895" s="2"/>
    </row>
    <row r="1896" spans="18:18" ht="13" x14ac:dyDescent="0.15">
      <c r="R1896" s="2"/>
    </row>
    <row r="1897" spans="18:18" ht="13" x14ac:dyDescent="0.15">
      <c r="R1897" s="2"/>
    </row>
    <row r="1898" spans="18:18" ht="13" x14ac:dyDescent="0.15">
      <c r="R1898" s="2"/>
    </row>
    <row r="1899" spans="18:18" ht="13" x14ac:dyDescent="0.15">
      <c r="R1899" s="2"/>
    </row>
    <row r="1900" spans="18:18" ht="13" x14ac:dyDescent="0.15">
      <c r="R1900" s="2"/>
    </row>
    <row r="1901" spans="18:18" ht="13" x14ac:dyDescent="0.15">
      <c r="R1901" s="2"/>
    </row>
    <row r="1902" spans="18:18" ht="13" x14ac:dyDescent="0.15">
      <c r="R1902" s="2"/>
    </row>
    <row r="1903" spans="18:18" ht="13" x14ac:dyDescent="0.15">
      <c r="R1903" s="2"/>
    </row>
    <row r="1904" spans="18:18" ht="13" x14ac:dyDescent="0.15">
      <c r="R1904" s="2"/>
    </row>
    <row r="1905" spans="18:18" ht="13" x14ac:dyDescent="0.15">
      <c r="R1905" s="2"/>
    </row>
    <row r="1906" spans="18:18" ht="13" x14ac:dyDescent="0.15">
      <c r="R1906" s="2"/>
    </row>
    <row r="1907" spans="18:18" ht="13" x14ac:dyDescent="0.15">
      <c r="R1907" s="2"/>
    </row>
    <row r="1908" spans="18:18" ht="13" x14ac:dyDescent="0.15">
      <c r="R1908" s="2"/>
    </row>
    <row r="1909" spans="18:18" ht="13" x14ac:dyDescent="0.15">
      <c r="R1909" s="2"/>
    </row>
    <row r="1910" spans="18:18" ht="13" x14ac:dyDescent="0.15">
      <c r="R1910" s="2"/>
    </row>
    <row r="1911" spans="18:18" ht="13" x14ac:dyDescent="0.15">
      <c r="R1911" s="2"/>
    </row>
    <row r="1912" spans="18:18" ht="13" x14ac:dyDescent="0.15">
      <c r="R1912" s="2"/>
    </row>
    <row r="1913" spans="18:18" ht="13" x14ac:dyDescent="0.15">
      <c r="R1913" s="2"/>
    </row>
    <row r="1914" spans="18:18" ht="13" x14ac:dyDescent="0.15">
      <c r="R1914" s="2"/>
    </row>
    <row r="1915" spans="18:18" ht="13" x14ac:dyDescent="0.15">
      <c r="R1915" s="2"/>
    </row>
    <row r="1916" spans="18:18" ht="13" x14ac:dyDescent="0.15">
      <c r="R1916" s="2"/>
    </row>
    <row r="1917" spans="18:18" ht="13" x14ac:dyDescent="0.15">
      <c r="R1917" s="2"/>
    </row>
    <row r="1918" spans="18:18" ht="13" x14ac:dyDescent="0.15">
      <c r="R1918" s="2"/>
    </row>
    <row r="1919" spans="18:18" ht="13" x14ac:dyDescent="0.15">
      <c r="R1919" s="2"/>
    </row>
    <row r="1920" spans="18:18" ht="13" x14ac:dyDescent="0.15">
      <c r="R1920" s="2"/>
    </row>
    <row r="1921" spans="18:18" ht="13" x14ac:dyDescent="0.15">
      <c r="R1921" s="2"/>
    </row>
    <row r="1922" spans="18:18" ht="13" x14ac:dyDescent="0.15">
      <c r="R1922" s="2"/>
    </row>
    <row r="1923" spans="18:18" ht="13" x14ac:dyDescent="0.15">
      <c r="R1923" s="2"/>
    </row>
    <row r="1924" spans="18:18" ht="13" x14ac:dyDescent="0.15">
      <c r="R1924" s="2"/>
    </row>
    <row r="1925" spans="18:18" ht="13" x14ac:dyDescent="0.15">
      <c r="R1925" s="2"/>
    </row>
    <row r="1926" spans="18:18" ht="13" x14ac:dyDescent="0.15">
      <c r="R1926" s="2"/>
    </row>
    <row r="1927" spans="18:18" ht="13" x14ac:dyDescent="0.15">
      <c r="R1927" s="2"/>
    </row>
    <row r="1928" spans="18:18" ht="13" x14ac:dyDescent="0.15">
      <c r="R1928" s="2"/>
    </row>
    <row r="1929" spans="18:18" ht="13" x14ac:dyDescent="0.15">
      <c r="R1929" s="2"/>
    </row>
    <row r="1930" spans="18:18" ht="13" x14ac:dyDescent="0.15">
      <c r="R1930" s="2"/>
    </row>
    <row r="1931" spans="18:18" ht="13" x14ac:dyDescent="0.15">
      <c r="R1931" s="2"/>
    </row>
    <row r="1932" spans="18:18" ht="13" x14ac:dyDescent="0.15">
      <c r="R1932" s="2"/>
    </row>
    <row r="1933" spans="18:18" ht="13" x14ac:dyDescent="0.15">
      <c r="R1933" s="2"/>
    </row>
    <row r="1934" spans="18:18" ht="13" x14ac:dyDescent="0.15">
      <c r="R1934" s="2"/>
    </row>
    <row r="1935" spans="18:18" ht="13" x14ac:dyDescent="0.15">
      <c r="R1935" s="2"/>
    </row>
    <row r="1936" spans="18:18" ht="13" x14ac:dyDescent="0.15">
      <c r="R1936" s="2"/>
    </row>
    <row r="1937" spans="18:18" ht="13" x14ac:dyDescent="0.15">
      <c r="R1937" s="2"/>
    </row>
    <row r="1938" spans="18:18" ht="13" x14ac:dyDescent="0.15">
      <c r="R1938" s="2"/>
    </row>
    <row r="1939" spans="18:18" ht="13" x14ac:dyDescent="0.15">
      <c r="R1939" s="2"/>
    </row>
    <row r="1940" spans="18:18" ht="13" x14ac:dyDescent="0.15">
      <c r="R1940" s="2"/>
    </row>
    <row r="1941" spans="18:18" ht="13" x14ac:dyDescent="0.15">
      <c r="R1941" s="2"/>
    </row>
    <row r="1942" spans="18:18" ht="13" x14ac:dyDescent="0.15">
      <c r="R1942" s="2"/>
    </row>
    <row r="1943" spans="18:18" ht="13" x14ac:dyDescent="0.15">
      <c r="R1943" s="2"/>
    </row>
    <row r="1944" spans="18:18" ht="13" x14ac:dyDescent="0.15">
      <c r="R1944" s="2"/>
    </row>
    <row r="1945" spans="18:18" ht="13" x14ac:dyDescent="0.15">
      <c r="R1945" s="2"/>
    </row>
    <row r="1946" spans="18:18" ht="13" x14ac:dyDescent="0.15">
      <c r="R1946" s="2"/>
    </row>
    <row r="1947" spans="18:18" ht="13" x14ac:dyDescent="0.15">
      <c r="R1947" s="2"/>
    </row>
    <row r="1948" spans="18:18" ht="13" x14ac:dyDescent="0.15">
      <c r="R1948" s="2"/>
    </row>
    <row r="1949" spans="18:18" ht="13" x14ac:dyDescent="0.15">
      <c r="R1949" s="2"/>
    </row>
    <row r="1950" spans="18:18" ht="13" x14ac:dyDescent="0.15">
      <c r="R1950" s="2"/>
    </row>
    <row r="1951" spans="18:18" ht="13" x14ac:dyDescent="0.15">
      <c r="R1951" s="2"/>
    </row>
    <row r="1952" spans="18:18" ht="13" x14ac:dyDescent="0.15">
      <c r="R1952" s="2"/>
    </row>
    <row r="1953" spans="18:18" ht="13" x14ac:dyDescent="0.15">
      <c r="R1953" s="2"/>
    </row>
    <row r="1954" spans="18:18" ht="13" x14ac:dyDescent="0.15">
      <c r="R1954" s="2"/>
    </row>
    <row r="1955" spans="18:18" ht="13" x14ac:dyDescent="0.15">
      <c r="R1955" s="2"/>
    </row>
    <row r="1956" spans="18:18" ht="13" x14ac:dyDescent="0.15">
      <c r="R1956" s="2"/>
    </row>
    <row r="1957" spans="18:18" ht="13" x14ac:dyDescent="0.15">
      <c r="R1957" s="2"/>
    </row>
    <row r="1958" spans="18:18" ht="13" x14ac:dyDescent="0.15">
      <c r="R1958" s="2"/>
    </row>
    <row r="1959" spans="18:18" ht="13" x14ac:dyDescent="0.15">
      <c r="R1959" s="2"/>
    </row>
    <row r="1960" spans="18:18" ht="13" x14ac:dyDescent="0.15">
      <c r="R1960" s="2"/>
    </row>
    <row r="1961" spans="18:18" ht="13" x14ac:dyDescent="0.15">
      <c r="R1961" s="2"/>
    </row>
    <row r="1962" spans="18:18" ht="13" x14ac:dyDescent="0.15">
      <c r="R1962" s="2"/>
    </row>
    <row r="1963" spans="18:18" ht="13" x14ac:dyDescent="0.15">
      <c r="R1963" s="2"/>
    </row>
    <row r="1964" spans="18:18" ht="13" x14ac:dyDescent="0.15">
      <c r="R1964" s="2"/>
    </row>
    <row r="1965" spans="18:18" ht="13" x14ac:dyDescent="0.15">
      <c r="R1965" s="2"/>
    </row>
    <row r="1966" spans="18:18" ht="13" x14ac:dyDescent="0.15">
      <c r="R1966" s="2"/>
    </row>
    <row r="1967" spans="18:18" ht="13" x14ac:dyDescent="0.15">
      <c r="R1967" s="2"/>
    </row>
    <row r="1968" spans="18:18" ht="13" x14ac:dyDescent="0.15">
      <c r="R1968" s="2"/>
    </row>
    <row r="1969" spans="18:18" ht="13" x14ac:dyDescent="0.15">
      <c r="R1969" s="2"/>
    </row>
    <row r="1970" spans="18:18" ht="13" x14ac:dyDescent="0.15">
      <c r="R1970" s="2"/>
    </row>
    <row r="1971" spans="18:18" ht="13" x14ac:dyDescent="0.15">
      <c r="R1971" s="2"/>
    </row>
    <row r="1972" spans="18:18" ht="13" x14ac:dyDescent="0.15">
      <c r="R1972" s="2"/>
    </row>
    <row r="1973" spans="18:18" ht="13" x14ac:dyDescent="0.15">
      <c r="R1973" s="2"/>
    </row>
    <row r="1974" spans="18:18" ht="13" x14ac:dyDescent="0.15">
      <c r="R1974" s="2"/>
    </row>
    <row r="1975" spans="18:18" ht="13" x14ac:dyDescent="0.15">
      <c r="R1975" s="2"/>
    </row>
    <row r="1976" spans="18:18" ht="13" x14ac:dyDescent="0.15">
      <c r="R1976" s="2"/>
    </row>
    <row r="1977" spans="18:18" ht="13" x14ac:dyDescent="0.15">
      <c r="R1977" s="2"/>
    </row>
    <row r="1978" spans="18:18" ht="13" x14ac:dyDescent="0.15">
      <c r="R1978" s="2"/>
    </row>
    <row r="1979" spans="18:18" ht="13" x14ac:dyDescent="0.15">
      <c r="R1979" s="2"/>
    </row>
    <row r="1980" spans="18:18" ht="13" x14ac:dyDescent="0.15">
      <c r="R1980" s="2"/>
    </row>
    <row r="1981" spans="18:18" ht="13" x14ac:dyDescent="0.15">
      <c r="R1981" s="2"/>
    </row>
    <row r="1982" spans="18:18" ht="13" x14ac:dyDescent="0.15">
      <c r="R1982" s="2"/>
    </row>
    <row r="1983" spans="18:18" ht="13" x14ac:dyDescent="0.15">
      <c r="R1983" s="2"/>
    </row>
    <row r="1984" spans="18:18" ht="13" x14ac:dyDescent="0.15">
      <c r="R1984" s="2"/>
    </row>
    <row r="1985" spans="18:18" ht="13" x14ac:dyDescent="0.15">
      <c r="R1985" s="2"/>
    </row>
    <row r="1986" spans="18:18" ht="13" x14ac:dyDescent="0.15">
      <c r="R1986" s="2"/>
    </row>
    <row r="1987" spans="18:18" ht="13" x14ac:dyDescent="0.15">
      <c r="R1987" s="2"/>
    </row>
    <row r="1988" spans="18:18" ht="13" x14ac:dyDescent="0.15">
      <c r="R1988" s="2"/>
    </row>
    <row r="1989" spans="18:18" ht="13" x14ac:dyDescent="0.15">
      <c r="R1989" s="2"/>
    </row>
    <row r="1990" spans="18:18" ht="13" x14ac:dyDescent="0.15">
      <c r="R1990" s="2"/>
    </row>
    <row r="1991" spans="18:18" ht="13" x14ac:dyDescent="0.15">
      <c r="R1991" s="2"/>
    </row>
    <row r="1992" spans="18:18" ht="13" x14ac:dyDescent="0.15">
      <c r="R1992" s="2"/>
    </row>
    <row r="1993" spans="18:18" ht="13" x14ac:dyDescent="0.15">
      <c r="R1993" s="2"/>
    </row>
    <row r="1994" spans="18:18" ht="13" x14ac:dyDescent="0.15">
      <c r="R1994" s="2"/>
    </row>
    <row r="1995" spans="18:18" ht="13" x14ac:dyDescent="0.15">
      <c r="R1995" s="2"/>
    </row>
    <row r="1996" spans="18:18" ht="13" x14ac:dyDescent="0.15">
      <c r="R1996" s="2"/>
    </row>
    <row r="1997" spans="18:18" ht="13" x14ac:dyDescent="0.15">
      <c r="R1997" s="2"/>
    </row>
    <row r="1998" spans="18:18" ht="13" x14ac:dyDescent="0.15">
      <c r="R1998" s="2"/>
    </row>
    <row r="1999" spans="18:18" ht="13" x14ac:dyDescent="0.15">
      <c r="R1999" s="2"/>
    </row>
    <row r="2000" spans="18:18" ht="13" x14ac:dyDescent="0.15">
      <c r="R2000" s="2"/>
    </row>
  </sheetData>
  <hyperlinks>
    <hyperlink ref="B236" r:id="rId1" display="http://solarconnect20182gmail.com/" xr:uid="{00000000-0004-0000-0100-000000000000}"/>
    <hyperlink ref="B587" r:id="rId2" display="http://solarconnect20182gmail.com/" xr:uid="{00000000-0004-0000-0100-000001000000}"/>
    <hyperlink ref="B733" r:id="rId3" display="http://arathivariyam2gmail.com/" xr:uid="{00000000-0004-0000-0100-000002000000}"/>
    <hyperlink ref="D740" r:id="rId4" display="http://sathian.cm/" xr:uid="{00000000-0004-0000-0100-000003000000}"/>
    <hyperlink ref="D925" r:id="rId5" display="http://saidalavi.ek/" xr:uid="{00000000-0004-0000-0100-000004000000}"/>
    <hyperlink ref="D931" r:id="rId6" display="http://dr.vijay.pg/" xr:uid="{00000000-0004-0000-0100-000005000000}"/>
    <hyperlink ref="D985" r:id="rId7" display="http://muralidas.pk/" xr:uid="{00000000-0004-0000-0100-000006000000}"/>
    <hyperlink ref="D1034" r:id="rId8" display="http://shoukathali.kp/" xr:uid="{00000000-0004-0000-0100-000007000000}"/>
    <hyperlink ref="D1039" r:id="rId9" display="http://shafi.kp/" xr:uid="{00000000-0004-0000-0100-000008000000}"/>
    <hyperlink ref="D1047" r:id="rId10" display="http://jaison.mg/" xr:uid="{00000000-0004-0000-0100-000009000000}"/>
    <hyperlink ref="D1049" r:id="rId11" display="http://asharaf.mb/" xr:uid="{00000000-0004-0000-0100-00000A000000}"/>
    <hyperlink ref="D1054" r:id="rId12" display="http://ramachandran.cm/" xr:uid="{00000000-0004-0000-0100-00000B000000}"/>
    <hyperlink ref="D1067" r:id="rId13" display="http://chinju.om/" xr:uid="{00000000-0004-0000-0100-00000C000000}"/>
    <hyperlink ref="D1069" r:id="rId14" display="http://ajeesh.pa/" xr:uid="{00000000-0004-0000-0100-00000D000000}"/>
    <hyperlink ref="D1078" r:id="rId15" display="http://bava.ka/" xr:uid="{00000000-0004-0000-01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your reg 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Sivakumar, Girish (GE Transportation)</cp:lastModifiedBy>
  <dcterms:modified xsi:type="dcterms:W3CDTF">2018-12-21T18:02:55Z</dcterms:modified>
</cp:coreProperties>
</file>