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CIFE" sheetId="1" r:id="rId4"/>
    <sheet state="visible" name="CARUARU" sheetId="2" r:id="rId5"/>
    <sheet state="visible" name="JOÃO PESSOA" sheetId="3" r:id="rId6"/>
    <sheet state="visible" name="ADM" sheetId="4" r:id="rId7"/>
    <sheet state="visible" name="TODOS" sheetId="5" r:id="rId8"/>
  </sheets>
  <definedNames>
    <definedName hidden="1" localSheetId="0" name="_xlnm._FilterDatabase">RECIFE!$B$2:$G$141</definedName>
    <definedName hidden="1" localSheetId="1" name="_xlnm._FilterDatabase">CARUARU!$A$2:$G$520</definedName>
    <definedName hidden="1" localSheetId="2" name="_xlnm._FilterDatabase">'JOÃO PESSOA'!$A$2:$Z$8</definedName>
    <definedName hidden="1" localSheetId="3" name="_xlnm._FilterDatabase">ADM!$A$2:$Z$140</definedName>
  </definedNames>
  <calcPr/>
</workbook>
</file>

<file path=xl/sharedStrings.xml><?xml version="1.0" encoding="utf-8"?>
<sst xmlns="http://schemas.openxmlformats.org/spreadsheetml/2006/main" count="4073" uniqueCount="2080">
  <si>
    <t xml:space="preserve">DADOS - NR1 UNICOOP </t>
  </si>
  <si>
    <t>Nº</t>
  </si>
  <si>
    <t xml:space="preserve">NOME COMPLETO </t>
  </si>
  <si>
    <t xml:space="preserve">CARGO </t>
  </si>
  <si>
    <t>CPF</t>
  </si>
  <si>
    <t>TELEFONE</t>
  </si>
  <si>
    <t xml:space="preserve">CIDADE </t>
  </si>
  <si>
    <t>MODALIDADE</t>
  </si>
  <si>
    <t>ADRIANA GOMES</t>
  </si>
  <si>
    <t>CUIDADORA</t>
  </si>
  <si>
    <t>057.286.094-30</t>
  </si>
  <si>
    <t>81 98349-9759</t>
  </si>
  <si>
    <t>RECIFE</t>
  </si>
  <si>
    <t xml:space="preserve">COOPERADO </t>
  </si>
  <si>
    <t>Afonso Vinícius Seabra C. da Silva</t>
  </si>
  <si>
    <t>Enfermeiro(a)</t>
  </si>
  <si>
    <t>704.859.454-36</t>
  </si>
  <si>
    <t>81 98793-5755</t>
  </si>
  <si>
    <t>ALEX AURELIANO DE LIMA</t>
  </si>
  <si>
    <t>CUIDADOR</t>
  </si>
  <si>
    <t>112.227.774-10</t>
  </si>
  <si>
    <t>81 99687-0917</t>
  </si>
  <si>
    <t>Alexandre José da Silva</t>
  </si>
  <si>
    <t>TÉC. ENF.</t>
  </si>
  <si>
    <t>049.084.664-59</t>
  </si>
  <si>
    <t>81 98199-1037</t>
  </si>
  <si>
    <t>ALINE AFONSO FERREIRA</t>
  </si>
  <si>
    <t>075.192.914-05</t>
  </si>
  <si>
    <t>81 99666-8170</t>
  </si>
  <si>
    <t>ANA CAROLINA NASCIMENTO DO REGO</t>
  </si>
  <si>
    <t>701.967.304-06</t>
  </si>
  <si>
    <t>81 98130-4313</t>
  </si>
  <si>
    <t>Ana Gabrielly Gomes Vasconscelos</t>
  </si>
  <si>
    <t>713.812.004-43</t>
  </si>
  <si>
    <t>81 98367-9749</t>
  </si>
  <si>
    <t>ANA LÚCIA GOMES</t>
  </si>
  <si>
    <t>044.173.174-02</t>
  </si>
  <si>
    <t>81 98461-9785</t>
  </si>
  <si>
    <t>Ana Paula Alves da Silva</t>
  </si>
  <si>
    <t>039.662.004-3</t>
  </si>
  <si>
    <t>81 98510-4923</t>
  </si>
  <si>
    <t>ANA PAULA CARNEIRO DA SILVA</t>
  </si>
  <si>
    <t>062.155.374-38</t>
  </si>
  <si>
    <t>81 99454-2301</t>
  </si>
  <si>
    <t>ANDRÉ LÚCIO COSTA MIRANDA</t>
  </si>
  <si>
    <t>921.867.504-49</t>
  </si>
  <si>
    <t>81 99154-8817</t>
  </si>
  <si>
    <t>ANGELA BARBOSA DA SILVA</t>
  </si>
  <si>
    <t>793.195.134-49</t>
  </si>
  <si>
    <t>81 98601-8849</t>
  </si>
  <si>
    <t>Anne Karyne C.S da Silva</t>
  </si>
  <si>
    <t>120.536.034-45</t>
  </si>
  <si>
    <t>81 98333-0663</t>
  </si>
  <si>
    <t>AUDILENE DE OLIVEIRA</t>
  </si>
  <si>
    <t>066.846.944-71</t>
  </si>
  <si>
    <t>81 98662-0995</t>
  </si>
  <si>
    <t>Aurenize Melo da Silva</t>
  </si>
  <si>
    <t>072.748.424-98</t>
  </si>
  <si>
    <t>81 99152-3299</t>
  </si>
  <si>
    <t>BÁRBARA BARROS TAVARES DA SILVA</t>
  </si>
  <si>
    <t>TÉC. RAD.</t>
  </si>
  <si>
    <t>947.013.004-97</t>
  </si>
  <si>
    <t>81 98815-5006</t>
  </si>
  <si>
    <t>Camila Tenório Sales</t>
  </si>
  <si>
    <t>096.664.244-95</t>
  </si>
  <si>
    <t>81 98603-5645</t>
  </si>
  <si>
    <t xml:space="preserve">CARLA VANESSA TRINDADE DO NASCIMENTO </t>
  </si>
  <si>
    <t>064.294.944-11</t>
  </si>
  <si>
    <t>81 98566-8461</t>
  </si>
  <si>
    <t>CARMEN ALICE NASCIMENTO DA SILVA</t>
  </si>
  <si>
    <t>037.180.154-04</t>
  </si>
  <si>
    <t>81 98643-2635</t>
  </si>
  <si>
    <t>Charliston José Freire de França</t>
  </si>
  <si>
    <t>81 98819-6182</t>
  </si>
  <si>
    <t>CLAUDETE MARIA DE LIMA</t>
  </si>
  <si>
    <t>029.496.274-39</t>
  </si>
  <si>
    <t>81 98881-2392</t>
  </si>
  <si>
    <t>Claudia Herica da Silva Lima</t>
  </si>
  <si>
    <t>039.153.114-05</t>
  </si>
  <si>
    <t>81 99722-3656</t>
  </si>
  <si>
    <t>CLEIDILENE ALEXANDRE DA SILVA CABRAL</t>
  </si>
  <si>
    <t>023.464.294-73</t>
  </si>
  <si>
    <t>81 99233-1547</t>
  </si>
  <si>
    <t>Cristiana de Barros Rodrigues</t>
  </si>
  <si>
    <t>103.883.144-00</t>
  </si>
  <si>
    <t>81 99285-6898</t>
  </si>
  <si>
    <t>Daniela da Silva Carvalho</t>
  </si>
  <si>
    <t>040.653.354-77</t>
  </si>
  <si>
    <t>81 98710-7007</t>
  </si>
  <si>
    <t>Daniele Dias Batista Borba</t>
  </si>
  <si>
    <t>010.546.424-43</t>
  </si>
  <si>
    <t>81 98743-2574</t>
  </si>
  <si>
    <t>DENNYS RALF ALMEIDA DA SILVA</t>
  </si>
  <si>
    <t>061.474.394-05</t>
  </si>
  <si>
    <t xml:space="preserve">81 98583-5625 </t>
  </si>
  <si>
    <t>DINOAH ALDA DE FREITAS MOURA</t>
  </si>
  <si>
    <t>110.243.734-44</t>
  </si>
  <si>
    <t>81 98732-0810</t>
  </si>
  <si>
    <t>Edilene Ventura da Silva</t>
  </si>
  <si>
    <t>079.865.634-43</t>
  </si>
  <si>
    <t>81 98655-7392</t>
  </si>
  <si>
    <t xml:space="preserve">EDILEUZA ARAÚJO DA SILVA </t>
  </si>
  <si>
    <t>031.729.514-48</t>
  </si>
  <si>
    <t>81 98793-6985</t>
  </si>
  <si>
    <t>Edileuza Maria da Silva</t>
  </si>
  <si>
    <t>043.116.374-03</t>
  </si>
  <si>
    <t>81 98407-4285</t>
  </si>
  <si>
    <t>EDNA MARIA DE SOUZA</t>
  </si>
  <si>
    <t>091.394.884-54</t>
  </si>
  <si>
    <t>81 98887-6530</t>
  </si>
  <si>
    <t>Elaine Cristina Azevedo de Andrade</t>
  </si>
  <si>
    <t>025.339.354-09</t>
  </si>
  <si>
    <t>81 98854-7418</t>
  </si>
  <si>
    <t>Elania Oliveira de Lima</t>
  </si>
  <si>
    <t>047.566.044-71</t>
  </si>
  <si>
    <t>81 98846-6440</t>
  </si>
  <si>
    <t xml:space="preserve">ELIANE LIMA DE ANDRADE </t>
  </si>
  <si>
    <t>633.355.654-87</t>
  </si>
  <si>
    <t>81 98548-0072</t>
  </si>
  <si>
    <t>Eliane Martins Ribeiro</t>
  </si>
  <si>
    <t>769.580.194-15</t>
  </si>
  <si>
    <t>81 98445-8046</t>
  </si>
  <si>
    <t>Elizaangela Marques da S. Correia</t>
  </si>
  <si>
    <t>919.976.744-91</t>
  </si>
  <si>
    <t>81 98447-0886</t>
  </si>
  <si>
    <t>Erica Cristina Vieira da Silva</t>
  </si>
  <si>
    <t>Téc. Enf.</t>
  </si>
  <si>
    <t>047.291.304-21</t>
  </si>
  <si>
    <t>81 98610-9546</t>
  </si>
  <si>
    <t xml:space="preserve">ERIKA NUNES </t>
  </si>
  <si>
    <t>040.864.344-74</t>
  </si>
  <si>
    <t>81 98591-3939</t>
  </si>
  <si>
    <t>Estefany Severino da Silva</t>
  </si>
  <si>
    <t>708.266.874-07</t>
  </si>
  <si>
    <t>81 98404-3835</t>
  </si>
  <si>
    <t>EURIDES DE GOES SILVA</t>
  </si>
  <si>
    <t>031.558.554-44</t>
  </si>
  <si>
    <t>81 99614-1121</t>
  </si>
  <si>
    <t>EVELIN DA COSTA GOMES</t>
  </si>
  <si>
    <t>127.985.374-36</t>
  </si>
  <si>
    <t>81 99493-5843</t>
  </si>
  <si>
    <t>Fabiola de Souza Belizario</t>
  </si>
  <si>
    <t>055.784.024-45</t>
  </si>
  <si>
    <t>81 99844-9754</t>
  </si>
  <si>
    <t>FLÁVIA LUIZA SILVA</t>
  </si>
  <si>
    <t>TÉC. RADIOLOGIA</t>
  </si>
  <si>
    <t>073.180.964-51</t>
  </si>
  <si>
    <t>81 99538-7929</t>
  </si>
  <si>
    <t>GABRIELE ARAUJO LEITE DA SILVA</t>
  </si>
  <si>
    <t>114.862.154-75</t>
  </si>
  <si>
    <t>81 99986-3966</t>
  </si>
  <si>
    <t>Gilmarques Caetano da Silva</t>
  </si>
  <si>
    <t>052.042.604-55</t>
  </si>
  <si>
    <t>81 98896-7201</t>
  </si>
  <si>
    <t>Gilvania Soares Bezerra</t>
  </si>
  <si>
    <t>733.772.871-91</t>
  </si>
  <si>
    <t>81 99438-2119</t>
  </si>
  <si>
    <t>Gizelle Francisca Albuquerque</t>
  </si>
  <si>
    <t>071.272.594-61</t>
  </si>
  <si>
    <t>81 98768-5466</t>
  </si>
  <si>
    <t>Gleicy Mary dos Santos</t>
  </si>
  <si>
    <t>091.830.854-24</t>
  </si>
  <si>
    <t>81 98117-3348</t>
  </si>
  <si>
    <t>ÍCARO GUILHERME RAMOS DE ASSIS</t>
  </si>
  <si>
    <t>132.614.704-88</t>
  </si>
  <si>
    <t>81 99907-7575</t>
  </si>
  <si>
    <t>Iracileide Silva de Castro</t>
  </si>
  <si>
    <t>013.645.194-29</t>
  </si>
  <si>
    <t>81 99891-5249</t>
  </si>
  <si>
    <t>ISABELLE CONCEIÇÃO DE LIMA</t>
  </si>
  <si>
    <t>094.035.694-50</t>
  </si>
  <si>
    <t>81 98924-1346</t>
  </si>
  <si>
    <t>ISABELLE S. NERY DE MELLO GOMES</t>
  </si>
  <si>
    <t>104.023.984-67</t>
  </si>
  <si>
    <t>81 98115-5067</t>
  </si>
  <si>
    <t>Istallone luckeuw silva</t>
  </si>
  <si>
    <t>MAQUEIRO</t>
  </si>
  <si>
    <t>059.209.354-99</t>
  </si>
  <si>
    <t>81 98579-7155</t>
  </si>
  <si>
    <t>Ivani Lopes da Silva</t>
  </si>
  <si>
    <t>433.318.234-49</t>
  </si>
  <si>
    <t>81 99210-4204</t>
  </si>
  <si>
    <t>JANAINA DE FREITAS PEREIRA</t>
  </si>
  <si>
    <t>046.520.414-70</t>
  </si>
  <si>
    <t>81 98955-8742</t>
  </si>
  <si>
    <t>JANEIDE FERREIRA DE MIRANDA</t>
  </si>
  <si>
    <t>TÉC. ENFERMAGEM</t>
  </si>
  <si>
    <t>025.621.334-80</t>
  </si>
  <si>
    <t>81 98438-4920</t>
  </si>
  <si>
    <t>Jedione Alice de Souza Sales</t>
  </si>
  <si>
    <t>101.390.294-78</t>
  </si>
  <si>
    <t>81 98431-6509</t>
  </si>
  <si>
    <t>Jefferson Diogo F. dos Santos</t>
  </si>
  <si>
    <t>107.153.174-31</t>
  </si>
  <si>
    <t>81 98369-6666</t>
  </si>
  <si>
    <t>JOÃO BEZERRA DOS SANTOS</t>
  </si>
  <si>
    <t>781.569.554-04</t>
  </si>
  <si>
    <t>81 99989-8732</t>
  </si>
  <si>
    <t xml:space="preserve">JOCILENE TELMA BARROS DA GAMA </t>
  </si>
  <si>
    <t>479.955.644-49</t>
  </si>
  <si>
    <t>81 99110-3261</t>
  </si>
  <si>
    <t>José George Ferreira de Albuquerque</t>
  </si>
  <si>
    <t>068.749.604-74</t>
  </si>
  <si>
    <t>81 99735-4236</t>
  </si>
  <si>
    <t>Jose Maria M da Silva</t>
  </si>
  <si>
    <t>033.204.364-90</t>
  </si>
  <si>
    <t>81 99253-9348</t>
  </si>
  <si>
    <t xml:space="preserve">Joseane Marcia Loureço </t>
  </si>
  <si>
    <t>072.530.634-30</t>
  </si>
  <si>
    <t>81 99122-4571</t>
  </si>
  <si>
    <t>JOSEFA JOSELMA DA CONCEIÇÃO DA SILVA</t>
  </si>
  <si>
    <t>321.812.638-09</t>
  </si>
  <si>
    <t xml:space="preserve"> 81 99694-0857</t>
  </si>
  <si>
    <t>JOZINETE PEREIRA GUERRA DA SILVA</t>
  </si>
  <si>
    <t>394.402.814-72</t>
  </si>
  <si>
    <t>81 99924-0397</t>
  </si>
  <si>
    <t>KARLLA SILENE GOMES DA SILVA</t>
  </si>
  <si>
    <t>057.395.224-80</t>
  </si>
  <si>
    <t>81 98682-4585</t>
  </si>
  <si>
    <t>Ladjane Maria Francisca de Oliveira</t>
  </si>
  <si>
    <t>694.594.604-53</t>
  </si>
  <si>
    <t>81 98534-5705</t>
  </si>
  <si>
    <t>Larissa Rayana dos S Reis Batista</t>
  </si>
  <si>
    <t>135.047.654-45</t>
  </si>
  <si>
    <t>81 99724-7563</t>
  </si>
  <si>
    <t>LÍGIA SAMATHA FERREIRA</t>
  </si>
  <si>
    <t>703.865.924-38</t>
  </si>
  <si>
    <t>81 99338-9824</t>
  </si>
  <si>
    <t>Liliane Batista da Silva</t>
  </si>
  <si>
    <t>702.960.124-67</t>
  </si>
  <si>
    <t>81 98675-9768</t>
  </si>
  <si>
    <t>LINDIANE LOURENÇO</t>
  </si>
  <si>
    <t>079.321.584-60</t>
  </si>
  <si>
    <t>81 98948-2990</t>
  </si>
  <si>
    <t>Luana Cordeiro da Silva</t>
  </si>
  <si>
    <t>051.535.364-75</t>
  </si>
  <si>
    <t>81 98119-2200</t>
  </si>
  <si>
    <t>Luana Kayne de Assis Monteiro</t>
  </si>
  <si>
    <t>715.693.684-06</t>
  </si>
  <si>
    <t>81 99338-4534</t>
  </si>
  <si>
    <t>Lucicleide Maria da Silva</t>
  </si>
  <si>
    <t>080.411.504-46</t>
  </si>
  <si>
    <t>81 99208-4799</t>
  </si>
  <si>
    <t>LUZIMAR MARIA DA SILVA</t>
  </si>
  <si>
    <t>034.837.284-14</t>
  </si>
  <si>
    <t>81 98923-4517</t>
  </si>
  <si>
    <t>Manoel de Nóbrega G. da Silva</t>
  </si>
  <si>
    <t>887.329.594-00</t>
  </si>
  <si>
    <t>81 99178-9983</t>
  </si>
  <si>
    <t>Marcela Fosenca da Silva</t>
  </si>
  <si>
    <t>711.673.224-10</t>
  </si>
  <si>
    <t>81 98794-2904</t>
  </si>
  <si>
    <t>Maria Cristina Viegas Ferreira</t>
  </si>
  <si>
    <t>068.463.124-55</t>
  </si>
  <si>
    <t>81 98813-8416</t>
  </si>
  <si>
    <t>Maria da Conceição B. de Farias</t>
  </si>
  <si>
    <t>702.599.024-89</t>
  </si>
  <si>
    <t>81 99291-3084</t>
  </si>
  <si>
    <t xml:space="preserve">MARIA DE LOURDES VALCIRA </t>
  </si>
  <si>
    <t>028.857.824-47</t>
  </si>
  <si>
    <t>81 99738-8321</t>
  </si>
  <si>
    <t>Maria Genira dos Santos</t>
  </si>
  <si>
    <t>081.221.867-18</t>
  </si>
  <si>
    <t>81 98539-8123</t>
  </si>
  <si>
    <t>MARIA ROSINEIDE DA SILVA</t>
  </si>
  <si>
    <t>117.617.164-09</t>
  </si>
  <si>
    <t>81 99521-0761</t>
  </si>
  <si>
    <t>Mariana Gabriel da Silva</t>
  </si>
  <si>
    <t>014.100.844-00</t>
  </si>
  <si>
    <t>81 99683-0242</t>
  </si>
  <si>
    <t>MARIANE CAROLINE DE SANTANA</t>
  </si>
  <si>
    <t>324.712.488-88</t>
  </si>
  <si>
    <t>81 99790-5434</t>
  </si>
  <si>
    <t>MATHEUS DOMINGOS DE LIMA</t>
  </si>
  <si>
    <t>143.984.594-80</t>
  </si>
  <si>
    <t>81 99505-3283</t>
  </si>
  <si>
    <t>Mayare Kamille da Silva Cavral</t>
  </si>
  <si>
    <t>103.229.854-55</t>
  </si>
  <si>
    <t>87 99152-0071</t>
  </si>
  <si>
    <t>Mércia Maria Lima de Araujo</t>
  </si>
  <si>
    <t>611.758.384-20</t>
  </si>
  <si>
    <t>81 98677-6963</t>
  </si>
  <si>
    <t>MICAELA CORREIA RODRIGUES</t>
  </si>
  <si>
    <t>079.321.534-09</t>
  </si>
  <si>
    <t>81 99449-6495</t>
  </si>
  <si>
    <t>MICHELE GOMES DA SILVA</t>
  </si>
  <si>
    <t>113.132.604-01</t>
  </si>
  <si>
    <t>81 99711-2204</t>
  </si>
  <si>
    <t>Mikaele Helena de Santana</t>
  </si>
  <si>
    <t>702.610.434-98</t>
  </si>
  <si>
    <t xml:space="preserve"> 81 99772-6106</t>
  </si>
  <si>
    <t>Mikaellen Thuany</t>
  </si>
  <si>
    <t>704.184.234-74</t>
  </si>
  <si>
    <t xml:space="preserve"> 81 99396-8150</t>
  </si>
  <si>
    <t>Mirian Aparecida dos Santos</t>
  </si>
  <si>
    <t>143.110.774-32</t>
  </si>
  <si>
    <t>81 98851-5306</t>
  </si>
  <si>
    <t>MIRIAN MARIA DOS SANTOS</t>
  </si>
  <si>
    <t>763.771.564-72</t>
  </si>
  <si>
    <t>81 99690-2695</t>
  </si>
  <si>
    <t>MONICA ANDREA DA SILVA</t>
  </si>
  <si>
    <t>834.961.064-68</t>
  </si>
  <si>
    <t>81 99259-3765</t>
  </si>
  <si>
    <t>MÔNICA DE SÁ DA SILVA</t>
  </si>
  <si>
    <t>068.623.114-76</t>
  </si>
  <si>
    <t>81 99745-3212</t>
  </si>
  <si>
    <t>Monique Maria da Silva</t>
  </si>
  <si>
    <t>103.965.064-37</t>
  </si>
  <si>
    <t>81 99864-6348</t>
  </si>
  <si>
    <t>MYLLENNE RAYANNE SILVA</t>
  </si>
  <si>
    <t>104.187.454-55</t>
  </si>
  <si>
    <t>87 98102-4610</t>
  </si>
  <si>
    <t xml:space="preserve">NATÁLIA ANGELINA DOS SANTOS </t>
  </si>
  <si>
    <t>939.102.235-91</t>
  </si>
  <si>
    <t>81 99521-8948</t>
  </si>
  <si>
    <t>Nitichely M. V. de Cardoso</t>
  </si>
  <si>
    <t>090.631.954-43</t>
  </si>
  <si>
    <t>81 98534-0221</t>
  </si>
  <si>
    <t xml:space="preserve">Nitichely Montarroyos Valença de Carvalho </t>
  </si>
  <si>
    <t>PATRÍCIA JOSEFA DA SILVA</t>
  </si>
  <si>
    <t>080.857.474-48</t>
  </si>
  <si>
    <t>81 99410-8915</t>
  </si>
  <si>
    <t xml:space="preserve">PATRICIA MARIA </t>
  </si>
  <si>
    <t>051.040.144-95</t>
  </si>
  <si>
    <t>81 98607-0226</t>
  </si>
  <si>
    <t>Priscila Ferreira Mendes Matias</t>
  </si>
  <si>
    <t>091.836.904-50</t>
  </si>
  <si>
    <t>81 98602-7954</t>
  </si>
  <si>
    <t>Priscilla de Souza Santos Silva</t>
  </si>
  <si>
    <t>714.273.294-60</t>
  </si>
  <si>
    <t>81 99189-4995</t>
  </si>
  <si>
    <t>Rafaela Lúcia Santos da Silva</t>
  </si>
  <si>
    <t>711.810.564-38</t>
  </si>
  <si>
    <t>81 98358-1491</t>
  </si>
  <si>
    <t xml:space="preserve">RAYANE CÂNDIDO CRUZ </t>
  </si>
  <si>
    <t>119.705.654-89</t>
  </si>
  <si>
    <t>81 99311-6561</t>
  </si>
  <si>
    <t>Rebeca Costa da Silva</t>
  </si>
  <si>
    <t>091.349.844-02</t>
  </si>
  <si>
    <t>81 99488-0358</t>
  </si>
  <si>
    <t xml:space="preserve">RENATA MILENA FERREIRA </t>
  </si>
  <si>
    <t>102.626.204-64</t>
  </si>
  <si>
    <t>81 98319-1617</t>
  </si>
  <si>
    <t>Rita de Kassia C. da Silva</t>
  </si>
  <si>
    <t>091.209.604-76</t>
  </si>
  <si>
    <t>81 98538-4377</t>
  </si>
  <si>
    <t>Rivaldo Ramos de Lima</t>
  </si>
  <si>
    <t>102.810.914-80</t>
  </si>
  <si>
    <t>81 99752-2173</t>
  </si>
  <si>
    <t>Roberta Maria da Silva</t>
  </si>
  <si>
    <t>095.898.584-73</t>
  </si>
  <si>
    <t xml:space="preserve"> 81 99352-1443</t>
  </si>
  <si>
    <t>ROSANA SILVA LINS DE ALMEIDA</t>
  </si>
  <si>
    <t>708.054.904-34</t>
  </si>
  <si>
    <t>81 98234-3451</t>
  </si>
  <si>
    <t>ROSEANE FIRMINO DA SILVA SANTOS</t>
  </si>
  <si>
    <t>895.583.594-91</t>
  </si>
  <si>
    <t>81 99513-2283</t>
  </si>
  <si>
    <t>Roseli Cristina Nascimento Carvalho</t>
  </si>
  <si>
    <t>055.045.714-30</t>
  </si>
  <si>
    <t>81 97330-1976</t>
  </si>
  <si>
    <t>ROSEMEIRE DE FÁTIMA GOMES COSTA</t>
  </si>
  <si>
    <t>787.312.594-72</t>
  </si>
  <si>
    <t>81 98229-4186</t>
  </si>
  <si>
    <t>Rosiane Maria do Nascimento Bandeira</t>
  </si>
  <si>
    <t>042.499.854-82</t>
  </si>
  <si>
    <t>81 98439-3491</t>
  </si>
  <si>
    <t>ROSILDA MARIA DE LUNA</t>
  </si>
  <si>
    <t>020.347.754-57</t>
  </si>
  <si>
    <t>81 99658-4394</t>
  </si>
  <si>
    <t xml:space="preserve">ROZANA MARIA DO NASCIMENTO </t>
  </si>
  <si>
    <t>039.911.674-50</t>
  </si>
  <si>
    <t xml:space="preserve"> 81 98610-1808</t>
  </si>
  <si>
    <t>Rozilma Bezerra da Silva</t>
  </si>
  <si>
    <t>056.771.374-13</t>
  </si>
  <si>
    <t>81 99650-5281</t>
  </si>
  <si>
    <t>SANDRINE JULIANY P. DA SILVA</t>
  </si>
  <si>
    <t>092.703.434-48</t>
  </si>
  <si>
    <t>81 98622-3360</t>
  </si>
  <si>
    <t>SHEYLA CESÁRIO DE SOUZA</t>
  </si>
  <si>
    <t>093.376.084-13</t>
  </si>
  <si>
    <t>81 99748-2177</t>
  </si>
  <si>
    <t>SHIRLEIDE GOMES DA SILVA</t>
  </si>
  <si>
    <t>066.378.494-80</t>
  </si>
  <si>
    <t>81 99334-6471</t>
  </si>
  <si>
    <t>Shirleide Miquiles do Nascimento</t>
  </si>
  <si>
    <t>022.582.404-33</t>
  </si>
  <si>
    <t>81 98659-4848</t>
  </si>
  <si>
    <t>Silvia Letícia Araújo dos Santos Silva</t>
  </si>
  <si>
    <t>899.669.104-68</t>
  </si>
  <si>
    <t>81 99661-5340</t>
  </si>
  <si>
    <t>Sueides do Prado Correia</t>
  </si>
  <si>
    <t>100.342.654-90</t>
  </si>
  <si>
    <t xml:space="preserve"> 81 97913-6111</t>
  </si>
  <si>
    <t>Suelem Belo Bezerra</t>
  </si>
  <si>
    <t>071.599.904-47</t>
  </si>
  <si>
    <t xml:space="preserve"> 81 98601-4454</t>
  </si>
  <si>
    <t>SUELI FRANCISCA DE LIMA</t>
  </si>
  <si>
    <t>011.502.174-48</t>
  </si>
  <si>
    <t xml:space="preserve"> 81 99169-7248</t>
  </si>
  <si>
    <t>SUELY DE ALMEIDA SOARES COUTO</t>
  </si>
  <si>
    <t>478.447.364-53</t>
  </si>
  <si>
    <t xml:space="preserve"> 81 98723-4247</t>
  </si>
  <si>
    <t>SUENE DE ALMEIDA SILVA</t>
  </si>
  <si>
    <t>100.610.714-20</t>
  </si>
  <si>
    <t>81 98829-3752</t>
  </si>
  <si>
    <t>Taciane Peixoto de Souza Melo</t>
  </si>
  <si>
    <t>059.632.364-60</t>
  </si>
  <si>
    <t>81 98570-5705</t>
  </si>
  <si>
    <t>Tanísia Andrade Silva</t>
  </si>
  <si>
    <t>041.530.784-84</t>
  </si>
  <si>
    <t>81 99694-0588</t>
  </si>
  <si>
    <t>Terezinha do Menino Jesus</t>
  </si>
  <si>
    <t>129.356.244-08</t>
  </si>
  <si>
    <t>81 99165-7079</t>
  </si>
  <si>
    <t>Valdirene Silva dos Santos</t>
  </si>
  <si>
    <t>025.171.314-81</t>
  </si>
  <si>
    <t>81 99902-2348</t>
  </si>
  <si>
    <t>Vandercreuza Pessoa Pontes</t>
  </si>
  <si>
    <t>013.832.604-51</t>
  </si>
  <si>
    <t>81 98469-6363</t>
  </si>
  <si>
    <t xml:space="preserve">VANESSA LUCIA SIQUEIRA DE OLIVEIRA </t>
  </si>
  <si>
    <t>067.597.364-35</t>
  </si>
  <si>
    <t>81 98574-2805</t>
  </si>
  <si>
    <t>Vera Lúcia dos Santos Oliveira</t>
  </si>
  <si>
    <t>065.207.814-10</t>
  </si>
  <si>
    <t xml:space="preserve"> 81 98887-6502</t>
  </si>
  <si>
    <t>Vinicius Henrique da Silva</t>
  </si>
  <si>
    <t>168.981.674-05</t>
  </si>
  <si>
    <t>81 99348-2239</t>
  </si>
  <si>
    <t>Zilda Pereira da Silva</t>
  </si>
  <si>
    <t>085.620.094-82</t>
  </si>
  <si>
    <t>81 99342-3664</t>
  </si>
  <si>
    <t>ADEILDA ALVES GALVÃO SILVA</t>
  </si>
  <si>
    <t>TÉC.ENFERMAGEM</t>
  </si>
  <si>
    <t>084.738.414-41</t>
  </si>
  <si>
    <t xml:space="preserve"> 81 99803-0469</t>
  </si>
  <si>
    <t>CARUARU</t>
  </si>
  <si>
    <t>COOPERADO</t>
  </si>
  <si>
    <t>ADEILDO JOSE DOS SANTOS</t>
  </si>
  <si>
    <t>038.037.094-82</t>
  </si>
  <si>
    <t>81 99917-0261</t>
  </si>
  <si>
    <t>Adila Cristina S. De Souza</t>
  </si>
  <si>
    <t>009.317.034-33</t>
  </si>
  <si>
    <t>81 99207-3703</t>
  </si>
  <si>
    <t>Adriana Cavalcanti De Barros</t>
  </si>
  <si>
    <t>944.140.414-49</t>
  </si>
  <si>
    <t>81 99897-9759</t>
  </si>
  <si>
    <t>ADRIANA MARIA DO N. DOS SANTOS</t>
  </si>
  <si>
    <t>038.044.834-37</t>
  </si>
  <si>
    <t xml:space="preserve"> 81 97304-5262</t>
  </si>
  <si>
    <t xml:space="preserve">ADRIANA NASCIMENTO AMORIM </t>
  </si>
  <si>
    <t xml:space="preserve">TÉC. RADIOLOGIA </t>
  </si>
  <si>
    <t>107.882.924-12</t>
  </si>
  <si>
    <t>81 99304-4216</t>
  </si>
  <si>
    <t xml:space="preserve">ADRIANA TORQUATO SILVA </t>
  </si>
  <si>
    <t>081.338.124-02</t>
  </si>
  <si>
    <t xml:space="preserve"> 81 99325-1716</t>
  </si>
  <si>
    <t>ADRIANO ALVES DA SILVA</t>
  </si>
  <si>
    <t>AUX. DE HIGIENIZAÇÃO</t>
  </si>
  <si>
    <t>036.149.904-35</t>
  </si>
  <si>
    <t>81 99960-8453</t>
  </si>
  <si>
    <t>Adrielly Mary Da Silva</t>
  </si>
  <si>
    <t>108.651.164-66</t>
  </si>
  <si>
    <t>81 98102-9924</t>
  </si>
  <si>
    <t>ADRIELY KLAYNE LOPES DA SILVA</t>
  </si>
  <si>
    <t>121.606.574-84</t>
  </si>
  <si>
    <t>81 99547-0740</t>
  </si>
  <si>
    <t>AEDJA MARIA DA SILVA</t>
  </si>
  <si>
    <t>TÉC. ENF</t>
  </si>
  <si>
    <t>051.930.864-62</t>
  </si>
  <si>
    <t>81 97320-1708</t>
  </si>
  <si>
    <t>AILSON JOSÉ DE CARVALHO</t>
  </si>
  <si>
    <t>PORTEIRO</t>
  </si>
  <si>
    <t>133.069.314-03</t>
  </si>
  <si>
    <t>81 99683-9218</t>
  </si>
  <si>
    <t>ALBERT HENRIQUE DA SILVA BEZERRA</t>
  </si>
  <si>
    <t>AUXILIAR DE FARMÁCIA</t>
  </si>
  <si>
    <t>110.615.524-62</t>
  </si>
  <si>
    <t>81 99426-1620</t>
  </si>
  <si>
    <t>ALBERTINA MARIA FERRERIA</t>
  </si>
  <si>
    <t>012.571.804-79</t>
  </si>
  <si>
    <t>81 99269-7286</t>
  </si>
  <si>
    <t>Alcione De Albuquerque Andrade</t>
  </si>
  <si>
    <t>024.504.854-57</t>
  </si>
  <si>
    <t>81 99484-8967</t>
  </si>
  <si>
    <t>ALESSANDRA FREITAS DE CARVALHO FRANCO</t>
  </si>
  <si>
    <t>ENFERMEIRA</t>
  </si>
  <si>
    <t>097.429.474-81</t>
  </si>
  <si>
    <t>81 99665-2907</t>
  </si>
  <si>
    <t>ALESSANDRA SILVA NOGUEIRA</t>
  </si>
  <si>
    <t>075.155.484-79</t>
  </si>
  <si>
    <t>81 98107-3880</t>
  </si>
  <si>
    <t>ALINE EDINA SILVA RODRIGUES</t>
  </si>
  <si>
    <t>AUX DE HIGIENIZAÇÃO</t>
  </si>
  <si>
    <t>094.340.054-69</t>
  </si>
  <si>
    <t>81 8970-3672</t>
  </si>
  <si>
    <t>ALINE MAYARA DA SILVA OLIVEIRA</t>
  </si>
  <si>
    <t>AUX. DE FARMÁCIA</t>
  </si>
  <si>
    <t>116.511.154-35</t>
  </si>
  <si>
    <t>81 9666-5570</t>
  </si>
  <si>
    <t>ALINE RAYANE AUGUSTINHO DA SILVA</t>
  </si>
  <si>
    <t>ASSISTENTE ADMINISTRATIVO</t>
  </si>
  <si>
    <t>706.179.554-92</t>
  </si>
  <si>
    <t>81 9238-5840</t>
  </si>
  <si>
    <t>Alisson Joaquim de Jesus Silva</t>
  </si>
  <si>
    <t>Auxiliar de manutenção</t>
  </si>
  <si>
    <t>085.778.244-46</t>
  </si>
  <si>
    <t>81 9460-0846</t>
  </si>
  <si>
    <t>ALLAN GABRIEL DE LIRA COSTA</t>
  </si>
  <si>
    <t>151.062.864-92</t>
  </si>
  <si>
    <t>81 8132-3316</t>
  </si>
  <si>
    <t>Allef Filipe da Silva</t>
  </si>
  <si>
    <t>108.967.994-76</t>
  </si>
  <si>
    <t>81 9188-1326</t>
  </si>
  <si>
    <t>ALYSSON BRUNO DE BARROS</t>
  </si>
  <si>
    <t>136.775.534-40</t>
  </si>
  <si>
    <t>81 9481-4463</t>
  </si>
  <si>
    <t>AMANDA FERREIRA  RODRIGUES</t>
  </si>
  <si>
    <t xml:space="preserve">TÉC. ENF. </t>
  </si>
  <si>
    <t>116.399.296-81</t>
  </si>
  <si>
    <t>81 9950-2911</t>
  </si>
  <si>
    <t>AMANDA PRISICILA</t>
  </si>
  <si>
    <t>074.512.274-48</t>
  </si>
  <si>
    <t>81 9852-1870</t>
  </si>
  <si>
    <t>ANA CLAUDIA DA SILVA</t>
  </si>
  <si>
    <t>048.099.314-98</t>
  </si>
  <si>
    <t>81 9794-8626</t>
  </si>
  <si>
    <t>ANA CRISTINA DA SILVA</t>
  </si>
  <si>
    <t>051.771.964-96</t>
  </si>
  <si>
    <t>81 8137-1589</t>
  </si>
  <si>
    <t>ANA LUCIA DE MELO SILVA</t>
  </si>
  <si>
    <t>8199750-3415</t>
  </si>
  <si>
    <t>ANA LUIZA SANTOS</t>
  </si>
  <si>
    <t>101.632.454-52</t>
  </si>
  <si>
    <t xml:space="preserve"> 81 9315-1228</t>
  </si>
  <si>
    <t>ANA MARCIA DE OLIVEIRA</t>
  </si>
  <si>
    <t>068.342.514-56</t>
  </si>
  <si>
    <t>81 9291-7496</t>
  </si>
  <si>
    <t>ANA PATRICIA DE MENEZES</t>
  </si>
  <si>
    <t>702.387.304-09</t>
  </si>
  <si>
    <t>81 8296-6530</t>
  </si>
  <si>
    <t>ANA PAULA ALVES DA SILVA</t>
  </si>
  <si>
    <t>106.493.474-98</t>
  </si>
  <si>
    <t>81 7329-2041</t>
  </si>
  <si>
    <t>ANA PAULA ANDRADE DOS SANTOS</t>
  </si>
  <si>
    <t>066.375.014-84</t>
  </si>
  <si>
    <t>81 9378-6674</t>
  </si>
  <si>
    <t>ANA PAULA DA SILVA</t>
  </si>
  <si>
    <t>039.662.004-30</t>
  </si>
  <si>
    <t>81 7401-7272</t>
  </si>
  <si>
    <t>ANA PAULA MARQUES</t>
  </si>
  <si>
    <t>113.142.334-83</t>
  </si>
  <si>
    <t>8199145-3943</t>
  </si>
  <si>
    <t>ANA PAULA VIDAL DE ARAUJO</t>
  </si>
  <si>
    <t>COZINHEIRA</t>
  </si>
  <si>
    <t>085.736.694-70</t>
  </si>
  <si>
    <t>81 9421-5439</t>
  </si>
  <si>
    <t>ANDERSON RICARDO RIBEIRO</t>
  </si>
  <si>
    <t>064.782.584-56</t>
  </si>
  <si>
    <t>81 8938-7740</t>
  </si>
  <si>
    <t>ANDREA CARLA DE SOUZA</t>
  </si>
  <si>
    <t>FARMACÊUTICA</t>
  </si>
  <si>
    <t>105.217.214-82</t>
  </si>
  <si>
    <t>81 9267-5227</t>
  </si>
  <si>
    <t>Andrea Karla Silva Nascimento</t>
  </si>
  <si>
    <t>Camareiro(a)</t>
  </si>
  <si>
    <t>041.923.014-90</t>
  </si>
  <si>
    <t>81 9494-8586</t>
  </si>
  <si>
    <t>ANDREIA DOS SANTOS ANDRADE</t>
  </si>
  <si>
    <t>666.687.434-04</t>
  </si>
  <si>
    <t>81 9391-7543</t>
  </si>
  <si>
    <t>ANDREINA MARIA A. DA SILVA</t>
  </si>
  <si>
    <t>145.430.034-54</t>
  </si>
  <si>
    <t>81 9364-1879</t>
  </si>
  <si>
    <t>ANDREZA DA SILVA COSTA</t>
  </si>
  <si>
    <t>710.772.524-63</t>
  </si>
  <si>
    <t>81 8927-7023</t>
  </si>
  <si>
    <t>ANDREZA MONTEIRO DA SILVA</t>
  </si>
  <si>
    <t>715.551.424-19</t>
  </si>
  <si>
    <t>81 9407-5482</t>
  </si>
  <si>
    <t>ANDREZA RAYANE DE ANDRADE</t>
  </si>
  <si>
    <t>113.226.254-25</t>
  </si>
  <si>
    <t>8199510-0607</t>
  </si>
  <si>
    <t>Angela Correia Da Silva Mariano</t>
  </si>
  <si>
    <t>488.442.684-34</t>
  </si>
  <si>
    <t>81 9483-3188</t>
  </si>
  <si>
    <t>ANGELA CRISTINA PAULINA FERREIRA ACIOLI</t>
  </si>
  <si>
    <t>754.764.954-87</t>
  </si>
  <si>
    <t xml:space="preserve"> 81 8565-6270</t>
  </si>
  <si>
    <t>ANGELA VALÉRIA</t>
  </si>
  <si>
    <t>122.726.844-08</t>
  </si>
  <si>
    <t>81 7339-7460</t>
  </si>
  <si>
    <t>ANGELICA MELO DE FREITAS</t>
  </si>
  <si>
    <t>447.455.508-20</t>
  </si>
  <si>
    <t>81 8977-8350</t>
  </si>
  <si>
    <t>ANGELICA MONTEIRO DA SILVA</t>
  </si>
  <si>
    <t>109.868.444-38</t>
  </si>
  <si>
    <t>81 9321-2769</t>
  </si>
  <si>
    <t>ANGELITA DE BRITO SOBRINHO</t>
  </si>
  <si>
    <t>867.885.314-04</t>
  </si>
  <si>
    <t>87 9992-5882</t>
  </si>
  <si>
    <t>ANIEDJA HELENA DA SILVA SOARES</t>
  </si>
  <si>
    <t>COPEIRA</t>
  </si>
  <si>
    <t>078.830.044-09</t>
  </si>
  <si>
    <t>81 9754-1572</t>
  </si>
  <si>
    <t>ANNA CAROLINA MELO LEITE DE PESSOA</t>
  </si>
  <si>
    <t>142.134.114-00</t>
  </si>
  <si>
    <t>81 9432-8717</t>
  </si>
  <si>
    <t>ANNA JULIA DA SILVA PEDROSA</t>
  </si>
  <si>
    <t>RECEPCIONISTA</t>
  </si>
  <si>
    <t>114.706.434-21</t>
  </si>
  <si>
    <t>81 9134-5000</t>
  </si>
  <si>
    <t>ANTONIO MORAIS VILANOVA</t>
  </si>
  <si>
    <t>530.143.914-68</t>
  </si>
  <si>
    <t>81 9143-1074</t>
  </si>
  <si>
    <t>ANTONIO VICTOR RIBEIRO DE SOUZA SILVA</t>
  </si>
  <si>
    <t>113.135.944-58</t>
  </si>
  <si>
    <t>81 9756-3727</t>
  </si>
  <si>
    <t>ARLANY BATISTA BENTO</t>
  </si>
  <si>
    <t>123.433.914-59</t>
  </si>
  <si>
    <t>87 9157-1598</t>
  </si>
  <si>
    <t>ARTEMISIO JOSE DA SILVA FILHO</t>
  </si>
  <si>
    <t>707.885.934-04</t>
  </si>
  <si>
    <t>81 9967-7432</t>
  </si>
  <si>
    <t>ARTHUR VICTOR C. DE FARIAS</t>
  </si>
  <si>
    <t>ENFERMEIRO (A)</t>
  </si>
  <si>
    <t>117.174.854-05</t>
  </si>
  <si>
    <t>81 9596-0001</t>
  </si>
  <si>
    <t>ARYANE LIRA DE CARVALHO PRADO</t>
  </si>
  <si>
    <t>003.078.952-46</t>
  </si>
  <si>
    <t>81 9558-5872</t>
  </si>
  <si>
    <t>AUDERY ALMEIDA PIRES</t>
  </si>
  <si>
    <t>166.926.504-88</t>
  </si>
  <si>
    <t xml:space="preserve"> 83 9627-0755</t>
  </si>
  <si>
    <t>AUDICÉLIA LUZINEIDE BRAZILEIRO</t>
  </si>
  <si>
    <t>143.641.974-32</t>
  </si>
  <si>
    <t>81 9652-3621</t>
  </si>
  <si>
    <t>Aurea Maria De Oliveira Silva</t>
  </si>
  <si>
    <t>038.593.784-90</t>
  </si>
  <si>
    <t>81 9853-1174</t>
  </si>
  <si>
    <t>Bartyra Fernanda Silva Pereira</t>
  </si>
  <si>
    <t>Auxiliar de Higienização</t>
  </si>
  <si>
    <t>050.866.264-80</t>
  </si>
  <si>
    <t>81 8981-4980</t>
  </si>
  <si>
    <t>BEATRIZ MARQUES DE OLIVEIRA</t>
  </si>
  <si>
    <t>712.086.34-24</t>
  </si>
  <si>
    <t>81 9159-9721</t>
  </si>
  <si>
    <t>BRUNA GAMA DOS SANTOS</t>
  </si>
  <si>
    <t>115.212.714-45</t>
  </si>
  <si>
    <t>81 8234-2223</t>
  </si>
  <si>
    <t>CAIO ROBERTO LIMA DE OLIVEIRA RAMOS</t>
  </si>
  <si>
    <t>083.234.044-88</t>
  </si>
  <si>
    <t>81 7334-4954</t>
  </si>
  <si>
    <t>CALINE MILENE A. SANTOS</t>
  </si>
  <si>
    <t>Flebotomista</t>
  </si>
  <si>
    <t>130.542.654-12</t>
  </si>
  <si>
    <t>81 9426-2903</t>
  </si>
  <si>
    <t>CAMILA CAROLINE S. DA SILVA</t>
  </si>
  <si>
    <t>Téc. Enfermagem</t>
  </si>
  <si>
    <t>707.579.694-10</t>
  </si>
  <si>
    <t>81 8996-0633</t>
  </si>
  <si>
    <t>CAMILA FERREIRA DE LIMA SILVA</t>
  </si>
  <si>
    <t>135.818.444-51</t>
  </si>
  <si>
    <t>81 9517-3629</t>
  </si>
  <si>
    <t>CAMILA KARLA DA SILVA</t>
  </si>
  <si>
    <t>161.089.464-23</t>
  </si>
  <si>
    <t>8199144-2199</t>
  </si>
  <si>
    <t>Camila T. M Vasconcelos</t>
  </si>
  <si>
    <t>100.302.814-40</t>
  </si>
  <si>
    <t>81 9472-2954</t>
  </si>
  <si>
    <t>CARINA MARIA DA SILVA</t>
  </si>
  <si>
    <t>344.387.178-09</t>
  </si>
  <si>
    <t>81 9783-0544</t>
  </si>
  <si>
    <t>Carlos Fernando O. L. dos Santos</t>
  </si>
  <si>
    <t>046.518.744-79</t>
  </si>
  <si>
    <t>81 8907-9543</t>
  </si>
  <si>
    <t xml:space="preserve">Carolina Alves Celestino Nascimento </t>
  </si>
  <si>
    <t>117.931.904-45</t>
  </si>
  <si>
    <t>81 9612-4445</t>
  </si>
  <si>
    <t>CATIA KARINN  MONTEIRO DE OLIVEIRA</t>
  </si>
  <si>
    <t>070.100.274-39</t>
  </si>
  <si>
    <t>81 9754-5200</t>
  </si>
  <si>
    <t>CÍCERA MARIA DE SOUZA</t>
  </si>
  <si>
    <t>078.561.544-03</t>
  </si>
  <si>
    <t>81 9943-8342</t>
  </si>
  <si>
    <t>CICERO GEOVANNI GUEDES DE LIMA</t>
  </si>
  <si>
    <t>394.140.862-34</t>
  </si>
  <si>
    <t>81 9304-3784</t>
  </si>
  <si>
    <t>CICERO JACKSON F DA SILVA</t>
  </si>
  <si>
    <t>046.922.04-79</t>
  </si>
  <si>
    <t>81 9156-0853</t>
  </si>
  <si>
    <t>CICERO JOSÉ BEZERRA</t>
  </si>
  <si>
    <t>391.000.814-34</t>
  </si>
  <si>
    <t>81 8517-6417</t>
  </si>
  <si>
    <t>CINTIA DO EGITO GOMES</t>
  </si>
  <si>
    <t>065.587.934-07</t>
  </si>
  <si>
    <t>87 8816-1006</t>
  </si>
  <si>
    <t>CLEBERSON ALVES PEREIRA DA SILVA</t>
  </si>
  <si>
    <t>113.795.994-07</t>
  </si>
  <si>
    <t>81 9681-0197</t>
  </si>
  <si>
    <t>CLECIANA ANDRADE</t>
  </si>
  <si>
    <t>091.696.204-07</t>
  </si>
  <si>
    <t>81 9305-0190</t>
  </si>
  <si>
    <t>Clenia Maria De Paula</t>
  </si>
  <si>
    <t>085.843.804-69</t>
  </si>
  <si>
    <t>82 9179-5076</t>
  </si>
  <si>
    <t>CRISLAINE MARIA DOS SANTOS OLIVEIRA</t>
  </si>
  <si>
    <t>107.098.844-86</t>
  </si>
  <si>
    <t>81 7906-7498</t>
  </si>
  <si>
    <t>CHRYSTHINA TEIXEIRA PACHECO</t>
  </si>
  <si>
    <t>057.967.304-95</t>
  </si>
  <si>
    <t>8199481-7586</t>
  </si>
  <si>
    <t>CRISTINA DA SILVA</t>
  </si>
  <si>
    <t>076.247.804-70</t>
  </si>
  <si>
    <t>81 9359-0844</t>
  </si>
  <si>
    <t xml:space="preserve">DAMIANA LINDINALVA DA SILVA LIMA </t>
  </si>
  <si>
    <t>114.370.124-00</t>
  </si>
  <si>
    <t>81 7321-3958</t>
  </si>
  <si>
    <t>DAMIANA VENTURA SOUZA ALVES</t>
  </si>
  <si>
    <t>044.173.854-08</t>
  </si>
  <si>
    <t>81 9737-6901</t>
  </si>
  <si>
    <t>DANIELA BARROS NERES</t>
  </si>
  <si>
    <t>AUXILIAR DE COZINHA</t>
  </si>
  <si>
    <t>024.038.242-08</t>
  </si>
  <si>
    <t>81 8837-7066</t>
  </si>
  <si>
    <t>DANIELA CAROLINA DE OLIVEIRA COSTA</t>
  </si>
  <si>
    <t>082.767.004-46</t>
  </si>
  <si>
    <t>81 8571-3708</t>
  </si>
  <si>
    <t>DANIELA PATRICIA DA SILVA</t>
  </si>
  <si>
    <t>026.605.454-49</t>
  </si>
  <si>
    <t>81 8513-8832</t>
  </si>
  <si>
    <t>Daniela Priscila da Silva</t>
  </si>
  <si>
    <t>130.639.504-67</t>
  </si>
  <si>
    <t>81 8912-6932</t>
  </si>
  <si>
    <t>Daniele Bezerra de Lemos</t>
  </si>
  <si>
    <t>112.937.984-10</t>
  </si>
  <si>
    <t>81 9284-9252</t>
  </si>
  <si>
    <t>DANILO ALVES DOS SANTOS LIMA</t>
  </si>
  <si>
    <t>709.650.924-02</t>
  </si>
  <si>
    <t>81 8600-4043</t>
  </si>
  <si>
    <t>DANYLLE ESTEPHANE DA SILVA</t>
  </si>
  <si>
    <t>105.516.344-13</t>
  </si>
  <si>
    <t>81 9766-7772</t>
  </si>
  <si>
    <t>DARLANY MARIA DE SANTANA</t>
  </si>
  <si>
    <t>090.035.154-33</t>
  </si>
  <si>
    <t>81 9883-0451</t>
  </si>
  <si>
    <t>Darlene Glória Santos Alves</t>
  </si>
  <si>
    <t>Farmacêutico(a)</t>
  </si>
  <si>
    <t>103.158.524-96</t>
  </si>
  <si>
    <t>81 9559-9285</t>
  </si>
  <si>
    <t>DAVID SOUZA SILVA</t>
  </si>
  <si>
    <t>107.999.464-51</t>
  </si>
  <si>
    <t>81 9141-9417</t>
  </si>
  <si>
    <t>DAVILLA FERNANDES SOTERO</t>
  </si>
  <si>
    <t>027.263.752-19</t>
  </si>
  <si>
    <t xml:space="preserve"> 94 8199-3646</t>
  </si>
  <si>
    <t>DAYVID FILIPY DE SOUZA SILVA</t>
  </si>
  <si>
    <t>122.247.854-45</t>
  </si>
  <si>
    <t>81 9455-3749</t>
  </si>
  <si>
    <t xml:space="preserve">DEIVITH BRUNO MOURA DE PAULA </t>
  </si>
  <si>
    <t>068.147.154-90</t>
  </si>
  <si>
    <t>81 9162-8620</t>
  </si>
  <si>
    <t>DIANA MARIA DA SILVA PORTELA</t>
  </si>
  <si>
    <t>112.647.384-71</t>
  </si>
  <si>
    <t>81 8963-5254</t>
  </si>
  <si>
    <t>DIEGO JOSE DA SILVA</t>
  </si>
  <si>
    <t>104.720.694-38</t>
  </si>
  <si>
    <t>81 9160-9908</t>
  </si>
  <si>
    <t>DIOGO LUIZ DE MELO</t>
  </si>
  <si>
    <t>095.140.024-07</t>
  </si>
  <si>
    <t>81 9962-3868</t>
  </si>
  <si>
    <t>DORIVANIA MARIA DE JESUS SILVA</t>
  </si>
  <si>
    <t>128.144.124-42</t>
  </si>
  <si>
    <t>81 9252-5627</t>
  </si>
  <si>
    <t>DOUGLAS CARLOS DA SILVA</t>
  </si>
  <si>
    <t>070.792.314-00</t>
  </si>
  <si>
    <t>81 9415-2597</t>
  </si>
  <si>
    <t>EDILMA MARIA DA SILVA</t>
  </si>
  <si>
    <t>037.056.914-81</t>
  </si>
  <si>
    <t>81 9755-6972</t>
  </si>
  <si>
    <t>Edilma Matias dos Santos</t>
  </si>
  <si>
    <t>081.147.524-76</t>
  </si>
  <si>
    <t>81 9430-6571</t>
  </si>
  <si>
    <t>EDILSON DO NASCIMENTO ALVES</t>
  </si>
  <si>
    <t>071.929.384-75</t>
  </si>
  <si>
    <t xml:space="preserve"> 81 9665-9081</t>
  </si>
  <si>
    <t>EDILUCIA MICHELE F. OLIVEIRA</t>
  </si>
  <si>
    <t>AUX. COZINHA</t>
  </si>
  <si>
    <t>223.539.368-30</t>
  </si>
  <si>
    <t>EDSON FERNANDES DE JESUS JR</t>
  </si>
  <si>
    <t>082.801.864-26</t>
  </si>
  <si>
    <t>81 7321-1487</t>
  </si>
  <si>
    <t>EDSON JAIR CRUZ DUARDAE</t>
  </si>
  <si>
    <t>TÉCNICO DE T.I</t>
  </si>
  <si>
    <t>052.357.304-96</t>
  </si>
  <si>
    <t>81 8231-4624</t>
  </si>
  <si>
    <t>EDUARDO AGUSTINHO DOS SANTOS</t>
  </si>
  <si>
    <t>115.283.994-20</t>
  </si>
  <si>
    <t>81 8458-5939</t>
  </si>
  <si>
    <t>EDUARDO DE PADUA S. BARBOSA</t>
  </si>
  <si>
    <t>104.372.284-01</t>
  </si>
  <si>
    <t>81 8398-8552</t>
  </si>
  <si>
    <t>EDUARDO JOSÉ DA SILVA</t>
  </si>
  <si>
    <t>137.146.304-22</t>
  </si>
  <si>
    <t>81 9622-0062</t>
  </si>
  <si>
    <t>EDUARDO LIMA DE OLIVEIRA</t>
  </si>
  <si>
    <t>056.904.674-21</t>
  </si>
  <si>
    <t>81 9941-7979</t>
  </si>
  <si>
    <t>EDUARDO MANOEL ALVES DA SILVA</t>
  </si>
  <si>
    <t>096.441.844-40</t>
  </si>
  <si>
    <t>81 9750-4685</t>
  </si>
  <si>
    <t>EDNALDO FERREIRA DE LIMA</t>
  </si>
  <si>
    <t>Higienização</t>
  </si>
  <si>
    <t>679.815.467-21</t>
  </si>
  <si>
    <t>6798154-6721</t>
  </si>
  <si>
    <t>EDVANEIDE FERREIRA DA SILVA</t>
  </si>
  <si>
    <t>095.458.814-29</t>
  </si>
  <si>
    <t>81 9448-2423</t>
  </si>
  <si>
    <t>EDVANIA GOMES DA SILVA</t>
  </si>
  <si>
    <t>055.547.584-01</t>
  </si>
  <si>
    <t>81 9194-6556</t>
  </si>
  <si>
    <t>EDVANIA RENATO DE LIMA</t>
  </si>
  <si>
    <t>094.398.874-86</t>
  </si>
  <si>
    <t>81 9968-7106</t>
  </si>
  <si>
    <t>ELAINY SILVA PEREIRA</t>
  </si>
  <si>
    <t>051.670.874-06</t>
  </si>
  <si>
    <t>81 9295-8646</t>
  </si>
  <si>
    <t>ELAYNE CRISTIANE NASCIMENTO MELO</t>
  </si>
  <si>
    <t>059.125.434-47</t>
  </si>
  <si>
    <t>81 7338-0770</t>
  </si>
  <si>
    <t>ELENICE JOSEFA DA SILVA</t>
  </si>
  <si>
    <t>122.859.264-05</t>
  </si>
  <si>
    <t>81 8980-3427</t>
  </si>
  <si>
    <t>Elian Maria da Silva Alves</t>
  </si>
  <si>
    <t>139.510.814-57</t>
  </si>
  <si>
    <t xml:space="preserve"> 81 9879-0597</t>
  </si>
  <si>
    <t>ELIANE DA SILVA SANTOS</t>
  </si>
  <si>
    <t>124.063.244-43</t>
  </si>
  <si>
    <t>81 9785-6109</t>
  </si>
  <si>
    <t>ELIANE MARIA DA SILVA</t>
  </si>
  <si>
    <t>082.386.484-76</t>
  </si>
  <si>
    <t xml:space="preserve"> 81 9155-7730</t>
  </si>
  <si>
    <t>ELIANE SILVA DE NARCISO</t>
  </si>
  <si>
    <t>701.832.384-35</t>
  </si>
  <si>
    <t>81 9412-4836</t>
  </si>
  <si>
    <t>ELIANEIDE RODRIGUES QUEIROZ</t>
  </si>
  <si>
    <t>AUX. DE ROUPARIA</t>
  </si>
  <si>
    <t>011.869.534-70</t>
  </si>
  <si>
    <t>81 9491-1897</t>
  </si>
  <si>
    <t>ELISABETE VIRGINIA DOS SANTOS</t>
  </si>
  <si>
    <t>667.842.554-53</t>
  </si>
  <si>
    <t>81 7113-7516</t>
  </si>
  <si>
    <t>ELISANGELA ALVES DE ARAUJO</t>
  </si>
  <si>
    <t>178.386.328-54</t>
  </si>
  <si>
    <t>81 9944-3890</t>
  </si>
  <si>
    <t>ELISANGELA MARIA DA SILVA</t>
  </si>
  <si>
    <t>811.286.144-72</t>
  </si>
  <si>
    <t>81 9217-4808</t>
  </si>
  <si>
    <t>ELIYVELTON JUNIOR SOBRAL SILVA</t>
  </si>
  <si>
    <t>121.415.924-96</t>
  </si>
  <si>
    <t>81 9542-3755</t>
  </si>
  <si>
    <t>ELIZANGELA MESSIAS DA SILVA LIMA</t>
  </si>
  <si>
    <t>058.905.714-60</t>
  </si>
  <si>
    <t>81 8562-3852</t>
  </si>
  <si>
    <t>Elizia Viviane Monteiro S.</t>
  </si>
  <si>
    <t>080.505.884-24</t>
  </si>
  <si>
    <t>81 9 9152-3350</t>
  </si>
  <si>
    <t>ELLEN TAYNARA SANTOS</t>
  </si>
  <si>
    <t>130.262.554-32</t>
  </si>
  <si>
    <t>81 9165-2956</t>
  </si>
  <si>
    <t>EMANUELE NAYRA DA SILVA SANTOS</t>
  </si>
  <si>
    <t>703.988.894-73</t>
  </si>
  <si>
    <t>81 9859-0942</t>
  </si>
  <si>
    <t>EMERSON MATEUS SILVA BENTO</t>
  </si>
  <si>
    <t>126.899.284-42</t>
  </si>
  <si>
    <t>81 9924-3046</t>
  </si>
  <si>
    <t>EMERSON VIEIRA BEZERRA</t>
  </si>
  <si>
    <t>098.104.494-88</t>
  </si>
  <si>
    <t>81 9141-7583</t>
  </si>
  <si>
    <t>EMILY MERCIA LIMA SILVA</t>
  </si>
  <si>
    <t>116.394.974-47</t>
  </si>
  <si>
    <t>81 9850-9013</t>
  </si>
  <si>
    <t>Emirley S. De Aguiar</t>
  </si>
  <si>
    <t>073.254.164-66</t>
  </si>
  <si>
    <t>81 9974-6961</t>
  </si>
  <si>
    <t>EMYLLI SAMMYLI DA SILVA</t>
  </si>
  <si>
    <t>130.962.714-29</t>
  </si>
  <si>
    <t>81 9111-1966</t>
  </si>
  <si>
    <t>ERICA TATIANE SILVA</t>
  </si>
  <si>
    <t>094.652.164-61</t>
  </si>
  <si>
    <t>81 9846-2172</t>
  </si>
  <si>
    <t>ERIKA MARIA DA SILVA</t>
  </si>
  <si>
    <t>152.469.484-39</t>
  </si>
  <si>
    <t>81 7108-7823</t>
  </si>
  <si>
    <t>ERIKA SABINA SILVA</t>
  </si>
  <si>
    <t>Recepcionista</t>
  </si>
  <si>
    <t>105.644.364-29</t>
  </si>
  <si>
    <t>81 9196-5133</t>
  </si>
  <si>
    <t>ERIKA SIMONE GOMES DE SOUZA</t>
  </si>
  <si>
    <t>048.042.374-10</t>
  </si>
  <si>
    <t>8199147-395</t>
  </si>
  <si>
    <t>ERIKA VALERIA SILVA</t>
  </si>
  <si>
    <t>905.390.444-15</t>
  </si>
  <si>
    <t>81 8293-1029</t>
  </si>
  <si>
    <t xml:space="preserve">ERIVAN LIMA DOS SANTOS </t>
  </si>
  <si>
    <t>958.269.204-91</t>
  </si>
  <si>
    <t>87 9637-1507</t>
  </si>
  <si>
    <t>ERIVANDA MONTEIRO DA SILVA</t>
  </si>
  <si>
    <t>011.533.994-90</t>
  </si>
  <si>
    <t>81 9794-4457</t>
  </si>
  <si>
    <t>EVELLYN DE MELO</t>
  </si>
  <si>
    <t>088.094.804-30</t>
  </si>
  <si>
    <t>81 8206-7142</t>
  </si>
  <si>
    <t>Evely Bezerra Melo De Araújo</t>
  </si>
  <si>
    <t>451.976.838-13</t>
  </si>
  <si>
    <t>81 9858-8961</t>
  </si>
  <si>
    <t>FABIANA CABRAL DA SILVA</t>
  </si>
  <si>
    <t>079.758.594-00</t>
  </si>
  <si>
    <t>81 9831-0730</t>
  </si>
  <si>
    <t>FABIANA DA SILVA BARROS</t>
  </si>
  <si>
    <t>071.689.454-83</t>
  </si>
  <si>
    <t>81 9125-9198</t>
  </si>
  <si>
    <t>FABIANA MEDEIROS SILVA</t>
  </si>
  <si>
    <t>080.265.864-41</t>
  </si>
  <si>
    <t>81 9325-3186</t>
  </si>
  <si>
    <t>Fabianne Marcelly Bezerra Monteiro</t>
  </si>
  <si>
    <t>708.392.694-80</t>
  </si>
  <si>
    <t>81 9932-2670</t>
  </si>
  <si>
    <t>FABIANO ARCANJO VIEIRA DA SILVA</t>
  </si>
  <si>
    <t>922.320.944-72</t>
  </si>
  <si>
    <t>81 9323-0478</t>
  </si>
  <si>
    <t>FELIPE ANDRÉ DA SILVA</t>
  </si>
  <si>
    <t>048.412.654-73</t>
  </si>
  <si>
    <t>81 9399-4228</t>
  </si>
  <si>
    <t>FERNANDA BARBOSA</t>
  </si>
  <si>
    <t>100.587.994-00</t>
  </si>
  <si>
    <t>81 9997-8691</t>
  </si>
  <si>
    <t>FERNANDA MARTINS</t>
  </si>
  <si>
    <t>123.131.274-27</t>
  </si>
  <si>
    <t>81 9277-5440</t>
  </si>
  <si>
    <t>Fernando César Sobrinho Lima Fonseca da Silva</t>
  </si>
  <si>
    <t>107.304.074-70</t>
  </si>
  <si>
    <t>8199291-4721</t>
  </si>
  <si>
    <t>FLAVIA CRISTINA DA SILVA BORBA</t>
  </si>
  <si>
    <t>078.662.704-22</t>
  </si>
  <si>
    <t>81 8979-2299</t>
  </si>
  <si>
    <t>FLORIZA BEZERRA DA SILVA</t>
  </si>
  <si>
    <t>821.912.044-49</t>
  </si>
  <si>
    <t>8199811-5382</t>
  </si>
  <si>
    <t>Francisca Ivanise Soares de Moura</t>
  </si>
  <si>
    <t>Copeira</t>
  </si>
  <si>
    <t>050.038.714-14</t>
  </si>
  <si>
    <t>81 7339-4161</t>
  </si>
  <si>
    <t>FRANCIWILLIAM ANDRANDE</t>
  </si>
  <si>
    <t>115.141.504-92</t>
  </si>
  <si>
    <t>81 9452-2427</t>
  </si>
  <si>
    <t>GABRIEL DE OLIVEIRA FERREIRA</t>
  </si>
  <si>
    <t>151.861.874-02</t>
  </si>
  <si>
    <t xml:space="preserve"> 81 9261-8429</t>
  </si>
  <si>
    <t>GABRIEL MACIEL RODRIGUES</t>
  </si>
  <si>
    <t>715.095.304-28</t>
  </si>
  <si>
    <t xml:space="preserve"> 81 8908-6650</t>
  </si>
  <si>
    <t>GESSYCA VANESSA NUNES DA SILVA</t>
  </si>
  <si>
    <t>089.843.634-64</t>
  </si>
  <si>
    <t>81 8595-7898</t>
  </si>
  <si>
    <t>GISLAINE KARINE DE FRANÇA MACEDO</t>
  </si>
  <si>
    <t>026.391.344-93</t>
  </si>
  <si>
    <t>81 9683-6266</t>
  </si>
  <si>
    <t>Givailson Gilvan Da Silva</t>
  </si>
  <si>
    <t>116.761.344-92</t>
  </si>
  <si>
    <t>81 9502-9004</t>
  </si>
  <si>
    <t>GREICE KELLY OLIVEIRA MENDES</t>
  </si>
  <si>
    <t>058.743.104-01</t>
  </si>
  <si>
    <t>81 9106-3576</t>
  </si>
  <si>
    <t>GUSTAVO LOPES DA SILVA FERREIRA</t>
  </si>
  <si>
    <t>110.013.674-64</t>
  </si>
  <si>
    <t>81 9167-7484</t>
  </si>
  <si>
    <t>GUSTAVO MEDEIROS</t>
  </si>
  <si>
    <t>146.753.684-92</t>
  </si>
  <si>
    <t>81 9258-1100</t>
  </si>
  <si>
    <t>GUSTAVO VIANA DE LIMA</t>
  </si>
  <si>
    <t>050.489.864-74</t>
  </si>
  <si>
    <t>8198104-1140</t>
  </si>
  <si>
    <t>HADASSA OLIVEIRA QUEIROZ ARAUJO</t>
  </si>
  <si>
    <t>108.429.894-55</t>
  </si>
  <si>
    <t>81 9568-0755</t>
  </si>
  <si>
    <t>HAYANA ROBERTA P. DE L. HONORATO MACIEL</t>
  </si>
  <si>
    <t>075.295.394-00</t>
  </si>
  <si>
    <t>81 9379-7001</t>
  </si>
  <si>
    <t>HELENA ROBERTA ALVES</t>
  </si>
  <si>
    <t>121.636.614-40</t>
  </si>
  <si>
    <t>81 9722-7779</t>
  </si>
  <si>
    <t>HIAGO TAYTHUAN F. DA SILVA</t>
  </si>
  <si>
    <t>AUX. HIG.</t>
  </si>
  <si>
    <t>133.823.344-02</t>
  </si>
  <si>
    <t>81 9487-8308</t>
  </si>
  <si>
    <t>HORACIA VALERIA LIMA TENORIO</t>
  </si>
  <si>
    <t>134.480.384-90</t>
  </si>
  <si>
    <t>87 8106-9223</t>
  </si>
  <si>
    <t>HOSANA FERREIRA MARINHO</t>
  </si>
  <si>
    <t>147.646.817-65</t>
  </si>
  <si>
    <t>81 8119-8573</t>
  </si>
  <si>
    <t>ILARIO LIMA</t>
  </si>
  <si>
    <t>037.549.764-19</t>
  </si>
  <si>
    <t>INGRID ANAMIM</t>
  </si>
  <si>
    <t>064.159.834-31</t>
  </si>
  <si>
    <t>81 9688-9901</t>
  </si>
  <si>
    <t>INGRID DE LOURDES A SILVA</t>
  </si>
  <si>
    <t>012.362.504-19</t>
  </si>
  <si>
    <t>81 9573-3373</t>
  </si>
  <si>
    <t>INGRID SOYANE DA SILVA</t>
  </si>
  <si>
    <t>112.390.984-99</t>
  </si>
  <si>
    <t>81 9709-3947</t>
  </si>
  <si>
    <t>IRANILDO CASSIANO DA SILVA</t>
  </si>
  <si>
    <t>139.053.014-07</t>
  </si>
  <si>
    <t>81 9641-4519</t>
  </si>
  <si>
    <t>Irismar Freire Torres</t>
  </si>
  <si>
    <t>065.808.184-50</t>
  </si>
  <si>
    <t>81 9162-1874</t>
  </si>
  <si>
    <t>ISABELLA KARINA BEZERRA DA SILVA</t>
  </si>
  <si>
    <t>054.926.184-23</t>
  </si>
  <si>
    <t>81 9108-1993</t>
  </si>
  <si>
    <t>ISYS LAYANA MARIA COSTA BRAZ DOS SANTOS</t>
  </si>
  <si>
    <t>108.646.054-55</t>
  </si>
  <si>
    <t>81 9158-6919</t>
  </si>
  <si>
    <t>IVANEIDE SILVA DE SOUSA</t>
  </si>
  <si>
    <t xml:space="preserve">AUX. HIG. </t>
  </si>
  <si>
    <t>031.257.744-38</t>
  </si>
  <si>
    <t>81 9394-7036</t>
  </si>
  <si>
    <t>IVONE DE OLIVEIRA</t>
  </si>
  <si>
    <t>704.603.644-64</t>
  </si>
  <si>
    <t>81 9830-6446</t>
  </si>
  <si>
    <t>JACIANE SANTOS CIRILO DA SILVA</t>
  </si>
  <si>
    <t>051.562.884-05</t>
  </si>
  <si>
    <t>81 9148-9121</t>
  </si>
  <si>
    <t>JACIARA DAYLA SANTANA</t>
  </si>
  <si>
    <t>704.082.004-80</t>
  </si>
  <si>
    <t>81 9105-5783</t>
  </si>
  <si>
    <t>JACYANE CARMEM CAZUMBÁ</t>
  </si>
  <si>
    <t>051.213.004-33</t>
  </si>
  <si>
    <t>81 7903-2020</t>
  </si>
  <si>
    <t>JAIANE YASMIN DE M. ALMEIDA</t>
  </si>
  <si>
    <t>098.182.764-00</t>
  </si>
  <si>
    <t>87 8159-8420</t>
  </si>
  <si>
    <t>Jaiesse Morgana da Conceição</t>
  </si>
  <si>
    <t>105.580.514-13</t>
  </si>
  <si>
    <t>81 9328-0084</t>
  </si>
  <si>
    <t>JAILDO ARRUDA DE ANDRADE</t>
  </si>
  <si>
    <t>039.916.184-86</t>
  </si>
  <si>
    <t>81 9518-5955</t>
  </si>
  <si>
    <t>Jailson João da Silva</t>
  </si>
  <si>
    <t>Maqueiro</t>
  </si>
  <si>
    <t>047.795.364-64</t>
  </si>
  <si>
    <t>81 9628-2929</t>
  </si>
  <si>
    <t>JAMISON HENRIQUE DOS SANTOS SILVA</t>
  </si>
  <si>
    <t>107.200.934-06</t>
  </si>
  <si>
    <t>81 7320-0318</t>
  </si>
  <si>
    <t>JAMYLLE STEFFANE DA SILVA NASCIMENTO</t>
  </si>
  <si>
    <t>136.408.704-92</t>
  </si>
  <si>
    <t>81 9395-5584</t>
  </si>
  <si>
    <t>JANAILSON MANOEL</t>
  </si>
  <si>
    <t>036.498.674-35</t>
  </si>
  <si>
    <t>81 7304-8890</t>
  </si>
  <si>
    <t>Janaina Belkemar da Silva</t>
  </si>
  <si>
    <t>Auxiliar de Farmácia</t>
  </si>
  <si>
    <t>046.010.154-48</t>
  </si>
  <si>
    <t>81 9251-0113</t>
  </si>
  <si>
    <t>JANAINA LOPES BEZERRA</t>
  </si>
  <si>
    <t>114.714.724-85</t>
  </si>
  <si>
    <t>81 9260-2110</t>
  </si>
  <si>
    <t>JANE CARLA ALVES ALMEIDA</t>
  </si>
  <si>
    <t>032.975.524-25</t>
  </si>
  <si>
    <t>87 9196-6440</t>
  </si>
  <si>
    <t>JAQUELINE BEZERRA DA SILVA GOMES</t>
  </si>
  <si>
    <t>077.804.034-83</t>
  </si>
  <si>
    <t>8798840-1130</t>
  </si>
  <si>
    <t>Jaqueline Maria da Silva</t>
  </si>
  <si>
    <t>152.602.578-71</t>
  </si>
  <si>
    <t>81 9121-1338</t>
  </si>
  <si>
    <t>JEFERSON JOSÉ DA SILVA</t>
  </si>
  <si>
    <t>078.987.164-50</t>
  </si>
  <si>
    <t xml:space="preserve"> 81 9464-8523</t>
  </si>
  <si>
    <t>Jeferson Pereira Gonçalves</t>
  </si>
  <si>
    <t>Condutor</t>
  </si>
  <si>
    <t>025.251.414-0</t>
  </si>
  <si>
    <t>81 9689-4348</t>
  </si>
  <si>
    <t>JEFFERSON MATHEUS</t>
  </si>
  <si>
    <t>088.044.064-37</t>
  </si>
  <si>
    <t xml:space="preserve"> 81 9361-4384</t>
  </si>
  <si>
    <t>JEFFERSON MENEZES DE ARAUJO</t>
  </si>
  <si>
    <t>054.797.454-09</t>
  </si>
  <si>
    <t>81 9139-4212</t>
  </si>
  <si>
    <t>JEFFERSON WESLEY DA SILVA</t>
  </si>
  <si>
    <t>148.587.804-73</t>
  </si>
  <si>
    <t>81 8109-7664</t>
  </si>
  <si>
    <t>JENILDO JOSE DANTAS JUNIOR</t>
  </si>
  <si>
    <t>138.607.224-92</t>
  </si>
  <si>
    <t>81 7311-7197</t>
  </si>
  <si>
    <t>JENNEFER DAIANE DA SILVA</t>
  </si>
  <si>
    <t>130.447.714-20</t>
  </si>
  <si>
    <t>81 9892-8218</t>
  </si>
  <si>
    <t>JENNIFER PEREIRA LUANA SILVA</t>
  </si>
  <si>
    <t>710.351.214-09</t>
  </si>
  <si>
    <t>81 9371-6735</t>
  </si>
  <si>
    <t>JESSICA MARIA AMORIM DA SILVA</t>
  </si>
  <si>
    <t>095.213.354-75</t>
  </si>
  <si>
    <t>81 9590-8535</t>
  </si>
  <si>
    <t>JESSICA MARIA GOMES SILVA</t>
  </si>
  <si>
    <t>100.582.104-86</t>
  </si>
  <si>
    <t>81 9544-3962</t>
  </si>
  <si>
    <t>JESSICA MIRELI DA SILVA</t>
  </si>
  <si>
    <t>115.615.374-38</t>
  </si>
  <si>
    <t>81 7314-7975</t>
  </si>
  <si>
    <t>JESSICA NIVIA DOS SANTOS</t>
  </si>
  <si>
    <t>115.286.744-05</t>
  </si>
  <si>
    <t>81 9801-1654</t>
  </si>
  <si>
    <t>JESSICA PALOMA B. DA SILVA</t>
  </si>
  <si>
    <t>700.131.134-02</t>
  </si>
  <si>
    <t>81 9390-7273</t>
  </si>
  <si>
    <t>Joabe Alves de Souza</t>
  </si>
  <si>
    <t>Porteiro</t>
  </si>
  <si>
    <t>023.256.434-50</t>
  </si>
  <si>
    <t>82 9817-3570</t>
  </si>
  <si>
    <t>JOANA D'ARC</t>
  </si>
  <si>
    <t>054.681.024-12</t>
  </si>
  <si>
    <t>81 8311-6139</t>
  </si>
  <si>
    <t>JOAO BATISTA MACEDO</t>
  </si>
  <si>
    <t>705.339.014-48</t>
  </si>
  <si>
    <t>81 8377-4852</t>
  </si>
  <si>
    <t>João Gomes Florêncio Neto</t>
  </si>
  <si>
    <t>026.054.684-45</t>
  </si>
  <si>
    <t>81 9208-4423</t>
  </si>
  <si>
    <t>JOAO PAULO DA SILVA LIMA</t>
  </si>
  <si>
    <t>084.622.654-52</t>
  </si>
  <si>
    <t>8199547-0413</t>
  </si>
  <si>
    <t>JOAO VICTOR LINS DA SILVA</t>
  </si>
  <si>
    <t>025.509.804-92</t>
  </si>
  <si>
    <t>81 9758-8876</t>
  </si>
  <si>
    <t>JOCELIO PEREIRA DA SILVA FILHO</t>
  </si>
  <si>
    <t>119.084.534-27</t>
  </si>
  <si>
    <t>8799992-2575</t>
  </si>
  <si>
    <t>JOEDLA GABRIELA DA SILVA</t>
  </si>
  <si>
    <t>ENF.</t>
  </si>
  <si>
    <t>708.821.534-98</t>
  </si>
  <si>
    <t>81 8829-5325</t>
  </si>
  <si>
    <t>JOELMA FLORÊNCIO MENESES DE LIMA</t>
  </si>
  <si>
    <t>817.880.614-20</t>
  </si>
  <si>
    <t>81 9478-3869</t>
  </si>
  <si>
    <t>JOELY DANIELLE DE ARAUJO ALVES</t>
  </si>
  <si>
    <t>714.683.144-24</t>
  </si>
  <si>
    <t>81 9465-2918</t>
  </si>
  <si>
    <t>John Carlos Placido</t>
  </si>
  <si>
    <t>054.903.854-05</t>
  </si>
  <si>
    <t>81 8408-0004</t>
  </si>
  <si>
    <t>JOICE MARIA DA SILVA</t>
  </si>
  <si>
    <t>123.497.384-77</t>
  </si>
  <si>
    <t>81 8632-7825</t>
  </si>
  <si>
    <t>JONAS BARBOSA  DE FREITAS</t>
  </si>
  <si>
    <t>703.162.914-47</t>
  </si>
  <si>
    <t>81 9476-1236</t>
  </si>
  <si>
    <t>JONATHAN GUTEMBERG DA SILVA</t>
  </si>
  <si>
    <t>077.082.764-03</t>
  </si>
  <si>
    <t xml:space="preserve"> 81 9441-1158</t>
  </si>
  <si>
    <t>JONATHAN SEVERINO</t>
  </si>
  <si>
    <t>104.859.264-23</t>
  </si>
  <si>
    <t>81 93300-5194</t>
  </si>
  <si>
    <t>JOSÉ ALBERTO SIMÕES DA SILVA</t>
  </si>
  <si>
    <t>095.543.974-45</t>
  </si>
  <si>
    <t>81 99422-2058</t>
  </si>
  <si>
    <t>José Alexandre De Torres</t>
  </si>
  <si>
    <t>704.052.454-67</t>
  </si>
  <si>
    <t>81 97118-5486</t>
  </si>
  <si>
    <t>JOSE ALVES DA SILVA NETO</t>
  </si>
  <si>
    <t>109.207.744-82</t>
  </si>
  <si>
    <t>81 98163-4188</t>
  </si>
  <si>
    <t>JOSÉ ANTÔNIO DOS SANTOS</t>
  </si>
  <si>
    <t>028.538.964-55</t>
  </si>
  <si>
    <t>81 98365-8229</t>
  </si>
  <si>
    <t>JOSE BRENO FERREIRA DA SILVA</t>
  </si>
  <si>
    <t>157.112.514-06</t>
  </si>
  <si>
    <t>81 97904-8917</t>
  </si>
  <si>
    <t>JOSE GABRIEL DE MACEDO</t>
  </si>
  <si>
    <t>113.267.324-04</t>
  </si>
  <si>
    <t>81 99991-3257</t>
  </si>
  <si>
    <t>JOSÉ JONES TORRES</t>
  </si>
  <si>
    <t>018.042.674-57</t>
  </si>
  <si>
    <t>81 97317-6625</t>
  </si>
  <si>
    <t>JOSE LEONARDO DE LIMA FILHO</t>
  </si>
  <si>
    <t>135.055.884-23</t>
  </si>
  <si>
    <t>81 99420-3831</t>
  </si>
  <si>
    <t>JOSE MAGNO ALVES DA SILVA</t>
  </si>
  <si>
    <t>112.345.504-07</t>
  </si>
  <si>
    <t>81 99689-5813</t>
  </si>
  <si>
    <t>JOSE MAGNOVALDO B. SILVA</t>
  </si>
  <si>
    <t>120.938.184-26</t>
  </si>
  <si>
    <t>81 99920-9510</t>
  </si>
  <si>
    <t>JOSE RAFAEL DA SILVA SANTOS</t>
  </si>
  <si>
    <t>81 98452-0080</t>
  </si>
  <si>
    <t>JOSE WILKER RODRIGUES MENDONÇA</t>
  </si>
  <si>
    <t>703.199.184-67</t>
  </si>
  <si>
    <t>81 99173-4017</t>
  </si>
  <si>
    <t>JOSECLEIDE DIAS DO NASCIMENTO</t>
  </si>
  <si>
    <t>655.953.704-20</t>
  </si>
  <si>
    <t>81 98510-0002</t>
  </si>
  <si>
    <t>JOSEFA GORETE OLIVEIRA</t>
  </si>
  <si>
    <t>081.156.264-65</t>
  </si>
  <si>
    <t>81 99199-0651</t>
  </si>
  <si>
    <t>JOSENILDA ELOI DA S. SOUZA</t>
  </si>
  <si>
    <t>065.652.074-45</t>
  </si>
  <si>
    <t>81 99872-2657</t>
  </si>
  <si>
    <t>JOSENILDO RIBEIRO</t>
  </si>
  <si>
    <t>002.978.043-83</t>
  </si>
  <si>
    <t>81 99382-2862</t>
  </si>
  <si>
    <t>JOSIELMA DA SILVA SOUZA</t>
  </si>
  <si>
    <t>101.720.424-10</t>
  </si>
  <si>
    <t>19 98338-5458</t>
  </si>
  <si>
    <t>JOSINAIDE OLIVEIRA GOMES</t>
  </si>
  <si>
    <t>057.339.744-94</t>
  </si>
  <si>
    <t>81 99105-4203</t>
  </si>
  <si>
    <t>JOSIVANIA MARIA ALVES SILVA</t>
  </si>
  <si>
    <t>062.707.624-64</t>
  </si>
  <si>
    <t>81 99452-1168</t>
  </si>
  <si>
    <t>JUCELLI MARIA DA SILVA</t>
  </si>
  <si>
    <t>092.862.514-16</t>
  </si>
  <si>
    <t>81 98180-1346</t>
  </si>
  <si>
    <t>Jucicleide Silva Amorim</t>
  </si>
  <si>
    <t>039.647.044-07</t>
  </si>
  <si>
    <t>Juciedna Fernanda</t>
  </si>
  <si>
    <t>704.508.124-30</t>
  </si>
  <si>
    <t>81 99393-9520</t>
  </si>
  <si>
    <t>JULIANA CARLA TAVARES DA SILVA</t>
  </si>
  <si>
    <t>063.949.404-88</t>
  </si>
  <si>
    <t xml:space="preserve"> 81 98182-3825</t>
  </si>
  <si>
    <t>Juliana de Oliveira Magalhães</t>
  </si>
  <si>
    <t>116.337.104-15</t>
  </si>
  <si>
    <t>81 99769-2334</t>
  </si>
  <si>
    <t>JULIANE MARIA DA SILVA</t>
  </si>
  <si>
    <t>140.613.654-95</t>
  </si>
  <si>
    <t>81 99730-8029</t>
  </si>
  <si>
    <t>JULIO CESAR DA SILVA TAVARES</t>
  </si>
  <si>
    <t>066.936.684-61</t>
  </si>
  <si>
    <t>81 99290-5650</t>
  </si>
  <si>
    <t>Jussara Conceição Germano Da Silva</t>
  </si>
  <si>
    <t>048.667.654-45</t>
  </si>
  <si>
    <t>81 99268-7417</t>
  </si>
  <si>
    <t>JUSSIARA ADJANE</t>
  </si>
  <si>
    <t>082.688.524-10</t>
  </si>
  <si>
    <t>81 98301-0995</t>
  </si>
  <si>
    <t>KARINA CRISTIANA DA SILVA PINTO</t>
  </si>
  <si>
    <t>064.533.284-45</t>
  </si>
  <si>
    <t>81 99501-6541</t>
  </si>
  <si>
    <t>Karina Kelly</t>
  </si>
  <si>
    <t>063.209.364-10</t>
  </si>
  <si>
    <t>81 99613-7751</t>
  </si>
  <si>
    <t>KARLA DORALICE FERNANDES</t>
  </si>
  <si>
    <t>067.786.734-43</t>
  </si>
  <si>
    <t xml:space="preserve"> 81 99408-4148</t>
  </si>
  <si>
    <t>KARLA GRAZIELY FERREIRA</t>
  </si>
  <si>
    <t>054.371.344-01</t>
  </si>
  <si>
    <t>81 99135-9140</t>
  </si>
  <si>
    <t xml:space="preserve">KARLA GUEIROS DE OLIVEIRA </t>
  </si>
  <si>
    <t>013.813.364-69</t>
  </si>
  <si>
    <t>81 99735-0201</t>
  </si>
  <si>
    <t>KAROLAYNE CARVALHO SILVA</t>
  </si>
  <si>
    <t>708.657.314-03</t>
  </si>
  <si>
    <t>81 99490-9824</t>
  </si>
  <si>
    <t>KAROLAYNE DOS M. RODRIGUES</t>
  </si>
  <si>
    <t>130.180.494-03</t>
  </si>
  <si>
    <t>81 99389-7015</t>
  </si>
  <si>
    <t>KÁTIA FERNANDA DA SILVA</t>
  </si>
  <si>
    <t>083.667.704-86</t>
  </si>
  <si>
    <t>81 99434-3301</t>
  </si>
  <si>
    <t>Katia Kataline S. De Souza</t>
  </si>
  <si>
    <t>124.739.384-40</t>
  </si>
  <si>
    <t xml:space="preserve"> 81 99583-6151</t>
  </si>
  <si>
    <t>Katylla Rodrigues Do Nascimento</t>
  </si>
  <si>
    <t>113.174.034-36</t>
  </si>
  <si>
    <t>81 98115-0664</t>
  </si>
  <si>
    <t>KESIA FIRMINO PIMENTEL</t>
  </si>
  <si>
    <t>116.894.024-90</t>
  </si>
  <si>
    <t>87 99928-9610</t>
  </si>
  <si>
    <t>KETHULY FERNANDA FAUSTINO DA SILVA</t>
  </si>
  <si>
    <t>134.995.624-48</t>
  </si>
  <si>
    <t xml:space="preserve"> 81 99379-3680</t>
  </si>
  <si>
    <t>KEVIN MARLONNE</t>
  </si>
  <si>
    <t>084.956.914-18</t>
  </si>
  <si>
    <t>81 99669-6925</t>
  </si>
  <si>
    <t>KLEMS FELIPPE DE OLIVEIRA</t>
  </si>
  <si>
    <t>TÉC. IMOB.</t>
  </si>
  <si>
    <t>087.186.904-75</t>
  </si>
  <si>
    <t xml:space="preserve"> 81 99149-8494</t>
  </si>
  <si>
    <t>LAISE MONTEIRO SILVA</t>
  </si>
  <si>
    <t>092.760.984-37</t>
  </si>
  <si>
    <t>81 98112-6814</t>
  </si>
  <si>
    <t>LARISSA CAVALCANTI SILVA</t>
  </si>
  <si>
    <t>107.446.764-86</t>
  </si>
  <si>
    <t>81 99387-3245</t>
  </si>
  <si>
    <t>LARISSA FERNANDA</t>
  </si>
  <si>
    <t>139.860.974-90</t>
  </si>
  <si>
    <t>81 99383-9452</t>
  </si>
  <si>
    <t>LARISSA MICHELY DA SILVA VIEIRA</t>
  </si>
  <si>
    <t>134.390.074-30</t>
  </si>
  <si>
    <t>8199352-8025</t>
  </si>
  <si>
    <t>LARYSSA EMANUELLE DA S. MELO</t>
  </si>
  <si>
    <t>141.362.644-02</t>
  </si>
  <si>
    <t>81 99400-0751</t>
  </si>
  <si>
    <t>LARYSSA MORGANA SILVA SANTOS</t>
  </si>
  <si>
    <t>704.163.824-36</t>
  </si>
  <si>
    <t>51 98065-6364</t>
  </si>
  <si>
    <t>LATOYA M. COSTA AMANCIO</t>
  </si>
  <si>
    <t>703.603.984-13</t>
  </si>
  <si>
    <t>81 99322-8777</t>
  </si>
  <si>
    <t>LAURA SOUZA MATOS</t>
  </si>
  <si>
    <t>714.315.124-60</t>
  </si>
  <si>
    <t>81 98918-1908</t>
  </si>
  <si>
    <t>LAVINIA ARAUJO DE PAULA</t>
  </si>
  <si>
    <t>707.794.364-07</t>
  </si>
  <si>
    <t>81 99418-5518</t>
  </si>
  <si>
    <t>Leandra Josefa Dos Santos</t>
  </si>
  <si>
    <t>115.397.144-54</t>
  </si>
  <si>
    <t>81 99181-4872</t>
  </si>
  <si>
    <t>Leda Priscila Dmitrov</t>
  </si>
  <si>
    <t>074.243.844-90</t>
  </si>
  <si>
    <t>81 99995-7525</t>
  </si>
  <si>
    <t xml:space="preserve">LEONARDO JOÃO NETO </t>
  </si>
  <si>
    <t>113.911.394-10</t>
  </si>
  <si>
    <t xml:space="preserve"> 81 98227-4562</t>
  </si>
  <si>
    <t>LETICIA BEATRIZ DA SILVA</t>
  </si>
  <si>
    <t>132.281.214-45</t>
  </si>
  <si>
    <t>81 99683-4311</t>
  </si>
  <si>
    <t>LETICIA FERREIRA FEITOZA</t>
  </si>
  <si>
    <t>100.522.054.95</t>
  </si>
  <si>
    <t>81 99323-9780</t>
  </si>
  <si>
    <t>LETICIA LARISSA CARVALHO SANTOS</t>
  </si>
  <si>
    <t>129.814.654-22</t>
  </si>
  <si>
    <t>81 99350-3088</t>
  </si>
  <si>
    <t>LETICIA MAXIMIANO DA SILVA</t>
  </si>
  <si>
    <t>130.989.444-20</t>
  </si>
  <si>
    <t>81 99293-9687</t>
  </si>
  <si>
    <t>LILIAN DE ALMEIDA SANTOS</t>
  </si>
  <si>
    <t>087.732.774-28</t>
  </si>
  <si>
    <t>8199182-4406</t>
  </si>
  <si>
    <t>LILIANE MARIA DO NASCIMENTO</t>
  </si>
  <si>
    <t>088.849.564-12</t>
  </si>
  <si>
    <t>81 99846-9212</t>
  </si>
  <si>
    <t>LINDINALDO ZACARIAS</t>
  </si>
  <si>
    <t>115.434.804-03</t>
  </si>
  <si>
    <t>81 99691-1032</t>
  </si>
  <si>
    <t>LINDINEIDE SILVA DE ALMEIDA</t>
  </si>
  <si>
    <t>213.996.204-44</t>
  </si>
  <si>
    <t>81 99186-2886</t>
  </si>
  <si>
    <t>LINDIVANIA PEREIRA DE BARROS</t>
  </si>
  <si>
    <t>034.932.924-90</t>
  </si>
  <si>
    <t>81 99480-4786</t>
  </si>
  <si>
    <t>LIVIA ANGELINA DOS SANTOS</t>
  </si>
  <si>
    <t>122.127.344-25</t>
  </si>
  <si>
    <t>81 99158-1862</t>
  </si>
  <si>
    <t>Luana Cordeiro Chagas de Lima</t>
  </si>
  <si>
    <t>Fisioterapeuta</t>
  </si>
  <si>
    <t>109.948.774-98</t>
  </si>
  <si>
    <t>81 99836-0594</t>
  </si>
  <si>
    <t>LUANA MARIA DA SILVA CLEMENTE</t>
  </si>
  <si>
    <t>063.410.644-97</t>
  </si>
  <si>
    <t>81 99637-5472</t>
  </si>
  <si>
    <t>LUANA SANTO SILVA</t>
  </si>
  <si>
    <t>100.433.524-56</t>
  </si>
  <si>
    <t>81 97104-3239</t>
  </si>
  <si>
    <t>LUCAS AUGUSTO DE MELO LIMA</t>
  </si>
  <si>
    <t>702.226.114-80</t>
  </si>
  <si>
    <t>81 99162-0430</t>
  </si>
  <si>
    <t>LUCAS CAVALCANTE DA SILVA</t>
  </si>
  <si>
    <t>015.022.334-01</t>
  </si>
  <si>
    <t>81 99900-7233</t>
  </si>
  <si>
    <t>LUCAS DE MELO MOURA</t>
  </si>
  <si>
    <t>114.981.974-00</t>
  </si>
  <si>
    <t>81 98990-6391</t>
  </si>
  <si>
    <t>LUCAS HENRIQUE DOS SANTOS SILVA</t>
  </si>
  <si>
    <t>040.237.522-07</t>
  </si>
  <si>
    <t>69 98413-3622</t>
  </si>
  <si>
    <t>LUCAS MATEUS AFONSO FERREIRA</t>
  </si>
  <si>
    <t>136.007.424-42</t>
  </si>
  <si>
    <t>82 99650-9902</t>
  </si>
  <si>
    <t>Lucas Mendonça da Silva Falcão Oliveira</t>
  </si>
  <si>
    <t>703.941.964-57</t>
  </si>
  <si>
    <t>81 99466-2506</t>
  </si>
  <si>
    <t>LUCENILDA LIMA</t>
  </si>
  <si>
    <t>073.405.874-89</t>
  </si>
  <si>
    <t>81 99376-4767</t>
  </si>
  <si>
    <t>LUCIANA ALCANTARA DA SILVA</t>
  </si>
  <si>
    <t>030.744.263-22</t>
  </si>
  <si>
    <t>8199235-3363</t>
  </si>
  <si>
    <t>LUCIANA CRISTINA DA SILVA</t>
  </si>
  <si>
    <t>034.172.794-61</t>
  </si>
  <si>
    <t>81 98180-8643</t>
  </si>
  <si>
    <t>LUCIANA FERREIRA DA PAZ</t>
  </si>
  <si>
    <t>890.393.944-15</t>
  </si>
  <si>
    <t>81 99675-3814</t>
  </si>
  <si>
    <t>LUCIANA FILIZOLA NOGUEIRA</t>
  </si>
  <si>
    <t>089.538.394-24</t>
  </si>
  <si>
    <t>81 99898-7177</t>
  </si>
  <si>
    <t>LUCIANA NOBERTO DA SILVA</t>
  </si>
  <si>
    <t>065.174.174-27</t>
  </si>
  <si>
    <t>14 98218-5191</t>
  </si>
  <si>
    <t>LUCIANA SOUZA LIMA</t>
  </si>
  <si>
    <t>050.864.874-20</t>
  </si>
  <si>
    <t>81 99657-4188</t>
  </si>
  <si>
    <t>Lucicleide De A. Souza</t>
  </si>
  <si>
    <t>062.500.964-93</t>
  </si>
  <si>
    <t xml:space="preserve"> 81 99636-3374</t>
  </si>
  <si>
    <t>LUCICLEIDE FERREIRA LINS</t>
  </si>
  <si>
    <t>036.077.114-96</t>
  </si>
  <si>
    <t>81 99262-5003</t>
  </si>
  <si>
    <t>LUCIDALVA MARIA DA SILVA</t>
  </si>
  <si>
    <t>054.800.544-30</t>
  </si>
  <si>
    <t>81 99685-7489</t>
  </si>
  <si>
    <t>LUCIENE DA SILVA GOMES JEONG</t>
  </si>
  <si>
    <t>666.284.904.-91</t>
  </si>
  <si>
    <t>81 99103-1098</t>
  </si>
  <si>
    <t>LUCIENE DE ARAUJO SILVA</t>
  </si>
  <si>
    <t>010.047.684-86</t>
  </si>
  <si>
    <t xml:space="preserve"> 81 99478-8177</t>
  </si>
  <si>
    <t>LUCIMARA BEZERRA DOS ANJOS</t>
  </si>
  <si>
    <t>054.787.224-05</t>
  </si>
  <si>
    <t>81 99491-9507</t>
  </si>
  <si>
    <t>LUCINEIDE TEOFILO DOS SANTOS</t>
  </si>
  <si>
    <t>012.292.364-22</t>
  </si>
  <si>
    <t>81 97304-2499</t>
  </si>
  <si>
    <t>LUEDJA SAMIRE SILVA</t>
  </si>
  <si>
    <t>135.990.524-33</t>
  </si>
  <si>
    <t>81 98271-0194</t>
  </si>
  <si>
    <t>LUISA SEVERINA DA SILVA</t>
  </si>
  <si>
    <t>808.020.794-15</t>
  </si>
  <si>
    <t>81 99155-4407</t>
  </si>
  <si>
    <t>LUIZ FABRÍCIO TAVARES</t>
  </si>
  <si>
    <t>082.303.514-06</t>
  </si>
  <si>
    <t>81 98999-1076</t>
  </si>
  <si>
    <t>LUIZ INACIO DA SILVA NETO</t>
  </si>
  <si>
    <t>709.100.424-89</t>
  </si>
  <si>
    <t>81 99327-5096</t>
  </si>
  <si>
    <t>LURDINILA STEFFANY BELO DA SILVA</t>
  </si>
  <si>
    <t>131.046.064-71</t>
  </si>
  <si>
    <t>81 99206-3547</t>
  </si>
  <si>
    <t>LUZIA BEZERRA DA SILVA</t>
  </si>
  <si>
    <t>106.861.744-61</t>
  </si>
  <si>
    <t>87 98107-4156</t>
  </si>
  <si>
    <t>LUZIA DO NASCIMENTO MATIAS</t>
  </si>
  <si>
    <t>151.483.254-29</t>
  </si>
  <si>
    <t>81 98137-8436</t>
  </si>
  <si>
    <t>LUZIANA DO NASCIMENTO TENÓRIO</t>
  </si>
  <si>
    <t>108.795.724-93</t>
  </si>
  <si>
    <t>81 99248-5211</t>
  </si>
  <si>
    <t>MAIRA MARIA BEZERRA DA SILVA</t>
  </si>
  <si>
    <t>116.859.394-81</t>
  </si>
  <si>
    <t>81 99931-6086</t>
  </si>
  <si>
    <t>MAJORY LUANA B. SANTOS</t>
  </si>
  <si>
    <t>715.269.694-24</t>
  </si>
  <si>
    <t>81 99150-2261</t>
  </si>
  <si>
    <t>MANOEL CONCORDIO DE MENEZES NETO</t>
  </si>
  <si>
    <t>025.954.564-31</t>
  </si>
  <si>
    <t>81 99105-8431</t>
  </si>
  <si>
    <t>MANUELA BARBOSA DA SILVA</t>
  </si>
  <si>
    <t>094.428.254-70</t>
  </si>
  <si>
    <t>81 99735-6651</t>
  </si>
  <si>
    <t>MANUELA MOURA DE OLIVEIRA</t>
  </si>
  <si>
    <t>065.693.384-47</t>
  </si>
  <si>
    <t>81 98857-1256</t>
  </si>
  <si>
    <t>MARCELA BEATRIZ DA SILVA</t>
  </si>
  <si>
    <t>126.992.274-20</t>
  </si>
  <si>
    <t>81 99518-1228</t>
  </si>
  <si>
    <t>MARCIA CORDEIRO BEZERRA</t>
  </si>
  <si>
    <t>057.941.264-42</t>
  </si>
  <si>
    <t>81 99630-9209</t>
  </si>
  <si>
    <t>MARCIA CRISTINA</t>
  </si>
  <si>
    <t>092.900.644-55</t>
  </si>
  <si>
    <t>81 99846-8797</t>
  </si>
  <si>
    <t>MARCIANA MARIA CARDOSO SOARES</t>
  </si>
  <si>
    <t>135.612.294-92</t>
  </si>
  <si>
    <t>81 98268-4037</t>
  </si>
  <si>
    <t>MARCIONILO CARNEIRO DA SILVA JUNIOR</t>
  </si>
  <si>
    <t>109.837.874-17</t>
  </si>
  <si>
    <t>81 98158-7149</t>
  </si>
  <si>
    <t>MARCOS ANTONIO PEREIRA DA MOTA</t>
  </si>
  <si>
    <t>043.483.944-23</t>
  </si>
  <si>
    <t>11 98513-2809</t>
  </si>
  <si>
    <t>MARCOS ROBERTO FERNANDES</t>
  </si>
  <si>
    <t>707.540.634-53</t>
  </si>
  <si>
    <t xml:space="preserve"> 81 98431-9964</t>
  </si>
  <si>
    <t>MARGARIDA JOSEFA M DA CONCEIÇÃO</t>
  </si>
  <si>
    <t>686.763.104-59</t>
  </si>
  <si>
    <t>81 99298-1096</t>
  </si>
  <si>
    <t>MARIA APARECIDA</t>
  </si>
  <si>
    <t>034.176.434-57</t>
  </si>
  <si>
    <t xml:space="preserve"> 81 98534-3094</t>
  </si>
  <si>
    <t>MARIA APARECIDA ALVES CABRAL</t>
  </si>
  <si>
    <t>118.007.784-90</t>
  </si>
  <si>
    <t xml:space="preserve"> 81 97911-2915</t>
  </si>
  <si>
    <t>MARIA APARECIDA DA SILVA</t>
  </si>
  <si>
    <t>012.535.684-64</t>
  </si>
  <si>
    <t>81 99887-0901</t>
  </si>
  <si>
    <t>Maria Aparecida Da Silva</t>
  </si>
  <si>
    <t>81 99830-3334</t>
  </si>
  <si>
    <t>MARIA BEATRIZ MENEZES</t>
  </si>
  <si>
    <t>714.560.694-11</t>
  </si>
  <si>
    <t xml:space="preserve"> 81 98988-3894</t>
  </si>
  <si>
    <t>Maria Betania Gomes Da Silva</t>
  </si>
  <si>
    <t>025.404.164-70</t>
  </si>
  <si>
    <t>81 99987-8555</t>
  </si>
  <si>
    <t>MARIA CONCEIÇÃO DA SANTOS</t>
  </si>
  <si>
    <t>014.158.794-60</t>
  </si>
  <si>
    <t>8199478-2886</t>
  </si>
  <si>
    <t>MARIA DAS DORES VIDAL DA SILVA</t>
  </si>
  <si>
    <t>081.177.684-02</t>
  </si>
  <si>
    <t>81 98998-3787</t>
  </si>
  <si>
    <t>MARIA DE FATIMA KAROLINA</t>
  </si>
  <si>
    <t>111.053.944-41</t>
  </si>
  <si>
    <t xml:space="preserve"> 81 98980-0393</t>
  </si>
  <si>
    <t>MARIA DE FÁTIMA PRISCILA DE SOUZA</t>
  </si>
  <si>
    <t>050.337.674-45</t>
  </si>
  <si>
    <t>81 99117-9611</t>
  </si>
  <si>
    <t>MARIA DE LOURDES DA SILVA</t>
  </si>
  <si>
    <t>053.771.574-60</t>
  </si>
  <si>
    <t xml:space="preserve"> 81 99275-9451</t>
  </si>
  <si>
    <t xml:space="preserve">MARIA DO CARMO </t>
  </si>
  <si>
    <t>124.372.784-51</t>
  </si>
  <si>
    <t>81 97345-5929</t>
  </si>
  <si>
    <t>MARIA DO SOCORRO BEZERRA DE CARVALHO</t>
  </si>
  <si>
    <t>093.463.514-54</t>
  </si>
  <si>
    <t>87 98103-1289</t>
  </si>
  <si>
    <t>MARIA DO SOCORRO MARCELO DA SILVA</t>
  </si>
  <si>
    <t>039.473.634-60</t>
  </si>
  <si>
    <t>81 99810-7777</t>
  </si>
  <si>
    <t>MARIA EDUARDA DOS SANTOS LIMA</t>
  </si>
  <si>
    <t>141.185.354-75</t>
  </si>
  <si>
    <t>81 99345-8955</t>
  </si>
  <si>
    <t>MARIA ELIANE DA SILVA BEZERRA</t>
  </si>
  <si>
    <t>054.597.244-22</t>
  </si>
  <si>
    <t>81 99768-1221</t>
  </si>
  <si>
    <t>Maria Emanuelle Gonçalves Cordeiro</t>
  </si>
  <si>
    <t>125.563.664-51</t>
  </si>
  <si>
    <t>87 9.9117-9664</t>
  </si>
  <si>
    <t xml:space="preserve">MARIA FRANCIELY DA SILVA </t>
  </si>
  <si>
    <t>111.021.174-04</t>
  </si>
  <si>
    <t>8198325-7136</t>
  </si>
  <si>
    <t xml:space="preserve">MARIA GEANE TIMOTEO DE COUTO </t>
  </si>
  <si>
    <t>089.591.574-06</t>
  </si>
  <si>
    <t>81 99800-6363</t>
  </si>
  <si>
    <t>MARIA GISELLE GOMES DOS SANTOS</t>
  </si>
  <si>
    <t>143.845.464-32</t>
  </si>
  <si>
    <t>81 99293-3061</t>
  </si>
  <si>
    <t>Maria Idinei Oliveira</t>
  </si>
  <si>
    <t>109.981.384-01</t>
  </si>
  <si>
    <t>8199917-3114</t>
  </si>
  <si>
    <t>MARIA INES DA SILVA</t>
  </si>
  <si>
    <t>092.824.464-41</t>
  </si>
  <si>
    <t>81 99497-6539</t>
  </si>
  <si>
    <t>MARIA ISABEL ALVES DE SOUSA</t>
  </si>
  <si>
    <t>061.674.864-76</t>
  </si>
  <si>
    <t>81 99689-4921</t>
  </si>
  <si>
    <t>MARIA IZABEL DE LIRA SILVA</t>
  </si>
  <si>
    <t>104.563.314-33</t>
  </si>
  <si>
    <t>87 99163-7165</t>
  </si>
  <si>
    <t>MARIA IZABELA PEREIRA GOMES</t>
  </si>
  <si>
    <t>701.761.334-10</t>
  </si>
  <si>
    <t>81 99294-5292</t>
  </si>
  <si>
    <t>Maria Janaína Da Silva</t>
  </si>
  <si>
    <t>707.336.774-10</t>
  </si>
  <si>
    <t>81 98920-1871</t>
  </si>
  <si>
    <t>MARIA JOSÉ DA SILVA</t>
  </si>
  <si>
    <t>014.741.494-64</t>
  </si>
  <si>
    <t xml:space="preserve"> 81 98270-8208</t>
  </si>
  <si>
    <t>MARIA JOSÉ FERREIRA</t>
  </si>
  <si>
    <t>078.338.604-41</t>
  </si>
  <si>
    <t>81 99958-1771</t>
  </si>
  <si>
    <t>MARIA JOSE PEREIRA DA SILVA</t>
  </si>
  <si>
    <t>044.238.994-93</t>
  </si>
  <si>
    <t xml:space="preserve"> 81 99211-9387</t>
  </si>
  <si>
    <t>MARIA KLARA OLIVEIRA DE AQUINO</t>
  </si>
  <si>
    <t>112.254.034-56</t>
  </si>
  <si>
    <t>81 98978-1149</t>
  </si>
  <si>
    <t>Maria Luciana Espíndula Seródio</t>
  </si>
  <si>
    <t>057.024.794-24</t>
  </si>
  <si>
    <t>81 99135-2450</t>
  </si>
  <si>
    <t>MARIA LUCICLEIDE DE LIMA</t>
  </si>
  <si>
    <t>029.135.564-18</t>
  </si>
  <si>
    <t>81 97328-3302</t>
  </si>
  <si>
    <t>MARIA LUCICLEIDE FERREIRA DA SILVA</t>
  </si>
  <si>
    <t>81 99768-7160</t>
  </si>
  <si>
    <t>Maria Lucineide Tomaz</t>
  </si>
  <si>
    <t>089.502.924-32</t>
  </si>
  <si>
    <t>81 99289-0576</t>
  </si>
  <si>
    <t>MARIA MIRTES BARBOSA DE MELO</t>
  </si>
  <si>
    <t>745.974.264-34</t>
  </si>
  <si>
    <t>81 99718-9856</t>
  </si>
  <si>
    <t>Maria Monaliza De S. Fernandes</t>
  </si>
  <si>
    <t>090.676.254-50</t>
  </si>
  <si>
    <t>81 99278-9745</t>
  </si>
  <si>
    <t>Maria Patrícia Figueiredo</t>
  </si>
  <si>
    <t>032.237.564-93</t>
  </si>
  <si>
    <t>87 99638-3092</t>
  </si>
  <si>
    <t>MARIA RAFAELLA DA SILVA</t>
  </si>
  <si>
    <t>ENFERMEIRA(O)</t>
  </si>
  <si>
    <t>81 99199-3506</t>
  </si>
  <si>
    <t>MARIA RENATA MELO</t>
  </si>
  <si>
    <t>096.246.054-08</t>
  </si>
  <si>
    <t>81 98984-9260</t>
  </si>
  <si>
    <t>MARIA ROMARIA DOS SANTOS</t>
  </si>
  <si>
    <t>112.442.014-21</t>
  </si>
  <si>
    <t>81 99487-8333</t>
  </si>
  <si>
    <t>MARIA ROSALVA DOS SANTOS</t>
  </si>
  <si>
    <t>013.005.754-17</t>
  </si>
  <si>
    <t>81 99193-0964</t>
  </si>
  <si>
    <t>MARIA ROSELI DE AZEVEDO</t>
  </si>
  <si>
    <t>057.685.254-67</t>
  </si>
  <si>
    <t>81 97328-1872</t>
  </si>
  <si>
    <t>MARIA SILVANILDA DA SILVA</t>
  </si>
  <si>
    <t>084.042.284-93</t>
  </si>
  <si>
    <t>81 99620-1842</t>
  </si>
  <si>
    <t>MARIA TAMIRIS GOIANA DA SILVA</t>
  </si>
  <si>
    <t>119.854.064-89</t>
  </si>
  <si>
    <t>87 99951-7177</t>
  </si>
  <si>
    <t>MARIA VALQUÍRIA PEREIRA DE LIMA</t>
  </si>
  <si>
    <t>094.983.334-75</t>
  </si>
  <si>
    <t xml:space="preserve"> 81 99124-2559</t>
  </si>
  <si>
    <t>MARIA WEDJA DA SILVA</t>
  </si>
  <si>
    <t>107.048.064-95</t>
  </si>
  <si>
    <t>81 98199-5904</t>
  </si>
  <si>
    <t>MARIA WELLIDA SANTOS</t>
  </si>
  <si>
    <t>125.089.554-50</t>
  </si>
  <si>
    <t>81 99395-4562</t>
  </si>
  <si>
    <t>MARINA VALENCA RANGEL</t>
  </si>
  <si>
    <t>492.887.068-95</t>
  </si>
  <si>
    <t xml:space="preserve"> 87 99199-9637</t>
  </si>
  <si>
    <t>MARIO MONTEIRO XIMENES NETO</t>
  </si>
  <si>
    <t>703.225.604-03</t>
  </si>
  <si>
    <t>81 98948-3629</t>
  </si>
  <si>
    <t xml:space="preserve">MARISA DA SILVA </t>
  </si>
  <si>
    <t>042.697.744-01</t>
  </si>
  <si>
    <t>81 97330-2135</t>
  </si>
  <si>
    <t>MATEUS FERREIRA DOS SANTOS</t>
  </si>
  <si>
    <t>136.196.494-48</t>
  </si>
  <si>
    <t xml:space="preserve"> 81 99476-4308</t>
  </si>
  <si>
    <t>MAURICIO DANTAS</t>
  </si>
  <si>
    <t>130.872.634-19</t>
  </si>
  <si>
    <t>81 99102-8605</t>
  </si>
  <si>
    <t xml:space="preserve">Mayara Letícia Gomes </t>
  </si>
  <si>
    <t>111.689.494-75</t>
  </si>
  <si>
    <t>81 99223-7318</t>
  </si>
  <si>
    <t>MAYARA QUIRINO DA SILVA</t>
  </si>
  <si>
    <t>099.787.254-31</t>
  </si>
  <si>
    <t>81 99304-6521</t>
  </si>
  <si>
    <t>MAYCON DOUGLAS DA S BARBOSA</t>
  </si>
  <si>
    <t>141.856.904-60</t>
  </si>
  <si>
    <t>81 99406-2763</t>
  </si>
  <si>
    <t>MELQUISEDEQUE DA SILVA</t>
  </si>
  <si>
    <t>116.956.394-56</t>
  </si>
  <si>
    <t>81 98517-6083</t>
  </si>
  <si>
    <t>MICAELLY SILVA VASCONCELOS</t>
  </si>
  <si>
    <t>118.301.104-03</t>
  </si>
  <si>
    <t>81 97346-1423</t>
  </si>
  <si>
    <t>MICHELE CARLA DA SILVA</t>
  </si>
  <si>
    <t>110.571.934-02</t>
  </si>
  <si>
    <t xml:space="preserve"> 81 99189-1174</t>
  </si>
  <si>
    <t>MICHELE JULIA DA SILVA BARBOSA</t>
  </si>
  <si>
    <t>035.209.134-70</t>
  </si>
  <si>
    <t>87 99994-4561</t>
  </si>
  <si>
    <t>Mickael Guilherme Soares</t>
  </si>
  <si>
    <t>702.002.104-24</t>
  </si>
  <si>
    <t>81 99497-7400</t>
  </si>
  <si>
    <t>MIKHAEL MICHAEL MARCOLINO</t>
  </si>
  <si>
    <t>095.610.454-19</t>
  </si>
  <si>
    <t>81 99173-6490</t>
  </si>
  <si>
    <t>MILENA CARLINDO DA SILVA</t>
  </si>
  <si>
    <t>102.948.974-29</t>
  </si>
  <si>
    <t xml:space="preserve"> 81 99777-7844</t>
  </si>
  <si>
    <t>MILENE BARROS DA SILVA</t>
  </si>
  <si>
    <t>704.092.664-42</t>
  </si>
  <si>
    <t>81 99940-0098</t>
  </si>
  <si>
    <t>MIRELE LETICIA SILVA SANTOS</t>
  </si>
  <si>
    <t>704.345.354-27</t>
  </si>
  <si>
    <t>81 99697-7686</t>
  </si>
  <si>
    <t>MIRELY ALVES FEITOSA</t>
  </si>
  <si>
    <t>135.526.954-78</t>
  </si>
  <si>
    <t>81 99700-9341</t>
  </si>
  <si>
    <t>Miriam Maria Da Silva</t>
  </si>
  <si>
    <t>105.321.674-22</t>
  </si>
  <si>
    <t>81 98990-2205</t>
  </si>
  <si>
    <t>Mirian Oliveira de A. Vasconcelos</t>
  </si>
  <si>
    <t>040.726.664-08</t>
  </si>
  <si>
    <t>81 99780-6402</t>
  </si>
  <si>
    <t>Monalina Marta Silva De Lima</t>
  </si>
  <si>
    <t>154.438.304-57</t>
  </si>
  <si>
    <t>81 99132-1140</t>
  </si>
  <si>
    <t>MONIQUE SHIRLEY ALBANO</t>
  </si>
  <si>
    <t>81 99529-4080</t>
  </si>
  <si>
    <t>Mylena Isabela Lima Pacas</t>
  </si>
  <si>
    <t>114.054.374-13</t>
  </si>
  <si>
    <t xml:space="preserve"> 81 99461-0291</t>
  </si>
  <si>
    <t>NADINE PATRÍCIA SILVA SANTOS</t>
  </si>
  <si>
    <t>115.079.964-11</t>
  </si>
  <si>
    <t>81 99844-1268</t>
  </si>
  <si>
    <t>NATALI BRAZ DE SOUZA</t>
  </si>
  <si>
    <t>049.696.764-96</t>
  </si>
  <si>
    <t>8198805-3928</t>
  </si>
  <si>
    <t>NATALIA ALMEIDA PIRES</t>
  </si>
  <si>
    <t>135.581.764-13</t>
  </si>
  <si>
    <t>83 99886-9601</t>
  </si>
  <si>
    <t>NATALIA DA ROCHA CARVALHO</t>
  </si>
  <si>
    <t>138.112.174-88</t>
  </si>
  <si>
    <t>81 99133-8010</t>
  </si>
  <si>
    <t>NATALIA DE AZEVEDO</t>
  </si>
  <si>
    <t>058.748.524-84</t>
  </si>
  <si>
    <t>82 99197-3287</t>
  </si>
  <si>
    <t>NATÁLIA MARIA DA CONCEIÇÃO DE LIMA</t>
  </si>
  <si>
    <t>059.740.784-38</t>
  </si>
  <si>
    <t>81 99912-7800</t>
  </si>
  <si>
    <t>NATALLY TALYTA MARIA DE AZEVEDO</t>
  </si>
  <si>
    <t>121.175.494-46</t>
  </si>
  <si>
    <t>8199485-8342</t>
  </si>
  <si>
    <t>NATHALIA NASCIMENTO DA SILVA</t>
  </si>
  <si>
    <t>065.398.474-08</t>
  </si>
  <si>
    <t>81 98876-6458</t>
  </si>
  <si>
    <t>Nathalia Oliveira da Silva</t>
  </si>
  <si>
    <t>078.906.864-80</t>
  </si>
  <si>
    <t xml:space="preserve"> 81 99842-1912</t>
  </si>
  <si>
    <t>NEILSON BEZERRA DA SILVA</t>
  </si>
  <si>
    <t>704.982.454-20</t>
  </si>
  <si>
    <t>81 99373-5805</t>
  </si>
  <si>
    <t>Nelbe Bezerra de Araujo</t>
  </si>
  <si>
    <t>047.746.794-61</t>
  </si>
  <si>
    <t>81 98952-5821</t>
  </si>
  <si>
    <t>NÚBIA MARIA TIMOTEO</t>
  </si>
  <si>
    <t>072.910.974-79</t>
  </si>
  <si>
    <t>81 98900-6791</t>
  </si>
  <si>
    <t>PATRICIA FABIA S. DE OLIVEIRA</t>
  </si>
  <si>
    <t>ASSISTENTE ADM</t>
  </si>
  <si>
    <t>008.258.514-83</t>
  </si>
  <si>
    <t>81 99563-4146</t>
  </si>
  <si>
    <t>PATRICIA FERREIRA DA SILVA</t>
  </si>
  <si>
    <t>063.572.514-29</t>
  </si>
  <si>
    <t>81 9544-9900</t>
  </si>
  <si>
    <t>PAULA BEATRIZ DE OLIVEIRA</t>
  </si>
  <si>
    <t>069.677.994-36</t>
  </si>
  <si>
    <t>8199263-1416</t>
  </si>
  <si>
    <t>PAULA MARIA DA SILVA LIMA</t>
  </si>
  <si>
    <t>044.282.154-95</t>
  </si>
  <si>
    <t>81 9102-2205</t>
  </si>
  <si>
    <t>Paula Sandrini</t>
  </si>
  <si>
    <t>129.343.964-95</t>
  </si>
  <si>
    <t>81 9875-1104</t>
  </si>
  <si>
    <t>PAULO EDUARDO</t>
  </si>
  <si>
    <t>716.480.764-75</t>
  </si>
  <si>
    <t>81 8729-0418</t>
  </si>
  <si>
    <t>PAULO HENRIQUE PAIVA ALVES SOARES</t>
  </si>
  <si>
    <t>158.980.604-21</t>
  </si>
  <si>
    <t>81 9963-9350</t>
  </si>
  <si>
    <t>PEDRO ISAIAS DE LIMA</t>
  </si>
  <si>
    <t>091.595.524-50</t>
  </si>
  <si>
    <t>81 8102-6339</t>
  </si>
  <si>
    <t>POLIANA ALVES BRASIL</t>
  </si>
  <si>
    <t>090.106.064-06</t>
  </si>
  <si>
    <t>81 9322-6460</t>
  </si>
  <si>
    <t>QUITÉRIA ELIDIA DA SILVA</t>
  </si>
  <si>
    <t>001.769.093-54</t>
  </si>
  <si>
    <t>81 9903-0952</t>
  </si>
  <si>
    <t>QUITÉRIA ROSA DOS SANTOS</t>
  </si>
  <si>
    <t>042.642.964-80</t>
  </si>
  <si>
    <t>81 7331-0184</t>
  </si>
  <si>
    <t xml:space="preserve">RAFAELA  OLIVEIRA GONÇALVES </t>
  </si>
  <si>
    <t>114.705.224-70</t>
  </si>
  <si>
    <t>81 8745-3422</t>
  </si>
  <si>
    <t>RAFAELA MARIA DOS SANTOS</t>
  </si>
  <si>
    <t>116.980.034-39</t>
  </si>
  <si>
    <t xml:space="preserve"> 81 9 8990-9630</t>
  </si>
  <si>
    <t>RAFAELE DOS ANJOS SILVA</t>
  </si>
  <si>
    <t>103.947.204-40</t>
  </si>
  <si>
    <t>81 9537-1908</t>
  </si>
  <si>
    <t>RAFAELA MATIAS DA SILVA</t>
  </si>
  <si>
    <t>071.783.424-71</t>
  </si>
  <si>
    <t>81 9 9147-5665</t>
  </si>
  <si>
    <t>Raiane Florêncio C. Leite</t>
  </si>
  <si>
    <t>141.091.864-55</t>
  </si>
  <si>
    <t>81 9236-5219</t>
  </si>
  <si>
    <t>Raíssa Maria Andrade Silva Alburquerque</t>
  </si>
  <si>
    <t>073.058.084-90</t>
  </si>
  <si>
    <t>81 9317-8998</t>
  </si>
  <si>
    <t>RAMMON VINICUS DOS SANTOS DE MORAIS</t>
  </si>
  <si>
    <t>060.512.174-52</t>
  </si>
  <si>
    <t>81 9425-6416</t>
  </si>
  <si>
    <t>Rau José Pereira</t>
  </si>
  <si>
    <t>108.789.524-38</t>
  </si>
  <si>
    <t>81 8957-8965</t>
  </si>
  <si>
    <t>Rayne Maria De Brito</t>
  </si>
  <si>
    <t>106.006.894-09</t>
  </si>
  <si>
    <t>81 8110-9061</t>
  </si>
  <si>
    <t>REBECCA LORENA LEONEL DE CARVALHO</t>
  </si>
  <si>
    <t>112.113.324-03</t>
  </si>
  <si>
    <t>81 9176-1270</t>
  </si>
  <si>
    <t>REDJANE FERREIRA DA SILVA</t>
  </si>
  <si>
    <t>047.323.154-96</t>
  </si>
  <si>
    <t>81 9280-6207</t>
  </si>
  <si>
    <t>Regiana Soares Pereira</t>
  </si>
  <si>
    <t>008.592.934-40</t>
  </si>
  <si>
    <t>81 9150-7967</t>
  </si>
  <si>
    <t>REGINA DA CONCEIÇÃO</t>
  </si>
  <si>
    <t>049.886.704-81</t>
  </si>
  <si>
    <t>81 9986-1207</t>
  </si>
  <si>
    <t>Rennan Cesar Leocadio De Menezes</t>
  </si>
  <si>
    <t>087.126.294-05</t>
  </si>
  <si>
    <t>81 9692-8360</t>
  </si>
  <si>
    <t>ROBSON CAVALCANTI DA SILVA</t>
  </si>
  <si>
    <t>099.945.744-69</t>
  </si>
  <si>
    <t>81 9541-6805</t>
  </si>
  <si>
    <t>Rodrigo Everson Alves Bezerra</t>
  </si>
  <si>
    <t>112.536.854-36</t>
  </si>
  <si>
    <t>81 9463-2125</t>
  </si>
  <si>
    <t>ROSANGELA MARIA DA SILVA</t>
  </si>
  <si>
    <t>024.087.024-70</t>
  </si>
  <si>
    <t>81 9219-7134</t>
  </si>
  <si>
    <t>ROSANGELA MARQUES F. DA SILVA</t>
  </si>
  <si>
    <t>063.147.564-80</t>
  </si>
  <si>
    <t>81 9311-8824</t>
  </si>
  <si>
    <t>Rosiane Cavalcante Dos Santos Silva</t>
  </si>
  <si>
    <t>725.291.134-91</t>
  </si>
  <si>
    <t>81 9346-8415</t>
  </si>
  <si>
    <t>ROSIANE FERREIRA LINS</t>
  </si>
  <si>
    <t>849.609.494-49</t>
  </si>
  <si>
    <t>81 9697-3679</t>
  </si>
  <si>
    <t>ROSINEIDE DO NASCIMENTO SILVA ANDRADE</t>
  </si>
  <si>
    <t>085.046.644-06</t>
  </si>
  <si>
    <t>81 9284-5378</t>
  </si>
  <si>
    <t>ROZANA BATISTA DA SILVA</t>
  </si>
  <si>
    <t>057.060.194-01</t>
  </si>
  <si>
    <t>81 9142-5396</t>
  </si>
  <si>
    <t>RUBENS JOAS DA SILVA</t>
  </si>
  <si>
    <t>542.700.064-04</t>
  </si>
  <si>
    <t>8197301-8897</t>
  </si>
  <si>
    <t>RUBIANA GORETTI DA SILVA</t>
  </si>
  <si>
    <t>096.408.684-00</t>
  </si>
  <si>
    <t>81 7325-2174</t>
  </si>
  <si>
    <t>SABRINA DOS SANTOS DA SILVA</t>
  </si>
  <si>
    <t>114.090.574-02</t>
  </si>
  <si>
    <t>8199174-6629</t>
  </si>
  <si>
    <t>SAMUEL AMORIM DO NASCIMENTO</t>
  </si>
  <si>
    <t>086.934.055-78</t>
  </si>
  <si>
    <t>74 9967-4192</t>
  </si>
  <si>
    <t>SANDRA MORAIS</t>
  </si>
  <si>
    <t>076.739.554-90</t>
  </si>
  <si>
    <t>81 8431-5321</t>
  </si>
  <si>
    <t>SANDRA VALÉRIA DE OLIVEIRA</t>
  </si>
  <si>
    <t>844.811.454-04</t>
  </si>
  <si>
    <t>81 8902-6809</t>
  </si>
  <si>
    <t>SARA AZEVEDO SILVA</t>
  </si>
  <si>
    <t>003.689.263-70</t>
  </si>
  <si>
    <t>81 9656-7959</t>
  </si>
  <si>
    <t>SARA HELLEN SILVA ARAUJO</t>
  </si>
  <si>
    <t>104.823.284-01</t>
  </si>
  <si>
    <t>81 9453-3221</t>
  </si>
  <si>
    <t>SARAH RAQUEL</t>
  </si>
  <si>
    <t>114.176.284-64</t>
  </si>
  <si>
    <t>81 7900-7577</t>
  </si>
  <si>
    <t>SAYONARA CORDEIRO DE LIMA</t>
  </si>
  <si>
    <t>094.909.694-60</t>
  </si>
  <si>
    <t>81 9242-0992</t>
  </si>
  <si>
    <t>SHAIANIELY MENEZES DOS SANTOS</t>
  </si>
  <si>
    <t>713.236.934-24</t>
  </si>
  <si>
    <t>81 9319-7202</t>
  </si>
  <si>
    <t>SIDNEI SOARES E SILVA</t>
  </si>
  <si>
    <t>108.003.174-08</t>
  </si>
  <si>
    <t>81 9367-1313</t>
  </si>
  <si>
    <t>SILENE DO NASCIMENTO</t>
  </si>
  <si>
    <t>047.711.164-58</t>
  </si>
  <si>
    <t>81 9547-3236</t>
  </si>
  <si>
    <t>SILVANA ALVES DA SILVA</t>
  </si>
  <si>
    <t>067.126.554-71</t>
  </si>
  <si>
    <t>81 9538-9739</t>
  </si>
  <si>
    <t>SILVANA MARIA DE BARROS</t>
  </si>
  <si>
    <t>085.655.404-99</t>
  </si>
  <si>
    <t xml:space="preserve"> 81 8136-3664</t>
  </si>
  <si>
    <t>Silvaneide Maria Da Silva</t>
  </si>
  <si>
    <t>049.349.904-02</t>
  </si>
  <si>
    <t>81 9720-6030</t>
  </si>
  <si>
    <t>SIMONE PEREIRA DE FRANÇA</t>
  </si>
  <si>
    <t>053.974.154-05</t>
  </si>
  <si>
    <t>81 9619-4244</t>
  </si>
  <si>
    <t>Suelen Cintia Maria da Silva</t>
  </si>
  <si>
    <t>702.284.564-60</t>
  </si>
  <si>
    <t>81 9384-2320</t>
  </si>
  <si>
    <t>SUELEN ESTHER DE R SILVA</t>
  </si>
  <si>
    <t>135.128.744-36</t>
  </si>
  <si>
    <t>81 8903-2600</t>
  </si>
  <si>
    <t>TACIANA DE LIMA SILVA</t>
  </si>
  <si>
    <t>063.667.794-06</t>
  </si>
  <si>
    <t>81 9319-5811</t>
  </si>
  <si>
    <t>TANIA DE JESUS BORGES</t>
  </si>
  <si>
    <t>014.428.023-08</t>
  </si>
  <si>
    <t>81 9267-7509</t>
  </si>
  <si>
    <t>TASSIANE ALVES DA SILVA</t>
  </si>
  <si>
    <t>078.144.644-98</t>
  </si>
  <si>
    <t>8197327-1687</t>
  </si>
  <si>
    <t>TATIANE APARECIDA DE M SILVA</t>
  </si>
  <si>
    <t>81 8978-8850</t>
  </si>
  <si>
    <t>TEREZA CRISTINA DA CONCEIÇÃO SILVA</t>
  </si>
  <si>
    <t>681.071.704-82</t>
  </si>
  <si>
    <t>81 9471-8250</t>
  </si>
  <si>
    <t>TERTULIANE MARLENE DA SILVA</t>
  </si>
  <si>
    <t>062.435.984-03</t>
  </si>
  <si>
    <t>81 9154-8291</t>
  </si>
  <si>
    <t>THACIANA MENDES DE ANDRADE LIMA</t>
  </si>
  <si>
    <t>059.839.104-50</t>
  </si>
  <si>
    <t>81 9595-4648</t>
  </si>
  <si>
    <t>THAIS VIRGINIA SOUZA DA SILVA</t>
  </si>
  <si>
    <t>051.627.494-51</t>
  </si>
  <si>
    <t>81 9698-6236</t>
  </si>
  <si>
    <t>Thalia Karoline Sº Orácio</t>
  </si>
  <si>
    <t>120.316.284-70</t>
  </si>
  <si>
    <t>81 8260-5780</t>
  </si>
  <si>
    <t>THALYTA ANNE ALMEIDA CONCEIÇÃO</t>
  </si>
  <si>
    <t>076.572.174-05</t>
  </si>
  <si>
    <t>81 9527-4458</t>
  </si>
  <si>
    <t>THAYUAN THYALES DA SILVA</t>
  </si>
  <si>
    <t>146.222.084-31</t>
  </si>
  <si>
    <t>81 9721-4006</t>
  </si>
  <si>
    <t>Thiago Henrique</t>
  </si>
  <si>
    <t>044.686.834-57</t>
  </si>
  <si>
    <t>81 9889-7231</t>
  </si>
  <si>
    <t>Thiago Lima Coelho</t>
  </si>
  <si>
    <t>048.367.784-17</t>
  </si>
  <si>
    <t xml:space="preserve"> 81 9670-0104</t>
  </si>
  <si>
    <t>Thiago Marques de Queiroz</t>
  </si>
  <si>
    <t>088.481.974-42</t>
  </si>
  <si>
    <t>81 9479-0788</t>
  </si>
  <si>
    <t>Thyaly da Silva Lima</t>
  </si>
  <si>
    <t>111.828.384-80</t>
  </si>
  <si>
    <t>81 9498-1350</t>
  </si>
  <si>
    <t xml:space="preserve">TIAGO DAVID DOS SANTOS </t>
  </si>
  <si>
    <t>098.009.264-70</t>
  </si>
  <si>
    <t>81 9408-4360</t>
  </si>
  <si>
    <t>Valdene José Xavier</t>
  </si>
  <si>
    <t>053.718.204-77</t>
  </si>
  <si>
    <t xml:space="preserve"> 81 9243-9265</t>
  </si>
  <si>
    <t>VALDICLECIA DOS SANTOS LUCENA</t>
  </si>
  <si>
    <t>070.458.434-45</t>
  </si>
  <si>
    <t>81 9177-4585</t>
  </si>
  <si>
    <t>VALÉRIA LIMA DOS SANTOS</t>
  </si>
  <si>
    <t>054.477.094-31</t>
  </si>
  <si>
    <t>87 8108-0262</t>
  </si>
  <si>
    <t>VALMIR DA SILVA SANTOS</t>
  </si>
  <si>
    <t>093.870.074-05</t>
  </si>
  <si>
    <t>81 9550-9671</t>
  </si>
  <si>
    <t>Vanessa Laís Da Silva Nascimento</t>
  </si>
  <si>
    <t>089.347.614-58</t>
  </si>
  <si>
    <t>81 9221-6166</t>
  </si>
  <si>
    <t>VANESSA MARIA DA SILVA</t>
  </si>
  <si>
    <t>040.377.975-85</t>
  </si>
  <si>
    <t>81 9473-6709</t>
  </si>
  <si>
    <t>VANESSA PRISCILA DA SILVA SOUZA</t>
  </si>
  <si>
    <t>065.143.664-81</t>
  </si>
  <si>
    <t>81 9442-1204</t>
  </si>
  <si>
    <t>Vanessa Tatielly Oliveira da Silva</t>
  </si>
  <si>
    <t>099.752.804-47</t>
  </si>
  <si>
    <t>81 8889-8804</t>
  </si>
  <si>
    <t>Vera Lúcia</t>
  </si>
  <si>
    <t>049.459.344-01</t>
  </si>
  <si>
    <t>81 9413-8085</t>
  </si>
  <si>
    <t>Vinícius Queiroz Da Silva</t>
  </si>
  <si>
    <t>105.837.244-00</t>
  </si>
  <si>
    <t>81 9713-1670</t>
  </si>
  <si>
    <t>VITORIA KAROLINE DA SILVA NEVES</t>
  </si>
  <si>
    <t>105.495.264-71</t>
  </si>
  <si>
    <t>81 9780-8783</t>
  </si>
  <si>
    <t>Voleide Almeida</t>
  </si>
  <si>
    <t>023.920.604-52</t>
  </si>
  <si>
    <t>81 9420-7211</t>
  </si>
  <si>
    <t>WAGNER DOS SANTOS LOPES</t>
  </si>
  <si>
    <t>COPEIRO</t>
  </si>
  <si>
    <t>106.861.294-07</t>
  </si>
  <si>
    <t>81 9659-0984</t>
  </si>
  <si>
    <t>WANDRESON JAELSON</t>
  </si>
  <si>
    <t>068.711.934-05</t>
  </si>
  <si>
    <t>81 9920-1189</t>
  </si>
  <si>
    <t>WEDJA COSTA DA SILVA</t>
  </si>
  <si>
    <t>127.460.004-90</t>
  </si>
  <si>
    <t xml:space="preserve"> 81 9431-1813</t>
  </si>
  <si>
    <t>WELANE ALVES GALVÃO</t>
  </si>
  <si>
    <t>089.730.174-97</t>
  </si>
  <si>
    <t>81 9936-9648</t>
  </si>
  <si>
    <t xml:space="preserve">Wellington Alves Morais </t>
  </si>
  <si>
    <t>066.471.054-92</t>
  </si>
  <si>
    <t>81 9540-6167</t>
  </si>
  <si>
    <t>WELY GALVÃO VITALINO</t>
  </si>
  <si>
    <t>071.402.544-51</t>
  </si>
  <si>
    <t>81 8211-6347</t>
  </si>
  <si>
    <t>WEMILLY MIRELLA SERAFIM SILVA</t>
  </si>
  <si>
    <t>702.010.204-24</t>
  </si>
  <si>
    <t>81 9681-4333</t>
  </si>
  <si>
    <t>WESLAYNE MIRON P LIMA</t>
  </si>
  <si>
    <t>708.143.624-27</t>
  </si>
  <si>
    <t>8199160-4085</t>
  </si>
  <si>
    <t>WESLEY RYKELMY</t>
  </si>
  <si>
    <t>014.628.132-24</t>
  </si>
  <si>
    <t>81 9110-7627</t>
  </si>
  <si>
    <t>Weverton Honório Torres</t>
  </si>
  <si>
    <t>104.749.634-89</t>
  </si>
  <si>
    <t>81 9286-8152</t>
  </si>
  <si>
    <t>Wilinelson Santos De Oliveira</t>
  </si>
  <si>
    <t>117.724.884-02</t>
  </si>
  <si>
    <t>81 7104-8169</t>
  </si>
  <si>
    <t>WILLAMS FERNANDES DE MOURA</t>
  </si>
  <si>
    <t>712.080.994-69</t>
  </si>
  <si>
    <t>81 7313-3774</t>
  </si>
  <si>
    <t>WILLIAN MOREIRA DE LIMA</t>
  </si>
  <si>
    <t>054.310.294-79</t>
  </si>
  <si>
    <t>8198372-4451</t>
  </si>
  <si>
    <t>YASMIN RAISA GUIMARAES DA SILVA</t>
  </si>
  <si>
    <t>121.612.314-48</t>
  </si>
  <si>
    <t>81 9728-1475</t>
  </si>
  <si>
    <t>ZENAILDE QUITERIA DA SILVA</t>
  </si>
  <si>
    <t>022.931.404-07</t>
  </si>
  <si>
    <t>81 9922-9903</t>
  </si>
  <si>
    <t>ANTONIO GOMES DE OLIVEIRA NETO</t>
  </si>
  <si>
    <t>107.927.724-23</t>
  </si>
  <si>
    <t>83 98880-8480</t>
  </si>
  <si>
    <t>JOÃO PESSOA-PB</t>
  </si>
  <si>
    <t>DANIELE RAIMUNDO CORDEIRO</t>
  </si>
  <si>
    <t>83 98854-5962</t>
  </si>
  <si>
    <t>MARIA DO SOCORRO DA SILVA FILHA</t>
  </si>
  <si>
    <t>121.095.344-78</t>
  </si>
  <si>
    <t>83 99333-5812</t>
  </si>
  <si>
    <t>MARIA KARLA OLIVEIRA ALVES</t>
  </si>
  <si>
    <t>701.694.104-39</t>
  </si>
  <si>
    <t>83 98760-5583</t>
  </si>
  <si>
    <t>NICOLLE MARTINS CARNEIRO</t>
  </si>
  <si>
    <t>ENFERMEIRO(A)</t>
  </si>
  <si>
    <t>714.271.004-70</t>
  </si>
  <si>
    <t>83 98790-8756</t>
  </si>
  <si>
    <t>RAFAELA BARBOSA DE CARVALHO</t>
  </si>
  <si>
    <t>059.370.454-16</t>
  </si>
  <si>
    <t>83 98854-2049</t>
  </si>
  <si>
    <t>Hugo Leonardo da Silva</t>
  </si>
  <si>
    <t>Gestor administrativo</t>
  </si>
  <si>
    <t>028.131.762-30</t>
  </si>
  <si>
    <t>(81) 9 9855-2300</t>
  </si>
  <si>
    <t>Vitória de S. Antão-PE</t>
  </si>
  <si>
    <t>CLT</t>
  </si>
  <si>
    <t>Caroline da Silva Oliveira Santos</t>
  </si>
  <si>
    <t xml:space="preserve">Vice Presidente </t>
  </si>
  <si>
    <t>053.865.144-07</t>
  </si>
  <si>
    <t>(81) 9 8704-0918</t>
  </si>
  <si>
    <t>Juliane Gomes dos Reis</t>
  </si>
  <si>
    <t>Assistente Administrativo</t>
  </si>
  <si>
    <t>109.223.974-06</t>
  </si>
  <si>
    <t>(81) 9 8728-4277</t>
  </si>
  <si>
    <t>Luana Emanuelle Borba de Melo</t>
  </si>
  <si>
    <t>132.927.334-64</t>
  </si>
  <si>
    <t>(81) 9 8681-9148</t>
  </si>
  <si>
    <t>Poliana Maria da Silva</t>
  </si>
  <si>
    <t>Enfermeira</t>
  </si>
  <si>
    <t>054.932.414-39</t>
  </si>
  <si>
    <t>(81) 9 9830-2377</t>
  </si>
  <si>
    <t>Cooperada</t>
  </si>
  <si>
    <t>Aline Fernanda da Silva Oliveira</t>
  </si>
  <si>
    <t xml:space="preserve">Diretora </t>
  </si>
  <si>
    <t>088.775.374-42</t>
  </si>
  <si>
    <t>(81) 9 8595-7666</t>
  </si>
  <si>
    <t>Miguel dos Santos Santana</t>
  </si>
  <si>
    <t>168.159.524-95</t>
  </si>
  <si>
    <t>(81) 9 8771-8605</t>
  </si>
  <si>
    <t>Williane Gabrielly Silva de Oliveira</t>
  </si>
  <si>
    <t>123.027.334-44</t>
  </si>
  <si>
    <t>(81) 9 9340-3007</t>
  </si>
  <si>
    <t>Adrielly Gabriella Campos da Silva Barbosa</t>
  </si>
  <si>
    <t>Atendimental ao Cooperado</t>
  </si>
  <si>
    <t>082.850.754-60</t>
  </si>
  <si>
    <t>(81) 9 9257-8241</t>
  </si>
  <si>
    <t>Caruaru-PE</t>
  </si>
  <si>
    <t>Renata Sandrelle da Silva Melo</t>
  </si>
  <si>
    <t>Gestora Financeira</t>
  </si>
  <si>
    <t>075.675.054-79</t>
  </si>
  <si>
    <t>(81) 9 9968-7916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</si>
</sst>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>
      <sz val="11.0"/>
      <color rgb="FF000000"/>
      <name val="Calibri"/>
    </font>
    <font>
      <sz val="10.0"/>
      <color rgb="FF000000"/>
      <name val="Arial"/>
    </font>
    <font>
      <sz val="10.0"/>
      <color theme="1"/>
      <name val="Arial"/>
    </font>
    <font>
      <color theme="1"/>
      <name val="Calibri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DAEEF3"/>
        <bgColor rgb="FFDAEEF3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</fills>
  <borders count="1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AEABAB"/>
      </left>
      <right style="thin">
        <color rgb="FFAEABAB"/>
      </right>
      <top style="thin">
        <color rgb="FFAEABAB"/>
      </top>
      <bottom style="thin">
        <color rgb="FFAEABAB"/>
      </bottom>
    </border>
    <border>
      <left style="thin">
        <color rgb="FF000000"/>
      </left>
      <right/>
      <top/>
      <bottom style="thin">
        <color rgb="FF000000"/>
      </bottom>
    </border>
    <border>
      <top style="thin">
        <color rgb="FF000000"/>
      </top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6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1" fillId="2" fontId="1" numFmtId="0" xfId="0" applyAlignment="1" applyBorder="1" applyFill="1" applyFont="1">
      <alignment horizontal="center"/>
    </xf>
    <xf borderId="0" fillId="0" fontId="2" numFmtId="0" xfId="0" applyAlignment="1" applyFont="1">
      <alignment horizontal="center"/>
    </xf>
    <xf borderId="1" fillId="3" fontId="2" numFmtId="0" xfId="0" applyBorder="1" applyFill="1" applyFont="1"/>
    <xf borderId="2" fillId="3" fontId="2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center"/>
    </xf>
    <xf borderId="3" fillId="0" fontId="2" numFmtId="0" xfId="0" applyAlignment="1" applyBorder="1" applyFont="1">
      <alignment horizontal="center" vertical="center"/>
    </xf>
    <xf borderId="2" fillId="3" fontId="2" numFmtId="0" xfId="0" applyAlignment="1" applyBorder="1" applyFont="1">
      <alignment horizontal="center"/>
    </xf>
    <xf borderId="1" fillId="3" fontId="2" numFmtId="0" xfId="0" applyAlignment="1" applyBorder="1" applyFont="1">
      <alignment horizontal="left" vertical="center"/>
    </xf>
    <xf borderId="1" fillId="3" fontId="2" numFmtId="0" xfId="0" applyAlignment="1" applyBorder="1" applyFont="1">
      <alignment horizontal="center"/>
    </xf>
    <xf borderId="1" fillId="0" fontId="2" numFmtId="0" xfId="0" applyBorder="1" applyFont="1"/>
    <xf borderId="4" fillId="0" fontId="2" numFmtId="0" xfId="0" applyAlignment="1" applyBorder="1" applyFont="1">
      <alignment horizontal="center"/>
    </xf>
    <xf borderId="1" fillId="3" fontId="1" numFmtId="0" xfId="0" applyBorder="1" applyFont="1"/>
    <xf borderId="2" fillId="3" fontId="1" numFmtId="0" xfId="0" applyAlignment="1" applyBorder="1" applyFont="1">
      <alignment horizontal="center" vertical="center"/>
    </xf>
    <xf borderId="1" fillId="3" fontId="2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left" vertical="center"/>
    </xf>
    <xf borderId="4" fillId="0" fontId="2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center" vertical="center"/>
    </xf>
    <xf borderId="1" fillId="3" fontId="2" numFmtId="0" xfId="0" applyAlignment="1" applyBorder="1" applyFont="1">
      <alignment horizontal="left"/>
    </xf>
    <xf borderId="1" fillId="3" fontId="1" numFmtId="0" xfId="0" applyAlignment="1" applyBorder="1" applyFont="1">
      <alignment horizontal="left" vertical="center"/>
    </xf>
    <xf borderId="1" fillId="3" fontId="3" numFmtId="0" xfId="0" applyBorder="1" applyFont="1"/>
    <xf borderId="5" fillId="3" fontId="2" numFmtId="0" xfId="0" applyBorder="1" applyFont="1"/>
    <xf borderId="6" fillId="3" fontId="2" numFmtId="0" xfId="0" applyAlignment="1" applyBorder="1" applyFont="1">
      <alignment horizontal="center" vertical="center"/>
    </xf>
    <xf borderId="7" fillId="3" fontId="2" numFmtId="0" xfId="0" applyBorder="1" applyFont="1"/>
    <xf borderId="8" fillId="3" fontId="2" numFmtId="0" xfId="0" applyAlignment="1" applyBorder="1" applyFont="1">
      <alignment horizontal="center" vertical="center"/>
    </xf>
    <xf borderId="1" fillId="4" fontId="1" numFmtId="20" xfId="0" applyAlignment="1" applyBorder="1" applyFill="1" applyFont="1" applyNumberFormat="1">
      <alignment horizontal="left"/>
    </xf>
    <xf borderId="2" fillId="4" fontId="1" numFmtId="0" xfId="0" applyAlignment="1" applyBorder="1" applyFont="1">
      <alignment horizontal="center"/>
    </xf>
    <xf borderId="9" fillId="3" fontId="2" numFmtId="0" xfId="0" applyAlignment="1" applyBorder="1" applyFont="1">
      <alignment horizontal="left"/>
    </xf>
    <xf borderId="1" fillId="0" fontId="4" numFmtId="0" xfId="0" applyAlignment="1" applyBorder="1" applyFont="1">
      <alignment horizontal="left" shrinkToFit="0" wrapText="1"/>
    </xf>
    <xf borderId="1" fillId="0" fontId="4" numFmtId="0" xfId="0" applyAlignment="1" applyBorder="1" applyFont="1">
      <alignment vertical="center"/>
    </xf>
    <xf borderId="1" fillId="0" fontId="5" numFmtId="0" xfId="0" applyBorder="1" applyFont="1"/>
    <xf borderId="2" fillId="3" fontId="3" numFmtId="0" xfId="0" applyAlignment="1" applyBorder="1" applyFont="1">
      <alignment horizontal="center"/>
    </xf>
    <xf borderId="1" fillId="0" fontId="4" numFmtId="0" xfId="0" applyBorder="1" applyFont="1"/>
    <xf borderId="3" fillId="0" fontId="2" numFmtId="0" xfId="0" applyAlignment="1" applyBorder="1" applyFont="1">
      <alignment horizontal="center"/>
    </xf>
    <xf borderId="1" fillId="3" fontId="2" numFmtId="0" xfId="0" applyAlignment="1" applyBorder="1" applyFont="1">
      <alignment horizontal="left" shrinkToFit="0" wrapText="1"/>
    </xf>
    <xf borderId="1" fillId="0" fontId="4" numFmtId="0" xfId="0" applyAlignment="1" applyBorder="1" applyFont="1">
      <alignment horizontal="left"/>
    </xf>
    <xf borderId="1" fillId="3" fontId="3" numFmtId="0" xfId="0" applyAlignment="1" applyBorder="1" applyFont="1">
      <alignment horizontal="left"/>
    </xf>
    <xf borderId="1" fillId="0" fontId="5" numFmtId="0" xfId="0" applyAlignment="1" applyBorder="1" applyFont="1">
      <alignment horizontal="left"/>
    </xf>
    <xf borderId="1" fillId="4" fontId="1" numFmtId="0" xfId="0" applyAlignment="1" applyBorder="1" applyFont="1">
      <alignment horizontal="left"/>
    </xf>
    <xf borderId="1" fillId="0" fontId="2" numFmtId="0" xfId="0" applyAlignment="1" applyBorder="1" applyFont="1">
      <alignment horizontal="left"/>
    </xf>
    <xf borderId="4" fillId="0" fontId="1" numFmtId="0" xfId="0" applyAlignment="1" applyBorder="1" applyFont="1">
      <alignment horizontal="center" vertical="center"/>
    </xf>
    <xf borderId="1" fillId="0" fontId="4" numFmtId="0" xfId="0" applyAlignment="1" applyBorder="1" applyFont="1">
      <alignment horizontal="left" vertical="center"/>
    </xf>
    <xf borderId="10" fillId="3" fontId="2" numFmtId="0" xfId="0" applyAlignment="1" applyBorder="1" applyFont="1">
      <alignment horizontal="center" vertical="center"/>
    </xf>
    <xf borderId="1" fillId="4" fontId="1" numFmtId="0" xfId="0" applyAlignment="1" applyBorder="1" applyFont="1">
      <alignment horizontal="left" vertical="center"/>
    </xf>
    <xf borderId="2" fillId="4" fontId="1" numFmtId="0" xfId="0" applyAlignment="1" applyBorder="1" applyFont="1">
      <alignment horizontal="center" vertical="center"/>
    </xf>
    <xf borderId="1" fillId="3" fontId="2" numFmtId="20" xfId="0" applyAlignment="1" applyBorder="1" applyFont="1" applyNumberFormat="1">
      <alignment horizontal="left"/>
    </xf>
    <xf borderId="2" fillId="3" fontId="2" numFmtId="20" xfId="0" applyAlignment="1" applyBorder="1" applyFont="1" applyNumberFormat="1">
      <alignment horizontal="center"/>
    </xf>
    <xf borderId="2" fillId="3" fontId="1" numFmtId="0" xfId="0" applyAlignment="1" applyBorder="1" applyFont="1">
      <alignment horizontal="center"/>
    </xf>
    <xf borderId="1" fillId="3" fontId="3" numFmtId="0" xfId="0" applyAlignment="1" applyBorder="1" applyFont="1">
      <alignment shrinkToFit="0" wrapText="1"/>
    </xf>
    <xf borderId="1" fillId="0" fontId="2" numFmtId="3" xfId="0" applyAlignment="1" applyBorder="1" applyFont="1" applyNumberFormat="1">
      <alignment horizontal="center"/>
    </xf>
    <xf borderId="1" fillId="3" fontId="2" numFmtId="3" xfId="0" applyAlignment="1" applyBorder="1" applyFont="1" applyNumberFormat="1">
      <alignment horizontal="center"/>
    </xf>
    <xf borderId="11" fillId="3" fontId="2" numFmtId="0" xfId="0" applyAlignment="1" applyBorder="1" applyFont="1">
      <alignment horizontal="center" vertical="center"/>
    </xf>
    <xf borderId="9" fillId="3" fontId="2" numFmtId="0" xfId="0" applyAlignment="1" applyBorder="1" applyFont="1">
      <alignment horizontal="left" vertical="center"/>
    </xf>
    <xf borderId="9" fillId="3" fontId="3" numFmtId="0" xfId="0" applyAlignment="1" applyBorder="1" applyFont="1">
      <alignment horizontal="left"/>
    </xf>
    <xf borderId="10" fillId="0" fontId="2" numFmtId="0" xfId="0" applyAlignment="1" applyBorder="1" applyFont="1">
      <alignment horizontal="center" vertical="center"/>
    </xf>
    <xf borderId="5" fillId="3" fontId="2" numFmtId="0" xfId="0" applyAlignment="1" applyBorder="1" applyFont="1">
      <alignment horizontal="left" vertical="center"/>
    </xf>
    <xf borderId="12" fillId="0" fontId="2" numFmtId="0" xfId="0" applyAlignment="1" applyBorder="1" applyFont="1">
      <alignment horizontal="center" vertical="center"/>
    </xf>
    <xf borderId="13" fillId="3" fontId="2" numFmtId="0" xfId="0" applyAlignment="1" applyBorder="1" applyFont="1">
      <alignment horizontal="center"/>
    </xf>
    <xf borderId="1" fillId="0" fontId="2" numFmtId="4" xfId="0" applyAlignment="1" applyBorder="1" applyFont="1" applyNumberFormat="1">
      <alignment horizontal="center"/>
    </xf>
    <xf borderId="14" fillId="0" fontId="2" numFmtId="0" xfId="0" applyBorder="1" applyFont="1"/>
    <xf borderId="0" fillId="0" fontId="6" numFmtId="0" xfId="0" applyAlignment="1" applyFont="1">
      <alignment readingOrder="0"/>
    </xf>
    <xf borderId="0" fillId="0" fontId="6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71"/>
    <col customWidth="1" min="2" max="2" width="44.57"/>
    <col customWidth="1" min="3" max="3" width="24.29"/>
    <col customWidth="1" min="4" max="4" width="18.0"/>
    <col customWidth="1" min="5" max="5" width="19.14"/>
    <col customWidth="1" min="6" max="6" width="17.14"/>
    <col customWidth="1" min="7" max="7" width="20.57"/>
    <col customWidth="1" min="8" max="26" width="8.71"/>
  </cols>
  <sheetData>
    <row r="1" ht="36.75" customHeight="1">
      <c r="A1" s="1" t="s">
        <v>0</v>
      </c>
    </row>
    <row r="2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</row>
    <row r="3">
      <c r="A3" s="3">
        <f t="shared" ref="A3:A141" si="1">ROW(A1)</f>
        <v>1</v>
      </c>
      <c r="B3" s="4" t="s">
        <v>8</v>
      </c>
      <c r="C3" s="5" t="s">
        <v>9</v>
      </c>
      <c r="D3" s="6" t="s">
        <v>10</v>
      </c>
      <c r="E3" s="7" t="s">
        <v>11</v>
      </c>
      <c r="F3" s="6" t="s">
        <v>12</v>
      </c>
      <c r="G3" s="6" t="s">
        <v>13</v>
      </c>
    </row>
    <row r="4">
      <c r="A4" s="3">
        <f t="shared" si="1"/>
        <v>2</v>
      </c>
      <c r="B4" s="4" t="s">
        <v>14</v>
      </c>
      <c r="C4" s="5" t="s">
        <v>15</v>
      </c>
      <c r="D4" s="6" t="s">
        <v>16</v>
      </c>
      <c r="E4" s="7" t="s">
        <v>17</v>
      </c>
      <c r="F4" s="6" t="s">
        <v>12</v>
      </c>
      <c r="G4" s="6" t="s">
        <v>13</v>
      </c>
    </row>
    <row r="5">
      <c r="A5" s="3">
        <f t="shared" si="1"/>
        <v>3</v>
      </c>
      <c r="B5" s="4" t="s">
        <v>18</v>
      </c>
      <c r="C5" s="8" t="s">
        <v>19</v>
      </c>
      <c r="D5" s="6" t="s">
        <v>20</v>
      </c>
      <c r="E5" s="7" t="s">
        <v>21</v>
      </c>
      <c r="F5" s="6" t="s">
        <v>12</v>
      </c>
      <c r="G5" s="6" t="s">
        <v>13</v>
      </c>
    </row>
    <row r="6">
      <c r="A6" s="3">
        <f t="shared" si="1"/>
        <v>4</v>
      </c>
      <c r="B6" s="4" t="s">
        <v>22</v>
      </c>
      <c r="C6" s="5" t="s">
        <v>23</v>
      </c>
      <c r="D6" s="6" t="s">
        <v>24</v>
      </c>
      <c r="E6" s="7" t="s">
        <v>25</v>
      </c>
      <c r="F6" s="6" t="s">
        <v>12</v>
      </c>
      <c r="G6" s="6" t="s">
        <v>13</v>
      </c>
    </row>
    <row r="7">
      <c r="A7" s="3">
        <f t="shared" si="1"/>
        <v>5</v>
      </c>
      <c r="B7" s="4" t="s">
        <v>26</v>
      </c>
      <c r="C7" s="5" t="s">
        <v>9</v>
      </c>
      <c r="D7" s="6" t="s">
        <v>27</v>
      </c>
      <c r="E7" s="7" t="s">
        <v>28</v>
      </c>
      <c r="F7" s="6" t="s">
        <v>12</v>
      </c>
      <c r="G7" s="6" t="s">
        <v>13</v>
      </c>
    </row>
    <row r="8">
      <c r="A8" s="3">
        <f t="shared" si="1"/>
        <v>6</v>
      </c>
      <c r="B8" s="4" t="s">
        <v>29</v>
      </c>
      <c r="C8" s="5" t="s">
        <v>9</v>
      </c>
      <c r="D8" s="6" t="s">
        <v>30</v>
      </c>
      <c r="E8" s="7" t="s">
        <v>31</v>
      </c>
      <c r="F8" s="6" t="s">
        <v>12</v>
      </c>
      <c r="G8" s="6" t="s">
        <v>13</v>
      </c>
    </row>
    <row r="9">
      <c r="A9" s="3">
        <f t="shared" si="1"/>
        <v>7</v>
      </c>
      <c r="B9" s="4" t="s">
        <v>32</v>
      </c>
      <c r="C9" s="5" t="s">
        <v>23</v>
      </c>
      <c r="D9" s="6" t="s">
        <v>33</v>
      </c>
      <c r="E9" s="7" t="s">
        <v>34</v>
      </c>
      <c r="F9" s="6" t="s">
        <v>12</v>
      </c>
      <c r="G9" s="6" t="s">
        <v>13</v>
      </c>
    </row>
    <row r="10">
      <c r="A10" s="3">
        <f t="shared" si="1"/>
        <v>8</v>
      </c>
      <c r="B10" s="4" t="s">
        <v>35</v>
      </c>
      <c r="C10" s="5" t="s">
        <v>9</v>
      </c>
      <c r="D10" s="6" t="s">
        <v>36</v>
      </c>
      <c r="E10" s="7" t="s">
        <v>37</v>
      </c>
      <c r="F10" s="6" t="s">
        <v>12</v>
      </c>
      <c r="G10" s="6" t="s">
        <v>13</v>
      </c>
    </row>
    <row r="11">
      <c r="A11" s="3">
        <f t="shared" si="1"/>
        <v>9</v>
      </c>
      <c r="B11" s="4" t="s">
        <v>38</v>
      </c>
      <c r="C11" s="5" t="s">
        <v>23</v>
      </c>
      <c r="D11" s="6" t="s">
        <v>39</v>
      </c>
      <c r="E11" s="7" t="s">
        <v>40</v>
      </c>
      <c r="F11" s="6" t="s">
        <v>12</v>
      </c>
      <c r="G11" s="6" t="s">
        <v>13</v>
      </c>
    </row>
    <row r="12">
      <c r="A12" s="3">
        <f t="shared" si="1"/>
        <v>10</v>
      </c>
      <c r="B12" s="4" t="s">
        <v>41</v>
      </c>
      <c r="C12" s="5" t="s">
        <v>9</v>
      </c>
      <c r="D12" s="6" t="s">
        <v>42</v>
      </c>
      <c r="E12" s="7" t="s">
        <v>43</v>
      </c>
      <c r="F12" s="6" t="s">
        <v>12</v>
      </c>
      <c r="G12" s="6" t="s">
        <v>13</v>
      </c>
    </row>
    <row r="13">
      <c r="A13" s="3">
        <f t="shared" si="1"/>
        <v>11</v>
      </c>
      <c r="B13" s="9" t="s">
        <v>44</v>
      </c>
      <c r="C13" s="5" t="s">
        <v>23</v>
      </c>
      <c r="D13" s="6" t="s">
        <v>45</v>
      </c>
      <c r="E13" s="7" t="s">
        <v>46</v>
      </c>
      <c r="F13" s="6" t="s">
        <v>12</v>
      </c>
      <c r="G13" s="6" t="s">
        <v>13</v>
      </c>
    </row>
    <row r="14">
      <c r="A14" s="3">
        <f t="shared" si="1"/>
        <v>12</v>
      </c>
      <c r="B14" s="4" t="s">
        <v>47</v>
      </c>
      <c r="C14" s="5" t="s">
        <v>9</v>
      </c>
      <c r="D14" s="6" t="s">
        <v>48</v>
      </c>
      <c r="E14" s="7" t="s">
        <v>49</v>
      </c>
      <c r="F14" s="6" t="s">
        <v>12</v>
      </c>
      <c r="G14" s="6" t="s">
        <v>13</v>
      </c>
    </row>
    <row r="15">
      <c r="A15" s="3">
        <f t="shared" si="1"/>
        <v>13</v>
      </c>
      <c r="B15" s="4" t="s">
        <v>50</v>
      </c>
      <c r="C15" s="5" t="s">
        <v>23</v>
      </c>
      <c r="D15" s="6" t="s">
        <v>51</v>
      </c>
      <c r="E15" s="7" t="s">
        <v>52</v>
      </c>
      <c r="F15" s="6" t="s">
        <v>12</v>
      </c>
      <c r="G15" s="6" t="s">
        <v>13</v>
      </c>
    </row>
    <row r="16">
      <c r="A16" s="3">
        <f t="shared" si="1"/>
        <v>14</v>
      </c>
      <c r="B16" s="4" t="s">
        <v>53</v>
      </c>
      <c r="C16" s="5" t="s">
        <v>9</v>
      </c>
      <c r="D16" s="6" t="s">
        <v>54</v>
      </c>
      <c r="E16" s="7" t="s">
        <v>55</v>
      </c>
      <c r="F16" s="6" t="s">
        <v>12</v>
      </c>
      <c r="G16" s="6" t="s">
        <v>13</v>
      </c>
    </row>
    <row r="17">
      <c r="A17" s="3">
        <f t="shared" si="1"/>
        <v>15</v>
      </c>
      <c r="B17" s="4" t="s">
        <v>56</v>
      </c>
      <c r="C17" s="5" t="s">
        <v>23</v>
      </c>
      <c r="D17" s="6" t="s">
        <v>57</v>
      </c>
      <c r="E17" s="7" t="s">
        <v>58</v>
      </c>
      <c r="F17" s="6" t="s">
        <v>12</v>
      </c>
      <c r="G17" s="6" t="s">
        <v>13</v>
      </c>
    </row>
    <row r="18">
      <c r="A18" s="3">
        <f t="shared" si="1"/>
        <v>16</v>
      </c>
      <c r="B18" s="9" t="s">
        <v>59</v>
      </c>
      <c r="C18" s="5" t="s">
        <v>60</v>
      </c>
      <c r="D18" s="10" t="s">
        <v>61</v>
      </c>
      <c r="E18" s="7" t="s">
        <v>62</v>
      </c>
      <c r="F18" s="6" t="s">
        <v>12</v>
      </c>
      <c r="G18" s="6" t="s">
        <v>13</v>
      </c>
    </row>
    <row r="19">
      <c r="A19" s="3">
        <f t="shared" si="1"/>
        <v>17</v>
      </c>
      <c r="B19" s="4" t="s">
        <v>63</v>
      </c>
      <c r="C19" s="5" t="s">
        <v>23</v>
      </c>
      <c r="D19" s="6" t="s">
        <v>64</v>
      </c>
      <c r="E19" s="7" t="s">
        <v>65</v>
      </c>
      <c r="F19" s="6" t="s">
        <v>12</v>
      </c>
      <c r="G19" s="6" t="s">
        <v>13</v>
      </c>
    </row>
    <row r="20">
      <c r="A20" s="3">
        <f t="shared" si="1"/>
        <v>18</v>
      </c>
      <c r="B20" s="4" t="s">
        <v>66</v>
      </c>
      <c r="C20" s="5" t="s">
        <v>9</v>
      </c>
      <c r="D20" s="6" t="s">
        <v>67</v>
      </c>
      <c r="E20" s="7" t="s">
        <v>68</v>
      </c>
      <c r="F20" s="6" t="s">
        <v>12</v>
      </c>
      <c r="G20" s="6" t="s">
        <v>13</v>
      </c>
    </row>
    <row r="21" ht="15.75" customHeight="1">
      <c r="A21" s="3">
        <f t="shared" si="1"/>
        <v>19</v>
      </c>
      <c r="B21" s="4" t="s">
        <v>69</v>
      </c>
      <c r="C21" s="5" t="s">
        <v>23</v>
      </c>
      <c r="D21" s="6" t="s">
        <v>70</v>
      </c>
      <c r="E21" s="7" t="s">
        <v>71</v>
      </c>
      <c r="F21" s="6" t="s">
        <v>12</v>
      </c>
      <c r="G21" s="6" t="s">
        <v>13</v>
      </c>
    </row>
    <row r="22" ht="15.75" customHeight="1">
      <c r="A22" s="3">
        <f t="shared" si="1"/>
        <v>20</v>
      </c>
      <c r="B22" s="4" t="s">
        <v>72</v>
      </c>
      <c r="C22" s="5" t="s">
        <v>23</v>
      </c>
      <c r="D22" s="6" t="s">
        <v>70</v>
      </c>
      <c r="E22" s="7" t="s">
        <v>73</v>
      </c>
      <c r="F22" s="6" t="s">
        <v>12</v>
      </c>
      <c r="G22" s="6" t="s">
        <v>13</v>
      </c>
    </row>
    <row r="23" ht="15.75" customHeight="1">
      <c r="A23" s="3">
        <f t="shared" si="1"/>
        <v>21</v>
      </c>
      <c r="B23" s="4" t="s">
        <v>74</v>
      </c>
      <c r="C23" s="5" t="s">
        <v>9</v>
      </c>
      <c r="D23" s="6" t="s">
        <v>75</v>
      </c>
      <c r="E23" s="7" t="s">
        <v>76</v>
      </c>
      <c r="F23" s="6" t="s">
        <v>12</v>
      </c>
      <c r="G23" s="6" t="s">
        <v>13</v>
      </c>
    </row>
    <row r="24" ht="15.75" customHeight="1">
      <c r="A24" s="3">
        <f t="shared" si="1"/>
        <v>22</v>
      </c>
      <c r="B24" s="11" t="s">
        <v>77</v>
      </c>
      <c r="C24" s="12" t="s">
        <v>15</v>
      </c>
      <c r="D24" s="6" t="s">
        <v>78</v>
      </c>
      <c r="E24" s="7" t="s">
        <v>79</v>
      </c>
      <c r="F24" s="6" t="s">
        <v>12</v>
      </c>
      <c r="G24" s="6" t="s">
        <v>13</v>
      </c>
    </row>
    <row r="25" ht="15.75" customHeight="1">
      <c r="A25" s="3">
        <f t="shared" si="1"/>
        <v>23</v>
      </c>
      <c r="B25" s="4" t="s">
        <v>80</v>
      </c>
      <c r="C25" s="5" t="s">
        <v>9</v>
      </c>
      <c r="D25" s="6" t="s">
        <v>81</v>
      </c>
      <c r="E25" s="7" t="s">
        <v>82</v>
      </c>
      <c r="F25" s="6" t="s">
        <v>12</v>
      </c>
      <c r="G25" s="6" t="s">
        <v>13</v>
      </c>
    </row>
    <row r="26" ht="15.75" customHeight="1">
      <c r="A26" s="3">
        <f t="shared" si="1"/>
        <v>24</v>
      </c>
      <c r="B26" s="4" t="s">
        <v>83</v>
      </c>
      <c r="C26" s="5" t="s">
        <v>23</v>
      </c>
      <c r="D26" s="6" t="s">
        <v>84</v>
      </c>
      <c r="E26" s="7" t="s">
        <v>85</v>
      </c>
      <c r="F26" s="6" t="s">
        <v>12</v>
      </c>
      <c r="G26" s="6" t="s">
        <v>13</v>
      </c>
    </row>
    <row r="27" ht="15.75" customHeight="1">
      <c r="A27" s="3">
        <f t="shared" si="1"/>
        <v>25</v>
      </c>
      <c r="B27" s="4" t="s">
        <v>86</v>
      </c>
      <c r="C27" s="5" t="s">
        <v>23</v>
      </c>
      <c r="D27" s="6" t="s">
        <v>87</v>
      </c>
      <c r="E27" s="7" t="s">
        <v>88</v>
      </c>
      <c r="F27" s="6" t="s">
        <v>12</v>
      </c>
      <c r="G27" s="6" t="s">
        <v>13</v>
      </c>
    </row>
    <row r="28" ht="15.75" customHeight="1">
      <c r="A28" s="3">
        <f t="shared" si="1"/>
        <v>26</v>
      </c>
      <c r="B28" s="4" t="s">
        <v>89</v>
      </c>
      <c r="C28" s="5" t="s">
        <v>23</v>
      </c>
      <c r="D28" s="6" t="s">
        <v>90</v>
      </c>
      <c r="E28" s="7" t="s">
        <v>91</v>
      </c>
      <c r="F28" s="6" t="s">
        <v>12</v>
      </c>
      <c r="G28" s="6" t="s">
        <v>13</v>
      </c>
    </row>
    <row r="29" ht="15.75" customHeight="1">
      <c r="A29" s="3">
        <f t="shared" si="1"/>
        <v>27</v>
      </c>
      <c r="B29" s="9" t="s">
        <v>92</v>
      </c>
      <c r="C29" s="5" t="s">
        <v>60</v>
      </c>
      <c r="D29" s="6" t="s">
        <v>93</v>
      </c>
      <c r="E29" s="7" t="s">
        <v>94</v>
      </c>
      <c r="F29" s="6" t="s">
        <v>12</v>
      </c>
      <c r="G29" s="6" t="s">
        <v>13</v>
      </c>
    </row>
    <row r="30" ht="15.75" customHeight="1">
      <c r="A30" s="3">
        <f t="shared" si="1"/>
        <v>28</v>
      </c>
      <c r="B30" s="4" t="s">
        <v>95</v>
      </c>
      <c r="C30" s="5" t="s">
        <v>60</v>
      </c>
      <c r="D30" s="6" t="s">
        <v>96</v>
      </c>
      <c r="E30" s="7" t="s">
        <v>97</v>
      </c>
      <c r="F30" s="6" t="s">
        <v>12</v>
      </c>
      <c r="G30" s="6" t="s">
        <v>13</v>
      </c>
    </row>
    <row r="31" ht="15.75" customHeight="1">
      <c r="A31" s="3">
        <f t="shared" si="1"/>
        <v>29</v>
      </c>
      <c r="B31" s="4" t="s">
        <v>98</v>
      </c>
      <c r="C31" s="5" t="s">
        <v>15</v>
      </c>
      <c r="D31" s="6" t="s">
        <v>99</v>
      </c>
      <c r="E31" s="7" t="s">
        <v>100</v>
      </c>
      <c r="F31" s="6" t="s">
        <v>12</v>
      </c>
      <c r="G31" s="6" t="s">
        <v>13</v>
      </c>
    </row>
    <row r="32" ht="15.75" customHeight="1">
      <c r="A32" s="3">
        <f t="shared" si="1"/>
        <v>30</v>
      </c>
      <c r="B32" s="4" t="s">
        <v>101</v>
      </c>
      <c r="C32" s="5" t="s">
        <v>9</v>
      </c>
      <c r="D32" s="6" t="s">
        <v>102</v>
      </c>
      <c r="E32" s="7" t="s">
        <v>103</v>
      </c>
      <c r="F32" s="6" t="s">
        <v>12</v>
      </c>
      <c r="G32" s="6" t="s">
        <v>13</v>
      </c>
    </row>
    <row r="33" ht="15.75" customHeight="1">
      <c r="A33" s="3">
        <f t="shared" si="1"/>
        <v>31</v>
      </c>
      <c r="B33" s="4" t="s">
        <v>104</v>
      </c>
      <c r="C33" s="5" t="s">
        <v>23</v>
      </c>
      <c r="D33" s="6" t="s">
        <v>105</v>
      </c>
      <c r="E33" s="7" t="s">
        <v>106</v>
      </c>
      <c r="F33" s="6" t="s">
        <v>12</v>
      </c>
      <c r="G33" s="6" t="s">
        <v>13</v>
      </c>
    </row>
    <row r="34" ht="15.75" customHeight="1">
      <c r="A34" s="3">
        <f t="shared" si="1"/>
        <v>32</v>
      </c>
      <c r="B34" s="4" t="s">
        <v>107</v>
      </c>
      <c r="C34" s="5" t="s">
        <v>9</v>
      </c>
      <c r="D34" s="6" t="s">
        <v>108</v>
      </c>
      <c r="E34" s="7" t="s">
        <v>109</v>
      </c>
      <c r="F34" s="6" t="s">
        <v>12</v>
      </c>
      <c r="G34" s="6" t="s">
        <v>13</v>
      </c>
    </row>
    <row r="35" ht="15.75" customHeight="1">
      <c r="A35" s="3">
        <f t="shared" si="1"/>
        <v>33</v>
      </c>
      <c r="B35" s="4" t="s">
        <v>110</v>
      </c>
      <c r="C35" s="5" t="s">
        <v>15</v>
      </c>
      <c r="D35" s="6" t="s">
        <v>111</v>
      </c>
      <c r="E35" s="7" t="s">
        <v>112</v>
      </c>
      <c r="F35" s="6" t="s">
        <v>12</v>
      </c>
      <c r="G35" s="6" t="s">
        <v>13</v>
      </c>
    </row>
    <row r="36" ht="15.75" customHeight="1">
      <c r="A36" s="3">
        <f t="shared" si="1"/>
        <v>34</v>
      </c>
      <c r="B36" s="4" t="s">
        <v>113</v>
      </c>
      <c r="C36" s="5" t="s">
        <v>23</v>
      </c>
      <c r="D36" s="6" t="s">
        <v>114</v>
      </c>
      <c r="E36" s="7" t="s">
        <v>115</v>
      </c>
      <c r="F36" s="6" t="s">
        <v>12</v>
      </c>
      <c r="G36" s="6" t="s">
        <v>13</v>
      </c>
    </row>
    <row r="37" ht="15.75" customHeight="1">
      <c r="A37" s="3">
        <f t="shared" si="1"/>
        <v>35</v>
      </c>
      <c r="B37" s="4" t="s">
        <v>116</v>
      </c>
      <c r="C37" s="5" t="s">
        <v>9</v>
      </c>
      <c r="D37" s="10" t="s">
        <v>117</v>
      </c>
      <c r="E37" s="7" t="s">
        <v>118</v>
      </c>
      <c r="F37" s="6" t="s">
        <v>12</v>
      </c>
      <c r="G37" s="6" t="s">
        <v>13</v>
      </c>
    </row>
    <row r="38" ht="15.75" customHeight="1">
      <c r="A38" s="3">
        <f t="shared" si="1"/>
        <v>36</v>
      </c>
      <c r="B38" s="4" t="s">
        <v>119</v>
      </c>
      <c r="C38" s="5" t="s">
        <v>23</v>
      </c>
      <c r="D38" s="6" t="s">
        <v>120</v>
      </c>
      <c r="E38" s="7" t="s">
        <v>121</v>
      </c>
      <c r="F38" s="6" t="s">
        <v>12</v>
      </c>
      <c r="G38" s="6" t="s">
        <v>13</v>
      </c>
    </row>
    <row r="39" ht="15.75" customHeight="1">
      <c r="A39" s="3">
        <f t="shared" si="1"/>
        <v>37</v>
      </c>
      <c r="B39" s="4" t="s">
        <v>122</v>
      </c>
      <c r="C39" s="5" t="s">
        <v>23</v>
      </c>
      <c r="D39" s="6" t="s">
        <v>123</v>
      </c>
      <c r="E39" s="7" t="s">
        <v>124</v>
      </c>
      <c r="F39" s="6" t="s">
        <v>12</v>
      </c>
      <c r="G39" s="6" t="s">
        <v>13</v>
      </c>
    </row>
    <row r="40" ht="15.75" customHeight="1">
      <c r="A40" s="3">
        <f t="shared" si="1"/>
        <v>38</v>
      </c>
      <c r="B40" s="11" t="s">
        <v>125</v>
      </c>
      <c r="C40" s="12" t="s">
        <v>126</v>
      </c>
      <c r="D40" s="6" t="s">
        <v>127</v>
      </c>
      <c r="E40" s="7" t="s">
        <v>128</v>
      </c>
      <c r="F40" s="6" t="s">
        <v>12</v>
      </c>
      <c r="G40" s="6" t="s">
        <v>13</v>
      </c>
    </row>
    <row r="41" ht="15.75" customHeight="1">
      <c r="A41" s="3">
        <f t="shared" si="1"/>
        <v>39</v>
      </c>
      <c r="B41" s="4" t="s">
        <v>129</v>
      </c>
      <c r="C41" s="5" t="s">
        <v>9</v>
      </c>
      <c r="D41" s="6" t="s">
        <v>130</v>
      </c>
      <c r="E41" s="7" t="s">
        <v>131</v>
      </c>
      <c r="F41" s="6" t="s">
        <v>12</v>
      </c>
      <c r="G41" s="6" t="s">
        <v>13</v>
      </c>
    </row>
    <row r="42" ht="15.75" customHeight="1">
      <c r="A42" s="3">
        <f t="shared" si="1"/>
        <v>40</v>
      </c>
      <c r="B42" s="4" t="s">
        <v>132</v>
      </c>
      <c r="C42" s="5" t="s">
        <v>23</v>
      </c>
      <c r="D42" s="6" t="s">
        <v>133</v>
      </c>
      <c r="E42" s="7" t="s">
        <v>134</v>
      </c>
      <c r="F42" s="6" t="s">
        <v>12</v>
      </c>
      <c r="G42" s="6" t="s">
        <v>13</v>
      </c>
    </row>
    <row r="43" ht="15.75" customHeight="1">
      <c r="A43" s="3">
        <f t="shared" si="1"/>
        <v>41</v>
      </c>
      <c r="B43" s="4" t="s">
        <v>135</v>
      </c>
      <c r="C43" s="5" t="s">
        <v>9</v>
      </c>
      <c r="D43" s="6" t="s">
        <v>136</v>
      </c>
      <c r="E43" s="7" t="s">
        <v>137</v>
      </c>
      <c r="F43" s="6" t="s">
        <v>12</v>
      </c>
      <c r="G43" s="6" t="s">
        <v>13</v>
      </c>
    </row>
    <row r="44" ht="15.75" customHeight="1">
      <c r="A44" s="3">
        <f t="shared" si="1"/>
        <v>42</v>
      </c>
      <c r="B44" s="4" t="s">
        <v>138</v>
      </c>
      <c r="C44" s="5" t="s">
        <v>9</v>
      </c>
      <c r="D44" s="6" t="s">
        <v>139</v>
      </c>
      <c r="E44" s="7" t="s">
        <v>140</v>
      </c>
      <c r="F44" s="6" t="s">
        <v>12</v>
      </c>
      <c r="G44" s="6" t="s">
        <v>13</v>
      </c>
    </row>
    <row r="45" ht="15.75" customHeight="1">
      <c r="A45" s="3">
        <f t="shared" si="1"/>
        <v>43</v>
      </c>
      <c r="B45" s="4" t="s">
        <v>141</v>
      </c>
      <c r="C45" s="5" t="s">
        <v>23</v>
      </c>
      <c r="D45" s="6" t="s">
        <v>142</v>
      </c>
      <c r="E45" s="7" t="s">
        <v>143</v>
      </c>
      <c r="F45" s="6" t="s">
        <v>12</v>
      </c>
      <c r="G45" s="6" t="s">
        <v>13</v>
      </c>
    </row>
    <row r="46" ht="15.75" customHeight="1">
      <c r="A46" s="3">
        <f t="shared" si="1"/>
        <v>44</v>
      </c>
      <c r="B46" s="13" t="s">
        <v>144</v>
      </c>
      <c r="C46" s="14" t="s">
        <v>145</v>
      </c>
      <c r="D46" s="15" t="s">
        <v>146</v>
      </c>
      <c r="E46" s="7" t="s">
        <v>147</v>
      </c>
      <c r="F46" s="6" t="s">
        <v>12</v>
      </c>
      <c r="G46" s="6" t="s">
        <v>13</v>
      </c>
    </row>
    <row r="47" ht="15.75" customHeight="1">
      <c r="A47" s="3">
        <f t="shared" si="1"/>
        <v>45</v>
      </c>
      <c r="B47" s="9" t="s">
        <v>148</v>
      </c>
      <c r="C47" s="5" t="s">
        <v>23</v>
      </c>
      <c r="D47" s="6" t="s">
        <v>149</v>
      </c>
      <c r="E47" s="7" t="s">
        <v>150</v>
      </c>
      <c r="F47" s="6" t="s">
        <v>12</v>
      </c>
      <c r="G47" s="6" t="s">
        <v>13</v>
      </c>
    </row>
    <row r="48" ht="15.75" customHeight="1">
      <c r="A48" s="3">
        <f t="shared" si="1"/>
        <v>46</v>
      </c>
      <c r="B48" s="4" t="s">
        <v>151</v>
      </c>
      <c r="C48" s="5" t="s">
        <v>23</v>
      </c>
      <c r="D48" s="6" t="s">
        <v>152</v>
      </c>
      <c r="E48" s="7" t="s">
        <v>153</v>
      </c>
      <c r="F48" s="6" t="s">
        <v>12</v>
      </c>
      <c r="G48" s="6" t="s">
        <v>13</v>
      </c>
    </row>
    <row r="49" ht="15.75" customHeight="1">
      <c r="A49" s="3">
        <f t="shared" si="1"/>
        <v>47</v>
      </c>
      <c r="B49" s="4" t="s">
        <v>154</v>
      </c>
      <c r="C49" s="5" t="s">
        <v>23</v>
      </c>
      <c r="D49" s="6" t="s">
        <v>155</v>
      </c>
      <c r="E49" s="7" t="s">
        <v>156</v>
      </c>
      <c r="F49" s="6" t="s">
        <v>12</v>
      </c>
      <c r="G49" s="6" t="s">
        <v>13</v>
      </c>
    </row>
    <row r="50" ht="15.75" customHeight="1">
      <c r="A50" s="3">
        <f t="shared" si="1"/>
        <v>48</v>
      </c>
      <c r="B50" s="4" t="s">
        <v>157</v>
      </c>
      <c r="C50" s="5" t="s">
        <v>23</v>
      </c>
      <c r="D50" s="6" t="s">
        <v>158</v>
      </c>
      <c r="E50" s="7" t="s">
        <v>159</v>
      </c>
      <c r="F50" s="6" t="s">
        <v>12</v>
      </c>
      <c r="G50" s="6" t="s">
        <v>13</v>
      </c>
    </row>
    <row r="51" ht="15.75" customHeight="1">
      <c r="A51" s="3">
        <f t="shared" si="1"/>
        <v>49</v>
      </c>
      <c r="B51" s="4" t="s">
        <v>160</v>
      </c>
      <c r="C51" s="5" t="s">
        <v>23</v>
      </c>
      <c r="D51" s="6" t="s">
        <v>161</v>
      </c>
      <c r="E51" s="7" t="s">
        <v>162</v>
      </c>
      <c r="F51" s="6" t="s">
        <v>12</v>
      </c>
      <c r="G51" s="6" t="s">
        <v>13</v>
      </c>
    </row>
    <row r="52" ht="15.75" customHeight="1">
      <c r="A52" s="3">
        <f t="shared" si="1"/>
        <v>50</v>
      </c>
      <c r="B52" s="13" t="s">
        <v>163</v>
      </c>
      <c r="C52" s="14" t="s">
        <v>145</v>
      </c>
      <c r="D52" s="6" t="s">
        <v>164</v>
      </c>
      <c r="E52" s="7" t="s">
        <v>165</v>
      </c>
      <c r="F52" s="6" t="s">
        <v>12</v>
      </c>
      <c r="G52" s="6" t="s">
        <v>13</v>
      </c>
    </row>
    <row r="53" ht="15.75" customHeight="1">
      <c r="A53" s="3">
        <f t="shared" si="1"/>
        <v>51</v>
      </c>
      <c r="B53" s="4" t="s">
        <v>166</v>
      </c>
      <c r="C53" s="5" t="s">
        <v>15</v>
      </c>
      <c r="D53" s="6" t="s">
        <v>167</v>
      </c>
      <c r="E53" s="7" t="s">
        <v>168</v>
      </c>
      <c r="F53" s="6" t="s">
        <v>12</v>
      </c>
      <c r="G53" s="6" t="s">
        <v>13</v>
      </c>
    </row>
    <row r="54" ht="15.75" customHeight="1">
      <c r="A54" s="3">
        <f t="shared" si="1"/>
        <v>52</v>
      </c>
      <c r="B54" s="4" t="s">
        <v>169</v>
      </c>
      <c r="C54" s="5" t="s">
        <v>9</v>
      </c>
      <c r="D54" s="6" t="s">
        <v>170</v>
      </c>
      <c r="E54" s="7" t="s">
        <v>171</v>
      </c>
      <c r="F54" s="6" t="s">
        <v>12</v>
      </c>
      <c r="G54" s="6" t="s">
        <v>13</v>
      </c>
    </row>
    <row r="55" ht="15.75" customHeight="1">
      <c r="A55" s="3">
        <f t="shared" si="1"/>
        <v>53</v>
      </c>
      <c r="B55" s="13" t="s">
        <v>172</v>
      </c>
      <c r="C55" s="14" t="s">
        <v>145</v>
      </c>
      <c r="D55" s="6" t="s">
        <v>173</v>
      </c>
      <c r="E55" s="7" t="s">
        <v>174</v>
      </c>
      <c r="F55" s="6" t="s">
        <v>12</v>
      </c>
      <c r="G55" s="6" t="s">
        <v>13</v>
      </c>
    </row>
    <row r="56" ht="15.75" customHeight="1">
      <c r="A56" s="3">
        <f t="shared" si="1"/>
        <v>54</v>
      </c>
      <c r="B56" s="4" t="s">
        <v>175</v>
      </c>
      <c r="C56" s="5" t="s">
        <v>176</v>
      </c>
      <c r="D56" s="6" t="s">
        <v>177</v>
      </c>
      <c r="E56" s="7" t="s">
        <v>178</v>
      </c>
      <c r="F56" s="6" t="s">
        <v>12</v>
      </c>
      <c r="G56" s="6" t="s">
        <v>13</v>
      </c>
    </row>
    <row r="57" ht="15.75" customHeight="1">
      <c r="A57" s="3">
        <f t="shared" si="1"/>
        <v>55</v>
      </c>
      <c r="B57" s="4" t="s">
        <v>179</v>
      </c>
      <c r="C57" s="5" t="s">
        <v>23</v>
      </c>
      <c r="D57" s="6" t="s">
        <v>180</v>
      </c>
      <c r="E57" s="7" t="s">
        <v>181</v>
      </c>
      <c r="F57" s="6" t="s">
        <v>12</v>
      </c>
      <c r="G57" s="6" t="s">
        <v>13</v>
      </c>
    </row>
    <row r="58" ht="15.75" customHeight="1">
      <c r="A58" s="3">
        <f t="shared" si="1"/>
        <v>56</v>
      </c>
      <c r="B58" s="4" t="s">
        <v>182</v>
      </c>
      <c r="C58" s="5" t="s">
        <v>9</v>
      </c>
      <c r="D58" s="6" t="s">
        <v>183</v>
      </c>
      <c r="E58" s="7" t="s">
        <v>184</v>
      </c>
      <c r="F58" s="6" t="s">
        <v>12</v>
      </c>
      <c r="G58" s="6" t="s">
        <v>13</v>
      </c>
    </row>
    <row r="59" ht="15.75" customHeight="1">
      <c r="A59" s="3">
        <f t="shared" si="1"/>
        <v>57</v>
      </c>
      <c r="B59" s="16" t="s">
        <v>185</v>
      </c>
      <c r="C59" s="17" t="s">
        <v>186</v>
      </c>
      <c r="D59" s="6" t="s">
        <v>187</v>
      </c>
      <c r="E59" s="7" t="s">
        <v>188</v>
      </c>
      <c r="F59" s="6" t="s">
        <v>12</v>
      </c>
      <c r="G59" s="6" t="s">
        <v>13</v>
      </c>
    </row>
    <row r="60" ht="15.75" customHeight="1">
      <c r="A60" s="3">
        <f t="shared" si="1"/>
        <v>58</v>
      </c>
      <c r="B60" s="4" t="s">
        <v>189</v>
      </c>
      <c r="C60" s="5" t="s">
        <v>23</v>
      </c>
      <c r="D60" s="6" t="s">
        <v>190</v>
      </c>
      <c r="E60" s="7" t="s">
        <v>191</v>
      </c>
      <c r="F60" s="6" t="s">
        <v>12</v>
      </c>
      <c r="G60" s="6" t="s">
        <v>13</v>
      </c>
    </row>
    <row r="61" ht="15.75" customHeight="1">
      <c r="A61" s="3">
        <f t="shared" si="1"/>
        <v>59</v>
      </c>
      <c r="B61" s="4" t="s">
        <v>192</v>
      </c>
      <c r="C61" s="5" t="s">
        <v>23</v>
      </c>
      <c r="D61" s="6" t="s">
        <v>193</v>
      </c>
      <c r="E61" s="7" t="s">
        <v>194</v>
      </c>
      <c r="F61" s="6" t="s">
        <v>12</v>
      </c>
      <c r="G61" s="6" t="s">
        <v>13</v>
      </c>
    </row>
    <row r="62" ht="15.75" customHeight="1">
      <c r="A62" s="3">
        <f t="shared" si="1"/>
        <v>60</v>
      </c>
      <c r="B62" s="13" t="s">
        <v>195</v>
      </c>
      <c r="C62" s="14" t="s">
        <v>145</v>
      </c>
      <c r="D62" s="6" t="s">
        <v>196</v>
      </c>
      <c r="E62" s="7" t="s">
        <v>197</v>
      </c>
      <c r="F62" s="6" t="s">
        <v>12</v>
      </c>
      <c r="G62" s="6" t="s">
        <v>13</v>
      </c>
    </row>
    <row r="63" ht="15.75" customHeight="1">
      <c r="A63" s="3">
        <f t="shared" si="1"/>
        <v>61</v>
      </c>
      <c r="B63" s="4" t="s">
        <v>198</v>
      </c>
      <c r="C63" s="5" t="s">
        <v>9</v>
      </c>
      <c r="D63" s="6" t="s">
        <v>199</v>
      </c>
      <c r="E63" s="7" t="s">
        <v>200</v>
      </c>
      <c r="F63" s="6" t="s">
        <v>12</v>
      </c>
      <c r="G63" s="6" t="s">
        <v>13</v>
      </c>
    </row>
    <row r="64" ht="15.75" customHeight="1">
      <c r="A64" s="3">
        <f t="shared" si="1"/>
        <v>62</v>
      </c>
      <c r="B64" s="4" t="s">
        <v>201</v>
      </c>
      <c r="C64" s="5" t="s">
        <v>23</v>
      </c>
      <c r="D64" s="6" t="s">
        <v>202</v>
      </c>
      <c r="E64" s="7" t="s">
        <v>203</v>
      </c>
      <c r="F64" s="6" t="s">
        <v>12</v>
      </c>
      <c r="G64" s="6" t="s">
        <v>13</v>
      </c>
    </row>
    <row r="65" ht="15.75" customHeight="1">
      <c r="A65" s="3">
        <f t="shared" si="1"/>
        <v>63</v>
      </c>
      <c r="B65" s="4" t="s">
        <v>204</v>
      </c>
      <c r="C65" s="5" t="s">
        <v>23</v>
      </c>
      <c r="D65" s="10" t="s">
        <v>205</v>
      </c>
      <c r="E65" s="7" t="s">
        <v>206</v>
      </c>
      <c r="F65" s="6" t="s">
        <v>12</v>
      </c>
      <c r="G65" s="6" t="s">
        <v>13</v>
      </c>
    </row>
    <row r="66" ht="15.75" customHeight="1">
      <c r="A66" s="3">
        <f t="shared" si="1"/>
        <v>64</v>
      </c>
      <c r="B66" s="4" t="s">
        <v>207</v>
      </c>
      <c r="C66" s="5" t="s">
        <v>23</v>
      </c>
      <c r="D66" s="6" t="s">
        <v>208</v>
      </c>
      <c r="E66" s="7" t="s">
        <v>209</v>
      </c>
      <c r="F66" s="6" t="s">
        <v>12</v>
      </c>
      <c r="G66" s="6" t="s">
        <v>13</v>
      </c>
    </row>
    <row r="67" ht="15.75" customHeight="1">
      <c r="A67" s="3">
        <f t="shared" si="1"/>
        <v>65</v>
      </c>
      <c r="B67" s="4" t="s">
        <v>210</v>
      </c>
      <c r="C67" s="5" t="s">
        <v>9</v>
      </c>
      <c r="D67" s="6" t="s">
        <v>211</v>
      </c>
      <c r="E67" s="7" t="s">
        <v>212</v>
      </c>
      <c r="F67" s="6" t="s">
        <v>12</v>
      </c>
      <c r="G67" s="6" t="s">
        <v>13</v>
      </c>
    </row>
    <row r="68" ht="15.75" customHeight="1">
      <c r="A68" s="3">
        <f t="shared" si="1"/>
        <v>66</v>
      </c>
      <c r="B68" s="4" t="s">
        <v>213</v>
      </c>
      <c r="C68" s="5" t="s">
        <v>9</v>
      </c>
      <c r="D68" s="6" t="s">
        <v>214</v>
      </c>
      <c r="E68" s="7" t="s">
        <v>215</v>
      </c>
      <c r="F68" s="6" t="s">
        <v>12</v>
      </c>
      <c r="G68" s="6" t="s">
        <v>13</v>
      </c>
    </row>
    <row r="69" ht="15.75" customHeight="1">
      <c r="A69" s="3">
        <f t="shared" si="1"/>
        <v>67</v>
      </c>
      <c r="B69" s="4" t="s">
        <v>216</v>
      </c>
      <c r="C69" s="5" t="s">
        <v>9</v>
      </c>
      <c r="D69" s="6" t="s">
        <v>217</v>
      </c>
      <c r="E69" s="7" t="s">
        <v>218</v>
      </c>
      <c r="F69" s="6" t="s">
        <v>12</v>
      </c>
      <c r="G69" s="6" t="s">
        <v>13</v>
      </c>
    </row>
    <row r="70" ht="15.75" customHeight="1">
      <c r="A70" s="3">
        <f t="shared" si="1"/>
        <v>68</v>
      </c>
      <c r="B70" s="4" t="s">
        <v>219</v>
      </c>
      <c r="C70" s="5" t="s">
        <v>23</v>
      </c>
      <c r="D70" s="10" t="s">
        <v>220</v>
      </c>
      <c r="E70" s="7" t="s">
        <v>221</v>
      </c>
      <c r="F70" s="6" t="s">
        <v>12</v>
      </c>
      <c r="G70" s="6" t="s">
        <v>13</v>
      </c>
    </row>
    <row r="71" ht="15.75" customHeight="1">
      <c r="A71" s="3">
        <f t="shared" si="1"/>
        <v>69</v>
      </c>
      <c r="B71" s="4" t="s">
        <v>222</v>
      </c>
      <c r="C71" s="5" t="s">
        <v>23</v>
      </c>
      <c r="D71" s="6" t="s">
        <v>223</v>
      </c>
      <c r="E71" s="7" t="s">
        <v>224</v>
      </c>
      <c r="F71" s="6" t="s">
        <v>12</v>
      </c>
      <c r="G71" s="6" t="s">
        <v>13</v>
      </c>
    </row>
    <row r="72" ht="15.75" customHeight="1">
      <c r="A72" s="3">
        <f t="shared" si="1"/>
        <v>70</v>
      </c>
      <c r="B72" s="4" t="s">
        <v>225</v>
      </c>
      <c r="C72" s="5" t="s">
        <v>9</v>
      </c>
      <c r="D72" s="6" t="s">
        <v>226</v>
      </c>
      <c r="E72" s="7" t="s">
        <v>227</v>
      </c>
      <c r="F72" s="6" t="s">
        <v>12</v>
      </c>
      <c r="G72" s="6" t="s">
        <v>13</v>
      </c>
    </row>
    <row r="73" ht="15.75" customHeight="1">
      <c r="A73" s="3">
        <f t="shared" si="1"/>
        <v>71</v>
      </c>
      <c r="B73" s="4" t="s">
        <v>228</v>
      </c>
      <c r="C73" s="5" t="s">
        <v>23</v>
      </c>
      <c r="D73" s="6" t="s">
        <v>229</v>
      </c>
      <c r="E73" s="7" t="s">
        <v>230</v>
      </c>
      <c r="F73" s="6" t="s">
        <v>12</v>
      </c>
      <c r="G73" s="6" t="s">
        <v>13</v>
      </c>
    </row>
    <row r="74" ht="15.75" customHeight="1">
      <c r="A74" s="3">
        <f t="shared" si="1"/>
        <v>72</v>
      </c>
      <c r="B74" s="4" t="s">
        <v>231</v>
      </c>
      <c r="C74" s="5" t="s">
        <v>9</v>
      </c>
      <c r="D74" s="10" t="s">
        <v>232</v>
      </c>
      <c r="E74" s="7" t="s">
        <v>233</v>
      </c>
      <c r="F74" s="6" t="s">
        <v>12</v>
      </c>
      <c r="G74" s="6" t="s">
        <v>13</v>
      </c>
    </row>
    <row r="75" ht="15.75" customHeight="1">
      <c r="A75" s="3">
        <f t="shared" si="1"/>
        <v>73</v>
      </c>
      <c r="B75" s="4" t="s">
        <v>234</v>
      </c>
      <c r="C75" s="5" t="s">
        <v>23</v>
      </c>
      <c r="D75" s="10" t="s">
        <v>235</v>
      </c>
      <c r="E75" s="7" t="s">
        <v>236</v>
      </c>
      <c r="F75" s="6" t="s">
        <v>12</v>
      </c>
      <c r="G75" s="6" t="s">
        <v>13</v>
      </c>
    </row>
    <row r="76" ht="15.75" customHeight="1">
      <c r="A76" s="3">
        <f t="shared" si="1"/>
        <v>74</v>
      </c>
      <c r="B76" s="4" t="s">
        <v>237</v>
      </c>
      <c r="C76" s="5" t="s">
        <v>23</v>
      </c>
      <c r="D76" s="18" t="s">
        <v>238</v>
      </c>
      <c r="E76" s="7" t="s">
        <v>239</v>
      </c>
      <c r="F76" s="6" t="s">
        <v>12</v>
      </c>
      <c r="G76" s="6" t="s">
        <v>13</v>
      </c>
    </row>
    <row r="77" ht="15.75" customHeight="1">
      <c r="A77" s="3">
        <f t="shared" si="1"/>
        <v>75</v>
      </c>
      <c r="B77" s="4" t="s">
        <v>240</v>
      </c>
      <c r="C77" s="5" t="s">
        <v>15</v>
      </c>
      <c r="D77" s="18" t="s">
        <v>241</v>
      </c>
      <c r="E77" s="7" t="s">
        <v>242</v>
      </c>
      <c r="F77" s="6" t="s">
        <v>12</v>
      </c>
      <c r="G77" s="6" t="s">
        <v>13</v>
      </c>
    </row>
    <row r="78" ht="15.75" customHeight="1">
      <c r="A78" s="3">
        <f t="shared" si="1"/>
        <v>76</v>
      </c>
      <c r="B78" s="19" t="s">
        <v>243</v>
      </c>
      <c r="C78" s="5" t="s">
        <v>9</v>
      </c>
      <c r="D78" s="6" t="s">
        <v>244</v>
      </c>
      <c r="E78" s="7" t="s">
        <v>245</v>
      </c>
      <c r="F78" s="6" t="s">
        <v>12</v>
      </c>
      <c r="G78" s="6" t="s">
        <v>13</v>
      </c>
    </row>
    <row r="79" ht="15.75" customHeight="1">
      <c r="A79" s="3">
        <f t="shared" si="1"/>
        <v>77</v>
      </c>
      <c r="B79" s="4" t="s">
        <v>246</v>
      </c>
      <c r="C79" s="5" t="s">
        <v>23</v>
      </c>
      <c r="D79" s="18" t="s">
        <v>247</v>
      </c>
      <c r="E79" s="7" t="s">
        <v>248</v>
      </c>
      <c r="F79" s="6" t="s">
        <v>12</v>
      </c>
      <c r="G79" s="6" t="s">
        <v>13</v>
      </c>
    </row>
    <row r="80" ht="15.75" customHeight="1">
      <c r="A80" s="3">
        <f t="shared" si="1"/>
        <v>78</v>
      </c>
      <c r="B80" s="4" t="s">
        <v>249</v>
      </c>
      <c r="C80" s="5" t="s">
        <v>15</v>
      </c>
      <c r="D80" s="18" t="s">
        <v>250</v>
      </c>
      <c r="E80" s="7" t="s">
        <v>251</v>
      </c>
      <c r="F80" s="6" t="s">
        <v>12</v>
      </c>
      <c r="G80" s="6" t="s">
        <v>13</v>
      </c>
    </row>
    <row r="81" ht="15.75" customHeight="1">
      <c r="A81" s="3">
        <f t="shared" si="1"/>
        <v>79</v>
      </c>
      <c r="B81" s="4" t="s">
        <v>252</v>
      </c>
      <c r="C81" s="5" t="s">
        <v>23</v>
      </c>
      <c r="D81" s="18" t="s">
        <v>253</v>
      </c>
      <c r="E81" s="7" t="s">
        <v>254</v>
      </c>
      <c r="F81" s="6" t="s">
        <v>12</v>
      </c>
      <c r="G81" s="6" t="s">
        <v>13</v>
      </c>
    </row>
    <row r="82" ht="15.75" customHeight="1">
      <c r="A82" s="3">
        <f t="shared" si="1"/>
        <v>80</v>
      </c>
      <c r="B82" s="4" t="s">
        <v>255</v>
      </c>
      <c r="C82" s="5" t="s">
        <v>23</v>
      </c>
      <c r="D82" s="18" t="s">
        <v>256</v>
      </c>
      <c r="E82" s="7" t="s">
        <v>257</v>
      </c>
      <c r="F82" s="6" t="s">
        <v>12</v>
      </c>
      <c r="G82" s="6" t="s">
        <v>13</v>
      </c>
    </row>
    <row r="83" ht="15.75" customHeight="1">
      <c r="A83" s="3">
        <f t="shared" si="1"/>
        <v>81</v>
      </c>
      <c r="B83" s="4" t="s">
        <v>258</v>
      </c>
      <c r="C83" s="5" t="s">
        <v>9</v>
      </c>
      <c r="D83" s="18" t="s">
        <v>259</v>
      </c>
      <c r="E83" s="7" t="s">
        <v>260</v>
      </c>
      <c r="F83" s="6" t="s">
        <v>12</v>
      </c>
      <c r="G83" s="6" t="s">
        <v>13</v>
      </c>
    </row>
    <row r="84" ht="15.75" customHeight="1">
      <c r="A84" s="3">
        <f t="shared" si="1"/>
        <v>82</v>
      </c>
      <c r="B84" s="4" t="s">
        <v>261</v>
      </c>
      <c r="C84" s="5" t="s">
        <v>23</v>
      </c>
      <c r="D84" s="18" t="s">
        <v>262</v>
      </c>
      <c r="E84" s="7" t="s">
        <v>263</v>
      </c>
      <c r="F84" s="6" t="s">
        <v>12</v>
      </c>
      <c r="G84" s="6" t="s">
        <v>13</v>
      </c>
    </row>
    <row r="85" ht="15.75" customHeight="1">
      <c r="A85" s="3">
        <f t="shared" si="1"/>
        <v>83</v>
      </c>
      <c r="B85" s="19" t="s">
        <v>264</v>
      </c>
      <c r="C85" s="5" t="s">
        <v>9</v>
      </c>
      <c r="D85" s="18" t="s">
        <v>265</v>
      </c>
      <c r="E85" s="7" t="s">
        <v>266</v>
      </c>
      <c r="F85" s="6" t="s">
        <v>12</v>
      </c>
      <c r="G85" s="6" t="s">
        <v>13</v>
      </c>
    </row>
    <row r="86" ht="15.75" customHeight="1">
      <c r="A86" s="3">
        <f t="shared" si="1"/>
        <v>84</v>
      </c>
      <c r="B86" s="4" t="s">
        <v>267</v>
      </c>
      <c r="C86" s="5" t="s">
        <v>23</v>
      </c>
      <c r="D86" s="18" t="s">
        <v>268</v>
      </c>
      <c r="E86" s="7" t="s">
        <v>269</v>
      </c>
      <c r="F86" s="6" t="s">
        <v>12</v>
      </c>
      <c r="G86" s="6" t="s">
        <v>13</v>
      </c>
    </row>
    <row r="87" ht="15.75" customHeight="1">
      <c r="A87" s="3">
        <f t="shared" si="1"/>
        <v>85</v>
      </c>
      <c r="B87" s="4" t="s">
        <v>270</v>
      </c>
      <c r="C87" s="5" t="s">
        <v>9</v>
      </c>
      <c r="D87" s="18" t="s">
        <v>271</v>
      </c>
      <c r="E87" s="7" t="s">
        <v>272</v>
      </c>
      <c r="F87" s="6" t="s">
        <v>12</v>
      </c>
      <c r="G87" s="6" t="s">
        <v>13</v>
      </c>
    </row>
    <row r="88" ht="15.75" customHeight="1">
      <c r="A88" s="3">
        <f t="shared" si="1"/>
        <v>86</v>
      </c>
      <c r="B88" s="4" t="s">
        <v>273</v>
      </c>
      <c r="C88" s="5" t="s">
        <v>145</v>
      </c>
      <c r="D88" s="6" t="s">
        <v>274</v>
      </c>
      <c r="E88" s="7" t="s">
        <v>275</v>
      </c>
      <c r="F88" s="6" t="s">
        <v>12</v>
      </c>
      <c r="G88" s="6" t="s">
        <v>13</v>
      </c>
    </row>
    <row r="89" ht="15.75" customHeight="1">
      <c r="A89" s="3">
        <f t="shared" si="1"/>
        <v>87</v>
      </c>
      <c r="B89" s="4" t="s">
        <v>276</v>
      </c>
      <c r="C89" s="5" t="s">
        <v>23</v>
      </c>
      <c r="D89" s="18" t="s">
        <v>277</v>
      </c>
      <c r="E89" s="7" t="s">
        <v>278</v>
      </c>
      <c r="F89" s="6" t="s">
        <v>12</v>
      </c>
      <c r="G89" s="6" t="s">
        <v>13</v>
      </c>
    </row>
    <row r="90" ht="15.75" customHeight="1">
      <c r="A90" s="3">
        <f t="shared" si="1"/>
        <v>88</v>
      </c>
      <c r="B90" s="4" t="s">
        <v>279</v>
      </c>
      <c r="C90" s="5" t="s">
        <v>23</v>
      </c>
      <c r="D90" s="6" t="s">
        <v>280</v>
      </c>
      <c r="E90" s="7" t="s">
        <v>281</v>
      </c>
      <c r="F90" s="6" t="s">
        <v>12</v>
      </c>
      <c r="G90" s="6" t="s">
        <v>13</v>
      </c>
    </row>
    <row r="91" ht="15.75" customHeight="1">
      <c r="A91" s="3">
        <f t="shared" si="1"/>
        <v>89</v>
      </c>
      <c r="B91" s="4" t="s">
        <v>282</v>
      </c>
      <c r="C91" s="5" t="s">
        <v>9</v>
      </c>
      <c r="D91" s="6" t="s">
        <v>283</v>
      </c>
      <c r="E91" s="7" t="s">
        <v>284</v>
      </c>
      <c r="F91" s="6" t="s">
        <v>12</v>
      </c>
      <c r="G91" s="6" t="s">
        <v>13</v>
      </c>
    </row>
    <row r="92" ht="15.75" customHeight="1">
      <c r="A92" s="3">
        <f t="shared" si="1"/>
        <v>90</v>
      </c>
      <c r="B92" s="4" t="s">
        <v>285</v>
      </c>
      <c r="C92" s="5" t="s">
        <v>9</v>
      </c>
      <c r="D92" s="6" t="s">
        <v>286</v>
      </c>
      <c r="E92" s="7" t="s">
        <v>287</v>
      </c>
      <c r="F92" s="6" t="s">
        <v>12</v>
      </c>
      <c r="G92" s="6" t="s">
        <v>13</v>
      </c>
    </row>
    <row r="93" ht="15.75" customHeight="1">
      <c r="A93" s="3">
        <f t="shared" si="1"/>
        <v>91</v>
      </c>
      <c r="B93" s="4" t="s">
        <v>288</v>
      </c>
      <c r="C93" s="5" t="s">
        <v>23</v>
      </c>
      <c r="D93" s="18" t="s">
        <v>289</v>
      </c>
      <c r="E93" s="7" t="s">
        <v>290</v>
      </c>
      <c r="F93" s="6" t="s">
        <v>12</v>
      </c>
      <c r="G93" s="6" t="s">
        <v>13</v>
      </c>
    </row>
    <row r="94" ht="15.75" customHeight="1">
      <c r="A94" s="3">
        <f t="shared" si="1"/>
        <v>92</v>
      </c>
      <c r="B94" s="4" t="s">
        <v>291</v>
      </c>
      <c r="C94" s="5" t="s">
        <v>15</v>
      </c>
      <c r="D94" s="18" t="s">
        <v>292</v>
      </c>
      <c r="E94" s="7" t="s">
        <v>293</v>
      </c>
      <c r="F94" s="6" t="s">
        <v>12</v>
      </c>
      <c r="G94" s="6" t="s">
        <v>13</v>
      </c>
    </row>
    <row r="95" ht="15.75" customHeight="1">
      <c r="A95" s="3">
        <f t="shared" si="1"/>
        <v>93</v>
      </c>
      <c r="B95" s="4" t="s">
        <v>294</v>
      </c>
      <c r="C95" s="5" t="s">
        <v>23</v>
      </c>
      <c r="D95" s="6" t="s">
        <v>295</v>
      </c>
      <c r="E95" s="7" t="s">
        <v>296</v>
      </c>
      <c r="F95" s="6" t="s">
        <v>12</v>
      </c>
      <c r="G95" s="6" t="s">
        <v>13</v>
      </c>
    </row>
    <row r="96" ht="15.75" customHeight="1">
      <c r="A96" s="3">
        <f t="shared" si="1"/>
        <v>94</v>
      </c>
      <c r="B96" s="4" t="s">
        <v>297</v>
      </c>
      <c r="C96" s="5" t="s">
        <v>9</v>
      </c>
      <c r="D96" s="6" t="s">
        <v>298</v>
      </c>
      <c r="E96" s="7" t="s">
        <v>299</v>
      </c>
      <c r="F96" s="6" t="s">
        <v>12</v>
      </c>
      <c r="G96" s="6" t="s">
        <v>13</v>
      </c>
    </row>
    <row r="97" ht="15.75" customHeight="1">
      <c r="A97" s="3">
        <f t="shared" si="1"/>
        <v>95</v>
      </c>
      <c r="B97" s="4" t="s">
        <v>300</v>
      </c>
      <c r="C97" s="5" t="s">
        <v>9</v>
      </c>
      <c r="D97" s="6" t="s">
        <v>301</v>
      </c>
      <c r="E97" s="7" t="s">
        <v>302</v>
      </c>
      <c r="F97" s="6" t="s">
        <v>12</v>
      </c>
      <c r="G97" s="6" t="s">
        <v>13</v>
      </c>
    </row>
    <row r="98" ht="15.75" customHeight="1">
      <c r="A98" s="3">
        <f t="shared" si="1"/>
        <v>96</v>
      </c>
      <c r="B98" s="4" t="s">
        <v>303</v>
      </c>
      <c r="C98" s="5" t="s">
        <v>9</v>
      </c>
      <c r="D98" s="6" t="s">
        <v>304</v>
      </c>
      <c r="E98" s="7" t="s">
        <v>305</v>
      </c>
      <c r="F98" s="6" t="s">
        <v>12</v>
      </c>
      <c r="G98" s="6" t="s">
        <v>13</v>
      </c>
    </row>
    <row r="99" ht="15.75" customHeight="1">
      <c r="A99" s="3">
        <f t="shared" si="1"/>
        <v>97</v>
      </c>
      <c r="B99" s="4" t="s">
        <v>306</v>
      </c>
      <c r="C99" s="5" t="s">
        <v>23</v>
      </c>
      <c r="D99" s="18" t="s">
        <v>307</v>
      </c>
      <c r="E99" s="7" t="s">
        <v>308</v>
      </c>
      <c r="F99" s="6" t="s">
        <v>12</v>
      </c>
      <c r="G99" s="6" t="s">
        <v>13</v>
      </c>
    </row>
    <row r="100" ht="15.75" customHeight="1">
      <c r="A100" s="3">
        <f t="shared" si="1"/>
        <v>98</v>
      </c>
      <c r="B100" s="4" t="s">
        <v>309</v>
      </c>
      <c r="C100" s="5" t="s">
        <v>9</v>
      </c>
      <c r="D100" s="6" t="s">
        <v>310</v>
      </c>
      <c r="E100" s="7" t="s">
        <v>311</v>
      </c>
      <c r="F100" s="6" t="s">
        <v>12</v>
      </c>
      <c r="G100" s="6" t="s">
        <v>13</v>
      </c>
    </row>
    <row r="101" ht="15.75" customHeight="1">
      <c r="A101" s="3">
        <f t="shared" si="1"/>
        <v>99</v>
      </c>
      <c r="B101" s="4" t="s">
        <v>312</v>
      </c>
      <c r="C101" s="5" t="s">
        <v>9</v>
      </c>
      <c r="D101" s="6" t="s">
        <v>313</v>
      </c>
      <c r="E101" s="7" t="s">
        <v>314</v>
      </c>
      <c r="F101" s="6" t="s">
        <v>12</v>
      </c>
      <c r="G101" s="6" t="s">
        <v>13</v>
      </c>
    </row>
    <row r="102" ht="15.75" customHeight="1">
      <c r="A102" s="3">
        <f t="shared" si="1"/>
        <v>100</v>
      </c>
      <c r="B102" s="4" t="s">
        <v>315</v>
      </c>
      <c r="C102" s="5" t="s">
        <v>23</v>
      </c>
      <c r="D102" s="18" t="s">
        <v>316</v>
      </c>
      <c r="E102" s="7" t="s">
        <v>317</v>
      </c>
      <c r="F102" s="6" t="s">
        <v>12</v>
      </c>
      <c r="G102" s="6" t="s">
        <v>13</v>
      </c>
    </row>
    <row r="103" ht="15.75" customHeight="1">
      <c r="A103" s="3">
        <f t="shared" si="1"/>
        <v>101</v>
      </c>
      <c r="B103" s="11" t="s">
        <v>318</v>
      </c>
      <c r="C103" s="12" t="s">
        <v>23</v>
      </c>
      <c r="D103" s="18" t="s">
        <v>316</v>
      </c>
      <c r="E103" s="7" t="s">
        <v>317</v>
      </c>
      <c r="F103" s="6" t="s">
        <v>12</v>
      </c>
      <c r="G103" s="6" t="s">
        <v>13</v>
      </c>
    </row>
    <row r="104" ht="15.75" customHeight="1">
      <c r="A104" s="3">
        <f t="shared" si="1"/>
        <v>102</v>
      </c>
      <c r="B104" s="4" t="s">
        <v>319</v>
      </c>
      <c r="C104" s="5" t="s">
        <v>9</v>
      </c>
      <c r="D104" s="6" t="s">
        <v>320</v>
      </c>
      <c r="E104" s="7" t="s">
        <v>321</v>
      </c>
      <c r="F104" s="6" t="s">
        <v>12</v>
      </c>
      <c r="G104" s="6" t="s">
        <v>13</v>
      </c>
    </row>
    <row r="105" ht="15.75" customHeight="1">
      <c r="A105" s="3">
        <f t="shared" si="1"/>
        <v>103</v>
      </c>
      <c r="B105" s="4" t="s">
        <v>322</v>
      </c>
      <c r="C105" s="5" t="s">
        <v>9</v>
      </c>
      <c r="D105" s="6" t="s">
        <v>323</v>
      </c>
      <c r="E105" s="7" t="s">
        <v>324</v>
      </c>
      <c r="F105" s="6" t="s">
        <v>12</v>
      </c>
      <c r="G105" s="6" t="s">
        <v>13</v>
      </c>
    </row>
    <row r="106" ht="15.75" customHeight="1">
      <c r="A106" s="3">
        <f t="shared" si="1"/>
        <v>104</v>
      </c>
      <c r="B106" s="4" t="s">
        <v>325</v>
      </c>
      <c r="C106" s="5" t="s">
        <v>23</v>
      </c>
      <c r="D106" s="18" t="s">
        <v>326</v>
      </c>
      <c r="E106" s="7" t="s">
        <v>327</v>
      </c>
      <c r="F106" s="6" t="s">
        <v>12</v>
      </c>
      <c r="G106" s="6" t="s">
        <v>13</v>
      </c>
    </row>
    <row r="107" ht="15.75" customHeight="1">
      <c r="A107" s="3">
        <f t="shared" si="1"/>
        <v>105</v>
      </c>
      <c r="B107" s="11" t="s">
        <v>328</v>
      </c>
      <c r="C107" s="12" t="s">
        <v>126</v>
      </c>
      <c r="D107" s="6" t="s">
        <v>329</v>
      </c>
      <c r="E107" s="7" t="s">
        <v>330</v>
      </c>
      <c r="F107" s="6" t="s">
        <v>12</v>
      </c>
      <c r="G107" s="6" t="s">
        <v>13</v>
      </c>
    </row>
    <row r="108" ht="15.75" customHeight="1">
      <c r="A108" s="3">
        <f t="shared" si="1"/>
        <v>106</v>
      </c>
      <c r="B108" s="4" t="s">
        <v>331</v>
      </c>
      <c r="C108" s="5" t="s">
        <v>15</v>
      </c>
      <c r="D108" s="18" t="s">
        <v>332</v>
      </c>
      <c r="E108" s="7" t="s">
        <v>333</v>
      </c>
      <c r="F108" s="6" t="s">
        <v>12</v>
      </c>
      <c r="G108" s="6" t="s">
        <v>13</v>
      </c>
    </row>
    <row r="109" ht="15.75" customHeight="1">
      <c r="A109" s="3">
        <f t="shared" si="1"/>
        <v>107</v>
      </c>
      <c r="B109" s="4" t="s">
        <v>334</v>
      </c>
      <c r="C109" s="5" t="s">
        <v>9</v>
      </c>
      <c r="D109" s="18" t="s">
        <v>335</v>
      </c>
      <c r="E109" s="7" t="s">
        <v>336</v>
      </c>
      <c r="F109" s="6" t="s">
        <v>12</v>
      </c>
      <c r="G109" s="6" t="s">
        <v>13</v>
      </c>
    </row>
    <row r="110" ht="15.75" customHeight="1">
      <c r="A110" s="3">
        <f t="shared" si="1"/>
        <v>108</v>
      </c>
      <c r="B110" s="4" t="s">
        <v>337</v>
      </c>
      <c r="C110" s="5" t="s">
        <v>23</v>
      </c>
      <c r="D110" s="18" t="s">
        <v>338</v>
      </c>
      <c r="E110" s="7" t="s">
        <v>339</v>
      </c>
      <c r="F110" s="6" t="s">
        <v>12</v>
      </c>
      <c r="G110" s="6" t="s">
        <v>13</v>
      </c>
    </row>
    <row r="111" ht="15.75" customHeight="1">
      <c r="A111" s="3">
        <f t="shared" si="1"/>
        <v>109</v>
      </c>
      <c r="B111" s="4" t="s">
        <v>340</v>
      </c>
      <c r="C111" s="5" t="s">
        <v>9</v>
      </c>
      <c r="D111" s="6" t="s">
        <v>341</v>
      </c>
      <c r="E111" s="7" t="s">
        <v>342</v>
      </c>
      <c r="F111" s="6" t="s">
        <v>12</v>
      </c>
      <c r="G111" s="6" t="s">
        <v>13</v>
      </c>
    </row>
    <row r="112" ht="15.75" customHeight="1">
      <c r="A112" s="3">
        <f t="shared" si="1"/>
        <v>110</v>
      </c>
      <c r="B112" s="4" t="s">
        <v>343</v>
      </c>
      <c r="C112" s="5" t="s">
        <v>23</v>
      </c>
      <c r="D112" s="6" t="s">
        <v>344</v>
      </c>
      <c r="E112" s="7" t="s">
        <v>345</v>
      </c>
      <c r="F112" s="6" t="s">
        <v>12</v>
      </c>
      <c r="G112" s="6" t="s">
        <v>13</v>
      </c>
    </row>
    <row r="113" ht="15.75" customHeight="1">
      <c r="A113" s="3">
        <f t="shared" si="1"/>
        <v>111</v>
      </c>
      <c r="B113" s="4" t="s">
        <v>346</v>
      </c>
      <c r="C113" s="5" t="s">
        <v>23</v>
      </c>
      <c r="D113" s="18" t="s">
        <v>347</v>
      </c>
      <c r="E113" s="7" t="s">
        <v>348</v>
      </c>
      <c r="F113" s="6" t="s">
        <v>12</v>
      </c>
      <c r="G113" s="6" t="s">
        <v>13</v>
      </c>
    </row>
    <row r="114" ht="15.75" customHeight="1">
      <c r="A114" s="3">
        <f t="shared" si="1"/>
        <v>112</v>
      </c>
      <c r="B114" s="4" t="s">
        <v>349</v>
      </c>
      <c r="C114" s="5" t="s">
        <v>23</v>
      </c>
      <c r="D114" s="18" t="s">
        <v>350</v>
      </c>
      <c r="E114" s="7" t="s">
        <v>351</v>
      </c>
      <c r="F114" s="6" t="s">
        <v>12</v>
      </c>
      <c r="G114" s="6" t="s">
        <v>13</v>
      </c>
    </row>
    <row r="115" ht="15.75" customHeight="1">
      <c r="A115" s="3">
        <f t="shared" si="1"/>
        <v>113</v>
      </c>
      <c r="B115" s="4" t="s">
        <v>352</v>
      </c>
      <c r="C115" s="5" t="s">
        <v>9</v>
      </c>
      <c r="D115" s="18" t="s">
        <v>353</v>
      </c>
      <c r="E115" s="7" t="s">
        <v>354</v>
      </c>
      <c r="F115" s="6" t="s">
        <v>12</v>
      </c>
      <c r="G115" s="6" t="s">
        <v>13</v>
      </c>
    </row>
    <row r="116" ht="15.75" customHeight="1">
      <c r="A116" s="3">
        <f t="shared" si="1"/>
        <v>114</v>
      </c>
      <c r="B116" s="9" t="s">
        <v>355</v>
      </c>
      <c r="C116" s="5" t="s">
        <v>23</v>
      </c>
      <c r="D116" s="18" t="s">
        <v>356</v>
      </c>
      <c r="E116" s="7" t="s">
        <v>357</v>
      </c>
      <c r="F116" s="6" t="s">
        <v>12</v>
      </c>
      <c r="G116" s="6" t="s">
        <v>13</v>
      </c>
    </row>
    <row r="117" ht="15.75" customHeight="1">
      <c r="A117" s="3">
        <f t="shared" si="1"/>
        <v>115</v>
      </c>
      <c r="B117" s="4" t="s">
        <v>358</v>
      </c>
      <c r="C117" s="5" t="s">
        <v>23</v>
      </c>
      <c r="D117" s="18" t="s">
        <v>359</v>
      </c>
      <c r="E117" s="7" t="s">
        <v>360</v>
      </c>
      <c r="F117" s="6" t="s">
        <v>12</v>
      </c>
      <c r="G117" s="6" t="s">
        <v>13</v>
      </c>
    </row>
    <row r="118" ht="15.75" customHeight="1">
      <c r="A118" s="3">
        <f t="shared" si="1"/>
        <v>116</v>
      </c>
      <c r="B118" s="13" t="s">
        <v>361</v>
      </c>
      <c r="C118" s="14" t="s">
        <v>145</v>
      </c>
      <c r="D118" s="18" t="s">
        <v>362</v>
      </c>
      <c r="E118" s="7" t="s">
        <v>363</v>
      </c>
      <c r="F118" s="6" t="s">
        <v>12</v>
      </c>
      <c r="G118" s="6" t="s">
        <v>13</v>
      </c>
    </row>
    <row r="119" ht="15.75" customHeight="1">
      <c r="A119" s="3">
        <f t="shared" si="1"/>
        <v>117</v>
      </c>
      <c r="B119" s="4" t="s">
        <v>364</v>
      </c>
      <c r="C119" s="5" t="s">
        <v>23</v>
      </c>
      <c r="D119" s="18" t="s">
        <v>365</v>
      </c>
      <c r="E119" s="7" t="s">
        <v>366</v>
      </c>
      <c r="F119" s="6" t="s">
        <v>12</v>
      </c>
      <c r="G119" s="6" t="s">
        <v>13</v>
      </c>
    </row>
    <row r="120" ht="15.75" customHeight="1">
      <c r="A120" s="3">
        <f t="shared" si="1"/>
        <v>118</v>
      </c>
      <c r="B120" s="20" t="s">
        <v>367</v>
      </c>
      <c r="C120" s="14" t="s">
        <v>145</v>
      </c>
      <c r="D120" s="6" t="s">
        <v>368</v>
      </c>
      <c r="E120" s="7" t="s">
        <v>369</v>
      </c>
      <c r="F120" s="6" t="s">
        <v>12</v>
      </c>
      <c r="G120" s="6" t="s">
        <v>13</v>
      </c>
    </row>
    <row r="121" ht="15.75" customHeight="1">
      <c r="A121" s="3">
        <f t="shared" si="1"/>
        <v>119</v>
      </c>
      <c r="B121" s="4" t="s">
        <v>370</v>
      </c>
      <c r="C121" s="5" t="s">
        <v>9</v>
      </c>
      <c r="D121" s="6" t="s">
        <v>371</v>
      </c>
      <c r="E121" s="7" t="s">
        <v>372</v>
      </c>
      <c r="F121" s="6" t="s">
        <v>12</v>
      </c>
      <c r="G121" s="6" t="s">
        <v>13</v>
      </c>
    </row>
    <row r="122" ht="15.75" customHeight="1">
      <c r="A122" s="3">
        <f t="shared" si="1"/>
        <v>120</v>
      </c>
      <c r="B122" s="4" t="s">
        <v>373</v>
      </c>
      <c r="C122" s="5" t="s">
        <v>23</v>
      </c>
      <c r="D122" s="18" t="s">
        <v>374</v>
      </c>
      <c r="E122" s="7" t="s">
        <v>375</v>
      </c>
      <c r="F122" s="6" t="s">
        <v>12</v>
      </c>
      <c r="G122" s="6" t="s">
        <v>13</v>
      </c>
    </row>
    <row r="123" ht="15.75" customHeight="1">
      <c r="A123" s="3">
        <f t="shared" si="1"/>
        <v>121</v>
      </c>
      <c r="B123" s="13" t="s">
        <v>376</v>
      </c>
      <c r="C123" s="14" t="s">
        <v>145</v>
      </c>
      <c r="D123" s="18" t="s">
        <v>377</v>
      </c>
      <c r="E123" s="7" t="s">
        <v>378</v>
      </c>
      <c r="F123" s="6" t="s">
        <v>12</v>
      </c>
      <c r="G123" s="6" t="s">
        <v>13</v>
      </c>
    </row>
    <row r="124" ht="15.75" customHeight="1">
      <c r="A124" s="3">
        <f t="shared" si="1"/>
        <v>122</v>
      </c>
      <c r="B124" s="4" t="s">
        <v>379</v>
      </c>
      <c r="C124" s="5" t="s">
        <v>9</v>
      </c>
      <c r="D124" s="6" t="s">
        <v>380</v>
      </c>
      <c r="E124" s="7" t="s">
        <v>381</v>
      </c>
      <c r="F124" s="6" t="s">
        <v>12</v>
      </c>
      <c r="G124" s="6" t="s">
        <v>13</v>
      </c>
    </row>
    <row r="125" ht="15.75" customHeight="1">
      <c r="A125" s="3">
        <f t="shared" si="1"/>
        <v>123</v>
      </c>
      <c r="B125" s="4" t="s">
        <v>382</v>
      </c>
      <c r="C125" s="5" t="s">
        <v>9</v>
      </c>
      <c r="D125" s="6" t="s">
        <v>383</v>
      </c>
      <c r="E125" s="7" t="s">
        <v>384</v>
      </c>
      <c r="F125" s="6" t="s">
        <v>12</v>
      </c>
      <c r="G125" s="6" t="s">
        <v>13</v>
      </c>
    </row>
    <row r="126" ht="15.75" customHeight="1">
      <c r="A126" s="3">
        <f t="shared" si="1"/>
        <v>124</v>
      </c>
      <c r="B126" s="4" t="s">
        <v>385</v>
      </c>
      <c r="C126" s="5" t="s">
        <v>23</v>
      </c>
      <c r="D126" s="18" t="s">
        <v>386</v>
      </c>
      <c r="E126" s="7" t="s">
        <v>387</v>
      </c>
      <c r="F126" s="6" t="s">
        <v>12</v>
      </c>
      <c r="G126" s="6" t="s">
        <v>13</v>
      </c>
    </row>
    <row r="127" ht="15.75" customHeight="1">
      <c r="A127" s="3">
        <f t="shared" si="1"/>
        <v>125</v>
      </c>
      <c r="B127" s="21" t="s">
        <v>388</v>
      </c>
      <c r="C127" s="5" t="s">
        <v>23</v>
      </c>
      <c r="D127" s="18" t="s">
        <v>389</v>
      </c>
      <c r="E127" s="7" t="s">
        <v>390</v>
      </c>
      <c r="F127" s="6" t="s">
        <v>12</v>
      </c>
      <c r="G127" s="6" t="s">
        <v>13</v>
      </c>
    </row>
    <row r="128" ht="15.75" customHeight="1">
      <c r="A128" s="3">
        <f t="shared" si="1"/>
        <v>126</v>
      </c>
      <c r="B128" s="4" t="s">
        <v>391</v>
      </c>
      <c r="C128" s="5" t="s">
        <v>23</v>
      </c>
      <c r="D128" s="18" t="s">
        <v>392</v>
      </c>
      <c r="E128" s="7" t="s">
        <v>393</v>
      </c>
      <c r="F128" s="6" t="s">
        <v>12</v>
      </c>
      <c r="G128" s="6" t="s">
        <v>13</v>
      </c>
    </row>
    <row r="129" ht="15.75" customHeight="1">
      <c r="A129" s="3">
        <f t="shared" si="1"/>
        <v>127</v>
      </c>
      <c r="B129" s="4" t="s">
        <v>394</v>
      </c>
      <c r="C129" s="5" t="s">
        <v>23</v>
      </c>
      <c r="D129" s="18" t="s">
        <v>395</v>
      </c>
      <c r="E129" s="7" t="s">
        <v>396</v>
      </c>
      <c r="F129" s="6" t="s">
        <v>12</v>
      </c>
      <c r="G129" s="6" t="s">
        <v>13</v>
      </c>
    </row>
    <row r="130" ht="15.75" customHeight="1">
      <c r="A130" s="3">
        <f t="shared" si="1"/>
        <v>128</v>
      </c>
      <c r="B130" s="4" t="s">
        <v>397</v>
      </c>
      <c r="C130" s="5" t="s">
        <v>9</v>
      </c>
      <c r="D130" s="6" t="s">
        <v>398</v>
      </c>
      <c r="E130" s="7" t="s">
        <v>399</v>
      </c>
      <c r="F130" s="6" t="s">
        <v>12</v>
      </c>
      <c r="G130" s="6" t="s">
        <v>13</v>
      </c>
    </row>
    <row r="131" ht="15.75" customHeight="1">
      <c r="A131" s="3">
        <f t="shared" si="1"/>
        <v>129</v>
      </c>
      <c r="B131" s="4" t="s">
        <v>400</v>
      </c>
      <c r="C131" s="5" t="s">
        <v>9</v>
      </c>
      <c r="D131" s="6" t="s">
        <v>401</v>
      </c>
      <c r="E131" s="7" t="s">
        <v>402</v>
      </c>
      <c r="F131" s="6" t="s">
        <v>12</v>
      </c>
      <c r="G131" s="6" t="s">
        <v>13</v>
      </c>
    </row>
    <row r="132" ht="15.75" customHeight="1">
      <c r="A132" s="3">
        <f t="shared" si="1"/>
        <v>130</v>
      </c>
      <c r="B132" s="22" t="s">
        <v>403</v>
      </c>
      <c r="C132" s="23" t="s">
        <v>9</v>
      </c>
      <c r="D132" s="6" t="s">
        <v>404</v>
      </c>
      <c r="E132" s="7" t="s">
        <v>405</v>
      </c>
      <c r="F132" s="6" t="s">
        <v>12</v>
      </c>
      <c r="G132" s="6" t="s">
        <v>13</v>
      </c>
    </row>
    <row r="133" ht="15.75" customHeight="1">
      <c r="A133" s="3">
        <f t="shared" si="1"/>
        <v>131</v>
      </c>
      <c r="B133" s="22" t="s">
        <v>406</v>
      </c>
      <c r="C133" s="23" t="s">
        <v>23</v>
      </c>
      <c r="D133" s="18" t="s">
        <v>407</v>
      </c>
      <c r="E133" s="7" t="s">
        <v>408</v>
      </c>
      <c r="F133" s="6" t="s">
        <v>12</v>
      </c>
      <c r="G133" s="6" t="s">
        <v>13</v>
      </c>
    </row>
    <row r="134" ht="15.75" customHeight="1">
      <c r="A134" s="3">
        <f t="shared" si="1"/>
        <v>132</v>
      </c>
      <c r="B134" s="4" t="s">
        <v>409</v>
      </c>
      <c r="C134" s="5" t="s">
        <v>15</v>
      </c>
      <c r="D134" s="18" t="s">
        <v>410</v>
      </c>
      <c r="E134" s="7" t="s">
        <v>411</v>
      </c>
      <c r="F134" s="6" t="s">
        <v>12</v>
      </c>
      <c r="G134" s="6" t="s">
        <v>13</v>
      </c>
    </row>
    <row r="135" ht="15.75" customHeight="1">
      <c r="A135" s="3">
        <f t="shared" si="1"/>
        <v>133</v>
      </c>
      <c r="B135" s="24" t="s">
        <v>412</v>
      </c>
      <c r="C135" s="25" t="s">
        <v>23</v>
      </c>
      <c r="D135" s="18" t="s">
        <v>413</v>
      </c>
      <c r="E135" s="7" t="s">
        <v>414</v>
      </c>
      <c r="F135" s="6" t="s">
        <v>12</v>
      </c>
      <c r="G135" s="6" t="s">
        <v>13</v>
      </c>
    </row>
    <row r="136" ht="15.75" customHeight="1">
      <c r="A136" s="3">
        <f t="shared" si="1"/>
        <v>134</v>
      </c>
      <c r="B136" s="4" t="s">
        <v>415</v>
      </c>
      <c r="C136" s="5" t="s">
        <v>23</v>
      </c>
      <c r="D136" s="18" t="s">
        <v>416</v>
      </c>
      <c r="E136" s="7" t="s">
        <v>417</v>
      </c>
      <c r="F136" s="6" t="s">
        <v>12</v>
      </c>
      <c r="G136" s="6" t="s">
        <v>13</v>
      </c>
    </row>
    <row r="137" ht="15.75" customHeight="1">
      <c r="A137" s="3">
        <f t="shared" si="1"/>
        <v>135</v>
      </c>
      <c r="B137" s="4" t="s">
        <v>418</v>
      </c>
      <c r="C137" s="5" t="s">
        <v>23</v>
      </c>
      <c r="D137" s="6" t="s">
        <v>419</v>
      </c>
      <c r="E137" s="7" t="s">
        <v>420</v>
      </c>
      <c r="F137" s="6" t="s">
        <v>12</v>
      </c>
      <c r="G137" s="6" t="s">
        <v>13</v>
      </c>
    </row>
    <row r="138" ht="15.75" customHeight="1">
      <c r="A138" s="3">
        <f t="shared" si="1"/>
        <v>136</v>
      </c>
      <c r="B138" s="16" t="s">
        <v>421</v>
      </c>
      <c r="C138" s="17" t="s">
        <v>145</v>
      </c>
      <c r="D138" s="18" t="s">
        <v>422</v>
      </c>
      <c r="E138" s="7" t="s">
        <v>423</v>
      </c>
      <c r="F138" s="6" t="s">
        <v>12</v>
      </c>
      <c r="G138" s="6" t="s">
        <v>13</v>
      </c>
    </row>
    <row r="139" ht="15.75" customHeight="1">
      <c r="A139" s="3">
        <f t="shared" si="1"/>
        <v>137</v>
      </c>
      <c r="B139" s="4" t="s">
        <v>424</v>
      </c>
      <c r="C139" s="5" t="s">
        <v>23</v>
      </c>
      <c r="D139" s="18" t="s">
        <v>425</v>
      </c>
      <c r="E139" s="7" t="s">
        <v>426</v>
      </c>
      <c r="F139" s="6" t="s">
        <v>12</v>
      </c>
      <c r="G139" s="6" t="s">
        <v>13</v>
      </c>
    </row>
    <row r="140" ht="15.75" customHeight="1">
      <c r="A140" s="3">
        <f t="shared" si="1"/>
        <v>138</v>
      </c>
      <c r="B140" s="4" t="s">
        <v>427</v>
      </c>
      <c r="C140" s="5" t="s">
        <v>23</v>
      </c>
      <c r="D140" s="6" t="s">
        <v>428</v>
      </c>
      <c r="E140" s="7" t="s">
        <v>429</v>
      </c>
      <c r="F140" s="6" t="s">
        <v>12</v>
      </c>
      <c r="G140" s="6" t="s">
        <v>13</v>
      </c>
    </row>
    <row r="141" ht="15.75" customHeight="1">
      <c r="A141" s="3">
        <f t="shared" si="1"/>
        <v>139</v>
      </c>
      <c r="B141" s="4" t="s">
        <v>430</v>
      </c>
      <c r="C141" s="5" t="s">
        <v>23</v>
      </c>
      <c r="D141" s="18" t="s">
        <v>431</v>
      </c>
      <c r="E141" s="7" t="s">
        <v>432</v>
      </c>
      <c r="F141" s="6" t="s">
        <v>12</v>
      </c>
      <c r="G141" s="6" t="s">
        <v>13</v>
      </c>
    </row>
    <row r="142" ht="15.75" customHeight="1">
      <c r="B142" s="11"/>
      <c r="C142" s="11"/>
      <c r="D142" s="11"/>
      <c r="E142" s="11"/>
      <c r="F142" s="11"/>
      <c r="G142" s="11"/>
    </row>
    <row r="143" ht="15.75" customHeight="1">
      <c r="B143" s="11"/>
      <c r="C143" s="11"/>
      <c r="D143" s="11"/>
      <c r="E143" s="11"/>
      <c r="F143" s="11"/>
      <c r="G143" s="11"/>
    </row>
    <row r="144" ht="15.75" customHeight="1">
      <c r="B144" s="11"/>
      <c r="C144" s="11"/>
      <c r="D144" s="11"/>
      <c r="E144" s="11"/>
      <c r="F144" s="11"/>
      <c r="G144" s="11"/>
    </row>
    <row r="145" ht="15.75" customHeight="1">
      <c r="B145" s="11"/>
      <c r="C145" s="11"/>
      <c r="D145" s="11"/>
      <c r="E145" s="11"/>
      <c r="F145" s="11"/>
      <c r="G145" s="11"/>
    </row>
    <row r="146" ht="15.75" customHeight="1">
      <c r="B146" s="11"/>
      <c r="C146" s="11"/>
      <c r="D146" s="11"/>
      <c r="E146" s="11"/>
      <c r="F146" s="11"/>
      <c r="G146" s="11"/>
    </row>
    <row r="147" ht="15.75" customHeight="1">
      <c r="B147" s="11"/>
      <c r="C147" s="11"/>
      <c r="D147" s="11"/>
      <c r="E147" s="11"/>
      <c r="F147" s="11"/>
      <c r="G147" s="11"/>
    </row>
    <row r="148" ht="15.75" customHeight="1">
      <c r="B148" s="11"/>
      <c r="C148" s="11"/>
      <c r="D148" s="11"/>
      <c r="E148" s="11"/>
      <c r="F148" s="11"/>
      <c r="G148" s="11"/>
    </row>
    <row r="149" ht="15.75" customHeight="1">
      <c r="B149" s="11"/>
      <c r="C149" s="11"/>
      <c r="D149" s="11"/>
      <c r="E149" s="11"/>
      <c r="F149" s="11"/>
      <c r="G149" s="11"/>
    </row>
    <row r="150" ht="15.75" customHeight="1">
      <c r="B150" s="11"/>
      <c r="C150" s="11"/>
      <c r="D150" s="11"/>
      <c r="E150" s="11"/>
      <c r="F150" s="11"/>
      <c r="G150" s="11"/>
    </row>
    <row r="151" ht="15.75" customHeight="1">
      <c r="B151" s="11"/>
      <c r="C151" s="11"/>
      <c r="D151" s="11"/>
      <c r="E151" s="11"/>
      <c r="F151" s="11"/>
      <c r="G151" s="11"/>
    </row>
    <row r="152" ht="15.75" customHeight="1">
      <c r="B152" s="11"/>
      <c r="C152" s="11"/>
      <c r="D152" s="11"/>
      <c r="E152" s="11"/>
      <c r="F152" s="11"/>
      <c r="G152" s="11"/>
    </row>
    <row r="153" ht="15.75" customHeight="1">
      <c r="B153" s="11"/>
      <c r="C153" s="11"/>
      <c r="D153" s="11"/>
      <c r="E153" s="11"/>
      <c r="F153" s="11"/>
      <c r="G153" s="11"/>
    </row>
    <row r="154" ht="15.75" customHeight="1">
      <c r="B154" s="11"/>
      <c r="C154" s="11"/>
      <c r="D154" s="11"/>
      <c r="E154" s="11"/>
      <c r="F154" s="11"/>
      <c r="G154" s="11"/>
    </row>
    <row r="155" ht="15.75" customHeight="1">
      <c r="B155" s="11"/>
      <c r="C155" s="11"/>
      <c r="D155" s="11"/>
      <c r="E155" s="11"/>
      <c r="F155" s="11"/>
      <c r="G155" s="11"/>
    </row>
    <row r="156" ht="15.75" customHeight="1">
      <c r="B156" s="11"/>
      <c r="C156" s="11"/>
      <c r="D156" s="11"/>
      <c r="E156" s="11"/>
      <c r="F156" s="11"/>
      <c r="G156" s="11"/>
    </row>
    <row r="157" ht="15.75" customHeight="1">
      <c r="B157" s="11"/>
      <c r="C157" s="11"/>
      <c r="D157" s="11"/>
      <c r="E157" s="11"/>
      <c r="F157" s="11"/>
      <c r="G157" s="11"/>
    </row>
    <row r="158" ht="15.75" customHeight="1">
      <c r="B158" s="11"/>
      <c r="C158" s="11"/>
      <c r="D158" s="11"/>
      <c r="E158" s="11"/>
      <c r="F158" s="11"/>
      <c r="G158" s="11"/>
    </row>
    <row r="159" ht="15.75" customHeight="1">
      <c r="B159" s="11"/>
      <c r="C159" s="11"/>
      <c r="D159" s="11"/>
      <c r="E159" s="11"/>
      <c r="F159" s="11"/>
      <c r="G159" s="11"/>
    </row>
    <row r="160" ht="15.75" customHeight="1">
      <c r="B160" s="11"/>
      <c r="C160" s="11"/>
      <c r="D160" s="11"/>
      <c r="E160" s="11"/>
      <c r="F160" s="11"/>
      <c r="G160" s="11"/>
    </row>
    <row r="161" ht="15.75" customHeight="1">
      <c r="D161" s="11"/>
      <c r="F161" s="11"/>
      <c r="G161" s="11"/>
    </row>
    <row r="162" ht="15.75" customHeight="1">
      <c r="D162" s="11"/>
      <c r="F162" s="11"/>
      <c r="G162" s="11"/>
    </row>
    <row r="163" ht="15.75" customHeight="1">
      <c r="D163" s="11"/>
      <c r="F163" s="11"/>
      <c r="G163" s="11"/>
    </row>
    <row r="164" ht="15.75" customHeight="1">
      <c r="D164" s="11"/>
      <c r="F164" s="11"/>
      <c r="G164" s="11"/>
    </row>
    <row r="165" ht="15.75" customHeight="1">
      <c r="D165" s="11"/>
      <c r="F165" s="11"/>
      <c r="G165" s="11"/>
    </row>
    <row r="166" ht="15.75" customHeight="1">
      <c r="D166" s="11"/>
      <c r="F166" s="11"/>
      <c r="G166" s="11"/>
    </row>
    <row r="167" ht="15.75" customHeight="1">
      <c r="D167" s="11"/>
      <c r="F167" s="11"/>
      <c r="G167" s="11"/>
    </row>
    <row r="168" ht="15.75" customHeight="1">
      <c r="D168" s="11"/>
      <c r="F168" s="11"/>
      <c r="G168" s="11"/>
    </row>
    <row r="169" ht="15.75" customHeight="1">
      <c r="D169" s="11"/>
      <c r="F169" s="11"/>
      <c r="G169" s="11"/>
    </row>
    <row r="170" ht="15.75" customHeight="1">
      <c r="D170" s="11"/>
      <c r="F170" s="11"/>
      <c r="G170" s="11"/>
    </row>
    <row r="171" ht="15.75" customHeight="1">
      <c r="D171" s="11"/>
      <c r="F171" s="11"/>
      <c r="G171" s="11"/>
    </row>
    <row r="172" ht="15.75" customHeight="1">
      <c r="D172" s="11"/>
      <c r="F172" s="11"/>
      <c r="G172" s="11"/>
    </row>
    <row r="173" ht="15.75" customHeight="1">
      <c r="D173" s="11"/>
      <c r="F173" s="11"/>
      <c r="G173" s="11"/>
    </row>
    <row r="174" ht="15.75" customHeight="1">
      <c r="D174" s="11"/>
      <c r="F174" s="11"/>
      <c r="G174" s="11"/>
    </row>
    <row r="175" ht="15.75" customHeight="1">
      <c r="D175" s="11"/>
      <c r="F175" s="11"/>
      <c r="G175" s="11"/>
    </row>
    <row r="176" ht="15.75" customHeight="1">
      <c r="D176" s="11"/>
      <c r="F176" s="11"/>
      <c r="G176" s="11"/>
    </row>
    <row r="177" ht="15.75" customHeight="1">
      <c r="D177" s="11"/>
      <c r="F177" s="11"/>
      <c r="G177" s="11"/>
    </row>
    <row r="178" ht="15.75" customHeight="1">
      <c r="D178" s="11"/>
      <c r="F178" s="11"/>
      <c r="G178" s="11"/>
    </row>
    <row r="179" ht="15.75" customHeight="1">
      <c r="D179" s="11"/>
      <c r="F179" s="11"/>
      <c r="G179" s="11"/>
    </row>
    <row r="180" ht="15.75" customHeight="1">
      <c r="D180" s="11"/>
      <c r="F180" s="11"/>
      <c r="G180" s="11"/>
    </row>
    <row r="181" ht="15.75" customHeight="1">
      <c r="D181" s="11"/>
      <c r="F181" s="11"/>
      <c r="G181" s="11"/>
    </row>
    <row r="182" ht="15.75" customHeight="1">
      <c r="D182" s="11"/>
      <c r="F182" s="11"/>
      <c r="G182" s="11"/>
    </row>
    <row r="183" ht="15.75" customHeight="1">
      <c r="D183" s="11"/>
      <c r="F183" s="11"/>
      <c r="G183" s="11"/>
    </row>
    <row r="184" ht="15.75" customHeight="1">
      <c r="D184" s="11"/>
      <c r="F184" s="11"/>
      <c r="G184" s="11"/>
    </row>
    <row r="185" ht="15.75" customHeight="1">
      <c r="D185" s="11"/>
      <c r="F185" s="11"/>
      <c r="G185" s="11"/>
    </row>
    <row r="186" ht="15.75" customHeight="1">
      <c r="D186" s="11"/>
      <c r="F186" s="11"/>
      <c r="G186" s="11"/>
    </row>
    <row r="187" ht="15.75" customHeight="1">
      <c r="D187" s="11"/>
      <c r="F187" s="11"/>
      <c r="G187" s="11"/>
    </row>
    <row r="188" ht="15.75" customHeight="1">
      <c r="D188" s="11"/>
      <c r="F188" s="11"/>
      <c r="G188" s="11"/>
    </row>
    <row r="189" ht="15.75" customHeight="1">
      <c r="D189" s="11"/>
      <c r="F189" s="11"/>
      <c r="G189" s="11"/>
    </row>
    <row r="190" ht="15.75" customHeight="1">
      <c r="D190" s="11"/>
      <c r="F190" s="11"/>
      <c r="G190" s="11"/>
    </row>
    <row r="191" ht="15.75" customHeight="1">
      <c r="D191" s="11"/>
      <c r="F191" s="11"/>
      <c r="G191" s="11"/>
    </row>
    <row r="192" ht="15.75" customHeight="1">
      <c r="D192" s="11"/>
      <c r="F192" s="11"/>
      <c r="G192" s="11"/>
    </row>
    <row r="193" ht="15.75" customHeight="1">
      <c r="D193" s="11"/>
      <c r="F193" s="11"/>
      <c r="G193" s="11"/>
    </row>
    <row r="194" ht="15.75" customHeight="1">
      <c r="D194" s="11"/>
      <c r="F194" s="11"/>
      <c r="G194" s="11"/>
    </row>
    <row r="195" ht="15.75" customHeight="1">
      <c r="D195" s="11"/>
      <c r="F195" s="11"/>
      <c r="G195" s="11"/>
    </row>
    <row r="196" ht="15.75" customHeight="1">
      <c r="D196" s="11"/>
      <c r="F196" s="11"/>
      <c r="G196" s="11"/>
    </row>
    <row r="197" ht="15.75" customHeight="1">
      <c r="D197" s="11"/>
      <c r="F197" s="11"/>
      <c r="G197" s="11"/>
    </row>
    <row r="198" ht="15.75" customHeight="1">
      <c r="D198" s="11"/>
      <c r="F198" s="11"/>
      <c r="G198" s="11"/>
    </row>
    <row r="199" ht="15.75" customHeight="1">
      <c r="D199" s="11"/>
      <c r="F199" s="11"/>
      <c r="G199" s="11"/>
    </row>
    <row r="200" ht="15.75" customHeight="1">
      <c r="D200" s="11"/>
      <c r="F200" s="11"/>
      <c r="G200" s="11"/>
    </row>
    <row r="201" ht="15.75" customHeight="1">
      <c r="D201" s="11"/>
      <c r="F201" s="11"/>
      <c r="G201" s="11"/>
    </row>
    <row r="202" ht="15.75" customHeight="1">
      <c r="D202" s="11"/>
      <c r="F202" s="11"/>
      <c r="G202" s="11"/>
    </row>
    <row r="203" ht="15.75" customHeight="1">
      <c r="D203" s="11"/>
      <c r="F203" s="11"/>
      <c r="G203" s="11"/>
    </row>
    <row r="204" ht="15.75" customHeight="1">
      <c r="D204" s="11"/>
      <c r="F204" s="11"/>
      <c r="G204" s="11"/>
    </row>
    <row r="205" ht="15.75" customHeight="1">
      <c r="D205" s="11"/>
      <c r="F205" s="11"/>
      <c r="G205" s="11"/>
    </row>
    <row r="206" ht="15.75" customHeight="1">
      <c r="D206" s="11"/>
      <c r="F206" s="11"/>
      <c r="G206" s="11"/>
    </row>
    <row r="207" ht="15.75" customHeight="1">
      <c r="D207" s="11"/>
      <c r="F207" s="11"/>
      <c r="G207" s="11"/>
    </row>
    <row r="208" ht="15.75" customHeight="1">
      <c r="D208" s="11"/>
      <c r="F208" s="11"/>
      <c r="G208" s="11"/>
    </row>
    <row r="209" ht="15.75" customHeight="1">
      <c r="D209" s="11"/>
      <c r="F209" s="11"/>
      <c r="G209" s="11"/>
    </row>
    <row r="210" ht="15.75" customHeight="1">
      <c r="D210" s="11"/>
      <c r="F210" s="11"/>
      <c r="G210" s="11"/>
    </row>
    <row r="211" ht="15.75" customHeight="1">
      <c r="D211" s="11"/>
      <c r="F211" s="11"/>
      <c r="G211" s="11"/>
    </row>
    <row r="212" ht="15.75" customHeight="1">
      <c r="D212" s="11"/>
      <c r="F212" s="11"/>
      <c r="G212" s="11"/>
    </row>
    <row r="213" ht="15.75" customHeight="1">
      <c r="D213" s="11"/>
      <c r="F213" s="11"/>
      <c r="G213" s="11"/>
    </row>
    <row r="214" ht="15.75" customHeight="1">
      <c r="D214" s="11"/>
      <c r="F214" s="11"/>
      <c r="G214" s="11"/>
    </row>
    <row r="215" ht="15.75" customHeight="1">
      <c r="D215" s="11"/>
      <c r="F215" s="11"/>
      <c r="G215" s="11"/>
    </row>
    <row r="216" ht="15.75" customHeight="1">
      <c r="D216" s="11"/>
      <c r="F216" s="11"/>
      <c r="G216" s="11"/>
    </row>
    <row r="217" ht="15.75" customHeight="1">
      <c r="D217" s="11"/>
      <c r="F217" s="11"/>
      <c r="G217" s="11"/>
    </row>
    <row r="218" ht="15.75" customHeight="1">
      <c r="D218" s="11"/>
      <c r="F218" s="11"/>
      <c r="G218" s="11"/>
    </row>
    <row r="219" ht="15.75" customHeight="1">
      <c r="D219" s="11"/>
      <c r="F219" s="11"/>
      <c r="G219" s="11"/>
    </row>
    <row r="220" ht="15.75" customHeight="1">
      <c r="D220" s="11"/>
      <c r="F220" s="11"/>
      <c r="G220" s="11"/>
    </row>
    <row r="221" ht="15.75" customHeight="1">
      <c r="D221" s="11"/>
      <c r="F221" s="11"/>
      <c r="G221" s="11"/>
    </row>
    <row r="222" ht="15.75" customHeight="1">
      <c r="D222" s="11"/>
      <c r="F222" s="11"/>
      <c r="G222" s="11"/>
    </row>
    <row r="223" ht="15.75" customHeight="1">
      <c r="D223" s="11"/>
      <c r="F223" s="11"/>
      <c r="G223" s="11"/>
    </row>
    <row r="224" ht="15.75" customHeight="1">
      <c r="D224" s="11"/>
      <c r="F224" s="11"/>
      <c r="G224" s="11"/>
    </row>
    <row r="225" ht="15.75" customHeight="1">
      <c r="D225" s="11"/>
      <c r="F225" s="11"/>
      <c r="G225" s="11"/>
    </row>
    <row r="226" ht="15.75" customHeight="1">
      <c r="D226" s="11"/>
      <c r="F226" s="11"/>
      <c r="G226" s="11"/>
    </row>
    <row r="227" ht="15.75" customHeight="1">
      <c r="D227" s="11"/>
      <c r="F227" s="11"/>
      <c r="G227" s="11"/>
    </row>
    <row r="228" ht="15.75" customHeight="1">
      <c r="D228" s="11"/>
      <c r="F228" s="11"/>
      <c r="G228" s="11"/>
    </row>
    <row r="229" ht="15.75" customHeight="1">
      <c r="D229" s="11"/>
      <c r="F229" s="11"/>
      <c r="G229" s="11"/>
    </row>
    <row r="230" ht="15.75" customHeight="1">
      <c r="D230" s="11"/>
      <c r="F230" s="11"/>
      <c r="G230" s="11"/>
    </row>
    <row r="231" ht="15.75" customHeight="1">
      <c r="D231" s="11"/>
      <c r="F231" s="11"/>
      <c r="G231" s="11"/>
    </row>
    <row r="232" ht="15.75" customHeight="1">
      <c r="D232" s="11"/>
      <c r="F232" s="11"/>
      <c r="G232" s="11"/>
    </row>
    <row r="233" ht="15.75" customHeight="1">
      <c r="D233" s="11"/>
      <c r="F233" s="11"/>
      <c r="G233" s="11"/>
    </row>
    <row r="234" ht="15.75" customHeight="1">
      <c r="D234" s="11"/>
      <c r="F234" s="11"/>
      <c r="G234" s="11"/>
    </row>
    <row r="235" ht="15.75" customHeight="1">
      <c r="D235" s="11"/>
      <c r="F235" s="11"/>
      <c r="G235" s="11"/>
    </row>
    <row r="236" ht="15.75" customHeight="1">
      <c r="D236" s="11"/>
      <c r="F236" s="11"/>
      <c r="G236" s="11"/>
    </row>
    <row r="237" ht="15.75" customHeight="1">
      <c r="D237" s="11"/>
      <c r="F237" s="11"/>
      <c r="G237" s="11"/>
    </row>
    <row r="238" ht="15.75" customHeight="1">
      <c r="D238" s="11"/>
      <c r="F238" s="11"/>
      <c r="G238" s="11"/>
    </row>
    <row r="239" ht="15.75" customHeight="1">
      <c r="D239" s="11"/>
      <c r="F239" s="11"/>
      <c r="G239" s="11"/>
    </row>
    <row r="240" ht="15.75" customHeight="1">
      <c r="D240" s="11"/>
      <c r="F240" s="11"/>
      <c r="G240" s="11"/>
    </row>
    <row r="241" ht="15.75" customHeight="1">
      <c r="D241" s="11"/>
      <c r="F241" s="11"/>
      <c r="G241" s="11"/>
    </row>
    <row r="242" ht="15.75" customHeight="1">
      <c r="D242" s="11"/>
      <c r="F242" s="11"/>
      <c r="G242" s="11"/>
    </row>
    <row r="243" ht="15.75" customHeight="1">
      <c r="D243" s="11"/>
      <c r="F243" s="11"/>
      <c r="G243" s="11"/>
    </row>
    <row r="244" ht="15.75" customHeight="1">
      <c r="D244" s="11"/>
      <c r="F244" s="11"/>
      <c r="G244" s="11"/>
    </row>
    <row r="245" ht="15.75" customHeight="1">
      <c r="D245" s="11"/>
      <c r="F245" s="11"/>
      <c r="G245" s="11"/>
    </row>
    <row r="246" ht="15.75" customHeight="1">
      <c r="D246" s="11"/>
      <c r="F246" s="11"/>
      <c r="G246" s="11"/>
    </row>
    <row r="247" ht="15.75" customHeight="1">
      <c r="D247" s="11"/>
      <c r="F247" s="11"/>
      <c r="G247" s="11"/>
    </row>
    <row r="248" ht="15.75" customHeight="1">
      <c r="D248" s="11"/>
      <c r="F248" s="11"/>
      <c r="G248" s="11"/>
    </row>
    <row r="249" ht="15.75" customHeight="1">
      <c r="D249" s="11"/>
      <c r="F249" s="11"/>
      <c r="G249" s="11"/>
    </row>
    <row r="250" ht="15.75" customHeight="1">
      <c r="D250" s="11"/>
      <c r="F250" s="11"/>
      <c r="G250" s="11"/>
    </row>
    <row r="251" ht="15.75" customHeight="1">
      <c r="D251" s="11"/>
      <c r="F251" s="11"/>
      <c r="G251" s="11"/>
    </row>
    <row r="252" ht="15.75" customHeight="1">
      <c r="D252" s="11"/>
      <c r="F252" s="11"/>
      <c r="G252" s="11"/>
    </row>
    <row r="253" ht="15.75" customHeight="1">
      <c r="D253" s="11"/>
      <c r="F253" s="11"/>
      <c r="G253" s="11"/>
    </row>
    <row r="254" ht="15.75" customHeight="1">
      <c r="D254" s="11"/>
      <c r="F254" s="11"/>
      <c r="G254" s="11"/>
    </row>
    <row r="255" ht="15.75" customHeight="1">
      <c r="D255" s="11"/>
      <c r="F255" s="11"/>
      <c r="G255" s="11"/>
    </row>
    <row r="256" ht="15.75" customHeight="1">
      <c r="D256" s="11"/>
      <c r="F256" s="11"/>
      <c r="G256" s="11"/>
    </row>
    <row r="257" ht="15.75" customHeight="1">
      <c r="D257" s="11"/>
      <c r="F257" s="11"/>
      <c r="G257" s="11"/>
    </row>
    <row r="258" ht="15.75" customHeight="1">
      <c r="D258" s="11"/>
      <c r="F258" s="11"/>
      <c r="G258" s="11"/>
    </row>
    <row r="259" ht="15.75" customHeight="1">
      <c r="D259" s="11"/>
      <c r="F259" s="11"/>
      <c r="G259" s="11"/>
    </row>
    <row r="260" ht="15.75" customHeight="1">
      <c r="D260" s="11"/>
      <c r="F260" s="11"/>
      <c r="G260" s="11"/>
    </row>
    <row r="261" ht="15.75" customHeight="1">
      <c r="D261" s="11"/>
      <c r="F261" s="11"/>
      <c r="G261" s="11"/>
    </row>
    <row r="262" ht="15.75" customHeight="1">
      <c r="D262" s="11"/>
      <c r="F262" s="11"/>
      <c r="G262" s="11"/>
    </row>
    <row r="263" ht="15.75" customHeight="1">
      <c r="D263" s="11"/>
      <c r="F263" s="11"/>
      <c r="G263" s="11"/>
    </row>
    <row r="264" ht="15.75" customHeight="1">
      <c r="D264" s="11"/>
      <c r="F264" s="11"/>
      <c r="G264" s="11"/>
    </row>
    <row r="265" ht="15.75" customHeight="1">
      <c r="D265" s="11"/>
      <c r="F265" s="11"/>
      <c r="G265" s="11"/>
    </row>
    <row r="266" ht="15.75" customHeight="1">
      <c r="D266" s="11"/>
      <c r="F266" s="11"/>
      <c r="G266" s="11"/>
    </row>
    <row r="267" ht="15.75" customHeight="1">
      <c r="D267" s="11"/>
      <c r="F267" s="11"/>
      <c r="G267" s="11"/>
    </row>
    <row r="268" ht="15.75" customHeight="1">
      <c r="D268" s="11"/>
      <c r="F268" s="11"/>
      <c r="G268" s="11"/>
    </row>
    <row r="269" ht="15.75" customHeight="1">
      <c r="D269" s="11"/>
      <c r="F269" s="11"/>
      <c r="G269" s="11"/>
    </row>
    <row r="270" ht="15.75" customHeight="1">
      <c r="D270" s="11"/>
      <c r="F270" s="11"/>
      <c r="G270" s="11"/>
    </row>
    <row r="271" ht="15.75" customHeight="1">
      <c r="D271" s="11"/>
      <c r="F271" s="11"/>
      <c r="G271" s="11"/>
    </row>
    <row r="272" ht="15.75" customHeight="1">
      <c r="D272" s="11"/>
      <c r="F272" s="11"/>
      <c r="G272" s="11"/>
    </row>
    <row r="273" ht="15.75" customHeight="1">
      <c r="D273" s="11"/>
      <c r="F273" s="11"/>
      <c r="G273" s="11"/>
    </row>
    <row r="274" ht="15.75" customHeight="1">
      <c r="D274" s="11"/>
      <c r="F274" s="11"/>
      <c r="G274" s="11"/>
    </row>
    <row r="275" ht="15.75" customHeight="1">
      <c r="D275" s="11"/>
      <c r="F275" s="11"/>
      <c r="G275" s="11"/>
    </row>
    <row r="276" ht="15.75" customHeight="1">
      <c r="D276" s="11"/>
      <c r="F276" s="11"/>
      <c r="G276" s="11"/>
    </row>
    <row r="277" ht="15.75" customHeight="1">
      <c r="D277" s="11"/>
      <c r="F277" s="11"/>
      <c r="G277" s="11"/>
    </row>
    <row r="278" ht="15.75" customHeight="1">
      <c r="D278" s="11"/>
      <c r="F278" s="11"/>
      <c r="G278" s="11"/>
    </row>
    <row r="279" ht="15.75" customHeight="1">
      <c r="D279" s="11"/>
      <c r="F279" s="11"/>
      <c r="G279" s="11"/>
    </row>
    <row r="280" ht="15.75" customHeight="1">
      <c r="D280" s="11"/>
      <c r="F280" s="11"/>
      <c r="G280" s="11"/>
    </row>
    <row r="281" ht="15.75" customHeight="1">
      <c r="D281" s="11"/>
      <c r="F281" s="11"/>
      <c r="G281" s="11"/>
    </row>
    <row r="282" ht="15.75" customHeight="1">
      <c r="D282" s="11"/>
      <c r="F282" s="11"/>
      <c r="G282" s="11"/>
    </row>
    <row r="283" ht="15.75" customHeight="1">
      <c r="D283" s="11"/>
      <c r="F283" s="11"/>
      <c r="G283" s="11"/>
    </row>
    <row r="284" ht="15.75" customHeight="1">
      <c r="D284" s="11"/>
      <c r="F284" s="11"/>
      <c r="G284" s="11"/>
    </row>
    <row r="285" ht="15.75" customHeight="1">
      <c r="D285" s="11"/>
      <c r="F285" s="11"/>
      <c r="G285" s="11"/>
    </row>
    <row r="286" ht="15.75" customHeight="1">
      <c r="D286" s="11"/>
      <c r="F286" s="11"/>
      <c r="G286" s="11"/>
    </row>
    <row r="287" ht="15.75" customHeight="1">
      <c r="D287" s="11"/>
      <c r="F287" s="11"/>
      <c r="G287" s="11"/>
    </row>
    <row r="288" ht="15.75" customHeight="1">
      <c r="D288" s="11"/>
      <c r="F288" s="11"/>
      <c r="G288" s="11"/>
    </row>
    <row r="289" ht="15.75" customHeight="1">
      <c r="D289" s="11"/>
      <c r="F289" s="11"/>
      <c r="G289" s="11"/>
    </row>
    <row r="290" ht="15.75" customHeight="1">
      <c r="D290" s="11"/>
      <c r="F290" s="11"/>
      <c r="G290" s="11"/>
    </row>
    <row r="291" ht="15.75" customHeight="1">
      <c r="D291" s="11"/>
      <c r="F291" s="11"/>
      <c r="G291" s="11"/>
    </row>
    <row r="292" ht="15.75" customHeight="1">
      <c r="D292" s="11"/>
      <c r="F292" s="11"/>
      <c r="G292" s="11"/>
    </row>
    <row r="293" ht="15.75" customHeight="1">
      <c r="D293" s="11"/>
      <c r="F293" s="11"/>
      <c r="G293" s="11"/>
    </row>
    <row r="294" ht="15.75" customHeight="1">
      <c r="D294" s="11"/>
      <c r="F294" s="11"/>
      <c r="G294" s="11"/>
    </row>
    <row r="295" ht="15.75" customHeight="1">
      <c r="D295" s="11"/>
      <c r="F295" s="11"/>
      <c r="G295" s="11"/>
    </row>
    <row r="296" ht="15.75" customHeight="1">
      <c r="D296" s="11"/>
      <c r="F296" s="11"/>
      <c r="G296" s="11"/>
    </row>
    <row r="297" ht="15.75" customHeight="1">
      <c r="D297" s="11"/>
      <c r="F297" s="11"/>
      <c r="G297" s="11"/>
    </row>
    <row r="298" ht="15.75" customHeight="1">
      <c r="D298" s="11"/>
      <c r="F298" s="11"/>
      <c r="G298" s="11"/>
    </row>
    <row r="299" ht="15.75" customHeight="1">
      <c r="D299" s="11"/>
      <c r="F299" s="11"/>
      <c r="G299" s="11"/>
    </row>
    <row r="300" ht="15.75" customHeight="1">
      <c r="D300" s="11"/>
      <c r="F300" s="11"/>
      <c r="G300" s="11"/>
    </row>
    <row r="301" ht="15.75" customHeight="1">
      <c r="D301" s="11"/>
      <c r="F301" s="11"/>
      <c r="G301" s="11"/>
    </row>
    <row r="302" ht="15.75" customHeight="1">
      <c r="D302" s="11"/>
      <c r="F302" s="11"/>
      <c r="G302" s="11"/>
    </row>
    <row r="303" ht="15.75" customHeight="1">
      <c r="D303" s="11"/>
      <c r="F303" s="11"/>
      <c r="G303" s="11"/>
    </row>
    <row r="304" ht="15.75" customHeight="1">
      <c r="D304" s="11"/>
      <c r="F304" s="11"/>
      <c r="G304" s="11"/>
    </row>
    <row r="305" ht="15.75" customHeight="1">
      <c r="D305" s="11"/>
      <c r="F305" s="11"/>
      <c r="G305" s="11"/>
    </row>
    <row r="306" ht="15.75" customHeight="1">
      <c r="D306" s="11"/>
      <c r="F306" s="11"/>
      <c r="G306" s="11"/>
    </row>
    <row r="307" ht="15.75" customHeight="1">
      <c r="D307" s="11"/>
      <c r="F307" s="11"/>
      <c r="G307" s="11"/>
    </row>
    <row r="308" ht="15.75" customHeight="1">
      <c r="D308" s="11"/>
      <c r="F308" s="11"/>
      <c r="G308" s="11"/>
    </row>
    <row r="309" ht="15.75" customHeight="1">
      <c r="D309" s="11"/>
      <c r="F309" s="11"/>
      <c r="G309" s="11"/>
    </row>
    <row r="310" ht="15.75" customHeight="1">
      <c r="D310" s="11"/>
      <c r="F310" s="11"/>
      <c r="G310" s="11"/>
    </row>
    <row r="311" ht="15.75" customHeight="1">
      <c r="D311" s="11"/>
      <c r="F311" s="11"/>
      <c r="G311" s="11"/>
    </row>
    <row r="312" ht="15.75" customHeight="1">
      <c r="D312" s="11"/>
      <c r="F312" s="11"/>
      <c r="G312" s="11"/>
    </row>
    <row r="313" ht="15.75" customHeight="1">
      <c r="D313" s="11"/>
      <c r="F313" s="11"/>
      <c r="G313" s="11"/>
    </row>
    <row r="314" ht="15.75" customHeight="1">
      <c r="D314" s="11"/>
      <c r="F314" s="11"/>
      <c r="G314" s="11"/>
    </row>
    <row r="315" ht="15.75" customHeight="1">
      <c r="D315" s="11"/>
      <c r="F315" s="11"/>
      <c r="G315" s="11"/>
    </row>
    <row r="316" ht="15.75" customHeight="1">
      <c r="D316" s="11"/>
      <c r="F316" s="11"/>
      <c r="G316" s="11"/>
    </row>
    <row r="317" ht="15.75" customHeight="1">
      <c r="D317" s="11"/>
      <c r="F317" s="11"/>
      <c r="G317" s="11"/>
    </row>
    <row r="318" ht="15.75" customHeight="1">
      <c r="D318" s="11"/>
      <c r="F318" s="11"/>
      <c r="G318" s="11"/>
    </row>
    <row r="319" ht="15.75" customHeight="1">
      <c r="D319" s="11"/>
      <c r="F319" s="11"/>
      <c r="G319" s="11"/>
    </row>
    <row r="320" ht="15.75" customHeight="1">
      <c r="D320" s="11"/>
      <c r="F320" s="11"/>
      <c r="G320" s="11"/>
    </row>
    <row r="321" ht="15.75" customHeight="1">
      <c r="D321" s="11"/>
      <c r="F321" s="11"/>
      <c r="G321" s="11"/>
    </row>
    <row r="322" ht="15.75" customHeight="1">
      <c r="D322" s="11"/>
      <c r="F322" s="11"/>
      <c r="G322" s="11"/>
    </row>
    <row r="323" ht="15.75" customHeight="1">
      <c r="D323" s="11"/>
      <c r="F323" s="11"/>
      <c r="G323" s="11"/>
    </row>
    <row r="324" ht="15.75" customHeight="1">
      <c r="D324" s="11"/>
      <c r="F324" s="11"/>
      <c r="G324" s="11"/>
    </row>
    <row r="325" ht="15.75" customHeight="1">
      <c r="D325" s="11"/>
      <c r="F325" s="11"/>
      <c r="G325" s="11"/>
    </row>
    <row r="326" ht="15.75" customHeight="1">
      <c r="D326" s="11"/>
      <c r="F326" s="11"/>
      <c r="G326" s="11"/>
    </row>
    <row r="327" ht="15.75" customHeight="1">
      <c r="D327" s="11"/>
      <c r="F327" s="11"/>
      <c r="G327" s="11"/>
    </row>
    <row r="328" ht="15.75" customHeight="1">
      <c r="D328" s="11"/>
      <c r="F328" s="11"/>
      <c r="G328" s="11"/>
    </row>
    <row r="329" ht="15.75" customHeight="1">
      <c r="D329" s="11"/>
      <c r="F329" s="11"/>
      <c r="G329" s="11"/>
    </row>
    <row r="330" ht="15.75" customHeight="1">
      <c r="D330" s="11"/>
      <c r="F330" s="11"/>
      <c r="G330" s="11"/>
    </row>
    <row r="331" ht="15.75" customHeight="1">
      <c r="D331" s="11"/>
      <c r="F331" s="11"/>
      <c r="G331" s="11"/>
    </row>
    <row r="332" ht="15.75" customHeight="1">
      <c r="D332" s="11"/>
      <c r="F332" s="11"/>
      <c r="G332" s="11"/>
    </row>
    <row r="333" ht="15.75" customHeight="1">
      <c r="D333" s="11"/>
      <c r="F333" s="11"/>
      <c r="G333" s="11"/>
    </row>
    <row r="334" ht="15.75" customHeight="1">
      <c r="D334" s="11"/>
      <c r="F334" s="11"/>
      <c r="G334" s="11"/>
    </row>
    <row r="335" ht="15.75" customHeight="1">
      <c r="D335" s="11"/>
      <c r="F335" s="11"/>
      <c r="G335" s="11"/>
    </row>
    <row r="336" ht="15.75" customHeight="1">
      <c r="D336" s="11"/>
      <c r="F336" s="11"/>
      <c r="G336" s="11"/>
    </row>
    <row r="337" ht="15.75" customHeight="1">
      <c r="D337" s="11"/>
      <c r="F337" s="11"/>
      <c r="G337" s="11"/>
    </row>
    <row r="338" ht="15.75" customHeight="1">
      <c r="D338" s="11"/>
      <c r="F338" s="11"/>
      <c r="G338" s="11"/>
    </row>
    <row r="339" ht="15.75" customHeight="1">
      <c r="D339" s="11"/>
      <c r="F339" s="11"/>
      <c r="G339" s="11"/>
    </row>
    <row r="340" ht="15.75" customHeight="1">
      <c r="D340" s="11"/>
      <c r="F340" s="11"/>
      <c r="G340" s="11"/>
    </row>
    <row r="341" ht="15.75" customHeight="1">
      <c r="D341" s="11"/>
      <c r="F341" s="11"/>
      <c r="G341" s="11"/>
    </row>
    <row r="342" ht="15.75" customHeight="1">
      <c r="D342" s="11"/>
      <c r="F342" s="11"/>
      <c r="G342" s="11"/>
    </row>
    <row r="343" ht="15.75" customHeight="1">
      <c r="D343" s="11"/>
      <c r="F343" s="11"/>
      <c r="G343" s="11"/>
    </row>
    <row r="344" ht="15.75" customHeight="1">
      <c r="D344" s="11"/>
      <c r="F344" s="11"/>
      <c r="G344" s="11"/>
    </row>
    <row r="345" ht="15.75" customHeight="1">
      <c r="D345" s="11"/>
      <c r="F345" s="11"/>
      <c r="G345" s="11"/>
    </row>
    <row r="346" ht="15.75" customHeight="1">
      <c r="D346" s="11"/>
      <c r="F346" s="11"/>
      <c r="G346" s="11"/>
    </row>
    <row r="347" ht="15.75" customHeight="1">
      <c r="D347" s="11"/>
      <c r="F347" s="11"/>
      <c r="G347" s="11"/>
    </row>
    <row r="348" ht="15.75" customHeight="1">
      <c r="D348" s="11"/>
      <c r="F348" s="11"/>
      <c r="G348" s="11"/>
    </row>
    <row r="349" ht="15.75" customHeight="1">
      <c r="D349" s="11"/>
      <c r="F349" s="11"/>
      <c r="G349" s="11"/>
    </row>
    <row r="350" ht="15.75" customHeight="1">
      <c r="D350" s="11"/>
      <c r="F350" s="11"/>
      <c r="G350" s="11"/>
    </row>
    <row r="351" ht="15.75" customHeight="1">
      <c r="D351" s="11"/>
      <c r="F351" s="11"/>
      <c r="G351" s="11"/>
    </row>
    <row r="352" ht="15.75" customHeight="1">
      <c r="D352" s="11"/>
      <c r="F352" s="11"/>
      <c r="G352" s="11"/>
    </row>
    <row r="353" ht="15.75" customHeight="1">
      <c r="D353" s="11"/>
      <c r="F353" s="11"/>
      <c r="G353" s="11"/>
    </row>
    <row r="354" ht="15.75" customHeight="1">
      <c r="D354" s="11"/>
      <c r="F354" s="11"/>
      <c r="G354" s="11"/>
    </row>
    <row r="355" ht="15.75" customHeight="1">
      <c r="D355" s="11"/>
      <c r="F355" s="11"/>
      <c r="G355" s="11"/>
    </row>
    <row r="356" ht="15.75" customHeight="1">
      <c r="D356" s="11"/>
      <c r="F356" s="11"/>
      <c r="G356" s="11"/>
    </row>
    <row r="357" ht="15.75" customHeight="1">
      <c r="D357" s="11"/>
      <c r="F357" s="11"/>
      <c r="G357" s="11"/>
    </row>
    <row r="358" ht="15.75" customHeight="1">
      <c r="D358" s="11"/>
      <c r="F358" s="11"/>
      <c r="G358" s="11"/>
    </row>
    <row r="359" ht="15.75" customHeight="1">
      <c r="D359" s="11"/>
      <c r="F359" s="11"/>
      <c r="G359" s="11"/>
    </row>
    <row r="360" ht="15.75" customHeight="1">
      <c r="D360" s="11"/>
      <c r="F360" s="11"/>
      <c r="G360" s="11"/>
    </row>
    <row r="361" ht="15.75" customHeight="1">
      <c r="D361" s="11"/>
      <c r="F361" s="11"/>
      <c r="G361" s="11"/>
    </row>
    <row r="362" ht="15.75" customHeight="1">
      <c r="D362" s="11"/>
      <c r="F362" s="11"/>
      <c r="G362" s="11"/>
    </row>
    <row r="363" ht="15.75" customHeight="1">
      <c r="D363" s="11"/>
      <c r="F363" s="11"/>
      <c r="G363" s="11"/>
    </row>
    <row r="364" ht="15.75" customHeight="1">
      <c r="D364" s="11"/>
      <c r="F364" s="11"/>
      <c r="G364" s="11"/>
    </row>
    <row r="365" ht="15.75" customHeight="1">
      <c r="D365" s="11"/>
      <c r="F365" s="11"/>
      <c r="G365" s="11"/>
    </row>
    <row r="366" ht="15.75" customHeight="1">
      <c r="D366" s="11"/>
      <c r="F366" s="11"/>
      <c r="G366" s="11"/>
    </row>
    <row r="367" ht="15.75" customHeight="1">
      <c r="D367" s="11"/>
      <c r="F367" s="11"/>
      <c r="G367" s="11"/>
    </row>
    <row r="368" ht="15.75" customHeight="1">
      <c r="D368" s="11"/>
      <c r="F368" s="11"/>
      <c r="G368" s="11"/>
    </row>
    <row r="369" ht="15.75" customHeight="1">
      <c r="D369" s="11"/>
      <c r="F369" s="11"/>
      <c r="G369" s="11"/>
    </row>
    <row r="370" ht="15.75" customHeight="1">
      <c r="D370" s="11"/>
      <c r="F370" s="11"/>
      <c r="G370" s="11"/>
    </row>
    <row r="371" ht="15.75" customHeight="1">
      <c r="D371" s="11"/>
      <c r="F371" s="11"/>
      <c r="G371" s="11"/>
    </row>
    <row r="372" ht="15.75" customHeight="1">
      <c r="D372" s="11"/>
      <c r="F372" s="11"/>
      <c r="G372" s="11"/>
    </row>
    <row r="373" ht="15.75" customHeight="1">
      <c r="D373" s="11"/>
      <c r="F373" s="11"/>
      <c r="G373" s="11"/>
    </row>
    <row r="374" ht="15.75" customHeight="1">
      <c r="D374" s="11"/>
      <c r="F374" s="11"/>
      <c r="G374" s="11"/>
    </row>
    <row r="375" ht="15.75" customHeight="1">
      <c r="D375" s="11"/>
      <c r="F375" s="11"/>
      <c r="G375" s="11"/>
    </row>
    <row r="376" ht="15.75" customHeight="1">
      <c r="D376" s="11"/>
      <c r="F376" s="11"/>
      <c r="G376" s="11"/>
    </row>
    <row r="377" ht="15.75" customHeight="1">
      <c r="D377" s="11"/>
      <c r="F377" s="11"/>
      <c r="G377" s="11"/>
    </row>
    <row r="378" ht="15.75" customHeight="1">
      <c r="D378" s="11"/>
      <c r="F378" s="11"/>
      <c r="G378" s="11"/>
    </row>
    <row r="379" ht="15.75" customHeight="1">
      <c r="D379" s="11"/>
      <c r="F379" s="11"/>
      <c r="G379" s="11"/>
    </row>
    <row r="380" ht="15.75" customHeight="1">
      <c r="D380" s="11"/>
      <c r="F380" s="11"/>
      <c r="G380" s="11"/>
    </row>
    <row r="381" ht="15.75" customHeight="1">
      <c r="D381" s="11"/>
      <c r="F381" s="11"/>
      <c r="G381" s="11"/>
    </row>
    <row r="382" ht="15.75" customHeight="1">
      <c r="D382" s="11"/>
      <c r="F382" s="11"/>
      <c r="G382" s="11"/>
    </row>
    <row r="383" ht="15.75" customHeight="1">
      <c r="D383" s="11"/>
      <c r="F383" s="11"/>
      <c r="G383" s="11"/>
    </row>
    <row r="384" ht="15.75" customHeight="1">
      <c r="D384" s="11"/>
      <c r="F384" s="11"/>
      <c r="G384" s="11"/>
    </row>
    <row r="385" ht="15.75" customHeight="1">
      <c r="D385" s="11"/>
      <c r="F385" s="11"/>
      <c r="G385" s="11"/>
    </row>
    <row r="386" ht="15.75" customHeight="1">
      <c r="D386" s="11"/>
      <c r="F386" s="11"/>
      <c r="G386" s="11"/>
    </row>
    <row r="387" ht="15.75" customHeight="1">
      <c r="D387" s="11"/>
      <c r="F387" s="11"/>
      <c r="G387" s="11"/>
    </row>
    <row r="388" ht="15.75" customHeight="1">
      <c r="D388" s="11"/>
      <c r="F388" s="11"/>
      <c r="G388" s="11"/>
    </row>
    <row r="389" ht="15.75" customHeight="1">
      <c r="D389" s="11"/>
      <c r="F389" s="11"/>
      <c r="G389" s="11"/>
    </row>
    <row r="390" ht="15.75" customHeight="1">
      <c r="D390" s="11"/>
      <c r="F390" s="11"/>
      <c r="G390" s="11"/>
    </row>
    <row r="391" ht="15.75" customHeight="1">
      <c r="D391" s="11"/>
      <c r="F391" s="11"/>
      <c r="G391" s="11"/>
    </row>
    <row r="392" ht="15.75" customHeight="1">
      <c r="D392" s="11"/>
      <c r="F392" s="11"/>
      <c r="G392" s="11"/>
    </row>
    <row r="393" ht="15.75" customHeight="1">
      <c r="D393" s="11"/>
      <c r="F393" s="11"/>
      <c r="G393" s="11"/>
    </row>
    <row r="394" ht="15.75" customHeight="1">
      <c r="D394" s="11"/>
      <c r="F394" s="11"/>
      <c r="G394" s="11"/>
    </row>
    <row r="395" ht="15.75" customHeight="1">
      <c r="D395" s="11"/>
      <c r="F395" s="11"/>
      <c r="G395" s="11"/>
    </row>
    <row r="396" ht="15.75" customHeight="1">
      <c r="D396" s="11"/>
      <c r="F396" s="11"/>
      <c r="G396" s="11"/>
    </row>
    <row r="397" ht="15.75" customHeight="1">
      <c r="D397" s="11"/>
      <c r="F397" s="11"/>
      <c r="G397" s="11"/>
    </row>
    <row r="398" ht="15.75" customHeight="1">
      <c r="D398" s="11"/>
      <c r="F398" s="11"/>
      <c r="G398" s="11"/>
    </row>
    <row r="399" ht="15.75" customHeight="1">
      <c r="D399" s="11"/>
      <c r="F399" s="11"/>
      <c r="G399" s="11"/>
    </row>
    <row r="400" ht="15.75" customHeight="1">
      <c r="D400" s="11"/>
      <c r="F400" s="11"/>
      <c r="G400" s="11"/>
    </row>
    <row r="401" ht="15.75" customHeight="1">
      <c r="D401" s="11"/>
      <c r="F401" s="11"/>
      <c r="G401" s="11"/>
    </row>
    <row r="402" ht="15.75" customHeight="1">
      <c r="D402" s="11"/>
      <c r="F402" s="11"/>
      <c r="G402" s="11"/>
    </row>
    <row r="403" ht="15.75" customHeight="1">
      <c r="D403" s="11"/>
      <c r="F403" s="11"/>
      <c r="G403" s="11"/>
    </row>
    <row r="404" ht="15.75" customHeight="1">
      <c r="D404" s="11"/>
      <c r="F404" s="11"/>
      <c r="G404" s="11"/>
    </row>
    <row r="405" ht="15.75" customHeight="1">
      <c r="D405" s="11"/>
      <c r="F405" s="11"/>
      <c r="G405" s="11"/>
    </row>
    <row r="406" ht="15.75" customHeight="1">
      <c r="D406" s="11"/>
      <c r="F406" s="11"/>
      <c r="G406" s="11"/>
    </row>
    <row r="407" ht="15.75" customHeight="1">
      <c r="D407" s="11"/>
      <c r="F407" s="11"/>
      <c r="G407" s="11"/>
    </row>
    <row r="408" ht="15.75" customHeight="1">
      <c r="D408" s="11"/>
      <c r="F408" s="11"/>
      <c r="G408" s="11"/>
    </row>
    <row r="409" ht="15.75" customHeight="1">
      <c r="D409" s="11"/>
      <c r="F409" s="11"/>
      <c r="G409" s="11"/>
    </row>
    <row r="410" ht="15.75" customHeight="1">
      <c r="D410" s="11"/>
      <c r="F410" s="11"/>
      <c r="G410" s="11"/>
    </row>
    <row r="411" ht="15.75" customHeight="1">
      <c r="D411" s="11"/>
      <c r="F411" s="11"/>
      <c r="G411" s="11"/>
    </row>
    <row r="412" ht="15.75" customHeight="1">
      <c r="D412" s="11"/>
      <c r="F412" s="11"/>
      <c r="G412" s="11"/>
    </row>
    <row r="413" ht="15.75" customHeight="1">
      <c r="D413" s="11"/>
      <c r="F413" s="11"/>
      <c r="G413" s="11"/>
    </row>
    <row r="414" ht="15.75" customHeight="1">
      <c r="D414" s="11"/>
      <c r="F414" s="11"/>
      <c r="G414" s="11"/>
    </row>
    <row r="415" ht="15.75" customHeight="1">
      <c r="D415" s="11"/>
      <c r="F415" s="11"/>
      <c r="G415" s="11"/>
    </row>
    <row r="416" ht="15.75" customHeight="1">
      <c r="D416" s="11"/>
      <c r="F416" s="11"/>
      <c r="G416" s="11"/>
    </row>
    <row r="417" ht="15.75" customHeight="1">
      <c r="D417" s="11"/>
      <c r="F417" s="11"/>
      <c r="G417" s="11"/>
    </row>
    <row r="418" ht="15.75" customHeight="1">
      <c r="D418" s="11"/>
      <c r="F418" s="11"/>
      <c r="G418" s="11"/>
    </row>
    <row r="419" ht="15.75" customHeight="1">
      <c r="D419" s="11"/>
      <c r="F419" s="11"/>
      <c r="G419" s="11"/>
    </row>
    <row r="420" ht="15.75" customHeight="1">
      <c r="D420" s="11"/>
      <c r="F420" s="11"/>
      <c r="G420" s="11"/>
    </row>
    <row r="421" ht="15.75" customHeight="1">
      <c r="D421" s="11"/>
      <c r="F421" s="11"/>
      <c r="G421" s="11"/>
    </row>
    <row r="422" ht="15.75" customHeight="1">
      <c r="D422" s="11"/>
      <c r="F422" s="11"/>
      <c r="G422" s="11"/>
    </row>
    <row r="423" ht="15.75" customHeight="1">
      <c r="D423" s="11"/>
      <c r="F423" s="11"/>
      <c r="G423" s="11"/>
    </row>
    <row r="424" ht="15.75" customHeight="1">
      <c r="D424" s="11"/>
      <c r="F424" s="11"/>
      <c r="G424" s="11"/>
    </row>
    <row r="425" ht="15.75" customHeight="1">
      <c r="D425" s="11"/>
      <c r="F425" s="11"/>
      <c r="G425" s="11"/>
    </row>
    <row r="426" ht="15.75" customHeight="1">
      <c r="D426" s="11"/>
      <c r="F426" s="11"/>
      <c r="G426" s="11"/>
    </row>
    <row r="427" ht="15.75" customHeight="1">
      <c r="D427" s="11"/>
      <c r="F427" s="11"/>
      <c r="G427" s="11"/>
    </row>
    <row r="428" ht="15.75" customHeight="1">
      <c r="D428" s="11"/>
      <c r="F428" s="11"/>
      <c r="G428" s="11"/>
    </row>
    <row r="429" ht="15.75" customHeight="1">
      <c r="D429" s="11"/>
      <c r="F429" s="11"/>
      <c r="G429" s="11"/>
    </row>
    <row r="430" ht="15.75" customHeight="1">
      <c r="D430" s="11"/>
      <c r="F430" s="11"/>
      <c r="G430" s="11"/>
    </row>
    <row r="431" ht="15.75" customHeight="1">
      <c r="D431" s="11"/>
      <c r="F431" s="11"/>
      <c r="G431" s="11"/>
    </row>
    <row r="432" ht="15.75" customHeight="1">
      <c r="D432" s="11"/>
      <c r="F432" s="11"/>
      <c r="G432" s="11"/>
    </row>
    <row r="433" ht="15.75" customHeight="1">
      <c r="D433" s="11"/>
      <c r="F433" s="11"/>
      <c r="G433" s="11"/>
    </row>
    <row r="434" ht="15.75" customHeight="1">
      <c r="D434" s="11"/>
      <c r="F434" s="11"/>
      <c r="G434" s="11"/>
    </row>
    <row r="435" ht="15.75" customHeight="1">
      <c r="D435" s="11"/>
      <c r="F435" s="11"/>
      <c r="G435" s="11"/>
    </row>
    <row r="436" ht="15.75" customHeight="1">
      <c r="D436" s="11"/>
      <c r="F436" s="11"/>
      <c r="G436" s="11"/>
    </row>
    <row r="437" ht="15.75" customHeight="1">
      <c r="D437" s="11"/>
      <c r="F437" s="11"/>
      <c r="G437" s="11"/>
    </row>
    <row r="438" ht="15.75" customHeight="1">
      <c r="D438" s="11"/>
      <c r="F438" s="11"/>
      <c r="G438" s="11"/>
    </row>
    <row r="439" ht="15.75" customHeight="1">
      <c r="D439" s="11"/>
      <c r="F439" s="11"/>
      <c r="G439" s="11"/>
    </row>
    <row r="440" ht="15.75" customHeight="1">
      <c r="D440" s="11"/>
      <c r="F440" s="11"/>
      <c r="G440" s="11"/>
    </row>
    <row r="441" ht="15.75" customHeight="1">
      <c r="D441" s="11"/>
      <c r="F441" s="11"/>
      <c r="G441" s="11"/>
    </row>
    <row r="442" ht="15.75" customHeight="1">
      <c r="D442" s="11"/>
      <c r="F442" s="11"/>
      <c r="G442" s="11"/>
    </row>
    <row r="443" ht="15.75" customHeight="1">
      <c r="D443" s="11"/>
      <c r="F443" s="11"/>
      <c r="G443" s="11"/>
    </row>
    <row r="444" ht="15.75" customHeight="1">
      <c r="D444" s="11"/>
      <c r="F444" s="11"/>
      <c r="G444" s="11"/>
    </row>
    <row r="445" ht="15.75" customHeight="1">
      <c r="D445" s="11"/>
      <c r="F445" s="11"/>
      <c r="G445" s="11"/>
    </row>
    <row r="446" ht="15.75" customHeight="1">
      <c r="D446" s="11"/>
      <c r="F446" s="11"/>
      <c r="G446" s="11"/>
    </row>
    <row r="447" ht="15.75" customHeight="1">
      <c r="D447" s="11"/>
      <c r="F447" s="11"/>
      <c r="G447" s="11"/>
    </row>
    <row r="448" ht="15.75" customHeight="1">
      <c r="D448" s="11"/>
      <c r="F448" s="11"/>
      <c r="G448" s="11"/>
    </row>
    <row r="449" ht="15.75" customHeight="1">
      <c r="D449" s="11"/>
      <c r="F449" s="11"/>
      <c r="G449" s="11"/>
    </row>
    <row r="450" ht="15.75" customHeight="1">
      <c r="D450" s="11"/>
      <c r="F450" s="11"/>
      <c r="G450" s="11"/>
    </row>
    <row r="451" ht="15.75" customHeight="1">
      <c r="D451" s="11"/>
      <c r="F451" s="11"/>
      <c r="G451" s="11"/>
    </row>
    <row r="452" ht="15.75" customHeight="1">
      <c r="D452" s="11"/>
      <c r="F452" s="11"/>
      <c r="G452" s="11"/>
    </row>
    <row r="453" ht="15.75" customHeight="1">
      <c r="D453" s="11"/>
      <c r="F453" s="11"/>
      <c r="G453" s="11"/>
    </row>
    <row r="454" ht="15.75" customHeight="1">
      <c r="D454" s="11"/>
      <c r="F454" s="11"/>
      <c r="G454" s="11"/>
    </row>
    <row r="455" ht="15.75" customHeight="1">
      <c r="D455" s="11"/>
      <c r="F455" s="11"/>
      <c r="G455" s="11"/>
    </row>
    <row r="456" ht="15.75" customHeight="1">
      <c r="D456" s="11"/>
      <c r="F456" s="11"/>
      <c r="G456" s="11"/>
    </row>
    <row r="457" ht="15.75" customHeight="1">
      <c r="D457" s="11"/>
      <c r="F457" s="11"/>
      <c r="G457" s="11"/>
    </row>
    <row r="458" ht="15.75" customHeight="1">
      <c r="D458" s="11"/>
      <c r="F458" s="11"/>
      <c r="G458" s="11"/>
    </row>
    <row r="459" ht="15.75" customHeight="1">
      <c r="D459" s="11"/>
      <c r="F459" s="11"/>
      <c r="G459" s="11"/>
    </row>
    <row r="460" ht="15.75" customHeight="1">
      <c r="D460" s="11"/>
      <c r="F460" s="11"/>
      <c r="G460" s="11"/>
    </row>
    <row r="461" ht="15.75" customHeight="1">
      <c r="D461" s="11"/>
      <c r="F461" s="11"/>
      <c r="G461" s="11"/>
    </row>
    <row r="462" ht="15.75" customHeight="1">
      <c r="D462" s="11"/>
      <c r="F462" s="11"/>
      <c r="G462" s="11"/>
    </row>
    <row r="463" ht="15.75" customHeight="1">
      <c r="D463" s="11"/>
      <c r="F463" s="11"/>
      <c r="G463" s="11"/>
    </row>
    <row r="464" ht="15.75" customHeight="1">
      <c r="D464" s="11"/>
      <c r="F464" s="11"/>
      <c r="G464" s="11"/>
    </row>
    <row r="465" ht="15.75" customHeight="1">
      <c r="D465" s="11"/>
      <c r="F465" s="11"/>
      <c r="G465" s="11"/>
    </row>
    <row r="466" ht="15.75" customHeight="1">
      <c r="D466" s="11"/>
      <c r="F466" s="11"/>
      <c r="G466" s="11"/>
    </row>
    <row r="467" ht="15.75" customHeight="1">
      <c r="D467" s="11"/>
      <c r="F467" s="11"/>
      <c r="G467" s="11"/>
    </row>
    <row r="468" ht="15.75" customHeight="1">
      <c r="D468" s="11"/>
      <c r="F468" s="11"/>
      <c r="G468" s="11"/>
    </row>
    <row r="469" ht="15.75" customHeight="1">
      <c r="D469" s="11"/>
      <c r="F469" s="11"/>
      <c r="G469" s="11"/>
    </row>
    <row r="470" ht="15.75" customHeight="1">
      <c r="D470" s="11"/>
      <c r="F470" s="11"/>
      <c r="G470" s="11"/>
    </row>
    <row r="471" ht="15.75" customHeight="1">
      <c r="D471" s="11"/>
      <c r="F471" s="11"/>
      <c r="G471" s="11"/>
    </row>
    <row r="472" ht="15.75" customHeight="1">
      <c r="D472" s="11"/>
      <c r="F472" s="11"/>
      <c r="G472" s="11"/>
    </row>
    <row r="473" ht="15.75" customHeight="1">
      <c r="D473" s="11"/>
      <c r="F473" s="11"/>
      <c r="G473" s="11"/>
    </row>
    <row r="474" ht="15.75" customHeight="1">
      <c r="D474" s="11"/>
      <c r="F474" s="11"/>
      <c r="G474" s="11"/>
    </row>
    <row r="475" ht="15.75" customHeight="1">
      <c r="D475" s="11"/>
      <c r="F475" s="11"/>
      <c r="G475" s="11"/>
    </row>
    <row r="476" ht="15.75" customHeight="1">
      <c r="D476" s="11"/>
      <c r="F476" s="11"/>
      <c r="G476" s="11"/>
    </row>
    <row r="477" ht="15.75" customHeight="1">
      <c r="D477" s="11"/>
      <c r="F477" s="11"/>
      <c r="G477" s="11"/>
    </row>
    <row r="478" ht="15.75" customHeight="1">
      <c r="D478" s="11"/>
      <c r="F478" s="11"/>
      <c r="G478" s="11"/>
    </row>
    <row r="479" ht="15.75" customHeight="1">
      <c r="D479" s="11"/>
      <c r="F479" s="11"/>
      <c r="G479" s="11"/>
    </row>
    <row r="480" ht="15.75" customHeight="1">
      <c r="D480" s="11"/>
      <c r="F480" s="11"/>
      <c r="G480" s="11"/>
    </row>
    <row r="481" ht="15.75" customHeight="1">
      <c r="D481" s="11"/>
      <c r="F481" s="11"/>
      <c r="G481" s="11"/>
    </row>
    <row r="482" ht="15.75" customHeight="1">
      <c r="D482" s="11"/>
      <c r="F482" s="11"/>
      <c r="G482" s="11"/>
    </row>
    <row r="483" ht="15.75" customHeight="1">
      <c r="D483" s="11"/>
      <c r="F483" s="11"/>
      <c r="G483" s="11"/>
    </row>
    <row r="484" ht="15.75" customHeight="1">
      <c r="D484" s="11"/>
      <c r="F484" s="11"/>
      <c r="G484" s="11"/>
    </row>
    <row r="485" ht="15.75" customHeight="1">
      <c r="D485" s="11"/>
      <c r="F485" s="11"/>
      <c r="G485" s="11"/>
    </row>
    <row r="486" ht="15.75" customHeight="1">
      <c r="D486" s="11"/>
      <c r="F486" s="11"/>
      <c r="G486" s="11"/>
    </row>
    <row r="487" ht="15.75" customHeight="1">
      <c r="D487" s="11"/>
      <c r="F487" s="11"/>
      <c r="G487" s="11"/>
    </row>
    <row r="488" ht="15.75" customHeight="1">
      <c r="D488" s="11"/>
      <c r="F488" s="11"/>
      <c r="G488" s="11"/>
    </row>
    <row r="489" ht="15.75" customHeight="1">
      <c r="D489" s="11"/>
      <c r="F489" s="11"/>
      <c r="G489" s="11"/>
    </row>
    <row r="490" ht="15.75" customHeight="1">
      <c r="D490" s="11"/>
      <c r="F490" s="11"/>
      <c r="G490" s="11"/>
    </row>
    <row r="491" ht="15.75" customHeight="1">
      <c r="D491" s="11"/>
      <c r="F491" s="11"/>
      <c r="G491" s="11"/>
    </row>
    <row r="492" ht="15.75" customHeight="1">
      <c r="D492" s="11"/>
      <c r="F492" s="11"/>
      <c r="G492" s="11"/>
    </row>
    <row r="493" ht="15.75" customHeight="1">
      <c r="D493" s="11"/>
      <c r="F493" s="11"/>
      <c r="G493" s="11"/>
    </row>
    <row r="494" ht="15.75" customHeight="1">
      <c r="D494" s="11"/>
      <c r="F494" s="11"/>
      <c r="G494" s="11"/>
    </row>
    <row r="495" ht="15.75" customHeight="1">
      <c r="D495" s="11"/>
      <c r="F495" s="11"/>
      <c r="G495" s="11"/>
    </row>
    <row r="496" ht="15.75" customHeight="1">
      <c r="D496" s="11"/>
      <c r="F496" s="11"/>
      <c r="G496" s="11"/>
    </row>
    <row r="497" ht="15.75" customHeight="1">
      <c r="D497" s="11"/>
      <c r="F497" s="11"/>
      <c r="G497" s="11"/>
    </row>
    <row r="498" ht="15.75" customHeight="1">
      <c r="D498" s="11"/>
      <c r="F498" s="11"/>
      <c r="G498" s="11"/>
    </row>
    <row r="499" ht="15.75" customHeight="1">
      <c r="D499" s="11"/>
      <c r="F499" s="11"/>
      <c r="G499" s="11"/>
    </row>
    <row r="500" ht="15.75" customHeight="1">
      <c r="D500" s="11"/>
      <c r="F500" s="11"/>
      <c r="G500" s="11"/>
    </row>
    <row r="501" ht="15.75" customHeight="1">
      <c r="D501" s="11"/>
      <c r="F501" s="11"/>
      <c r="G501" s="11"/>
    </row>
    <row r="502" ht="15.75" customHeight="1">
      <c r="D502" s="11"/>
      <c r="F502" s="11"/>
      <c r="G502" s="11"/>
    </row>
    <row r="503" ht="15.75" customHeight="1">
      <c r="D503" s="11"/>
      <c r="F503" s="11"/>
      <c r="G503" s="11"/>
    </row>
    <row r="504" ht="15.75" customHeight="1">
      <c r="D504" s="11"/>
      <c r="F504" s="11"/>
      <c r="G504" s="11"/>
    </row>
    <row r="505" ht="15.75" customHeight="1">
      <c r="D505" s="11"/>
      <c r="F505" s="11"/>
      <c r="G505" s="11"/>
    </row>
    <row r="506" ht="15.75" customHeight="1">
      <c r="D506" s="11"/>
      <c r="F506" s="11"/>
      <c r="G506" s="11"/>
    </row>
    <row r="507" ht="15.75" customHeight="1">
      <c r="D507" s="11"/>
      <c r="F507" s="11"/>
      <c r="G507" s="11"/>
    </row>
    <row r="508" ht="15.75" customHeight="1">
      <c r="D508" s="11"/>
      <c r="F508" s="11"/>
      <c r="G508" s="11"/>
    </row>
    <row r="509" ht="15.75" customHeight="1">
      <c r="D509" s="11"/>
      <c r="F509" s="11"/>
      <c r="G509" s="11"/>
    </row>
    <row r="510" ht="15.75" customHeight="1">
      <c r="D510" s="11"/>
      <c r="F510" s="11"/>
      <c r="G510" s="11"/>
    </row>
    <row r="511" ht="15.75" customHeight="1">
      <c r="D511" s="11"/>
      <c r="F511" s="11"/>
      <c r="G511" s="11"/>
    </row>
    <row r="512" ht="15.75" customHeight="1">
      <c r="D512" s="11"/>
      <c r="F512" s="11"/>
      <c r="G512" s="11"/>
    </row>
    <row r="513" ht="15.75" customHeight="1">
      <c r="D513" s="11"/>
      <c r="F513" s="11"/>
      <c r="G513" s="11"/>
    </row>
    <row r="514" ht="15.75" customHeight="1">
      <c r="D514" s="11"/>
      <c r="F514" s="11"/>
      <c r="G514" s="11"/>
    </row>
    <row r="515" ht="15.75" customHeight="1">
      <c r="D515" s="11"/>
      <c r="F515" s="11"/>
      <c r="G515" s="11"/>
    </row>
    <row r="516" ht="15.75" customHeight="1">
      <c r="D516" s="11"/>
      <c r="F516" s="11"/>
      <c r="G516" s="11"/>
    </row>
    <row r="517" ht="15.75" customHeight="1">
      <c r="D517" s="11"/>
      <c r="F517" s="11"/>
      <c r="G517" s="11"/>
    </row>
    <row r="518" ht="15.75" customHeight="1">
      <c r="D518" s="11"/>
      <c r="F518" s="11"/>
      <c r="G518" s="11"/>
    </row>
    <row r="519" ht="15.75" customHeight="1">
      <c r="D519" s="11"/>
      <c r="F519" s="11"/>
      <c r="G519" s="11"/>
    </row>
    <row r="520" ht="15.75" customHeight="1">
      <c r="D520" s="11"/>
      <c r="F520" s="11"/>
      <c r="G520" s="11"/>
    </row>
    <row r="521" ht="15.75" customHeight="1">
      <c r="D521" s="11"/>
      <c r="F521" s="11"/>
      <c r="G521" s="11"/>
    </row>
    <row r="522" ht="15.75" customHeight="1">
      <c r="D522" s="11"/>
      <c r="F522" s="11"/>
      <c r="G522" s="11"/>
    </row>
    <row r="523" ht="15.75" customHeight="1">
      <c r="D523" s="11"/>
      <c r="F523" s="11"/>
      <c r="G523" s="11"/>
    </row>
    <row r="524" ht="15.75" customHeight="1">
      <c r="D524" s="11"/>
      <c r="F524" s="11"/>
      <c r="G524" s="11"/>
    </row>
    <row r="525" ht="15.75" customHeight="1">
      <c r="D525" s="11"/>
      <c r="F525" s="11"/>
      <c r="G525" s="11"/>
    </row>
    <row r="526" ht="15.75" customHeight="1">
      <c r="D526" s="11"/>
      <c r="F526" s="11"/>
      <c r="G526" s="11"/>
    </row>
    <row r="527" ht="15.75" customHeight="1">
      <c r="D527" s="11"/>
      <c r="F527" s="11"/>
      <c r="G527" s="11"/>
    </row>
    <row r="528" ht="15.75" customHeight="1">
      <c r="D528" s="11"/>
      <c r="F528" s="11"/>
      <c r="G528" s="11"/>
    </row>
    <row r="529" ht="15.75" customHeight="1">
      <c r="D529" s="11"/>
      <c r="F529" s="11"/>
      <c r="G529" s="11"/>
    </row>
    <row r="530" ht="15.75" customHeight="1">
      <c r="D530" s="11"/>
      <c r="F530" s="11"/>
      <c r="G530" s="11"/>
    </row>
    <row r="531" ht="15.75" customHeight="1">
      <c r="D531" s="11"/>
      <c r="F531" s="11"/>
      <c r="G531" s="11"/>
    </row>
    <row r="532" ht="15.75" customHeight="1">
      <c r="D532" s="11"/>
      <c r="F532" s="11"/>
      <c r="G532" s="11"/>
    </row>
    <row r="533" ht="15.75" customHeight="1">
      <c r="D533" s="11"/>
      <c r="F533" s="11"/>
      <c r="G533" s="11"/>
    </row>
    <row r="534" ht="15.75" customHeight="1">
      <c r="D534" s="11"/>
      <c r="F534" s="11"/>
      <c r="G534" s="11"/>
    </row>
    <row r="535" ht="15.75" customHeight="1">
      <c r="D535" s="11"/>
      <c r="F535" s="11"/>
      <c r="G535" s="11"/>
    </row>
    <row r="536" ht="15.75" customHeight="1">
      <c r="D536" s="11"/>
      <c r="F536" s="11"/>
      <c r="G536" s="11"/>
    </row>
    <row r="537" ht="15.75" customHeight="1">
      <c r="D537" s="11"/>
      <c r="F537" s="11"/>
      <c r="G537" s="11"/>
    </row>
    <row r="538" ht="15.75" customHeight="1">
      <c r="D538" s="11"/>
      <c r="F538" s="11"/>
      <c r="G538" s="11"/>
    </row>
    <row r="539" ht="15.75" customHeight="1">
      <c r="D539" s="11"/>
      <c r="F539" s="11"/>
      <c r="G539" s="11"/>
    </row>
    <row r="540" ht="15.75" customHeight="1">
      <c r="D540" s="11"/>
      <c r="F540" s="11"/>
      <c r="G540" s="11"/>
    </row>
    <row r="541" ht="15.75" customHeight="1">
      <c r="D541" s="11"/>
      <c r="F541" s="11"/>
      <c r="G541" s="11"/>
    </row>
    <row r="542" ht="15.75" customHeight="1">
      <c r="D542" s="11"/>
      <c r="F542" s="11"/>
      <c r="G542" s="11"/>
    </row>
    <row r="543" ht="15.75" customHeight="1">
      <c r="D543" s="11"/>
      <c r="F543" s="11"/>
      <c r="G543" s="11"/>
    </row>
    <row r="544" ht="15.75" customHeight="1">
      <c r="D544" s="11"/>
      <c r="F544" s="11"/>
      <c r="G544" s="11"/>
    </row>
    <row r="545" ht="15.75" customHeight="1">
      <c r="D545" s="11"/>
      <c r="F545" s="11"/>
      <c r="G545" s="11"/>
    </row>
    <row r="546" ht="15.75" customHeight="1">
      <c r="D546" s="11"/>
      <c r="F546" s="11"/>
      <c r="G546" s="11"/>
    </row>
    <row r="547" ht="15.75" customHeight="1">
      <c r="D547" s="11"/>
      <c r="F547" s="11"/>
      <c r="G547" s="11"/>
    </row>
    <row r="548" ht="15.75" customHeight="1">
      <c r="D548" s="11"/>
      <c r="F548" s="11"/>
      <c r="G548" s="11"/>
    </row>
    <row r="549" ht="15.75" customHeight="1">
      <c r="D549" s="11"/>
      <c r="F549" s="11"/>
      <c r="G549" s="11"/>
    </row>
    <row r="550" ht="15.75" customHeight="1">
      <c r="D550" s="11"/>
      <c r="F550" s="11"/>
      <c r="G550" s="11"/>
    </row>
    <row r="551" ht="15.75" customHeight="1">
      <c r="D551" s="11"/>
      <c r="F551" s="11"/>
      <c r="G551" s="11"/>
    </row>
    <row r="552" ht="15.75" customHeight="1">
      <c r="D552" s="11"/>
      <c r="F552" s="11"/>
      <c r="G552" s="11"/>
    </row>
    <row r="553" ht="15.75" customHeight="1">
      <c r="D553" s="11"/>
      <c r="F553" s="11"/>
      <c r="G553" s="11"/>
    </row>
    <row r="554" ht="15.75" customHeight="1">
      <c r="D554" s="11"/>
      <c r="F554" s="11"/>
      <c r="G554" s="11"/>
    </row>
    <row r="555" ht="15.75" customHeight="1">
      <c r="D555" s="11"/>
      <c r="F555" s="11"/>
      <c r="G555" s="11"/>
    </row>
    <row r="556" ht="15.75" customHeight="1">
      <c r="D556" s="11"/>
      <c r="F556" s="11"/>
      <c r="G556" s="11"/>
    </row>
    <row r="557" ht="15.75" customHeight="1">
      <c r="D557" s="11"/>
      <c r="F557" s="11"/>
      <c r="G557" s="11"/>
    </row>
    <row r="558" ht="15.75" customHeight="1">
      <c r="D558" s="11"/>
      <c r="F558" s="11"/>
      <c r="G558" s="11"/>
    </row>
    <row r="559" ht="15.75" customHeight="1">
      <c r="D559" s="11"/>
      <c r="F559" s="11"/>
      <c r="G559" s="11"/>
    </row>
    <row r="560" ht="15.75" customHeight="1">
      <c r="D560" s="11"/>
      <c r="F560" s="11"/>
      <c r="G560" s="11"/>
    </row>
    <row r="561" ht="15.75" customHeight="1">
      <c r="D561" s="11"/>
      <c r="F561" s="11"/>
      <c r="G561" s="11"/>
    </row>
    <row r="562" ht="15.75" customHeight="1">
      <c r="D562" s="11"/>
      <c r="F562" s="11"/>
      <c r="G562" s="11"/>
    </row>
    <row r="563" ht="15.75" customHeight="1">
      <c r="D563" s="11"/>
      <c r="F563" s="11"/>
      <c r="G563" s="11"/>
    </row>
    <row r="564" ht="15.75" customHeight="1">
      <c r="D564" s="11"/>
      <c r="F564" s="11"/>
      <c r="G564" s="11"/>
    </row>
    <row r="565" ht="15.75" customHeight="1">
      <c r="D565" s="11"/>
      <c r="F565" s="11"/>
      <c r="G565" s="11"/>
    </row>
    <row r="566" ht="15.75" customHeight="1">
      <c r="D566" s="11"/>
      <c r="F566" s="11"/>
      <c r="G566" s="11"/>
    </row>
    <row r="567" ht="15.75" customHeight="1">
      <c r="D567" s="11"/>
      <c r="F567" s="11"/>
      <c r="G567" s="11"/>
    </row>
    <row r="568" ht="15.75" customHeight="1">
      <c r="D568" s="11"/>
      <c r="F568" s="11"/>
      <c r="G568" s="11"/>
    </row>
    <row r="569" ht="15.75" customHeight="1">
      <c r="D569" s="11"/>
      <c r="F569" s="11"/>
      <c r="G569" s="11"/>
    </row>
    <row r="570" ht="15.75" customHeight="1">
      <c r="D570" s="11"/>
      <c r="F570" s="11"/>
      <c r="G570" s="11"/>
    </row>
    <row r="571" ht="15.75" customHeight="1">
      <c r="D571" s="11"/>
      <c r="F571" s="11"/>
      <c r="G571" s="11"/>
    </row>
    <row r="572" ht="15.75" customHeight="1">
      <c r="D572" s="11"/>
      <c r="F572" s="11"/>
      <c r="G572" s="11"/>
    </row>
    <row r="573" ht="15.75" customHeight="1">
      <c r="D573" s="11"/>
      <c r="F573" s="11"/>
      <c r="G573" s="11"/>
    </row>
    <row r="574" ht="15.75" customHeight="1">
      <c r="D574" s="11"/>
      <c r="F574" s="11"/>
      <c r="G574" s="11"/>
    </row>
    <row r="575" ht="15.75" customHeight="1">
      <c r="D575" s="11"/>
      <c r="F575" s="11"/>
      <c r="G575" s="11"/>
    </row>
    <row r="576" ht="15.75" customHeight="1">
      <c r="D576" s="11"/>
      <c r="F576" s="11"/>
      <c r="G576" s="11"/>
    </row>
    <row r="577" ht="15.75" customHeight="1">
      <c r="D577" s="11"/>
      <c r="F577" s="11"/>
      <c r="G577" s="11"/>
    </row>
    <row r="578" ht="15.75" customHeight="1">
      <c r="D578" s="11"/>
      <c r="F578" s="11"/>
      <c r="G578" s="11"/>
    </row>
    <row r="579" ht="15.75" customHeight="1">
      <c r="D579" s="11"/>
      <c r="F579" s="11"/>
      <c r="G579" s="11"/>
    </row>
    <row r="580" ht="15.75" customHeight="1">
      <c r="D580" s="11"/>
      <c r="F580" s="11"/>
      <c r="G580" s="11"/>
    </row>
    <row r="581" ht="15.75" customHeight="1">
      <c r="D581" s="11"/>
      <c r="F581" s="11"/>
      <c r="G581" s="11"/>
    </row>
    <row r="582" ht="15.75" customHeight="1">
      <c r="D582" s="11"/>
      <c r="F582" s="11"/>
      <c r="G582" s="11"/>
    </row>
    <row r="583" ht="15.75" customHeight="1">
      <c r="D583" s="11"/>
      <c r="F583" s="11"/>
      <c r="G583" s="11"/>
    </row>
    <row r="584" ht="15.75" customHeight="1">
      <c r="D584" s="11"/>
      <c r="F584" s="11"/>
      <c r="G584" s="11"/>
    </row>
    <row r="585" ht="15.75" customHeight="1">
      <c r="D585" s="11"/>
      <c r="F585" s="11"/>
      <c r="G585" s="11"/>
    </row>
    <row r="586" ht="15.75" customHeight="1">
      <c r="D586" s="11"/>
      <c r="F586" s="11"/>
      <c r="G586" s="11"/>
    </row>
    <row r="587" ht="15.75" customHeight="1">
      <c r="D587" s="11"/>
      <c r="F587" s="11"/>
      <c r="G587" s="11"/>
    </row>
    <row r="588" ht="15.75" customHeight="1">
      <c r="D588" s="11"/>
      <c r="F588" s="11"/>
      <c r="G588" s="11"/>
    </row>
    <row r="589" ht="15.75" customHeight="1">
      <c r="D589" s="11"/>
      <c r="F589" s="11"/>
      <c r="G589" s="11"/>
    </row>
    <row r="590" ht="15.75" customHeight="1">
      <c r="D590" s="11"/>
      <c r="F590" s="11"/>
      <c r="G590" s="11"/>
    </row>
    <row r="591" ht="15.75" customHeight="1">
      <c r="D591" s="11"/>
      <c r="F591" s="11"/>
      <c r="G591" s="11"/>
    </row>
    <row r="592" ht="15.75" customHeight="1">
      <c r="D592" s="11"/>
      <c r="F592" s="11"/>
      <c r="G592" s="11"/>
    </row>
    <row r="593" ht="15.75" customHeight="1">
      <c r="D593" s="11"/>
      <c r="F593" s="11"/>
      <c r="G593" s="11"/>
    </row>
    <row r="594" ht="15.75" customHeight="1">
      <c r="D594" s="11"/>
      <c r="F594" s="11"/>
      <c r="G594" s="11"/>
    </row>
    <row r="595" ht="15.75" customHeight="1">
      <c r="D595" s="11"/>
      <c r="F595" s="11"/>
      <c r="G595" s="11"/>
    </row>
    <row r="596" ht="15.75" customHeight="1">
      <c r="D596" s="11"/>
      <c r="F596" s="11"/>
      <c r="G596" s="11"/>
    </row>
    <row r="597" ht="15.75" customHeight="1">
      <c r="D597" s="11"/>
      <c r="F597" s="11"/>
      <c r="G597" s="11"/>
    </row>
    <row r="598" ht="15.75" customHeight="1">
      <c r="D598" s="11"/>
      <c r="F598" s="11"/>
      <c r="G598" s="11"/>
    </row>
    <row r="599" ht="15.75" customHeight="1">
      <c r="D599" s="11"/>
      <c r="F599" s="11"/>
      <c r="G599" s="11"/>
    </row>
    <row r="600" ht="15.75" customHeight="1">
      <c r="D600" s="11"/>
      <c r="F600" s="11"/>
      <c r="G600" s="11"/>
    </row>
    <row r="601" ht="15.75" customHeight="1">
      <c r="D601" s="11"/>
      <c r="F601" s="11"/>
      <c r="G601" s="11"/>
    </row>
    <row r="602" ht="15.75" customHeight="1">
      <c r="D602" s="11"/>
      <c r="F602" s="11"/>
      <c r="G602" s="11"/>
    </row>
    <row r="603" ht="15.75" customHeight="1">
      <c r="D603" s="11"/>
      <c r="F603" s="11"/>
      <c r="G603" s="11"/>
    </row>
    <row r="604" ht="15.75" customHeight="1">
      <c r="D604" s="11"/>
      <c r="F604" s="11"/>
      <c r="G604" s="11"/>
    </row>
    <row r="605" ht="15.75" customHeight="1">
      <c r="D605" s="11"/>
      <c r="F605" s="11"/>
      <c r="G605" s="11"/>
    </row>
    <row r="606" ht="15.75" customHeight="1">
      <c r="D606" s="11"/>
      <c r="F606" s="11"/>
      <c r="G606" s="11"/>
    </row>
    <row r="607" ht="15.75" customHeight="1">
      <c r="D607" s="11"/>
      <c r="F607" s="11"/>
      <c r="G607" s="11"/>
    </row>
    <row r="608" ht="15.75" customHeight="1">
      <c r="D608" s="11"/>
      <c r="F608" s="11"/>
      <c r="G608" s="11"/>
    </row>
    <row r="609" ht="15.75" customHeight="1">
      <c r="D609" s="11"/>
      <c r="F609" s="11"/>
      <c r="G609" s="11"/>
    </row>
    <row r="610" ht="15.75" customHeight="1">
      <c r="D610" s="11"/>
      <c r="F610" s="11"/>
      <c r="G610" s="11"/>
    </row>
    <row r="611" ht="15.75" customHeight="1">
      <c r="D611" s="11"/>
      <c r="F611" s="11"/>
      <c r="G611" s="11"/>
    </row>
    <row r="612" ht="15.75" customHeight="1">
      <c r="D612" s="11"/>
      <c r="F612" s="11"/>
      <c r="G612" s="11"/>
    </row>
    <row r="613" ht="15.75" customHeight="1">
      <c r="D613" s="11"/>
      <c r="F613" s="11"/>
      <c r="G613" s="11"/>
    </row>
    <row r="614" ht="15.75" customHeight="1">
      <c r="D614" s="11"/>
      <c r="F614" s="11"/>
      <c r="G614" s="11"/>
    </row>
    <row r="615" ht="15.75" customHeight="1">
      <c r="D615" s="11"/>
      <c r="F615" s="11"/>
      <c r="G615" s="11"/>
    </row>
    <row r="616" ht="15.75" customHeight="1">
      <c r="D616" s="11"/>
      <c r="F616" s="11"/>
      <c r="G616" s="11"/>
    </row>
    <row r="617" ht="15.75" customHeight="1">
      <c r="D617" s="11"/>
      <c r="F617" s="11"/>
      <c r="G617" s="11"/>
    </row>
    <row r="618" ht="15.75" customHeight="1">
      <c r="D618" s="11"/>
      <c r="F618" s="11"/>
      <c r="G618" s="11"/>
    </row>
    <row r="619" ht="15.75" customHeight="1">
      <c r="D619" s="11"/>
      <c r="F619" s="11"/>
      <c r="G619" s="11"/>
    </row>
    <row r="620" ht="15.75" customHeight="1">
      <c r="D620" s="11"/>
      <c r="F620" s="11"/>
      <c r="G620" s="11"/>
    </row>
    <row r="621" ht="15.75" customHeight="1">
      <c r="D621" s="11"/>
      <c r="F621" s="11"/>
      <c r="G621" s="11"/>
    </row>
    <row r="622" ht="15.75" customHeight="1">
      <c r="D622" s="11"/>
      <c r="F622" s="11"/>
      <c r="G622" s="11"/>
    </row>
    <row r="623" ht="15.75" customHeight="1">
      <c r="D623" s="11"/>
      <c r="F623" s="11"/>
      <c r="G623" s="11"/>
    </row>
    <row r="624" ht="15.75" customHeight="1">
      <c r="D624" s="11"/>
      <c r="F624" s="11"/>
      <c r="G624" s="11"/>
    </row>
    <row r="625" ht="15.75" customHeight="1">
      <c r="D625" s="11"/>
      <c r="F625" s="11"/>
      <c r="G625" s="11"/>
    </row>
    <row r="626" ht="15.75" customHeight="1">
      <c r="D626" s="11"/>
      <c r="F626" s="11"/>
      <c r="G626" s="11"/>
    </row>
    <row r="627" ht="15.75" customHeight="1">
      <c r="D627" s="11"/>
      <c r="F627" s="11"/>
      <c r="G627" s="11"/>
    </row>
    <row r="628" ht="15.75" customHeight="1">
      <c r="D628" s="11"/>
      <c r="F628" s="11"/>
      <c r="G628" s="11"/>
    </row>
    <row r="629" ht="15.75" customHeight="1">
      <c r="D629" s="11"/>
      <c r="F629" s="11"/>
      <c r="G629" s="11"/>
    </row>
    <row r="630" ht="15.75" customHeight="1">
      <c r="D630" s="11"/>
      <c r="F630" s="11"/>
      <c r="G630" s="11"/>
    </row>
    <row r="631" ht="15.75" customHeight="1">
      <c r="D631" s="11"/>
      <c r="F631" s="11"/>
      <c r="G631" s="11"/>
    </row>
    <row r="632" ht="15.75" customHeight="1">
      <c r="D632" s="11"/>
      <c r="F632" s="11"/>
      <c r="G632" s="11"/>
    </row>
    <row r="633" ht="15.75" customHeight="1">
      <c r="D633" s="11"/>
      <c r="F633" s="11"/>
      <c r="G633" s="11"/>
    </row>
    <row r="634" ht="15.75" customHeight="1">
      <c r="D634" s="11"/>
      <c r="F634" s="11"/>
      <c r="G634" s="11"/>
    </row>
    <row r="635" ht="15.75" customHeight="1">
      <c r="D635" s="11"/>
      <c r="F635" s="11"/>
      <c r="G635" s="11"/>
    </row>
    <row r="636" ht="15.75" customHeight="1">
      <c r="D636" s="11"/>
      <c r="F636" s="11"/>
      <c r="G636" s="11"/>
    </row>
    <row r="637" ht="15.75" customHeight="1">
      <c r="D637" s="11"/>
      <c r="F637" s="11"/>
      <c r="G637" s="11"/>
    </row>
    <row r="638" ht="15.75" customHeight="1">
      <c r="D638" s="11"/>
      <c r="F638" s="11"/>
      <c r="G638" s="11"/>
    </row>
    <row r="639" ht="15.75" customHeight="1">
      <c r="D639" s="11"/>
      <c r="F639" s="11"/>
      <c r="G639" s="11"/>
    </row>
    <row r="640" ht="15.75" customHeight="1">
      <c r="D640" s="11"/>
      <c r="F640" s="11"/>
      <c r="G640" s="11"/>
    </row>
    <row r="641" ht="15.75" customHeight="1">
      <c r="D641" s="11"/>
      <c r="F641" s="11"/>
      <c r="G641" s="11"/>
    </row>
    <row r="642" ht="15.75" customHeight="1">
      <c r="D642" s="11"/>
      <c r="F642" s="11"/>
      <c r="G642" s="11"/>
    </row>
    <row r="643" ht="15.75" customHeight="1">
      <c r="D643" s="11"/>
      <c r="F643" s="11"/>
      <c r="G643" s="11"/>
    </row>
    <row r="644" ht="15.75" customHeight="1">
      <c r="D644" s="11"/>
      <c r="F644" s="11"/>
      <c r="G644" s="11"/>
    </row>
    <row r="645" ht="15.75" customHeight="1">
      <c r="D645" s="11"/>
      <c r="F645" s="11"/>
      <c r="G645" s="11"/>
    </row>
    <row r="646" ht="15.75" customHeight="1">
      <c r="D646" s="11"/>
      <c r="F646" s="11"/>
      <c r="G646" s="11"/>
    </row>
    <row r="647" ht="15.75" customHeight="1">
      <c r="D647" s="11"/>
      <c r="F647" s="11"/>
      <c r="G647" s="11"/>
    </row>
    <row r="648" ht="15.75" customHeight="1">
      <c r="D648" s="11"/>
      <c r="F648" s="11"/>
      <c r="G648" s="11"/>
    </row>
    <row r="649" ht="15.75" customHeight="1">
      <c r="D649" s="11"/>
      <c r="F649" s="11"/>
      <c r="G649" s="11"/>
    </row>
    <row r="650" ht="15.75" customHeight="1">
      <c r="D650" s="11"/>
      <c r="F650" s="11"/>
      <c r="G650" s="11"/>
    </row>
    <row r="651" ht="15.75" customHeight="1">
      <c r="D651" s="11"/>
      <c r="F651" s="11"/>
      <c r="G651" s="11"/>
    </row>
    <row r="652" ht="15.75" customHeight="1">
      <c r="D652" s="11"/>
      <c r="F652" s="11"/>
      <c r="G652" s="11"/>
    </row>
    <row r="653" ht="15.75" customHeight="1">
      <c r="D653" s="11"/>
      <c r="F653" s="11"/>
      <c r="G653" s="11"/>
    </row>
    <row r="654" ht="15.75" customHeight="1">
      <c r="D654" s="11"/>
      <c r="F654" s="11"/>
      <c r="G654" s="11"/>
    </row>
    <row r="655" ht="15.75" customHeight="1">
      <c r="D655" s="11"/>
      <c r="F655" s="11"/>
      <c r="G655" s="11"/>
    </row>
    <row r="656" ht="15.75" customHeight="1">
      <c r="D656" s="11"/>
      <c r="F656" s="11"/>
      <c r="G656" s="11"/>
    </row>
    <row r="657" ht="15.75" customHeight="1">
      <c r="D657" s="11"/>
      <c r="F657" s="11"/>
      <c r="G657" s="11"/>
    </row>
    <row r="658" ht="15.75" customHeight="1">
      <c r="D658" s="11"/>
      <c r="F658" s="11"/>
      <c r="G658" s="11"/>
    </row>
    <row r="659" ht="15.75" customHeight="1">
      <c r="D659" s="11"/>
      <c r="F659" s="11"/>
      <c r="G659" s="11"/>
    </row>
    <row r="660" ht="15.75" customHeight="1">
      <c r="D660" s="11"/>
      <c r="F660" s="11"/>
      <c r="G660" s="11"/>
    </row>
    <row r="661" ht="15.75" customHeight="1">
      <c r="D661" s="11"/>
      <c r="F661" s="11"/>
      <c r="G661" s="11"/>
    </row>
    <row r="662" ht="15.75" customHeight="1">
      <c r="D662" s="11"/>
      <c r="F662" s="11"/>
      <c r="G662" s="11"/>
    </row>
    <row r="663" ht="15.75" customHeight="1">
      <c r="D663" s="11"/>
      <c r="F663" s="11"/>
      <c r="G663" s="11"/>
    </row>
    <row r="664" ht="15.75" customHeight="1">
      <c r="D664" s="11"/>
      <c r="F664" s="11"/>
      <c r="G664" s="11"/>
    </row>
    <row r="665" ht="15.75" customHeight="1">
      <c r="D665" s="11"/>
      <c r="F665" s="11"/>
      <c r="G665" s="11"/>
    </row>
    <row r="666" ht="15.75" customHeight="1">
      <c r="D666" s="11"/>
      <c r="F666" s="11"/>
      <c r="G666" s="11"/>
    </row>
    <row r="667" ht="15.75" customHeight="1">
      <c r="D667" s="11"/>
      <c r="F667" s="11"/>
      <c r="G667" s="11"/>
    </row>
    <row r="668" ht="15.75" customHeight="1">
      <c r="D668" s="11"/>
      <c r="F668" s="11"/>
      <c r="G668" s="11"/>
    </row>
    <row r="669" ht="15.75" customHeight="1">
      <c r="D669" s="11"/>
      <c r="F669" s="11"/>
      <c r="G669" s="11"/>
    </row>
    <row r="670" ht="15.75" customHeight="1">
      <c r="D670" s="11"/>
      <c r="F670" s="11"/>
      <c r="G670" s="11"/>
    </row>
    <row r="671" ht="15.75" customHeight="1">
      <c r="D671" s="11"/>
      <c r="F671" s="11"/>
      <c r="G671" s="11"/>
    </row>
    <row r="672" ht="15.75" customHeight="1">
      <c r="D672" s="11"/>
      <c r="F672" s="11"/>
      <c r="G672" s="11"/>
    </row>
    <row r="673" ht="15.75" customHeight="1">
      <c r="D673" s="11"/>
      <c r="F673" s="11"/>
      <c r="G673" s="11"/>
    </row>
    <row r="674" ht="15.75" customHeight="1">
      <c r="D674" s="11"/>
      <c r="F674" s="11"/>
      <c r="G674" s="11"/>
    </row>
    <row r="675" ht="15.75" customHeight="1">
      <c r="D675" s="11"/>
      <c r="F675" s="11"/>
      <c r="G675" s="11"/>
    </row>
    <row r="676" ht="15.75" customHeight="1">
      <c r="D676" s="11"/>
      <c r="F676" s="11"/>
      <c r="G676" s="11"/>
    </row>
    <row r="677" ht="15.75" customHeight="1">
      <c r="D677" s="11"/>
      <c r="F677" s="11"/>
      <c r="G677" s="11"/>
    </row>
    <row r="678" ht="15.75" customHeight="1">
      <c r="D678" s="11"/>
      <c r="F678" s="11"/>
      <c r="G678" s="11"/>
    </row>
    <row r="679" ht="15.75" customHeight="1">
      <c r="D679" s="11"/>
      <c r="F679" s="11"/>
      <c r="G679" s="11"/>
    </row>
    <row r="680" ht="15.75" customHeight="1">
      <c r="D680" s="11"/>
      <c r="F680" s="11"/>
      <c r="G680" s="11"/>
    </row>
    <row r="681" ht="15.75" customHeight="1">
      <c r="D681" s="11"/>
      <c r="F681" s="11"/>
      <c r="G681" s="11"/>
    </row>
    <row r="682" ht="15.75" customHeight="1">
      <c r="D682" s="11"/>
      <c r="F682" s="11"/>
      <c r="G682" s="11"/>
    </row>
    <row r="683" ht="15.75" customHeight="1">
      <c r="D683" s="11"/>
      <c r="F683" s="11"/>
      <c r="G683" s="11"/>
    </row>
    <row r="684" ht="15.75" customHeight="1">
      <c r="D684" s="11"/>
      <c r="F684" s="11"/>
      <c r="G684" s="11"/>
    </row>
    <row r="685" ht="15.75" customHeight="1">
      <c r="D685" s="11"/>
      <c r="F685" s="11"/>
      <c r="G685" s="11"/>
    </row>
    <row r="686" ht="15.75" customHeight="1">
      <c r="D686" s="11"/>
      <c r="F686" s="11"/>
      <c r="G686" s="11"/>
    </row>
    <row r="687" ht="15.75" customHeight="1">
      <c r="D687" s="11"/>
      <c r="F687" s="11"/>
      <c r="G687" s="11"/>
    </row>
    <row r="688" ht="15.75" customHeight="1">
      <c r="D688" s="11"/>
      <c r="F688" s="11"/>
      <c r="G688" s="11"/>
    </row>
    <row r="689" ht="15.75" customHeight="1">
      <c r="D689" s="11"/>
      <c r="F689" s="11"/>
      <c r="G689" s="11"/>
    </row>
    <row r="690" ht="15.75" customHeight="1">
      <c r="D690" s="11"/>
      <c r="F690" s="11"/>
      <c r="G690" s="11"/>
    </row>
    <row r="691" ht="15.75" customHeight="1">
      <c r="D691" s="11"/>
      <c r="F691" s="11"/>
      <c r="G691" s="11"/>
    </row>
    <row r="692" ht="15.75" customHeight="1">
      <c r="D692" s="11"/>
      <c r="F692" s="11"/>
      <c r="G692" s="11"/>
    </row>
    <row r="693" ht="15.75" customHeight="1">
      <c r="D693" s="11"/>
      <c r="F693" s="11"/>
      <c r="G693" s="11"/>
    </row>
    <row r="694" ht="15.75" customHeight="1">
      <c r="D694" s="11"/>
      <c r="F694" s="11"/>
      <c r="G694" s="11"/>
    </row>
    <row r="695" ht="15.75" customHeight="1">
      <c r="D695" s="11"/>
      <c r="F695" s="11"/>
      <c r="G695" s="11"/>
    </row>
    <row r="696" ht="15.75" customHeight="1">
      <c r="D696" s="11"/>
      <c r="F696" s="11"/>
      <c r="G696" s="11"/>
    </row>
    <row r="697" ht="15.75" customHeight="1">
      <c r="D697" s="11"/>
      <c r="F697" s="11"/>
      <c r="G697" s="11"/>
    </row>
    <row r="698" ht="15.75" customHeight="1">
      <c r="D698" s="11"/>
      <c r="F698" s="11"/>
      <c r="G698" s="11"/>
    </row>
    <row r="699" ht="15.75" customHeight="1">
      <c r="D699" s="11"/>
      <c r="F699" s="11"/>
      <c r="G699" s="11"/>
    </row>
    <row r="700" ht="15.75" customHeight="1">
      <c r="D700" s="11"/>
      <c r="F700" s="11"/>
      <c r="G700" s="11"/>
    </row>
    <row r="701" ht="15.75" customHeight="1">
      <c r="D701" s="11"/>
      <c r="F701" s="11"/>
      <c r="G701" s="11"/>
    </row>
    <row r="702" ht="15.75" customHeight="1">
      <c r="D702" s="11"/>
      <c r="F702" s="11"/>
      <c r="G702" s="11"/>
    </row>
    <row r="703" ht="15.75" customHeight="1">
      <c r="D703" s="11"/>
      <c r="F703" s="11"/>
      <c r="G703" s="11"/>
    </row>
    <row r="704" ht="15.75" customHeight="1">
      <c r="D704" s="11"/>
      <c r="F704" s="11"/>
      <c r="G704" s="11"/>
    </row>
    <row r="705" ht="15.75" customHeight="1">
      <c r="D705" s="11"/>
      <c r="F705" s="11"/>
      <c r="G705" s="11"/>
    </row>
    <row r="706" ht="15.75" customHeight="1">
      <c r="D706" s="11"/>
      <c r="F706" s="11"/>
      <c r="G706" s="11"/>
    </row>
    <row r="707" ht="15.75" customHeight="1">
      <c r="D707" s="11"/>
      <c r="F707" s="11"/>
      <c r="G707" s="11"/>
    </row>
    <row r="708" ht="15.75" customHeight="1">
      <c r="D708" s="11"/>
      <c r="F708" s="11"/>
      <c r="G708" s="11"/>
    </row>
    <row r="709" ht="15.75" customHeight="1">
      <c r="D709" s="11"/>
      <c r="F709" s="11"/>
      <c r="G709" s="11"/>
    </row>
    <row r="710" ht="15.75" customHeight="1">
      <c r="D710" s="11"/>
      <c r="F710" s="11"/>
      <c r="G710" s="11"/>
    </row>
    <row r="711" ht="15.75" customHeight="1">
      <c r="D711" s="11"/>
      <c r="F711" s="11"/>
      <c r="G711" s="11"/>
    </row>
    <row r="712" ht="15.75" customHeight="1">
      <c r="D712" s="11"/>
      <c r="F712" s="11"/>
      <c r="G712" s="11"/>
    </row>
    <row r="713" ht="15.75" customHeight="1">
      <c r="D713" s="11"/>
      <c r="F713" s="11"/>
      <c r="G713" s="11"/>
    </row>
    <row r="714" ht="15.75" customHeight="1">
      <c r="D714" s="11"/>
      <c r="F714" s="11"/>
      <c r="G714" s="11"/>
    </row>
    <row r="715" ht="15.75" customHeight="1">
      <c r="D715" s="11"/>
      <c r="F715" s="11"/>
      <c r="G715" s="11"/>
    </row>
    <row r="716" ht="15.75" customHeight="1">
      <c r="D716" s="11"/>
      <c r="F716" s="11"/>
      <c r="G716" s="11"/>
    </row>
    <row r="717" ht="15.75" customHeight="1">
      <c r="D717" s="11"/>
      <c r="F717" s="11"/>
      <c r="G717" s="11"/>
    </row>
    <row r="718" ht="15.75" customHeight="1">
      <c r="D718" s="11"/>
      <c r="F718" s="11"/>
      <c r="G718" s="11"/>
    </row>
    <row r="719" ht="15.75" customHeight="1">
      <c r="D719" s="11"/>
      <c r="F719" s="11"/>
      <c r="G719" s="11"/>
    </row>
    <row r="720" ht="15.75" customHeight="1">
      <c r="D720" s="11"/>
      <c r="F720" s="11"/>
      <c r="G720" s="11"/>
    </row>
    <row r="721" ht="15.75" customHeight="1">
      <c r="D721" s="11"/>
      <c r="F721" s="11"/>
      <c r="G721" s="11"/>
    </row>
    <row r="722" ht="15.75" customHeight="1">
      <c r="D722" s="11"/>
      <c r="F722" s="11"/>
      <c r="G722" s="11"/>
    </row>
    <row r="723" ht="15.75" customHeight="1">
      <c r="D723" s="11"/>
      <c r="F723" s="11"/>
      <c r="G723" s="11"/>
    </row>
    <row r="724" ht="15.75" customHeight="1">
      <c r="D724" s="11"/>
      <c r="F724" s="11"/>
      <c r="G724" s="11"/>
    </row>
    <row r="725" ht="15.75" customHeight="1">
      <c r="D725" s="11"/>
      <c r="F725" s="11"/>
      <c r="G725" s="11"/>
    </row>
    <row r="726" ht="15.75" customHeight="1">
      <c r="D726" s="11"/>
      <c r="F726" s="11"/>
      <c r="G726" s="11"/>
    </row>
    <row r="727" ht="15.75" customHeight="1">
      <c r="D727" s="11"/>
      <c r="F727" s="11"/>
      <c r="G727" s="11"/>
    </row>
    <row r="728" ht="15.75" customHeight="1">
      <c r="D728" s="11"/>
      <c r="F728" s="11"/>
      <c r="G728" s="11"/>
    </row>
    <row r="729" ht="15.75" customHeight="1">
      <c r="D729" s="11"/>
      <c r="F729" s="11"/>
      <c r="G729" s="11"/>
    </row>
    <row r="730" ht="15.75" customHeight="1">
      <c r="D730" s="11"/>
      <c r="F730" s="11"/>
      <c r="G730" s="11"/>
    </row>
    <row r="731" ht="15.75" customHeight="1">
      <c r="D731" s="11"/>
      <c r="F731" s="11"/>
      <c r="G731" s="11"/>
    </row>
    <row r="732" ht="15.75" customHeight="1">
      <c r="D732" s="11"/>
      <c r="F732" s="11"/>
      <c r="G732" s="11"/>
    </row>
    <row r="733" ht="15.75" customHeight="1">
      <c r="D733" s="11"/>
      <c r="F733" s="11"/>
      <c r="G733" s="11"/>
    </row>
    <row r="734" ht="15.75" customHeight="1">
      <c r="D734" s="11"/>
      <c r="F734" s="11"/>
      <c r="G734" s="11"/>
    </row>
    <row r="735" ht="15.75" customHeight="1">
      <c r="D735" s="11"/>
      <c r="F735" s="11"/>
      <c r="G735" s="11"/>
    </row>
    <row r="736" ht="15.75" customHeight="1">
      <c r="D736" s="11"/>
      <c r="F736" s="11"/>
      <c r="G736" s="11"/>
    </row>
    <row r="737" ht="15.75" customHeight="1">
      <c r="D737" s="11"/>
      <c r="F737" s="11"/>
      <c r="G737" s="11"/>
    </row>
    <row r="738" ht="15.75" customHeight="1">
      <c r="D738" s="11"/>
      <c r="F738" s="11"/>
      <c r="G738" s="11"/>
    </row>
    <row r="739" ht="15.75" customHeight="1">
      <c r="D739" s="11"/>
      <c r="F739" s="11"/>
      <c r="G739" s="11"/>
    </row>
    <row r="740" ht="15.75" customHeight="1">
      <c r="D740" s="11"/>
      <c r="F740" s="11"/>
      <c r="G740" s="11"/>
    </row>
    <row r="741" ht="15.75" customHeight="1">
      <c r="D741" s="11"/>
      <c r="F741" s="11"/>
      <c r="G741" s="11"/>
    </row>
    <row r="742" ht="15.75" customHeight="1">
      <c r="D742" s="11"/>
      <c r="F742" s="11"/>
      <c r="G742" s="11"/>
    </row>
    <row r="743" ht="15.75" customHeight="1">
      <c r="D743" s="11"/>
      <c r="F743" s="11"/>
      <c r="G743" s="11"/>
    </row>
    <row r="744" ht="15.75" customHeight="1">
      <c r="D744" s="11"/>
      <c r="F744" s="11"/>
      <c r="G744" s="11"/>
    </row>
    <row r="745" ht="15.75" customHeight="1">
      <c r="D745" s="11"/>
      <c r="F745" s="11"/>
      <c r="G745" s="11"/>
    </row>
    <row r="746" ht="15.75" customHeight="1">
      <c r="D746" s="11"/>
      <c r="F746" s="11"/>
      <c r="G746" s="11"/>
    </row>
    <row r="747" ht="15.75" customHeight="1">
      <c r="D747" s="11"/>
      <c r="F747" s="11"/>
      <c r="G747" s="11"/>
    </row>
    <row r="748" ht="15.75" customHeight="1">
      <c r="D748" s="11"/>
      <c r="F748" s="11"/>
      <c r="G748" s="11"/>
    </row>
    <row r="749" ht="15.75" customHeight="1">
      <c r="D749" s="11"/>
      <c r="F749" s="11"/>
      <c r="G749" s="11"/>
    </row>
    <row r="750" ht="15.75" customHeight="1">
      <c r="D750" s="11"/>
      <c r="F750" s="11"/>
      <c r="G750" s="11"/>
    </row>
    <row r="751" ht="15.75" customHeight="1">
      <c r="D751" s="11"/>
      <c r="F751" s="11"/>
      <c r="G751" s="11"/>
    </row>
    <row r="752" ht="15.75" customHeight="1">
      <c r="D752" s="11"/>
      <c r="F752" s="11"/>
      <c r="G752" s="11"/>
    </row>
    <row r="753" ht="15.75" customHeight="1">
      <c r="D753" s="11"/>
      <c r="F753" s="11"/>
      <c r="G753" s="11"/>
    </row>
    <row r="754" ht="15.75" customHeight="1">
      <c r="D754" s="11"/>
      <c r="F754" s="11"/>
      <c r="G754" s="11"/>
    </row>
    <row r="755" ht="15.75" customHeight="1">
      <c r="D755" s="11"/>
      <c r="F755" s="11"/>
      <c r="G755" s="11"/>
    </row>
    <row r="756" ht="15.75" customHeight="1">
      <c r="D756" s="11"/>
      <c r="F756" s="11"/>
      <c r="G756" s="11"/>
    </row>
    <row r="757" ht="15.75" customHeight="1">
      <c r="D757" s="11"/>
      <c r="F757" s="11"/>
      <c r="G757" s="11"/>
    </row>
    <row r="758" ht="15.75" customHeight="1">
      <c r="D758" s="11"/>
      <c r="F758" s="11"/>
      <c r="G758" s="11"/>
    </row>
    <row r="759" ht="15.75" customHeight="1">
      <c r="D759" s="11"/>
      <c r="F759" s="11"/>
      <c r="G759" s="11"/>
    </row>
    <row r="760" ht="15.75" customHeight="1">
      <c r="D760" s="11"/>
      <c r="F760" s="11"/>
      <c r="G760" s="11"/>
    </row>
    <row r="761" ht="15.75" customHeight="1">
      <c r="D761" s="11"/>
      <c r="F761" s="11"/>
      <c r="G761" s="11"/>
    </row>
    <row r="762" ht="15.75" customHeight="1">
      <c r="D762" s="11"/>
      <c r="F762" s="11"/>
      <c r="G762" s="11"/>
    </row>
    <row r="763" ht="15.75" customHeight="1">
      <c r="D763" s="11"/>
      <c r="F763" s="11"/>
      <c r="G763" s="11"/>
    </row>
    <row r="764" ht="15.75" customHeight="1">
      <c r="D764" s="11"/>
      <c r="F764" s="11"/>
      <c r="G764" s="11"/>
    </row>
    <row r="765" ht="15.75" customHeight="1">
      <c r="D765" s="11"/>
      <c r="F765" s="11"/>
      <c r="G765" s="11"/>
    </row>
    <row r="766" ht="15.75" customHeight="1">
      <c r="D766" s="11"/>
      <c r="F766" s="11"/>
      <c r="G766" s="11"/>
    </row>
    <row r="767" ht="15.75" customHeight="1">
      <c r="D767" s="11"/>
      <c r="F767" s="11"/>
      <c r="G767" s="11"/>
    </row>
    <row r="768" ht="15.75" customHeight="1">
      <c r="D768" s="11"/>
      <c r="F768" s="11"/>
      <c r="G768" s="11"/>
    </row>
    <row r="769" ht="15.75" customHeight="1">
      <c r="D769" s="11"/>
      <c r="F769" s="11"/>
      <c r="G769" s="11"/>
    </row>
    <row r="770" ht="15.75" customHeight="1">
      <c r="D770" s="11"/>
      <c r="F770" s="11"/>
      <c r="G770" s="11"/>
    </row>
    <row r="771" ht="15.75" customHeight="1">
      <c r="D771" s="11"/>
      <c r="F771" s="11"/>
      <c r="G771" s="11"/>
    </row>
    <row r="772" ht="15.75" customHeight="1">
      <c r="D772" s="11"/>
      <c r="F772" s="11"/>
      <c r="G772" s="11"/>
    </row>
    <row r="773" ht="15.75" customHeight="1">
      <c r="D773" s="11"/>
      <c r="F773" s="11"/>
      <c r="G773" s="11"/>
    </row>
    <row r="774" ht="15.75" customHeight="1">
      <c r="D774" s="11"/>
      <c r="F774" s="11"/>
      <c r="G774" s="11"/>
    </row>
    <row r="775" ht="15.75" customHeight="1">
      <c r="D775" s="11"/>
      <c r="F775" s="11"/>
      <c r="G775" s="11"/>
    </row>
    <row r="776" ht="15.75" customHeight="1">
      <c r="D776" s="11"/>
      <c r="F776" s="11"/>
      <c r="G776" s="11"/>
    </row>
    <row r="777" ht="15.75" customHeight="1">
      <c r="D777" s="11"/>
      <c r="F777" s="11"/>
      <c r="G777" s="11"/>
    </row>
    <row r="778" ht="15.75" customHeight="1">
      <c r="D778" s="11"/>
      <c r="F778" s="11"/>
      <c r="G778" s="11"/>
    </row>
    <row r="779" ht="15.75" customHeight="1">
      <c r="D779" s="11"/>
      <c r="F779" s="11"/>
      <c r="G779" s="11"/>
    </row>
    <row r="780" ht="15.75" customHeight="1">
      <c r="D780" s="11"/>
      <c r="F780" s="11"/>
      <c r="G780" s="11"/>
    </row>
    <row r="781" ht="15.75" customHeight="1">
      <c r="D781" s="11"/>
      <c r="F781" s="11"/>
      <c r="G781" s="11"/>
    </row>
    <row r="782" ht="15.75" customHeight="1">
      <c r="D782" s="11"/>
      <c r="F782" s="11"/>
      <c r="G782" s="11"/>
    </row>
    <row r="783" ht="15.75" customHeight="1">
      <c r="D783" s="11"/>
      <c r="F783" s="11"/>
      <c r="G783" s="11"/>
    </row>
    <row r="784" ht="15.75" customHeight="1">
      <c r="D784" s="11"/>
      <c r="F784" s="11"/>
      <c r="G784" s="11"/>
    </row>
    <row r="785" ht="15.75" customHeight="1">
      <c r="D785" s="11"/>
      <c r="F785" s="11"/>
      <c r="G785" s="11"/>
    </row>
    <row r="786" ht="15.75" customHeight="1">
      <c r="D786" s="11"/>
      <c r="F786" s="11"/>
      <c r="G786" s="11"/>
    </row>
    <row r="787" ht="15.75" customHeight="1">
      <c r="D787" s="11"/>
      <c r="F787" s="11"/>
      <c r="G787" s="11"/>
    </row>
    <row r="788" ht="15.75" customHeight="1">
      <c r="D788" s="11"/>
      <c r="F788" s="11"/>
      <c r="G788" s="11"/>
    </row>
    <row r="789" ht="15.75" customHeight="1">
      <c r="D789" s="11"/>
      <c r="F789" s="11"/>
      <c r="G789" s="11"/>
    </row>
    <row r="790" ht="15.75" customHeight="1">
      <c r="D790" s="11"/>
      <c r="F790" s="11"/>
      <c r="G790" s="11"/>
    </row>
    <row r="791" ht="15.75" customHeight="1">
      <c r="D791" s="11"/>
      <c r="F791" s="11"/>
      <c r="G791" s="11"/>
    </row>
    <row r="792" ht="15.75" customHeight="1">
      <c r="D792" s="11"/>
      <c r="F792" s="11"/>
      <c r="G792" s="11"/>
    </row>
    <row r="793" ht="15.75" customHeight="1">
      <c r="D793" s="11"/>
      <c r="F793" s="11"/>
      <c r="G793" s="11"/>
    </row>
    <row r="794" ht="15.75" customHeight="1">
      <c r="D794" s="11"/>
      <c r="F794" s="11"/>
      <c r="G794" s="11"/>
    </row>
    <row r="795" ht="15.75" customHeight="1">
      <c r="D795" s="11"/>
      <c r="F795" s="11"/>
      <c r="G795" s="11"/>
    </row>
    <row r="796" ht="15.75" customHeight="1">
      <c r="D796" s="11"/>
      <c r="F796" s="11"/>
      <c r="G796" s="11"/>
    </row>
    <row r="797" ht="15.75" customHeight="1">
      <c r="D797" s="11"/>
      <c r="F797" s="11"/>
      <c r="G797" s="11"/>
    </row>
    <row r="798" ht="15.75" customHeight="1">
      <c r="D798" s="11"/>
      <c r="F798" s="11"/>
      <c r="G798" s="11"/>
    </row>
    <row r="799" ht="15.75" customHeight="1">
      <c r="D799" s="11"/>
      <c r="F799" s="11"/>
      <c r="G799" s="11"/>
    </row>
    <row r="800" ht="15.75" customHeight="1">
      <c r="D800" s="11"/>
      <c r="F800" s="11"/>
      <c r="G800" s="11"/>
    </row>
    <row r="801" ht="15.75" customHeight="1">
      <c r="D801" s="11"/>
      <c r="F801" s="11"/>
      <c r="G801" s="11"/>
    </row>
    <row r="802" ht="15.75" customHeight="1">
      <c r="D802" s="11"/>
      <c r="F802" s="11"/>
      <c r="G802" s="11"/>
    </row>
    <row r="803" ht="15.75" customHeight="1">
      <c r="D803" s="11"/>
      <c r="F803" s="11"/>
      <c r="G803" s="11"/>
    </row>
    <row r="804" ht="15.75" customHeight="1">
      <c r="D804" s="11"/>
      <c r="F804" s="11"/>
      <c r="G804" s="11"/>
    </row>
    <row r="805" ht="15.75" customHeight="1">
      <c r="D805" s="11"/>
      <c r="F805" s="11"/>
      <c r="G805" s="11"/>
    </row>
    <row r="806" ht="15.75" customHeight="1">
      <c r="D806" s="11"/>
      <c r="F806" s="11"/>
      <c r="G806" s="11"/>
    </row>
    <row r="807" ht="15.75" customHeight="1">
      <c r="D807" s="11"/>
      <c r="F807" s="11"/>
      <c r="G807" s="11"/>
    </row>
    <row r="808" ht="15.75" customHeight="1">
      <c r="D808" s="11"/>
      <c r="F808" s="11"/>
      <c r="G808" s="11"/>
    </row>
    <row r="809" ht="15.75" customHeight="1">
      <c r="D809" s="11"/>
      <c r="F809" s="11"/>
      <c r="G809" s="11"/>
    </row>
    <row r="810" ht="15.75" customHeight="1">
      <c r="D810" s="11"/>
      <c r="F810" s="11"/>
      <c r="G810" s="11"/>
    </row>
    <row r="811" ht="15.75" customHeight="1">
      <c r="D811" s="11"/>
      <c r="F811" s="11"/>
      <c r="G811" s="11"/>
    </row>
    <row r="812" ht="15.75" customHeight="1">
      <c r="D812" s="11"/>
      <c r="F812" s="11"/>
      <c r="G812" s="11"/>
    </row>
    <row r="813" ht="15.75" customHeight="1">
      <c r="D813" s="11"/>
      <c r="F813" s="11"/>
      <c r="G813" s="11"/>
    </row>
    <row r="814" ht="15.75" customHeight="1">
      <c r="D814" s="11"/>
      <c r="F814" s="11"/>
      <c r="G814" s="11"/>
    </row>
    <row r="815" ht="15.75" customHeight="1">
      <c r="D815" s="11"/>
      <c r="F815" s="11"/>
      <c r="G815" s="11"/>
    </row>
    <row r="816" ht="15.75" customHeight="1">
      <c r="D816" s="11"/>
      <c r="F816" s="11"/>
      <c r="G816" s="11"/>
    </row>
    <row r="817" ht="15.75" customHeight="1">
      <c r="D817" s="11"/>
      <c r="F817" s="11"/>
      <c r="G817" s="11"/>
    </row>
    <row r="818" ht="15.75" customHeight="1">
      <c r="D818" s="11"/>
      <c r="F818" s="11"/>
      <c r="G818" s="11"/>
    </row>
    <row r="819" ht="15.75" customHeight="1">
      <c r="D819" s="11"/>
      <c r="F819" s="11"/>
      <c r="G819" s="11"/>
    </row>
    <row r="820" ht="15.75" customHeight="1">
      <c r="D820" s="11"/>
      <c r="F820" s="11"/>
      <c r="G820" s="11"/>
    </row>
    <row r="821" ht="15.75" customHeight="1">
      <c r="D821" s="11"/>
      <c r="F821" s="11"/>
      <c r="G821" s="11"/>
    </row>
    <row r="822" ht="15.75" customHeight="1">
      <c r="D822" s="11"/>
      <c r="F822" s="11"/>
      <c r="G822" s="11"/>
    </row>
    <row r="823" ht="15.75" customHeight="1">
      <c r="D823" s="11"/>
      <c r="F823" s="11"/>
      <c r="G823" s="11"/>
    </row>
    <row r="824" ht="15.75" customHeight="1">
      <c r="D824" s="11"/>
      <c r="F824" s="11"/>
      <c r="G824" s="11"/>
    </row>
    <row r="825" ht="15.75" customHeight="1">
      <c r="D825" s="11"/>
      <c r="F825" s="11"/>
      <c r="G825" s="11"/>
    </row>
    <row r="826" ht="15.75" customHeight="1">
      <c r="D826" s="11"/>
      <c r="F826" s="11"/>
      <c r="G826" s="11"/>
    </row>
    <row r="827" ht="15.75" customHeight="1">
      <c r="D827" s="11"/>
      <c r="F827" s="11"/>
      <c r="G827" s="11"/>
    </row>
    <row r="828" ht="15.75" customHeight="1">
      <c r="D828" s="11"/>
      <c r="F828" s="11"/>
      <c r="G828" s="11"/>
    </row>
    <row r="829" ht="15.75" customHeight="1">
      <c r="D829" s="11"/>
      <c r="F829" s="11"/>
      <c r="G829" s="11"/>
    </row>
    <row r="830" ht="15.75" customHeight="1">
      <c r="D830" s="11"/>
      <c r="F830" s="11"/>
      <c r="G830" s="11"/>
    </row>
    <row r="831" ht="15.75" customHeight="1">
      <c r="D831" s="11"/>
      <c r="F831" s="11"/>
      <c r="G831" s="11"/>
    </row>
    <row r="832" ht="15.75" customHeight="1">
      <c r="D832" s="11"/>
      <c r="F832" s="11"/>
      <c r="G832" s="11"/>
    </row>
    <row r="833" ht="15.75" customHeight="1">
      <c r="D833" s="11"/>
      <c r="F833" s="11"/>
      <c r="G833" s="11"/>
    </row>
    <row r="834" ht="15.75" customHeight="1">
      <c r="D834" s="11"/>
      <c r="F834" s="11"/>
      <c r="G834" s="11"/>
    </row>
    <row r="835" ht="15.75" customHeight="1">
      <c r="D835" s="11"/>
      <c r="F835" s="11"/>
      <c r="G835" s="11"/>
    </row>
    <row r="836" ht="15.75" customHeight="1">
      <c r="D836" s="11"/>
      <c r="F836" s="11"/>
      <c r="G836" s="11"/>
    </row>
    <row r="837" ht="15.75" customHeight="1">
      <c r="D837" s="11"/>
      <c r="F837" s="11"/>
      <c r="G837" s="11"/>
    </row>
    <row r="838" ht="15.75" customHeight="1">
      <c r="D838" s="11"/>
      <c r="F838" s="11"/>
      <c r="G838" s="11"/>
    </row>
    <row r="839" ht="15.75" customHeight="1">
      <c r="D839" s="11"/>
      <c r="F839" s="11"/>
      <c r="G839" s="11"/>
    </row>
    <row r="840" ht="15.75" customHeight="1">
      <c r="D840" s="11"/>
      <c r="F840" s="11"/>
      <c r="G840" s="11"/>
    </row>
    <row r="841" ht="15.75" customHeight="1">
      <c r="D841" s="11"/>
      <c r="F841" s="11"/>
      <c r="G841" s="11"/>
    </row>
    <row r="842" ht="15.75" customHeight="1">
      <c r="D842" s="11"/>
      <c r="F842" s="11"/>
      <c r="G842" s="11"/>
    </row>
    <row r="843" ht="15.75" customHeight="1">
      <c r="D843" s="11"/>
      <c r="F843" s="11"/>
      <c r="G843" s="11"/>
    </row>
    <row r="844" ht="15.75" customHeight="1">
      <c r="D844" s="11"/>
      <c r="F844" s="11"/>
      <c r="G844" s="11"/>
    </row>
    <row r="845" ht="15.75" customHeight="1">
      <c r="D845" s="11"/>
      <c r="F845" s="11"/>
      <c r="G845" s="11"/>
    </row>
    <row r="846" ht="15.75" customHeight="1">
      <c r="D846" s="11"/>
      <c r="F846" s="11"/>
      <c r="G846" s="11"/>
    </row>
    <row r="847" ht="15.75" customHeight="1">
      <c r="D847" s="11"/>
      <c r="F847" s="11"/>
      <c r="G847" s="11"/>
    </row>
    <row r="848" ht="15.75" customHeight="1">
      <c r="D848" s="11"/>
      <c r="F848" s="11"/>
      <c r="G848" s="11"/>
    </row>
    <row r="849" ht="15.75" customHeight="1">
      <c r="D849" s="11"/>
      <c r="F849" s="11"/>
      <c r="G849" s="11"/>
    </row>
    <row r="850" ht="15.75" customHeight="1">
      <c r="D850" s="11"/>
      <c r="F850" s="11"/>
      <c r="G850" s="11"/>
    </row>
    <row r="851" ht="15.75" customHeight="1">
      <c r="D851" s="11"/>
      <c r="F851" s="11"/>
      <c r="G851" s="11"/>
    </row>
    <row r="852" ht="15.75" customHeight="1">
      <c r="D852" s="11"/>
      <c r="F852" s="11"/>
      <c r="G852" s="11"/>
    </row>
    <row r="853" ht="15.75" customHeight="1">
      <c r="D853" s="11"/>
      <c r="F853" s="11"/>
      <c r="G853" s="11"/>
    </row>
    <row r="854" ht="15.75" customHeight="1">
      <c r="D854" s="11"/>
      <c r="F854" s="11"/>
      <c r="G854" s="11"/>
    </row>
    <row r="855" ht="15.75" customHeight="1">
      <c r="D855" s="11"/>
      <c r="F855" s="11"/>
      <c r="G855" s="11"/>
    </row>
    <row r="856" ht="15.75" customHeight="1">
      <c r="D856" s="11"/>
      <c r="F856" s="11"/>
      <c r="G856" s="11"/>
    </row>
    <row r="857" ht="15.75" customHeight="1">
      <c r="D857" s="11"/>
      <c r="F857" s="11"/>
      <c r="G857" s="11"/>
    </row>
    <row r="858" ht="15.75" customHeight="1">
      <c r="D858" s="11"/>
      <c r="F858" s="11"/>
      <c r="G858" s="11"/>
    </row>
    <row r="859" ht="15.75" customHeight="1">
      <c r="D859" s="11"/>
      <c r="F859" s="11"/>
      <c r="G859" s="11"/>
    </row>
    <row r="860" ht="15.75" customHeight="1">
      <c r="D860" s="11"/>
      <c r="F860" s="11"/>
      <c r="G860" s="11"/>
    </row>
    <row r="861" ht="15.75" customHeight="1">
      <c r="D861" s="11"/>
      <c r="F861" s="11"/>
      <c r="G861" s="11"/>
    </row>
    <row r="862" ht="15.75" customHeight="1">
      <c r="D862" s="11"/>
      <c r="F862" s="11"/>
      <c r="G862" s="11"/>
    </row>
    <row r="863" ht="15.75" customHeight="1">
      <c r="D863" s="11"/>
      <c r="F863" s="11"/>
      <c r="G863" s="11"/>
    </row>
    <row r="864" ht="15.75" customHeight="1">
      <c r="D864" s="11"/>
      <c r="F864" s="11"/>
      <c r="G864" s="11"/>
    </row>
    <row r="865" ht="15.75" customHeight="1">
      <c r="D865" s="11"/>
      <c r="F865" s="11"/>
      <c r="G865" s="11"/>
    </row>
    <row r="866" ht="15.75" customHeight="1">
      <c r="D866" s="11"/>
      <c r="F866" s="11"/>
      <c r="G866" s="11"/>
    </row>
    <row r="867" ht="15.75" customHeight="1">
      <c r="D867" s="11"/>
      <c r="F867" s="11"/>
      <c r="G867" s="11"/>
    </row>
    <row r="868" ht="15.75" customHeight="1">
      <c r="D868" s="11"/>
      <c r="F868" s="11"/>
      <c r="G868" s="11"/>
    </row>
    <row r="869" ht="15.75" customHeight="1">
      <c r="D869" s="11"/>
      <c r="F869" s="11"/>
      <c r="G869" s="11"/>
    </row>
    <row r="870" ht="15.75" customHeight="1">
      <c r="D870" s="11"/>
      <c r="F870" s="11"/>
      <c r="G870" s="11"/>
    </row>
    <row r="871" ht="15.75" customHeight="1">
      <c r="D871" s="11"/>
      <c r="F871" s="11"/>
      <c r="G871" s="11"/>
    </row>
    <row r="872" ht="15.75" customHeight="1">
      <c r="D872" s="11"/>
      <c r="F872" s="11"/>
      <c r="G872" s="11"/>
    </row>
    <row r="873" ht="15.75" customHeight="1">
      <c r="D873" s="11"/>
      <c r="F873" s="11"/>
      <c r="G873" s="11"/>
    </row>
    <row r="874" ht="15.75" customHeight="1">
      <c r="D874" s="11"/>
      <c r="F874" s="11"/>
      <c r="G874" s="11"/>
    </row>
    <row r="875" ht="15.75" customHeight="1">
      <c r="D875" s="11"/>
      <c r="F875" s="11"/>
      <c r="G875" s="11"/>
    </row>
    <row r="876" ht="15.75" customHeight="1">
      <c r="D876" s="11"/>
      <c r="F876" s="11"/>
      <c r="G876" s="11"/>
    </row>
    <row r="877" ht="15.75" customHeight="1">
      <c r="D877" s="11"/>
      <c r="F877" s="11"/>
      <c r="G877" s="11"/>
    </row>
    <row r="878" ht="15.75" customHeight="1">
      <c r="D878" s="11"/>
      <c r="F878" s="11"/>
      <c r="G878" s="11"/>
    </row>
    <row r="879" ht="15.75" customHeight="1">
      <c r="D879" s="11"/>
      <c r="F879" s="11"/>
      <c r="G879" s="11"/>
    </row>
    <row r="880" ht="15.75" customHeight="1">
      <c r="D880" s="11"/>
      <c r="F880" s="11"/>
      <c r="G880" s="11"/>
    </row>
    <row r="881" ht="15.75" customHeight="1">
      <c r="D881" s="11"/>
      <c r="F881" s="11"/>
      <c r="G881" s="11"/>
    </row>
    <row r="882" ht="15.75" customHeight="1">
      <c r="D882" s="11"/>
      <c r="F882" s="11"/>
      <c r="G882" s="11"/>
    </row>
    <row r="883" ht="15.75" customHeight="1">
      <c r="D883" s="11"/>
      <c r="F883" s="11"/>
      <c r="G883" s="11"/>
    </row>
    <row r="884" ht="15.75" customHeight="1">
      <c r="D884" s="11"/>
      <c r="F884" s="11"/>
      <c r="G884" s="11"/>
    </row>
    <row r="885" ht="15.75" customHeight="1">
      <c r="D885" s="11"/>
      <c r="F885" s="11"/>
      <c r="G885" s="11"/>
    </row>
    <row r="886" ht="15.75" customHeight="1">
      <c r="D886" s="11"/>
      <c r="F886" s="11"/>
      <c r="G886" s="11"/>
    </row>
    <row r="887" ht="15.75" customHeight="1">
      <c r="D887" s="11"/>
      <c r="F887" s="11"/>
      <c r="G887" s="11"/>
    </row>
    <row r="888" ht="15.75" customHeight="1">
      <c r="D888" s="11"/>
      <c r="F888" s="11"/>
      <c r="G888" s="11"/>
    </row>
    <row r="889" ht="15.75" customHeight="1">
      <c r="D889" s="11"/>
      <c r="F889" s="11"/>
      <c r="G889" s="11"/>
    </row>
    <row r="890" ht="15.75" customHeight="1">
      <c r="D890" s="11"/>
      <c r="F890" s="11"/>
      <c r="G890" s="11"/>
    </row>
    <row r="891" ht="15.75" customHeight="1">
      <c r="D891" s="11"/>
      <c r="F891" s="11"/>
      <c r="G891" s="11"/>
    </row>
    <row r="892" ht="15.75" customHeight="1">
      <c r="D892" s="11"/>
      <c r="F892" s="11"/>
      <c r="G892" s="11"/>
    </row>
    <row r="893" ht="15.75" customHeight="1">
      <c r="D893" s="11"/>
      <c r="F893" s="11"/>
      <c r="G893" s="11"/>
    </row>
    <row r="894" ht="15.75" customHeight="1">
      <c r="D894" s="11"/>
      <c r="F894" s="11"/>
      <c r="G894" s="11"/>
    </row>
    <row r="895" ht="15.75" customHeight="1">
      <c r="D895" s="11"/>
      <c r="F895" s="11"/>
      <c r="G895" s="11"/>
    </row>
    <row r="896" ht="15.75" customHeight="1">
      <c r="D896" s="11"/>
      <c r="F896" s="11"/>
      <c r="G896" s="11"/>
    </row>
    <row r="897" ht="15.75" customHeight="1">
      <c r="D897" s="11"/>
      <c r="F897" s="11"/>
      <c r="G897" s="11"/>
    </row>
    <row r="898" ht="15.75" customHeight="1">
      <c r="D898" s="11"/>
      <c r="F898" s="11"/>
      <c r="G898" s="11"/>
    </row>
    <row r="899" ht="15.75" customHeight="1">
      <c r="D899" s="11"/>
      <c r="F899" s="11"/>
      <c r="G899" s="11"/>
    </row>
    <row r="900" ht="15.75" customHeight="1">
      <c r="D900" s="11"/>
      <c r="F900" s="11"/>
      <c r="G900" s="11"/>
    </row>
    <row r="901" ht="15.75" customHeight="1">
      <c r="D901" s="11"/>
      <c r="F901" s="11"/>
      <c r="G901" s="11"/>
    </row>
    <row r="902" ht="15.75" customHeight="1">
      <c r="D902" s="11"/>
      <c r="F902" s="11"/>
      <c r="G902" s="11"/>
    </row>
    <row r="903" ht="15.75" customHeight="1">
      <c r="D903" s="11"/>
      <c r="F903" s="11"/>
      <c r="G903" s="11"/>
    </row>
    <row r="904" ht="15.75" customHeight="1">
      <c r="D904" s="11"/>
      <c r="F904" s="11"/>
      <c r="G904" s="11"/>
    </row>
    <row r="905" ht="15.75" customHeight="1">
      <c r="D905" s="11"/>
      <c r="F905" s="11"/>
      <c r="G905" s="11"/>
    </row>
    <row r="906" ht="15.75" customHeight="1">
      <c r="D906" s="11"/>
      <c r="F906" s="11"/>
      <c r="G906" s="11"/>
    </row>
    <row r="907" ht="15.75" customHeight="1">
      <c r="D907" s="11"/>
      <c r="F907" s="11"/>
      <c r="G907" s="11"/>
    </row>
    <row r="908" ht="15.75" customHeight="1">
      <c r="D908" s="11"/>
      <c r="F908" s="11"/>
      <c r="G908" s="11"/>
    </row>
    <row r="909" ht="15.75" customHeight="1">
      <c r="D909" s="11"/>
      <c r="F909" s="11"/>
      <c r="G909" s="11"/>
    </row>
    <row r="910" ht="15.75" customHeight="1">
      <c r="D910" s="11"/>
      <c r="F910" s="11"/>
      <c r="G910" s="11"/>
    </row>
    <row r="911" ht="15.75" customHeight="1">
      <c r="D911" s="11"/>
      <c r="F911" s="11"/>
      <c r="G911" s="11"/>
    </row>
    <row r="912" ht="15.75" customHeight="1">
      <c r="D912" s="11"/>
      <c r="F912" s="11"/>
      <c r="G912" s="11"/>
    </row>
    <row r="913" ht="15.75" customHeight="1">
      <c r="D913" s="11"/>
      <c r="F913" s="11"/>
      <c r="G913" s="11"/>
    </row>
    <row r="914" ht="15.75" customHeight="1">
      <c r="D914" s="11"/>
      <c r="F914" s="11"/>
      <c r="G914" s="11"/>
    </row>
    <row r="915" ht="15.75" customHeight="1">
      <c r="D915" s="11"/>
      <c r="F915" s="11"/>
      <c r="G915" s="11"/>
    </row>
    <row r="916" ht="15.75" customHeight="1">
      <c r="D916" s="11"/>
      <c r="F916" s="11"/>
      <c r="G916" s="11"/>
    </row>
    <row r="917" ht="15.75" customHeight="1">
      <c r="D917" s="11"/>
      <c r="F917" s="11"/>
      <c r="G917" s="11"/>
    </row>
    <row r="918" ht="15.75" customHeight="1">
      <c r="D918" s="11"/>
      <c r="F918" s="11"/>
      <c r="G918" s="11"/>
    </row>
    <row r="919" ht="15.75" customHeight="1">
      <c r="D919" s="11"/>
      <c r="F919" s="11"/>
      <c r="G919" s="11"/>
    </row>
    <row r="920" ht="15.75" customHeight="1">
      <c r="D920" s="11"/>
      <c r="F920" s="11"/>
      <c r="G920" s="11"/>
    </row>
    <row r="921" ht="15.75" customHeight="1">
      <c r="D921" s="11"/>
      <c r="F921" s="11"/>
      <c r="G921" s="11"/>
    </row>
    <row r="922" ht="15.75" customHeight="1">
      <c r="D922" s="11"/>
      <c r="F922" s="11"/>
      <c r="G922" s="11"/>
    </row>
    <row r="923" ht="15.75" customHeight="1">
      <c r="D923" s="11"/>
      <c r="F923" s="11"/>
      <c r="G923" s="11"/>
    </row>
    <row r="924" ht="15.75" customHeight="1">
      <c r="D924" s="11"/>
      <c r="F924" s="11"/>
      <c r="G924" s="11"/>
    </row>
    <row r="925" ht="15.75" customHeight="1">
      <c r="D925" s="11"/>
      <c r="F925" s="11"/>
      <c r="G925" s="11"/>
    </row>
    <row r="926" ht="15.75" customHeight="1">
      <c r="D926" s="11"/>
      <c r="F926" s="11"/>
      <c r="G926" s="11"/>
    </row>
    <row r="927" ht="15.75" customHeight="1">
      <c r="D927" s="11"/>
      <c r="F927" s="11"/>
      <c r="G927" s="11"/>
    </row>
    <row r="928" ht="15.75" customHeight="1">
      <c r="D928" s="11"/>
      <c r="F928" s="11"/>
      <c r="G928" s="11"/>
    </row>
    <row r="929" ht="15.75" customHeight="1">
      <c r="D929" s="11"/>
      <c r="F929" s="11"/>
      <c r="G929" s="11"/>
    </row>
    <row r="930" ht="15.75" customHeight="1">
      <c r="D930" s="11"/>
      <c r="F930" s="11"/>
      <c r="G930" s="11"/>
    </row>
    <row r="931" ht="15.75" customHeight="1">
      <c r="D931" s="11"/>
      <c r="F931" s="11"/>
      <c r="G931" s="11"/>
    </row>
    <row r="932" ht="15.75" customHeight="1">
      <c r="D932" s="11"/>
      <c r="F932" s="11"/>
      <c r="G932" s="11"/>
    </row>
    <row r="933" ht="15.75" customHeight="1">
      <c r="D933" s="11"/>
      <c r="F933" s="11"/>
      <c r="G933" s="11"/>
    </row>
    <row r="934" ht="15.75" customHeight="1">
      <c r="D934" s="11"/>
      <c r="F934" s="11"/>
      <c r="G934" s="11"/>
    </row>
    <row r="935" ht="15.75" customHeight="1">
      <c r="D935" s="11"/>
      <c r="F935" s="11"/>
      <c r="G935" s="11"/>
    </row>
    <row r="936" ht="15.75" customHeight="1">
      <c r="D936" s="11"/>
      <c r="F936" s="11"/>
      <c r="G936" s="11"/>
    </row>
    <row r="937" ht="15.75" customHeight="1">
      <c r="D937" s="11"/>
      <c r="F937" s="11"/>
      <c r="G937" s="11"/>
    </row>
    <row r="938" ht="15.75" customHeight="1">
      <c r="D938" s="11"/>
      <c r="F938" s="11"/>
      <c r="G938" s="11"/>
    </row>
    <row r="939" ht="15.75" customHeight="1">
      <c r="D939" s="11"/>
      <c r="F939" s="11"/>
      <c r="G939" s="11"/>
    </row>
    <row r="940" ht="15.75" customHeight="1">
      <c r="D940" s="11"/>
      <c r="F940" s="11"/>
      <c r="G940" s="11"/>
    </row>
    <row r="941" ht="15.75" customHeight="1">
      <c r="D941" s="11"/>
      <c r="F941" s="11"/>
      <c r="G941" s="11"/>
    </row>
    <row r="942" ht="15.75" customHeight="1">
      <c r="D942" s="11"/>
      <c r="F942" s="11"/>
      <c r="G942" s="11"/>
    </row>
    <row r="943" ht="15.75" customHeight="1">
      <c r="D943" s="11"/>
      <c r="F943" s="11"/>
      <c r="G943" s="11"/>
    </row>
    <row r="944" ht="15.75" customHeight="1">
      <c r="D944" s="11"/>
      <c r="F944" s="11"/>
      <c r="G944" s="11"/>
    </row>
    <row r="945" ht="15.75" customHeight="1">
      <c r="D945" s="11"/>
      <c r="F945" s="11"/>
      <c r="G945" s="11"/>
    </row>
    <row r="946" ht="15.75" customHeight="1">
      <c r="D946" s="11"/>
      <c r="F946" s="11"/>
      <c r="G946" s="11"/>
    </row>
    <row r="947" ht="15.75" customHeight="1">
      <c r="D947" s="11"/>
      <c r="F947" s="11"/>
      <c r="G947" s="11"/>
    </row>
    <row r="948" ht="15.75" customHeight="1">
      <c r="D948" s="11"/>
      <c r="F948" s="11"/>
      <c r="G948" s="11"/>
    </row>
    <row r="949" ht="15.75" customHeight="1">
      <c r="D949" s="11"/>
      <c r="F949" s="11"/>
      <c r="G949" s="11"/>
    </row>
    <row r="950" ht="15.75" customHeight="1">
      <c r="D950" s="11"/>
      <c r="F950" s="11"/>
      <c r="G950" s="11"/>
    </row>
    <row r="951" ht="15.75" customHeight="1">
      <c r="D951" s="11"/>
      <c r="F951" s="11"/>
      <c r="G951" s="11"/>
    </row>
    <row r="952" ht="15.75" customHeight="1">
      <c r="D952" s="11"/>
      <c r="F952" s="11"/>
      <c r="G952" s="11"/>
    </row>
    <row r="953" ht="15.75" customHeight="1">
      <c r="D953" s="11"/>
      <c r="F953" s="11"/>
      <c r="G953" s="11"/>
    </row>
    <row r="954" ht="15.75" customHeight="1">
      <c r="D954" s="11"/>
      <c r="F954" s="11"/>
      <c r="G954" s="11"/>
    </row>
    <row r="955" ht="15.75" customHeight="1">
      <c r="D955" s="11"/>
      <c r="F955" s="11"/>
      <c r="G955" s="11"/>
    </row>
    <row r="956" ht="15.75" customHeight="1">
      <c r="D956" s="11"/>
      <c r="F956" s="11"/>
      <c r="G956" s="11"/>
    </row>
    <row r="957" ht="15.75" customHeight="1">
      <c r="D957" s="11"/>
      <c r="F957" s="11"/>
      <c r="G957" s="11"/>
    </row>
    <row r="958" ht="15.75" customHeight="1">
      <c r="D958" s="11"/>
      <c r="F958" s="11"/>
      <c r="G958" s="11"/>
    </row>
    <row r="959" ht="15.75" customHeight="1">
      <c r="D959" s="11"/>
      <c r="F959" s="11"/>
      <c r="G959" s="11"/>
    </row>
    <row r="960" ht="15.75" customHeight="1">
      <c r="D960" s="11"/>
      <c r="F960" s="11"/>
      <c r="G960" s="11"/>
    </row>
    <row r="961" ht="15.75" customHeight="1">
      <c r="D961" s="11"/>
      <c r="F961" s="11"/>
      <c r="G961" s="11"/>
    </row>
    <row r="962" ht="15.75" customHeight="1">
      <c r="D962" s="11"/>
      <c r="F962" s="11"/>
      <c r="G962" s="11"/>
    </row>
    <row r="963" ht="15.75" customHeight="1">
      <c r="D963" s="11"/>
      <c r="F963" s="11"/>
      <c r="G963" s="11"/>
    </row>
    <row r="964" ht="15.75" customHeight="1">
      <c r="D964" s="11"/>
      <c r="F964" s="11"/>
      <c r="G964" s="11"/>
    </row>
    <row r="965" ht="15.75" customHeight="1">
      <c r="D965" s="11"/>
      <c r="F965" s="11"/>
      <c r="G965" s="11"/>
    </row>
    <row r="966" ht="15.75" customHeight="1">
      <c r="D966" s="11"/>
      <c r="F966" s="11"/>
      <c r="G966" s="11"/>
    </row>
    <row r="967" ht="15.75" customHeight="1">
      <c r="D967" s="11"/>
      <c r="F967" s="11"/>
      <c r="G967" s="11"/>
    </row>
    <row r="968" ht="15.75" customHeight="1">
      <c r="D968" s="11"/>
      <c r="F968" s="11"/>
      <c r="G968" s="11"/>
    </row>
    <row r="969" ht="15.75" customHeight="1">
      <c r="D969" s="11"/>
      <c r="F969" s="11"/>
      <c r="G969" s="11"/>
    </row>
    <row r="970" ht="15.75" customHeight="1">
      <c r="D970" s="11"/>
      <c r="F970" s="11"/>
      <c r="G970" s="11"/>
    </row>
    <row r="971" ht="15.75" customHeight="1">
      <c r="D971" s="11"/>
      <c r="F971" s="11"/>
      <c r="G971" s="11"/>
    </row>
    <row r="972" ht="15.75" customHeight="1">
      <c r="D972" s="11"/>
      <c r="F972" s="11"/>
      <c r="G972" s="11"/>
    </row>
    <row r="973" ht="15.75" customHeight="1">
      <c r="D973" s="11"/>
      <c r="F973" s="11"/>
      <c r="G973" s="11"/>
    </row>
    <row r="974" ht="15.75" customHeight="1">
      <c r="D974" s="11"/>
      <c r="F974" s="11"/>
      <c r="G974" s="11"/>
    </row>
    <row r="975" ht="15.75" customHeight="1">
      <c r="D975" s="11"/>
      <c r="F975" s="11"/>
      <c r="G975" s="11"/>
    </row>
    <row r="976" ht="15.75" customHeight="1">
      <c r="D976" s="11"/>
      <c r="F976" s="11"/>
      <c r="G976" s="11"/>
    </row>
    <row r="977" ht="15.75" customHeight="1">
      <c r="D977" s="11"/>
      <c r="F977" s="11"/>
      <c r="G977" s="11"/>
    </row>
    <row r="978" ht="15.75" customHeight="1">
      <c r="D978" s="11"/>
      <c r="F978" s="11"/>
      <c r="G978" s="11"/>
    </row>
    <row r="979" ht="15.75" customHeight="1">
      <c r="D979" s="11"/>
      <c r="F979" s="11"/>
      <c r="G979" s="11"/>
    </row>
    <row r="980" ht="15.75" customHeight="1">
      <c r="D980" s="11"/>
      <c r="F980" s="11"/>
      <c r="G980" s="11"/>
    </row>
    <row r="981" ht="15.75" customHeight="1">
      <c r="D981" s="11"/>
      <c r="F981" s="11"/>
      <c r="G981" s="11"/>
    </row>
    <row r="982" ht="15.75" customHeight="1">
      <c r="D982" s="11"/>
      <c r="F982" s="11"/>
      <c r="G982" s="11"/>
    </row>
    <row r="983" ht="15.75" customHeight="1">
      <c r="D983" s="11"/>
      <c r="F983" s="11"/>
      <c r="G983" s="11"/>
    </row>
    <row r="984" ht="15.75" customHeight="1">
      <c r="D984" s="11"/>
      <c r="F984" s="11"/>
      <c r="G984" s="11"/>
    </row>
    <row r="985" ht="15.75" customHeight="1">
      <c r="D985" s="11"/>
      <c r="F985" s="11"/>
      <c r="G985" s="11"/>
    </row>
    <row r="986" ht="15.75" customHeight="1">
      <c r="D986" s="11"/>
      <c r="F986" s="11"/>
      <c r="G986" s="11"/>
    </row>
    <row r="987" ht="15.75" customHeight="1">
      <c r="D987" s="11"/>
      <c r="F987" s="11"/>
      <c r="G987" s="11"/>
    </row>
    <row r="988" ht="15.75" customHeight="1">
      <c r="D988" s="11"/>
      <c r="F988" s="11"/>
      <c r="G988" s="11"/>
    </row>
    <row r="989" ht="15.75" customHeight="1">
      <c r="D989" s="11"/>
      <c r="F989" s="11"/>
      <c r="G989" s="11"/>
    </row>
    <row r="990" ht="15.75" customHeight="1">
      <c r="D990" s="11"/>
      <c r="F990" s="11"/>
      <c r="G990" s="11"/>
    </row>
    <row r="991" ht="15.75" customHeight="1">
      <c r="D991" s="11"/>
      <c r="F991" s="11"/>
      <c r="G991" s="11"/>
    </row>
    <row r="992" ht="15.75" customHeight="1">
      <c r="D992" s="11"/>
      <c r="F992" s="11"/>
      <c r="G992" s="11"/>
    </row>
  </sheetData>
  <autoFilter ref="$B$2:$G$141"/>
  <mergeCells count="1">
    <mergeCell ref="A1:G1"/>
  </mergeCell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71"/>
    <col customWidth="1" min="2" max="2" width="44.57"/>
    <col customWidth="1" min="3" max="3" width="32.29"/>
    <col customWidth="1" min="4" max="4" width="18.0"/>
    <col customWidth="1" min="5" max="5" width="19.14"/>
    <col customWidth="1" min="6" max="6" width="17.14"/>
    <col customWidth="1" min="7" max="7" width="20.57"/>
    <col customWidth="1" min="8" max="26" width="8.71"/>
  </cols>
  <sheetData>
    <row r="1" ht="36.75" customHeight="1">
      <c r="A1" s="1" t="s">
        <v>0</v>
      </c>
    </row>
    <row r="2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</row>
    <row r="3">
      <c r="A3" s="3">
        <f t="shared" ref="A3:A520" si="1">ROW(A1)</f>
        <v>1</v>
      </c>
      <c r="B3" s="9" t="s">
        <v>433</v>
      </c>
      <c r="C3" s="17" t="s">
        <v>434</v>
      </c>
      <c r="D3" s="18" t="s">
        <v>435</v>
      </c>
      <c r="E3" s="7" t="s">
        <v>436</v>
      </c>
      <c r="F3" s="6" t="s">
        <v>437</v>
      </c>
      <c r="G3" s="6" t="s">
        <v>438</v>
      </c>
    </row>
    <row r="4">
      <c r="A4" s="3">
        <f t="shared" si="1"/>
        <v>2</v>
      </c>
      <c r="B4" s="9" t="s">
        <v>439</v>
      </c>
      <c r="C4" s="17" t="s">
        <v>434</v>
      </c>
      <c r="D4" s="18" t="s">
        <v>440</v>
      </c>
      <c r="E4" s="7" t="s">
        <v>441</v>
      </c>
      <c r="F4" s="6" t="s">
        <v>437</v>
      </c>
      <c r="G4" s="6" t="s">
        <v>438</v>
      </c>
    </row>
    <row r="5">
      <c r="A5" s="3">
        <f t="shared" si="1"/>
        <v>3</v>
      </c>
      <c r="B5" s="21" t="s">
        <v>442</v>
      </c>
      <c r="C5" s="8" t="s">
        <v>126</v>
      </c>
      <c r="D5" s="18" t="s">
        <v>443</v>
      </c>
      <c r="E5" s="7" t="s">
        <v>444</v>
      </c>
      <c r="F5" s="6" t="s">
        <v>437</v>
      </c>
      <c r="G5" s="6" t="s">
        <v>438</v>
      </c>
    </row>
    <row r="6">
      <c r="A6" s="3">
        <f t="shared" si="1"/>
        <v>4</v>
      </c>
      <c r="B6" s="26" t="s">
        <v>445</v>
      </c>
      <c r="C6" s="27" t="s">
        <v>126</v>
      </c>
      <c r="D6" s="18" t="s">
        <v>446</v>
      </c>
      <c r="E6" s="7" t="s">
        <v>447</v>
      </c>
      <c r="F6" s="6" t="s">
        <v>437</v>
      </c>
      <c r="G6" s="6" t="s">
        <v>438</v>
      </c>
    </row>
    <row r="7">
      <c r="A7" s="3">
        <f t="shared" si="1"/>
        <v>5</v>
      </c>
      <c r="B7" s="16" t="s">
        <v>448</v>
      </c>
      <c r="C7" s="17" t="s">
        <v>434</v>
      </c>
      <c r="D7" s="18" t="s">
        <v>449</v>
      </c>
      <c r="E7" s="7" t="s">
        <v>450</v>
      </c>
      <c r="F7" s="6" t="s">
        <v>437</v>
      </c>
      <c r="G7" s="6" t="s">
        <v>438</v>
      </c>
    </row>
    <row r="8">
      <c r="A8" s="3">
        <f t="shared" si="1"/>
        <v>6</v>
      </c>
      <c r="B8" s="11" t="s">
        <v>451</v>
      </c>
      <c r="C8" s="12" t="s">
        <v>452</v>
      </c>
      <c r="D8" s="18" t="s">
        <v>453</v>
      </c>
      <c r="E8" s="7" t="s">
        <v>454</v>
      </c>
      <c r="F8" s="6" t="s">
        <v>437</v>
      </c>
      <c r="G8" s="6" t="s">
        <v>438</v>
      </c>
    </row>
    <row r="9">
      <c r="A9" s="3">
        <f t="shared" si="1"/>
        <v>7</v>
      </c>
      <c r="B9" s="11" t="s">
        <v>455</v>
      </c>
      <c r="C9" s="12" t="s">
        <v>452</v>
      </c>
      <c r="D9" s="18" t="s">
        <v>456</v>
      </c>
      <c r="E9" s="7" t="s">
        <v>457</v>
      </c>
      <c r="F9" s="6" t="s">
        <v>437</v>
      </c>
      <c r="G9" s="6" t="s">
        <v>438</v>
      </c>
    </row>
    <row r="10">
      <c r="A10" s="3">
        <f t="shared" si="1"/>
        <v>8</v>
      </c>
      <c r="B10" s="28" t="s">
        <v>458</v>
      </c>
      <c r="C10" s="8" t="s">
        <v>459</v>
      </c>
      <c r="D10" s="18" t="s">
        <v>460</v>
      </c>
      <c r="E10" s="7" t="s">
        <v>461</v>
      </c>
      <c r="F10" s="6" t="s">
        <v>437</v>
      </c>
      <c r="G10" s="6" t="s">
        <v>438</v>
      </c>
    </row>
    <row r="11">
      <c r="A11" s="3">
        <f t="shared" si="1"/>
        <v>9</v>
      </c>
      <c r="B11" s="21" t="s">
        <v>462</v>
      </c>
      <c r="C11" s="8" t="s">
        <v>126</v>
      </c>
      <c r="D11" s="18" t="s">
        <v>463</v>
      </c>
      <c r="E11" s="7" t="s">
        <v>464</v>
      </c>
      <c r="F11" s="6" t="s">
        <v>437</v>
      </c>
      <c r="G11" s="6" t="s">
        <v>438</v>
      </c>
    </row>
    <row r="12">
      <c r="A12" s="3">
        <f t="shared" si="1"/>
        <v>10</v>
      </c>
      <c r="B12" s="9" t="s">
        <v>465</v>
      </c>
      <c r="C12" s="17" t="s">
        <v>434</v>
      </c>
      <c r="D12" s="18" t="s">
        <v>466</v>
      </c>
      <c r="E12" s="7" t="s">
        <v>467</v>
      </c>
      <c r="F12" s="6" t="s">
        <v>437</v>
      </c>
      <c r="G12" s="6" t="s">
        <v>438</v>
      </c>
    </row>
    <row r="13">
      <c r="A13" s="3">
        <f t="shared" si="1"/>
        <v>11</v>
      </c>
      <c r="B13" s="11" t="s">
        <v>468</v>
      </c>
      <c r="C13" s="12" t="s">
        <v>469</v>
      </c>
      <c r="D13" s="18" t="s">
        <v>470</v>
      </c>
      <c r="E13" s="7" t="s">
        <v>471</v>
      </c>
      <c r="F13" s="6" t="s">
        <v>437</v>
      </c>
      <c r="G13" s="6" t="s">
        <v>438</v>
      </c>
    </row>
    <row r="14">
      <c r="A14" s="3">
        <f t="shared" si="1"/>
        <v>12</v>
      </c>
      <c r="B14" s="19" t="s">
        <v>472</v>
      </c>
      <c r="C14" s="8" t="s">
        <v>473</v>
      </c>
      <c r="D14" s="18" t="s">
        <v>474</v>
      </c>
      <c r="E14" s="7" t="s">
        <v>475</v>
      </c>
      <c r="F14" s="6" t="s">
        <v>437</v>
      </c>
      <c r="G14" s="6" t="s">
        <v>438</v>
      </c>
    </row>
    <row r="15">
      <c r="A15" s="3">
        <f t="shared" si="1"/>
        <v>13</v>
      </c>
      <c r="B15" s="29" t="s">
        <v>476</v>
      </c>
      <c r="C15" s="12" t="s">
        <v>477</v>
      </c>
      <c r="D15" s="6" t="s">
        <v>478</v>
      </c>
      <c r="E15" s="7" t="s">
        <v>479</v>
      </c>
      <c r="F15" s="6" t="s">
        <v>437</v>
      </c>
      <c r="G15" s="6" t="s">
        <v>438</v>
      </c>
    </row>
    <row r="16">
      <c r="A16" s="3">
        <f t="shared" si="1"/>
        <v>14</v>
      </c>
      <c r="B16" s="19" t="s">
        <v>480</v>
      </c>
      <c r="C16" s="8" t="s">
        <v>459</v>
      </c>
      <c r="D16" s="10" t="s">
        <v>481</v>
      </c>
      <c r="E16" s="7" t="s">
        <v>482</v>
      </c>
      <c r="F16" s="6" t="s">
        <v>437</v>
      </c>
      <c r="G16" s="6" t="s">
        <v>438</v>
      </c>
    </row>
    <row r="17">
      <c r="A17" s="3">
        <f t="shared" si="1"/>
        <v>15</v>
      </c>
      <c r="B17" s="21" t="s">
        <v>483</v>
      </c>
      <c r="C17" s="8" t="s">
        <v>126</v>
      </c>
      <c r="D17" s="18" t="s">
        <v>484</v>
      </c>
      <c r="E17" s="7" t="s">
        <v>485</v>
      </c>
      <c r="F17" s="6" t="s">
        <v>437</v>
      </c>
      <c r="G17" s="6" t="s">
        <v>438</v>
      </c>
    </row>
    <row r="18">
      <c r="A18" s="3">
        <f t="shared" si="1"/>
        <v>16</v>
      </c>
      <c r="B18" s="4" t="s">
        <v>486</v>
      </c>
      <c r="C18" s="8" t="s">
        <v>487</v>
      </c>
      <c r="D18" s="18" t="s">
        <v>488</v>
      </c>
      <c r="E18" s="7" t="s">
        <v>489</v>
      </c>
      <c r="F18" s="6" t="s">
        <v>437</v>
      </c>
      <c r="G18" s="6" t="s">
        <v>438</v>
      </c>
    </row>
    <row r="19">
      <c r="A19" s="3">
        <f t="shared" si="1"/>
        <v>17</v>
      </c>
      <c r="B19" s="9" t="s">
        <v>490</v>
      </c>
      <c r="C19" s="5" t="s">
        <v>434</v>
      </c>
      <c r="D19" s="10" t="s">
        <v>491</v>
      </c>
      <c r="E19" s="7" t="s">
        <v>492</v>
      </c>
      <c r="F19" s="6" t="s">
        <v>437</v>
      </c>
      <c r="G19" s="6" t="s">
        <v>438</v>
      </c>
    </row>
    <row r="20">
      <c r="A20" s="3">
        <f t="shared" si="1"/>
        <v>18</v>
      </c>
      <c r="B20" s="30" t="s">
        <v>493</v>
      </c>
      <c r="C20" s="12" t="s">
        <v>494</v>
      </c>
      <c r="D20" s="6" t="s">
        <v>495</v>
      </c>
      <c r="E20" s="7" t="s">
        <v>496</v>
      </c>
      <c r="F20" s="6" t="s">
        <v>437</v>
      </c>
      <c r="G20" s="6" t="s">
        <v>438</v>
      </c>
    </row>
    <row r="21" ht="15.75" customHeight="1">
      <c r="A21" s="3">
        <f t="shared" si="1"/>
        <v>19</v>
      </c>
      <c r="B21" s="19" t="s">
        <v>497</v>
      </c>
      <c r="C21" s="8" t="s">
        <v>498</v>
      </c>
      <c r="D21" s="10" t="s">
        <v>499</v>
      </c>
      <c r="E21" s="7" t="s">
        <v>500</v>
      </c>
      <c r="F21" s="6" t="s">
        <v>437</v>
      </c>
      <c r="G21" s="6" t="s">
        <v>438</v>
      </c>
    </row>
    <row r="22" ht="15.75" customHeight="1">
      <c r="A22" s="3">
        <f t="shared" si="1"/>
        <v>20</v>
      </c>
      <c r="B22" s="31" t="s">
        <v>501</v>
      </c>
      <c r="C22" s="12" t="s">
        <v>502</v>
      </c>
      <c r="D22" s="6" t="s">
        <v>503</v>
      </c>
      <c r="E22" s="7" t="s">
        <v>504</v>
      </c>
      <c r="F22" s="6" t="s">
        <v>437</v>
      </c>
      <c r="G22" s="6" t="s">
        <v>438</v>
      </c>
    </row>
    <row r="23" ht="15.75" customHeight="1">
      <c r="A23" s="3">
        <f t="shared" si="1"/>
        <v>21</v>
      </c>
      <c r="B23" s="4" t="s">
        <v>505</v>
      </c>
      <c r="C23" s="32" t="s">
        <v>506</v>
      </c>
      <c r="D23" s="18" t="s">
        <v>507</v>
      </c>
      <c r="E23" s="7" t="s">
        <v>508</v>
      </c>
      <c r="F23" s="6" t="s">
        <v>437</v>
      </c>
      <c r="G23" s="6" t="s">
        <v>438</v>
      </c>
    </row>
    <row r="24" ht="15.75" customHeight="1">
      <c r="A24" s="3">
        <f t="shared" si="1"/>
        <v>22</v>
      </c>
      <c r="B24" s="29" t="s">
        <v>509</v>
      </c>
      <c r="C24" s="12" t="s">
        <v>477</v>
      </c>
      <c r="D24" s="6" t="s">
        <v>510</v>
      </c>
      <c r="E24" s="7" t="s">
        <v>511</v>
      </c>
      <c r="F24" s="6" t="s">
        <v>437</v>
      </c>
      <c r="G24" s="6" t="s">
        <v>438</v>
      </c>
    </row>
    <row r="25" ht="15.75" customHeight="1">
      <c r="A25" s="3">
        <f t="shared" si="1"/>
        <v>23</v>
      </c>
      <c r="B25" s="4" t="s">
        <v>512</v>
      </c>
      <c r="C25" s="32" t="s">
        <v>506</v>
      </c>
      <c r="D25" s="18" t="s">
        <v>513</v>
      </c>
      <c r="E25" s="7" t="s">
        <v>514</v>
      </c>
      <c r="F25" s="6" t="s">
        <v>437</v>
      </c>
      <c r="G25" s="6" t="s">
        <v>438</v>
      </c>
    </row>
    <row r="26" ht="15.75" customHeight="1">
      <c r="A26" s="3">
        <f t="shared" si="1"/>
        <v>24</v>
      </c>
      <c r="B26" s="31" t="s">
        <v>515</v>
      </c>
      <c r="C26" s="12" t="s">
        <v>502</v>
      </c>
      <c r="D26" s="18" t="s">
        <v>516</v>
      </c>
      <c r="E26" s="7" t="s">
        <v>517</v>
      </c>
      <c r="F26" s="6" t="s">
        <v>437</v>
      </c>
      <c r="G26" s="6" t="s">
        <v>438</v>
      </c>
    </row>
    <row r="27" ht="15.75" customHeight="1">
      <c r="A27" s="3">
        <f t="shared" si="1"/>
        <v>25</v>
      </c>
      <c r="B27" s="4" t="s">
        <v>518</v>
      </c>
      <c r="C27" s="5" t="s">
        <v>519</v>
      </c>
      <c r="D27" s="6" t="s">
        <v>520</v>
      </c>
      <c r="E27" s="7" t="s">
        <v>521</v>
      </c>
      <c r="F27" s="6" t="s">
        <v>437</v>
      </c>
      <c r="G27" s="6" t="s">
        <v>438</v>
      </c>
    </row>
    <row r="28" ht="15.75" customHeight="1">
      <c r="A28" s="3">
        <f t="shared" si="1"/>
        <v>26</v>
      </c>
      <c r="B28" s="16" t="s">
        <v>522</v>
      </c>
      <c r="C28" s="17" t="s">
        <v>469</v>
      </c>
      <c r="D28" s="18" t="s">
        <v>523</v>
      </c>
      <c r="E28" s="7" t="s">
        <v>524</v>
      </c>
      <c r="F28" s="6" t="s">
        <v>437</v>
      </c>
      <c r="G28" s="6" t="s">
        <v>438</v>
      </c>
    </row>
    <row r="29" ht="15.75" customHeight="1">
      <c r="A29" s="3">
        <f t="shared" si="1"/>
        <v>27</v>
      </c>
      <c r="B29" s="4" t="s">
        <v>525</v>
      </c>
      <c r="C29" s="5" t="s">
        <v>519</v>
      </c>
      <c r="D29" s="6" t="s">
        <v>526</v>
      </c>
      <c r="E29" s="7" t="s">
        <v>527</v>
      </c>
      <c r="F29" s="6" t="s">
        <v>437</v>
      </c>
      <c r="G29" s="6" t="s">
        <v>438</v>
      </c>
    </row>
    <row r="30" ht="15.75" customHeight="1">
      <c r="A30" s="3">
        <f t="shared" si="1"/>
        <v>28</v>
      </c>
      <c r="B30" s="4" t="s">
        <v>528</v>
      </c>
      <c r="C30" s="8" t="s">
        <v>23</v>
      </c>
      <c r="D30" s="18" t="s">
        <v>529</v>
      </c>
      <c r="E30" s="7" t="s">
        <v>530</v>
      </c>
      <c r="F30" s="6" t="s">
        <v>437</v>
      </c>
      <c r="G30" s="6" t="s">
        <v>438</v>
      </c>
    </row>
    <row r="31" ht="15.75" customHeight="1">
      <c r="A31" s="3">
        <f t="shared" si="1"/>
        <v>29</v>
      </c>
      <c r="B31" s="33" t="s">
        <v>531</v>
      </c>
      <c r="C31" s="12" t="s">
        <v>502</v>
      </c>
      <c r="D31" s="18" t="s">
        <v>36</v>
      </c>
      <c r="E31" s="7" t="s">
        <v>532</v>
      </c>
      <c r="F31" s="6" t="s">
        <v>437</v>
      </c>
      <c r="G31" s="6" t="s">
        <v>438</v>
      </c>
    </row>
    <row r="32" ht="15.75" customHeight="1">
      <c r="A32" s="3">
        <f t="shared" si="1"/>
        <v>30</v>
      </c>
      <c r="B32" s="11" t="s">
        <v>533</v>
      </c>
      <c r="C32" s="12" t="s">
        <v>452</v>
      </c>
      <c r="D32" s="18" t="s">
        <v>534</v>
      </c>
      <c r="E32" s="7" t="s">
        <v>535</v>
      </c>
      <c r="F32" s="6" t="s">
        <v>437</v>
      </c>
      <c r="G32" s="6" t="s">
        <v>438</v>
      </c>
    </row>
    <row r="33" ht="15.75" customHeight="1">
      <c r="A33" s="3">
        <f t="shared" si="1"/>
        <v>31</v>
      </c>
      <c r="B33" s="30" t="s">
        <v>536</v>
      </c>
      <c r="C33" s="12" t="s">
        <v>494</v>
      </c>
      <c r="D33" s="6" t="s">
        <v>537</v>
      </c>
      <c r="E33" s="7" t="s">
        <v>538</v>
      </c>
      <c r="F33" s="6" t="s">
        <v>437</v>
      </c>
      <c r="G33" s="6" t="s">
        <v>438</v>
      </c>
    </row>
    <row r="34" ht="15.75" customHeight="1">
      <c r="A34" s="3">
        <f t="shared" si="1"/>
        <v>32</v>
      </c>
      <c r="B34" s="29" t="s">
        <v>539</v>
      </c>
      <c r="C34" s="12" t="s">
        <v>477</v>
      </c>
      <c r="D34" s="6" t="s">
        <v>540</v>
      </c>
      <c r="E34" s="7" t="s">
        <v>541</v>
      </c>
      <c r="F34" s="6" t="s">
        <v>437</v>
      </c>
      <c r="G34" s="6" t="s">
        <v>438</v>
      </c>
    </row>
    <row r="35" ht="15.75" customHeight="1">
      <c r="A35" s="3">
        <f t="shared" si="1"/>
        <v>33</v>
      </c>
      <c r="B35" s="9" t="s">
        <v>542</v>
      </c>
      <c r="C35" s="5" t="s">
        <v>434</v>
      </c>
      <c r="D35" s="10" t="s">
        <v>543</v>
      </c>
      <c r="E35" s="7" t="s">
        <v>544</v>
      </c>
      <c r="F35" s="6" t="s">
        <v>437</v>
      </c>
      <c r="G35" s="6" t="s">
        <v>438</v>
      </c>
    </row>
    <row r="36" ht="15.75" customHeight="1">
      <c r="A36" s="3">
        <f t="shared" si="1"/>
        <v>34</v>
      </c>
      <c r="B36" s="19" t="s">
        <v>545</v>
      </c>
      <c r="C36" s="8" t="s">
        <v>498</v>
      </c>
      <c r="D36" s="6" t="s">
        <v>546</v>
      </c>
      <c r="E36" s="7" t="s">
        <v>547</v>
      </c>
      <c r="F36" s="6" t="s">
        <v>437</v>
      </c>
      <c r="G36" s="6" t="s">
        <v>438</v>
      </c>
    </row>
    <row r="37" ht="15.75" customHeight="1">
      <c r="A37" s="3">
        <f t="shared" si="1"/>
        <v>35</v>
      </c>
      <c r="B37" s="16" t="s">
        <v>548</v>
      </c>
      <c r="C37" s="17" t="s">
        <v>434</v>
      </c>
      <c r="D37" s="6" t="s">
        <v>549</v>
      </c>
      <c r="E37" s="7" t="s">
        <v>550</v>
      </c>
      <c r="F37" s="6" t="s">
        <v>437</v>
      </c>
      <c r="G37" s="6" t="s">
        <v>438</v>
      </c>
    </row>
    <row r="38" ht="15.75" customHeight="1">
      <c r="A38" s="3">
        <f t="shared" si="1"/>
        <v>36</v>
      </c>
      <c r="B38" s="19" t="s">
        <v>551</v>
      </c>
      <c r="C38" s="8" t="s">
        <v>459</v>
      </c>
      <c r="D38" s="10" t="s">
        <v>552</v>
      </c>
      <c r="E38" s="7" t="s">
        <v>553</v>
      </c>
      <c r="F38" s="6" t="s">
        <v>437</v>
      </c>
      <c r="G38" s="6" t="s">
        <v>438</v>
      </c>
    </row>
    <row r="39" ht="15.75" customHeight="1">
      <c r="A39" s="3">
        <f t="shared" si="1"/>
        <v>37</v>
      </c>
      <c r="B39" s="33" t="s">
        <v>554</v>
      </c>
      <c r="C39" s="12" t="s">
        <v>555</v>
      </c>
      <c r="D39" s="6" t="s">
        <v>556</v>
      </c>
      <c r="E39" s="7" t="s">
        <v>557</v>
      </c>
      <c r="F39" s="6" t="s">
        <v>437</v>
      </c>
      <c r="G39" s="6" t="s">
        <v>438</v>
      </c>
    </row>
    <row r="40" ht="15.75" customHeight="1">
      <c r="A40" s="3">
        <f t="shared" si="1"/>
        <v>38</v>
      </c>
      <c r="B40" s="19" t="s">
        <v>558</v>
      </c>
      <c r="C40" s="8" t="s">
        <v>498</v>
      </c>
      <c r="D40" s="10" t="s">
        <v>559</v>
      </c>
      <c r="E40" s="7" t="s">
        <v>560</v>
      </c>
      <c r="F40" s="6" t="s">
        <v>437</v>
      </c>
      <c r="G40" s="6" t="s">
        <v>438</v>
      </c>
    </row>
    <row r="41" ht="15.75" customHeight="1">
      <c r="A41" s="3">
        <f t="shared" si="1"/>
        <v>39</v>
      </c>
      <c r="B41" s="19" t="s">
        <v>561</v>
      </c>
      <c r="C41" s="8" t="s">
        <v>562</v>
      </c>
      <c r="D41" s="10" t="s">
        <v>563</v>
      </c>
      <c r="E41" s="7" t="s">
        <v>564</v>
      </c>
      <c r="F41" s="6" t="s">
        <v>437</v>
      </c>
      <c r="G41" s="6" t="s">
        <v>438</v>
      </c>
    </row>
    <row r="42" ht="15.75" customHeight="1">
      <c r="A42" s="3">
        <f t="shared" si="1"/>
        <v>40</v>
      </c>
      <c r="B42" s="4" t="s">
        <v>565</v>
      </c>
      <c r="C42" s="8" t="s">
        <v>566</v>
      </c>
      <c r="D42" s="6" t="s">
        <v>567</v>
      </c>
      <c r="E42" s="7" t="s">
        <v>568</v>
      </c>
      <c r="F42" s="6" t="s">
        <v>437</v>
      </c>
      <c r="G42" s="6" t="s">
        <v>438</v>
      </c>
    </row>
    <row r="43" ht="15.75" customHeight="1">
      <c r="A43" s="3">
        <f t="shared" si="1"/>
        <v>41</v>
      </c>
      <c r="B43" s="4" t="s">
        <v>569</v>
      </c>
      <c r="C43" s="8" t="s">
        <v>23</v>
      </c>
      <c r="D43" s="18" t="s">
        <v>570</v>
      </c>
      <c r="E43" s="7" t="s">
        <v>571</v>
      </c>
      <c r="F43" s="6" t="s">
        <v>437</v>
      </c>
      <c r="G43" s="6" t="s">
        <v>438</v>
      </c>
    </row>
    <row r="44" ht="15.75" customHeight="1">
      <c r="A44" s="3">
        <f t="shared" si="1"/>
        <v>42</v>
      </c>
      <c r="B44" s="9" t="s">
        <v>572</v>
      </c>
      <c r="C44" s="17" t="s">
        <v>434</v>
      </c>
      <c r="D44" s="10" t="s">
        <v>573</v>
      </c>
      <c r="E44" s="7" t="s">
        <v>574</v>
      </c>
      <c r="F44" s="6" t="s">
        <v>437</v>
      </c>
      <c r="G44" s="6" t="s">
        <v>438</v>
      </c>
    </row>
    <row r="45" ht="15.75" customHeight="1">
      <c r="A45" s="3">
        <f t="shared" si="1"/>
        <v>43</v>
      </c>
      <c r="B45" s="30" t="s">
        <v>575</v>
      </c>
      <c r="C45" s="12" t="s">
        <v>494</v>
      </c>
      <c r="D45" s="6" t="s">
        <v>576</v>
      </c>
      <c r="E45" s="7" t="s">
        <v>577</v>
      </c>
      <c r="F45" s="6" t="s">
        <v>437</v>
      </c>
      <c r="G45" s="6" t="s">
        <v>438</v>
      </c>
    </row>
    <row r="46" ht="15.75" customHeight="1">
      <c r="A46" s="3">
        <f t="shared" si="1"/>
        <v>44</v>
      </c>
      <c r="B46" s="30" t="s">
        <v>578</v>
      </c>
      <c r="C46" s="34" t="s">
        <v>494</v>
      </c>
      <c r="D46" s="18" t="s">
        <v>579</v>
      </c>
      <c r="E46" s="7" t="s">
        <v>580</v>
      </c>
      <c r="F46" s="6" t="s">
        <v>437</v>
      </c>
      <c r="G46" s="6" t="s">
        <v>438</v>
      </c>
    </row>
    <row r="47" ht="15.75" customHeight="1">
      <c r="A47" s="3">
        <f t="shared" si="1"/>
        <v>45</v>
      </c>
      <c r="B47" s="4" t="s">
        <v>581</v>
      </c>
      <c r="C47" s="5" t="s">
        <v>519</v>
      </c>
      <c r="D47" s="6" t="s">
        <v>582</v>
      </c>
      <c r="E47" s="7" t="s">
        <v>583</v>
      </c>
      <c r="F47" s="6" t="s">
        <v>437</v>
      </c>
      <c r="G47" s="6" t="s">
        <v>438</v>
      </c>
    </row>
    <row r="48" ht="15.75" customHeight="1">
      <c r="A48" s="3">
        <f t="shared" si="1"/>
        <v>46</v>
      </c>
      <c r="B48" s="21" t="s">
        <v>584</v>
      </c>
      <c r="C48" s="8" t="s">
        <v>126</v>
      </c>
      <c r="D48" s="6" t="s">
        <v>585</v>
      </c>
      <c r="E48" s="7" t="s">
        <v>586</v>
      </c>
      <c r="F48" s="6" t="s">
        <v>437</v>
      </c>
      <c r="G48" s="6" t="s">
        <v>438</v>
      </c>
    </row>
    <row r="49" ht="15.75" customHeight="1">
      <c r="A49" s="3">
        <f t="shared" si="1"/>
        <v>47</v>
      </c>
      <c r="B49" s="16" t="s">
        <v>587</v>
      </c>
      <c r="C49" s="17" t="s">
        <v>434</v>
      </c>
      <c r="D49" s="10" t="s">
        <v>588</v>
      </c>
      <c r="E49" s="7" t="s">
        <v>589</v>
      </c>
      <c r="F49" s="6" t="s">
        <v>437</v>
      </c>
      <c r="G49" s="6" t="s">
        <v>438</v>
      </c>
    </row>
    <row r="50" ht="15.75" customHeight="1">
      <c r="A50" s="3">
        <f t="shared" si="1"/>
        <v>48</v>
      </c>
      <c r="B50" s="19" t="s">
        <v>590</v>
      </c>
      <c r="C50" s="8" t="s">
        <v>498</v>
      </c>
      <c r="D50" s="10" t="s">
        <v>591</v>
      </c>
      <c r="E50" s="7" t="s">
        <v>592</v>
      </c>
      <c r="F50" s="6" t="s">
        <v>437</v>
      </c>
      <c r="G50" s="6" t="s">
        <v>438</v>
      </c>
    </row>
    <row r="51" ht="15.75" customHeight="1">
      <c r="A51" s="3">
        <f t="shared" si="1"/>
        <v>49</v>
      </c>
      <c r="B51" s="4" t="s">
        <v>593</v>
      </c>
      <c r="C51" s="8" t="s">
        <v>23</v>
      </c>
      <c r="D51" s="18" t="s">
        <v>594</v>
      </c>
      <c r="E51" s="7" t="s">
        <v>595</v>
      </c>
      <c r="F51" s="6" t="s">
        <v>437</v>
      </c>
      <c r="G51" s="6" t="s">
        <v>438</v>
      </c>
    </row>
    <row r="52" ht="15.75" customHeight="1">
      <c r="A52" s="3">
        <f t="shared" si="1"/>
        <v>50</v>
      </c>
      <c r="B52" s="4" t="s">
        <v>596</v>
      </c>
      <c r="C52" s="8" t="s">
        <v>23</v>
      </c>
      <c r="D52" s="18" t="s">
        <v>597</v>
      </c>
      <c r="E52" s="7" t="s">
        <v>598</v>
      </c>
      <c r="F52" s="6" t="s">
        <v>437</v>
      </c>
      <c r="G52" s="6" t="s">
        <v>438</v>
      </c>
    </row>
    <row r="53" ht="15.75" customHeight="1">
      <c r="A53" s="3">
        <f t="shared" si="1"/>
        <v>51</v>
      </c>
      <c r="B53" s="4" t="s">
        <v>599</v>
      </c>
      <c r="C53" s="8" t="s">
        <v>23</v>
      </c>
      <c r="D53" s="18" t="s">
        <v>600</v>
      </c>
      <c r="E53" s="7" t="s">
        <v>601</v>
      </c>
      <c r="F53" s="6" t="s">
        <v>437</v>
      </c>
      <c r="G53" s="6" t="s">
        <v>438</v>
      </c>
    </row>
    <row r="54" ht="15.75" customHeight="1">
      <c r="A54" s="3">
        <f t="shared" si="1"/>
        <v>52</v>
      </c>
      <c r="B54" s="4" t="s">
        <v>602</v>
      </c>
      <c r="C54" s="8" t="s">
        <v>603</v>
      </c>
      <c r="D54" s="6" t="s">
        <v>604</v>
      </c>
      <c r="E54" s="7" t="s">
        <v>605</v>
      </c>
      <c r="F54" s="6" t="s">
        <v>437</v>
      </c>
      <c r="G54" s="6" t="s">
        <v>438</v>
      </c>
    </row>
    <row r="55" ht="15.75" customHeight="1">
      <c r="A55" s="3">
        <f t="shared" si="1"/>
        <v>53</v>
      </c>
      <c r="B55" s="4" t="s">
        <v>606</v>
      </c>
      <c r="C55" s="8" t="s">
        <v>23</v>
      </c>
      <c r="D55" s="18" t="s">
        <v>607</v>
      </c>
      <c r="E55" s="7" t="s">
        <v>608</v>
      </c>
      <c r="F55" s="6" t="s">
        <v>437</v>
      </c>
      <c r="G55" s="6" t="s">
        <v>438</v>
      </c>
    </row>
    <row r="56" ht="15.75" customHeight="1">
      <c r="A56" s="3">
        <f t="shared" si="1"/>
        <v>54</v>
      </c>
      <c r="B56" s="30" t="s">
        <v>609</v>
      </c>
      <c r="C56" s="12" t="s">
        <v>610</v>
      </c>
      <c r="D56" s="6" t="s">
        <v>611</v>
      </c>
      <c r="E56" s="7" t="s">
        <v>612</v>
      </c>
      <c r="F56" s="6" t="s">
        <v>437</v>
      </c>
      <c r="G56" s="6" t="s">
        <v>438</v>
      </c>
    </row>
    <row r="57" ht="15.75" customHeight="1">
      <c r="A57" s="3">
        <f t="shared" si="1"/>
        <v>55</v>
      </c>
      <c r="B57" s="9" t="s">
        <v>613</v>
      </c>
      <c r="C57" s="5" t="s">
        <v>434</v>
      </c>
      <c r="D57" s="18" t="s">
        <v>614</v>
      </c>
      <c r="E57" s="7" t="s">
        <v>615</v>
      </c>
      <c r="F57" s="6" t="s">
        <v>437</v>
      </c>
      <c r="G57" s="6" t="s">
        <v>438</v>
      </c>
    </row>
    <row r="58" ht="15.75" customHeight="1">
      <c r="A58" s="3">
        <f t="shared" si="1"/>
        <v>56</v>
      </c>
      <c r="B58" s="19" t="s">
        <v>616</v>
      </c>
      <c r="C58" s="8" t="s">
        <v>498</v>
      </c>
      <c r="D58" s="10" t="s">
        <v>617</v>
      </c>
      <c r="E58" s="7" t="s">
        <v>618</v>
      </c>
      <c r="F58" s="6" t="s">
        <v>437</v>
      </c>
      <c r="G58" s="6" t="s">
        <v>438</v>
      </c>
    </row>
    <row r="59" ht="15.75" customHeight="1">
      <c r="A59" s="3">
        <f t="shared" si="1"/>
        <v>57</v>
      </c>
      <c r="B59" s="4" t="s">
        <v>619</v>
      </c>
      <c r="C59" s="8" t="s">
        <v>23</v>
      </c>
      <c r="D59" s="18" t="s">
        <v>620</v>
      </c>
      <c r="E59" s="7" t="s">
        <v>621</v>
      </c>
      <c r="F59" s="6" t="s">
        <v>437</v>
      </c>
      <c r="G59" s="6" t="s">
        <v>438</v>
      </c>
    </row>
    <row r="60" ht="15.75" customHeight="1">
      <c r="A60" s="3">
        <f t="shared" si="1"/>
        <v>58</v>
      </c>
      <c r="B60" s="29" t="s">
        <v>622</v>
      </c>
      <c r="C60" s="12" t="s">
        <v>502</v>
      </c>
      <c r="D60" s="6" t="s">
        <v>623</v>
      </c>
      <c r="E60" s="7" t="s">
        <v>624</v>
      </c>
      <c r="F60" s="6" t="s">
        <v>437</v>
      </c>
      <c r="G60" s="6" t="s">
        <v>438</v>
      </c>
    </row>
    <row r="61" ht="15.75" customHeight="1">
      <c r="A61" s="3">
        <f t="shared" si="1"/>
        <v>59</v>
      </c>
      <c r="B61" s="9" t="s">
        <v>625</v>
      </c>
      <c r="C61" s="17" t="s">
        <v>626</v>
      </c>
      <c r="D61" s="10" t="s">
        <v>627</v>
      </c>
      <c r="E61" s="7" t="s">
        <v>628</v>
      </c>
      <c r="F61" s="6" t="s">
        <v>437</v>
      </c>
      <c r="G61" s="6" t="s">
        <v>438</v>
      </c>
    </row>
    <row r="62" ht="15.75" customHeight="1">
      <c r="A62" s="3">
        <f t="shared" si="1"/>
        <v>60</v>
      </c>
      <c r="B62" s="11" t="s">
        <v>629</v>
      </c>
      <c r="C62" s="12" t="s">
        <v>610</v>
      </c>
      <c r="D62" s="6" t="s">
        <v>630</v>
      </c>
      <c r="E62" s="7" t="s">
        <v>631</v>
      </c>
      <c r="F62" s="6" t="s">
        <v>437</v>
      </c>
      <c r="G62" s="6" t="s">
        <v>438</v>
      </c>
    </row>
    <row r="63" ht="15.75" customHeight="1">
      <c r="A63" s="3">
        <f t="shared" si="1"/>
        <v>61</v>
      </c>
      <c r="B63" s="30" t="s">
        <v>632</v>
      </c>
      <c r="C63" s="12" t="s">
        <v>494</v>
      </c>
      <c r="D63" s="6" t="s">
        <v>633</v>
      </c>
      <c r="E63" s="7" t="s">
        <v>634</v>
      </c>
      <c r="F63" s="6" t="s">
        <v>437</v>
      </c>
      <c r="G63" s="6" t="s">
        <v>438</v>
      </c>
    </row>
    <row r="64" ht="15.75" customHeight="1">
      <c r="A64" s="3">
        <f t="shared" si="1"/>
        <v>62</v>
      </c>
      <c r="B64" s="4" t="s">
        <v>635</v>
      </c>
      <c r="C64" s="8" t="s">
        <v>23</v>
      </c>
      <c r="D64" s="18" t="s">
        <v>636</v>
      </c>
      <c r="E64" s="7" t="s">
        <v>637</v>
      </c>
      <c r="F64" s="6" t="s">
        <v>437</v>
      </c>
      <c r="G64" s="6" t="s">
        <v>438</v>
      </c>
    </row>
    <row r="65" ht="15.75" customHeight="1">
      <c r="A65" s="3">
        <f t="shared" si="1"/>
        <v>63</v>
      </c>
      <c r="B65" s="21" t="s">
        <v>638</v>
      </c>
      <c r="C65" s="8" t="s">
        <v>126</v>
      </c>
      <c r="D65" s="6" t="s">
        <v>639</v>
      </c>
      <c r="E65" s="7" t="s">
        <v>640</v>
      </c>
      <c r="F65" s="6" t="s">
        <v>437</v>
      </c>
      <c r="G65" s="6" t="s">
        <v>438</v>
      </c>
    </row>
    <row r="66" ht="15.75" customHeight="1">
      <c r="A66" s="3">
        <f t="shared" si="1"/>
        <v>64</v>
      </c>
      <c r="B66" s="35" t="s">
        <v>641</v>
      </c>
      <c r="C66" s="8" t="s">
        <v>642</v>
      </c>
      <c r="D66" s="6" t="s">
        <v>643</v>
      </c>
      <c r="E66" s="7" t="s">
        <v>644</v>
      </c>
      <c r="F66" s="6" t="s">
        <v>437</v>
      </c>
      <c r="G66" s="6" t="s">
        <v>438</v>
      </c>
    </row>
    <row r="67" ht="15.75" customHeight="1">
      <c r="A67" s="3">
        <f t="shared" si="1"/>
        <v>65</v>
      </c>
      <c r="B67" s="16" t="s">
        <v>645</v>
      </c>
      <c r="C67" s="17" t="s">
        <v>434</v>
      </c>
      <c r="D67" s="10" t="s">
        <v>646</v>
      </c>
      <c r="E67" s="7" t="s">
        <v>647</v>
      </c>
      <c r="F67" s="6" t="s">
        <v>437</v>
      </c>
      <c r="G67" s="6" t="s">
        <v>438</v>
      </c>
    </row>
    <row r="68" ht="15.75" customHeight="1">
      <c r="A68" s="3">
        <f t="shared" si="1"/>
        <v>66</v>
      </c>
      <c r="B68" s="9" t="s">
        <v>648</v>
      </c>
      <c r="C68" s="17" t="s">
        <v>626</v>
      </c>
      <c r="D68" s="10" t="s">
        <v>649</v>
      </c>
      <c r="E68" s="7" t="s">
        <v>650</v>
      </c>
      <c r="F68" s="6" t="s">
        <v>437</v>
      </c>
      <c r="G68" s="6" t="s">
        <v>438</v>
      </c>
    </row>
    <row r="69" ht="15.75" customHeight="1">
      <c r="A69" s="3">
        <f t="shared" si="1"/>
        <v>67</v>
      </c>
      <c r="B69" s="36" t="s">
        <v>651</v>
      </c>
      <c r="C69" s="12" t="s">
        <v>502</v>
      </c>
      <c r="D69" s="6" t="s">
        <v>652</v>
      </c>
      <c r="E69" s="7" t="s">
        <v>653</v>
      </c>
      <c r="F69" s="6" t="s">
        <v>437</v>
      </c>
      <c r="G69" s="6" t="s">
        <v>438</v>
      </c>
    </row>
    <row r="70" ht="15.75" customHeight="1">
      <c r="A70" s="3">
        <f t="shared" si="1"/>
        <v>68</v>
      </c>
      <c r="B70" s="4" t="s">
        <v>654</v>
      </c>
      <c r="C70" s="5" t="s">
        <v>655</v>
      </c>
      <c r="D70" s="18" t="s">
        <v>656</v>
      </c>
      <c r="E70" s="7" t="s">
        <v>657</v>
      </c>
      <c r="F70" s="6" t="s">
        <v>437</v>
      </c>
      <c r="G70" s="6" t="s">
        <v>438</v>
      </c>
    </row>
    <row r="71" ht="15.75" customHeight="1">
      <c r="A71" s="3">
        <f t="shared" si="1"/>
        <v>69</v>
      </c>
      <c r="B71" s="19" t="s">
        <v>658</v>
      </c>
      <c r="C71" s="8" t="s">
        <v>659</v>
      </c>
      <c r="D71" s="18" t="s">
        <v>660</v>
      </c>
      <c r="E71" s="7" t="s">
        <v>661</v>
      </c>
      <c r="F71" s="6" t="s">
        <v>437</v>
      </c>
      <c r="G71" s="6" t="s">
        <v>438</v>
      </c>
    </row>
    <row r="72" ht="15.75" customHeight="1">
      <c r="A72" s="3">
        <f t="shared" si="1"/>
        <v>70</v>
      </c>
      <c r="B72" s="29" t="s">
        <v>662</v>
      </c>
      <c r="C72" s="12" t="s">
        <v>477</v>
      </c>
      <c r="D72" s="6" t="s">
        <v>663</v>
      </c>
      <c r="E72" s="7" t="s">
        <v>664</v>
      </c>
      <c r="F72" s="6" t="s">
        <v>437</v>
      </c>
      <c r="G72" s="6" t="s">
        <v>438</v>
      </c>
    </row>
    <row r="73" ht="15.75" customHeight="1">
      <c r="A73" s="3">
        <f t="shared" si="1"/>
        <v>71</v>
      </c>
      <c r="B73" s="19" t="s">
        <v>665</v>
      </c>
      <c r="C73" s="8" t="s">
        <v>459</v>
      </c>
      <c r="D73" s="6" t="s">
        <v>666</v>
      </c>
      <c r="E73" s="7" t="s">
        <v>667</v>
      </c>
      <c r="F73" s="6" t="s">
        <v>437</v>
      </c>
      <c r="G73" s="6" t="s">
        <v>438</v>
      </c>
    </row>
    <row r="74" ht="15.75" customHeight="1">
      <c r="A74" s="3">
        <f t="shared" si="1"/>
        <v>72</v>
      </c>
      <c r="B74" s="21" t="s">
        <v>668</v>
      </c>
      <c r="C74" s="8" t="s">
        <v>15</v>
      </c>
      <c r="D74" s="6" t="s">
        <v>669</v>
      </c>
      <c r="E74" s="7" t="s">
        <v>670</v>
      </c>
      <c r="F74" s="6" t="s">
        <v>437</v>
      </c>
      <c r="G74" s="6" t="s">
        <v>438</v>
      </c>
    </row>
    <row r="75" ht="15.75" customHeight="1">
      <c r="A75" s="3">
        <f t="shared" si="1"/>
        <v>73</v>
      </c>
      <c r="B75" s="9" t="s">
        <v>671</v>
      </c>
      <c r="C75" s="5" t="s">
        <v>434</v>
      </c>
      <c r="D75" s="10" t="s">
        <v>672</v>
      </c>
      <c r="E75" s="7" t="s">
        <v>673</v>
      </c>
      <c r="F75" s="6" t="s">
        <v>437</v>
      </c>
      <c r="G75" s="6" t="s">
        <v>438</v>
      </c>
    </row>
    <row r="76" ht="15.75" customHeight="1">
      <c r="A76" s="3">
        <f t="shared" si="1"/>
        <v>74</v>
      </c>
      <c r="B76" s="37" t="s">
        <v>674</v>
      </c>
      <c r="C76" s="8" t="s">
        <v>126</v>
      </c>
      <c r="D76" s="6" t="s">
        <v>675</v>
      </c>
      <c r="E76" s="7" t="s">
        <v>676</v>
      </c>
      <c r="F76" s="6" t="s">
        <v>437</v>
      </c>
      <c r="G76" s="6" t="s">
        <v>438</v>
      </c>
    </row>
    <row r="77" ht="15.75" customHeight="1">
      <c r="A77" s="3">
        <f t="shared" si="1"/>
        <v>75</v>
      </c>
      <c r="B77" s="37" t="s">
        <v>677</v>
      </c>
      <c r="C77" s="8" t="s">
        <v>126</v>
      </c>
      <c r="D77" s="6" t="s">
        <v>678</v>
      </c>
      <c r="E77" s="7" t="s">
        <v>679</v>
      </c>
      <c r="F77" s="6" t="s">
        <v>437</v>
      </c>
      <c r="G77" s="6" t="s">
        <v>438</v>
      </c>
    </row>
    <row r="78" ht="15.75" customHeight="1">
      <c r="A78" s="3">
        <f t="shared" si="1"/>
        <v>76</v>
      </c>
      <c r="B78" s="9" t="s">
        <v>680</v>
      </c>
      <c r="C78" s="17" t="s">
        <v>626</v>
      </c>
      <c r="D78" s="10" t="s">
        <v>681</v>
      </c>
      <c r="E78" s="7" t="s">
        <v>682</v>
      </c>
      <c r="F78" s="6" t="s">
        <v>437</v>
      </c>
      <c r="G78" s="6" t="s">
        <v>438</v>
      </c>
    </row>
    <row r="79" ht="15.75" customHeight="1">
      <c r="A79" s="3">
        <f t="shared" si="1"/>
        <v>77</v>
      </c>
      <c r="B79" s="19" t="s">
        <v>683</v>
      </c>
      <c r="C79" s="8" t="s">
        <v>459</v>
      </c>
      <c r="D79" s="18" t="s">
        <v>684</v>
      </c>
      <c r="E79" s="7" t="s">
        <v>685</v>
      </c>
      <c r="F79" s="6" t="s">
        <v>437</v>
      </c>
      <c r="G79" s="6" t="s">
        <v>438</v>
      </c>
    </row>
    <row r="80" ht="15.75" customHeight="1">
      <c r="A80" s="3">
        <f t="shared" si="1"/>
        <v>78</v>
      </c>
      <c r="B80" s="30" t="s">
        <v>686</v>
      </c>
      <c r="C80" s="12" t="s">
        <v>494</v>
      </c>
      <c r="D80" s="18" t="s">
        <v>687</v>
      </c>
      <c r="E80" s="7" t="s">
        <v>688</v>
      </c>
      <c r="F80" s="6" t="s">
        <v>437</v>
      </c>
      <c r="G80" s="6" t="s">
        <v>438</v>
      </c>
    </row>
    <row r="81" ht="15.75" customHeight="1">
      <c r="A81" s="3">
        <f t="shared" si="1"/>
        <v>79</v>
      </c>
      <c r="B81" s="30" t="s">
        <v>689</v>
      </c>
      <c r="C81" s="12" t="s">
        <v>494</v>
      </c>
      <c r="D81" s="6" t="s">
        <v>690</v>
      </c>
      <c r="E81" s="7" t="s">
        <v>691</v>
      </c>
      <c r="F81" s="6" t="s">
        <v>437</v>
      </c>
      <c r="G81" s="6" t="s">
        <v>438</v>
      </c>
    </row>
    <row r="82" ht="15.75" customHeight="1">
      <c r="A82" s="3">
        <f t="shared" si="1"/>
        <v>80</v>
      </c>
      <c r="B82" s="4" t="s">
        <v>692</v>
      </c>
      <c r="C82" s="8" t="s">
        <v>473</v>
      </c>
      <c r="D82" s="6" t="s">
        <v>693</v>
      </c>
      <c r="E82" s="7" t="s">
        <v>694</v>
      </c>
      <c r="F82" s="6" t="s">
        <v>437</v>
      </c>
      <c r="G82" s="6" t="s">
        <v>438</v>
      </c>
    </row>
    <row r="83" ht="15.75" customHeight="1">
      <c r="A83" s="3">
        <f t="shared" si="1"/>
        <v>81</v>
      </c>
      <c r="B83" s="4" t="s">
        <v>695</v>
      </c>
      <c r="C83" s="8" t="s">
        <v>23</v>
      </c>
      <c r="D83" s="18" t="s">
        <v>696</v>
      </c>
      <c r="E83" s="7" t="s">
        <v>697</v>
      </c>
      <c r="F83" s="6" t="s">
        <v>437</v>
      </c>
      <c r="G83" s="6" t="s">
        <v>438</v>
      </c>
    </row>
    <row r="84" ht="15.75" customHeight="1">
      <c r="A84" s="3">
        <f t="shared" si="1"/>
        <v>82</v>
      </c>
      <c r="B84" s="16" t="s">
        <v>698</v>
      </c>
      <c r="C84" s="17" t="s">
        <v>434</v>
      </c>
      <c r="D84" s="10" t="s">
        <v>699</v>
      </c>
      <c r="E84" s="7" t="s">
        <v>700</v>
      </c>
      <c r="F84" s="6" t="s">
        <v>437</v>
      </c>
      <c r="G84" s="6" t="s">
        <v>438</v>
      </c>
    </row>
    <row r="85" ht="15.75" customHeight="1">
      <c r="A85" s="3">
        <f t="shared" si="1"/>
        <v>83</v>
      </c>
      <c r="B85" s="9" t="s">
        <v>701</v>
      </c>
      <c r="C85" s="5" t="s">
        <v>434</v>
      </c>
      <c r="D85" s="10" t="s">
        <v>702</v>
      </c>
      <c r="E85" s="7" t="s">
        <v>703</v>
      </c>
      <c r="F85" s="6" t="s">
        <v>437</v>
      </c>
      <c r="G85" s="6" t="s">
        <v>438</v>
      </c>
    </row>
    <row r="86" ht="15.75" customHeight="1">
      <c r="A86" s="3">
        <f t="shared" si="1"/>
        <v>84</v>
      </c>
      <c r="B86" s="21" t="s">
        <v>704</v>
      </c>
      <c r="C86" s="8" t="s">
        <v>126</v>
      </c>
      <c r="D86" s="18" t="s">
        <v>705</v>
      </c>
      <c r="E86" s="7" t="s">
        <v>706</v>
      </c>
      <c r="F86" s="6" t="s">
        <v>437</v>
      </c>
      <c r="G86" s="6" t="s">
        <v>438</v>
      </c>
    </row>
    <row r="87" ht="15.75" customHeight="1">
      <c r="A87" s="3">
        <f t="shared" si="1"/>
        <v>85</v>
      </c>
      <c r="B87" s="9" t="s">
        <v>707</v>
      </c>
      <c r="C87" s="17" t="s">
        <v>434</v>
      </c>
      <c r="D87" s="10" t="s">
        <v>708</v>
      </c>
      <c r="E87" s="7" t="s">
        <v>709</v>
      </c>
      <c r="F87" s="6" t="s">
        <v>437</v>
      </c>
      <c r="G87" s="6" t="s">
        <v>438</v>
      </c>
    </row>
    <row r="88" ht="15.75" customHeight="1">
      <c r="A88" s="3">
        <f t="shared" si="1"/>
        <v>86</v>
      </c>
      <c r="B88" s="4" t="s">
        <v>710</v>
      </c>
      <c r="C88" s="5" t="s">
        <v>519</v>
      </c>
      <c r="D88" s="6" t="s">
        <v>711</v>
      </c>
      <c r="E88" s="7" t="s">
        <v>712</v>
      </c>
      <c r="F88" s="6" t="s">
        <v>437</v>
      </c>
      <c r="G88" s="6" t="s">
        <v>438</v>
      </c>
    </row>
    <row r="89" ht="15.75" customHeight="1">
      <c r="A89" s="3">
        <f t="shared" si="1"/>
        <v>87</v>
      </c>
      <c r="B89" s="31" t="s">
        <v>713</v>
      </c>
      <c r="C89" s="12" t="s">
        <v>477</v>
      </c>
      <c r="D89" s="6" t="s">
        <v>714</v>
      </c>
      <c r="E89" s="7" t="s">
        <v>715</v>
      </c>
      <c r="F89" s="6" t="s">
        <v>437</v>
      </c>
      <c r="G89" s="6" t="s">
        <v>438</v>
      </c>
    </row>
    <row r="90" ht="15.75" customHeight="1">
      <c r="A90" s="3">
        <f t="shared" si="1"/>
        <v>88</v>
      </c>
      <c r="B90" s="11" t="s">
        <v>716</v>
      </c>
      <c r="C90" s="12" t="s">
        <v>469</v>
      </c>
      <c r="D90" s="18" t="s">
        <v>717</v>
      </c>
      <c r="E90" s="7" t="s">
        <v>718</v>
      </c>
      <c r="F90" s="6" t="s">
        <v>437</v>
      </c>
      <c r="G90" s="6" t="s">
        <v>438</v>
      </c>
    </row>
    <row r="91" ht="15.75" customHeight="1">
      <c r="A91" s="3">
        <f t="shared" si="1"/>
        <v>89</v>
      </c>
      <c r="B91" s="19" t="s">
        <v>719</v>
      </c>
      <c r="C91" s="5" t="s">
        <v>555</v>
      </c>
      <c r="D91" s="10" t="s">
        <v>720</v>
      </c>
      <c r="E91" s="7" t="s">
        <v>721</v>
      </c>
      <c r="F91" s="6" t="s">
        <v>437</v>
      </c>
      <c r="G91" s="6" t="s">
        <v>438</v>
      </c>
    </row>
    <row r="92" ht="15.75" customHeight="1">
      <c r="A92" s="3">
        <f t="shared" si="1"/>
        <v>90</v>
      </c>
      <c r="B92" s="38" t="s">
        <v>722</v>
      </c>
      <c r="C92" s="12" t="s">
        <v>723</v>
      </c>
      <c r="D92" s="6" t="s">
        <v>724</v>
      </c>
      <c r="E92" s="7" t="s">
        <v>725</v>
      </c>
      <c r="F92" s="6" t="s">
        <v>437</v>
      </c>
      <c r="G92" s="6" t="s">
        <v>438</v>
      </c>
    </row>
    <row r="93" ht="15.75" customHeight="1">
      <c r="A93" s="3">
        <f t="shared" si="1"/>
        <v>91</v>
      </c>
      <c r="B93" s="9" t="s">
        <v>726</v>
      </c>
      <c r="C93" s="14" t="s">
        <v>626</v>
      </c>
      <c r="D93" s="10" t="s">
        <v>727</v>
      </c>
      <c r="E93" s="7" t="s">
        <v>728</v>
      </c>
      <c r="F93" s="6" t="s">
        <v>437</v>
      </c>
      <c r="G93" s="6" t="s">
        <v>438</v>
      </c>
    </row>
    <row r="94" ht="15.75" customHeight="1">
      <c r="A94" s="3">
        <f t="shared" si="1"/>
        <v>92</v>
      </c>
      <c r="B94" s="9" t="s">
        <v>729</v>
      </c>
      <c r="C94" s="5" t="s">
        <v>434</v>
      </c>
      <c r="D94" s="10" t="s">
        <v>730</v>
      </c>
      <c r="E94" s="7" t="s">
        <v>731</v>
      </c>
      <c r="F94" s="6" t="s">
        <v>437</v>
      </c>
      <c r="G94" s="6" t="s">
        <v>438</v>
      </c>
    </row>
    <row r="95" ht="15.75" customHeight="1">
      <c r="A95" s="3">
        <f t="shared" si="1"/>
        <v>93</v>
      </c>
      <c r="B95" s="11" t="s">
        <v>732</v>
      </c>
      <c r="C95" s="12" t="s">
        <v>126</v>
      </c>
      <c r="D95" s="6" t="s">
        <v>733</v>
      </c>
      <c r="E95" s="7" t="s">
        <v>734</v>
      </c>
      <c r="F95" s="6" t="s">
        <v>437</v>
      </c>
      <c r="G95" s="6" t="s">
        <v>438</v>
      </c>
    </row>
    <row r="96" ht="15.75" customHeight="1">
      <c r="A96" s="3">
        <f t="shared" si="1"/>
        <v>94</v>
      </c>
      <c r="B96" s="11" t="s">
        <v>735</v>
      </c>
      <c r="C96" s="12" t="s">
        <v>126</v>
      </c>
      <c r="D96" s="18" t="s">
        <v>736</v>
      </c>
      <c r="E96" s="7" t="s">
        <v>737</v>
      </c>
      <c r="F96" s="6" t="s">
        <v>437</v>
      </c>
      <c r="G96" s="6" t="s">
        <v>438</v>
      </c>
    </row>
    <row r="97" ht="15.75" customHeight="1">
      <c r="A97" s="3">
        <f t="shared" si="1"/>
        <v>95</v>
      </c>
      <c r="B97" s="9" t="s">
        <v>738</v>
      </c>
      <c r="C97" s="5" t="s">
        <v>434</v>
      </c>
      <c r="D97" s="6" t="s">
        <v>739</v>
      </c>
      <c r="E97" s="7" t="s">
        <v>740</v>
      </c>
      <c r="F97" s="6" t="s">
        <v>437</v>
      </c>
      <c r="G97" s="6" t="s">
        <v>438</v>
      </c>
    </row>
    <row r="98" ht="15.75" customHeight="1">
      <c r="A98" s="3">
        <f t="shared" si="1"/>
        <v>96</v>
      </c>
      <c r="B98" s="9" t="s">
        <v>741</v>
      </c>
      <c r="C98" s="17" t="s">
        <v>434</v>
      </c>
      <c r="D98" s="10" t="s">
        <v>742</v>
      </c>
      <c r="E98" s="7" t="s">
        <v>743</v>
      </c>
      <c r="F98" s="6" t="s">
        <v>437</v>
      </c>
      <c r="G98" s="6" t="s">
        <v>438</v>
      </c>
    </row>
    <row r="99" ht="15.75" customHeight="1">
      <c r="A99" s="3">
        <f t="shared" si="1"/>
        <v>97</v>
      </c>
      <c r="B99" s="9" t="s">
        <v>744</v>
      </c>
      <c r="C99" s="17" t="s">
        <v>434</v>
      </c>
      <c r="D99" s="10" t="s">
        <v>745</v>
      </c>
      <c r="E99" s="7" t="s">
        <v>746</v>
      </c>
      <c r="F99" s="6" t="s">
        <v>437</v>
      </c>
      <c r="G99" s="6" t="s">
        <v>438</v>
      </c>
    </row>
    <row r="100" ht="15.75" customHeight="1">
      <c r="A100" s="3">
        <f t="shared" si="1"/>
        <v>98</v>
      </c>
      <c r="B100" s="21" t="s">
        <v>747</v>
      </c>
      <c r="C100" s="32" t="s">
        <v>748</v>
      </c>
      <c r="D100" s="6" t="s">
        <v>749</v>
      </c>
      <c r="E100" s="7" t="s">
        <v>750</v>
      </c>
      <c r="F100" s="6" t="s">
        <v>437</v>
      </c>
      <c r="G100" s="6" t="s">
        <v>438</v>
      </c>
    </row>
    <row r="101" ht="15.75" customHeight="1">
      <c r="A101" s="3">
        <f t="shared" si="1"/>
        <v>99</v>
      </c>
      <c r="B101" s="9" t="s">
        <v>751</v>
      </c>
      <c r="C101" s="5" t="s">
        <v>434</v>
      </c>
      <c r="D101" s="10" t="s">
        <v>752</v>
      </c>
      <c r="E101" s="7" t="s">
        <v>753</v>
      </c>
      <c r="F101" s="6" t="s">
        <v>437</v>
      </c>
      <c r="G101" s="6" t="s">
        <v>438</v>
      </c>
    </row>
    <row r="102" ht="15.75" customHeight="1">
      <c r="A102" s="3">
        <f t="shared" si="1"/>
        <v>100</v>
      </c>
      <c r="B102" s="36" t="s">
        <v>754</v>
      </c>
      <c r="C102" s="12" t="s">
        <v>502</v>
      </c>
      <c r="D102" s="18" t="s">
        <v>755</v>
      </c>
      <c r="E102" s="7" t="s">
        <v>756</v>
      </c>
      <c r="F102" s="6" t="s">
        <v>437</v>
      </c>
      <c r="G102" s="6" t="s">
        <v>438</v>
      </c>
    </row>
    <row r="103" ht="15.75" customHeight="1">
      <c r="A103" s="3">
        <f t="shared" si="1"/>
        <v>101</v>
      </c>
      <c r="B103" s="9" t="s">
        <v>757</v>
      </c>
      <c r="C103" s="17" t="s">
        <v>626</v>
      </c>
      <c r="D103" s="15" t="s">
        <v>758</v>
      </c>
      <c r="E103" s="7" t="s">
        <v>759</v>
      </c>
      <c r="F103" s="6" t="s">
        <v>437</v>
      </c>
      <c r="G103" s="6" t="s">
        <v>438</v>
      </c>
    </row>
    <row r="104" ht="15.75" customHeight="1">
      <c r="A104" s="3">
        <f t="shared" si="1"/>
        <v>102</v>
      </c>
      <c r="B104" s="11" t="s">
        <v>760</v>
      </c>
      <c r="C104" s="12" t="s">
        <v>452</v>
      </c>
      <c r="D104" s="18" t="s">
        <v>761</v>
      </c>
      <c r="E104" s="7" t="s">
        <v>762</v>
      </c>
      <c r="F104" s="6" t="s">
        <v>437</v>
      </c>
      <c r="G104" s="6" t="s">
        <v>438</v>
      </c>
    </row>
    <row r="105" ht="15.75" customHeight="1">
      <c r="A105" s="3">
        <f t="shared" si="1"/>
        <v>103</v>
      </c>
      <c r="B105" s="4" t="s">
        <v>763</v>
      </c>
      <c r="C105" s="8" t="s">
        <v>23</v>
      </c>
      <c r="D105" s="18" t="s">
        <v>764</v>
      </c>
      <c r="E105" s="7" t="s">
        <v>765</v>
      </c>
      <c r="F105" s="6" t="s">
        <v>437</v>
      </c>
      <c r="G105" s="6" t="s">
        <v>438</v>
      </c>
    </row>
    <row r="106" ht="15.75" customHeight="1">
      <c r="A106" s="3">
        <f t="shared" si="1"/>
        <v>104</v>
      </c>
      <c r="B106" s="30" t="s">
        <v>766</v>
      </c>
      <c r="C106" s="12" t="s">
        <v>473</v>
      </c>
      <c r="D106" s="6" t="s">
        <v>767</v>
      </c>
      <c r="E106" s="7" t="s">
        <v>768</v>
      </c>
      <c r="F106" s="6" t="s">
        <v>437</v>
      </c>
      <c r="G106" s="6" t="s">
        <v>438</v>
      </c>
    </row>
    <row r="107" ht="15.75" customHeight="1">
      <c r="A107" s="3">
        <f t="shared" si="1"/>
        <v>105</v>
      </c>
      <c r="B107" s="39" t="s">
        <v>769</v>
      </c>
      <c r="C107" s="27" t="s">
        <v>498</v>
      </c>
      <c r="D107" s="18" t="s">
        <v>770</v>
      </c>
      <c r="E107" s="7" t="s">
        <v>771</v>
      </c>
      <c r="F107" s="6" t="s">
        <v>437</v>
      </c>
      <c r="G107" s="6" t="s">
        <v>438</v>
      </c>
    </row>
    <row r="108" ht="15.75" customHeight="1">
      <c r="A108" s="3">
        <f t="shared" si="1"/>
        <v>106</v>
      </c>
      <c r="B108" s="19" t="s">
        <v>772</v>
      </c>
      <c r="C108" s="8" t="s">
        <v>498</v>
      </c>
      <c r="D108" s="18" t="s">
        <v>773</v>
      </c>
      <c r="E108" s="7" t="s">
        <v>774</v>
      </c>
      <c r="F108" s="6" t="s">
        <v>437</v>
      </c>
      <c r="G108" s="6" t="s">
        <v>438</v>
      </c>
    </row>
    <row r="109" ht="15.75" customHeight="1">
      <c r="A109" s="3">
        <f t="shared" si="1"/>
        <v>107</v>
      </c>
      <c r="B109" s="19" t="s">
        <v>775</v>
      </c>
      <c r="C109" s="8" t="s">
        <v>459</v>
      </c>
      <c r="D109" s="10" t="s">
        <v>776</v>
      </c>
      <c r="E109" s="7" t="s">
        <v>777</v>
      </c>
      <c r="F109" s="6" t="s">
        <v>437</v>
      </c>
      <c r="G109" s="6" t="s">
        <v>438</v>
      </c>
    </row>
    <row r="110" ht="15.75" customHeight="1">
      <c r="A110" s="3">
        <f t="shared" si="1"/>
        <v>108</v>
      </c>
      <c r="B110" s="9" t="s">
        <v>778</v>
      </c>
      <c r="C110" s="5" t="s">
        <v>434</v>
      </c>
      <c r="D110" s="10" t="s">
        <v>779</v>
      </c>
      <c r="E110" s="7" t="s">
        <v>780</v>
      </c>
      <c r="F110" s="6" t="s">
        <v>437</v>
      </c>
      <c r="G110" s="6" t="s">
        <v>438</v>
      </c>
    </row>
    <row r="111" ht="15.75" customHeight="1">
      <c r="A111" s="3">
        <f t="shared" si="1"/>
        <v>109</v>
      </c>
      <c r="B111" s="35" t="s">
        <v>781</v>
      </c>
      <c r="C111" s="8" t="s">
        <v>642</v>
      </c>
      <c r="D111" s="6" t="s">
        <v>782</v>
      </c>
      <c r="E111" s="7" t="s">
        <v>783</v>
      </c>
      <c r="F111" s="6" t="s">
        <v>437</v>
      </c>
      <c r="G111" s="6" t="s">
        <v>438</v>
      </c>
    </row>
    <row r="112" ht="15.75" customHeight="1">
      <c r="A112" s="3">
        <f t="shared" si="1"/>
        <v>110</v>
      </c>
      <c r="B112" s="19" t="s">
        <v>784</v>
      </c>
      <c r="C112" s="8" t="s">
        <v>498</v>
      </c>
      <c r="D112" s="10" t="s">
        <v>785</v>
      </c>
      <c r="E112" s="7" t="s">
        <v>786</v>
      </c>
      <c r="F112" s="6" t="s">
        <v>437</v>
      </c>
      <c r="G112" s="6" t="s">
        <v>438</v>
      </c>
    </row>
    <row r="113" ht="15.75" customHeight="1">
      <c r="A113" s="3">
        <f t="shared" si="1"/>
        <v>111</v>
      </c>
      <c r="B113" s="40" t="s">
        <v>787</v>
      </c>
      <c r="C113" s="5" t="s">
        <v>788</v>
      </c>
      <c r="D113" s="18" t="s">
        <v>789</v>
      </c>
      <c r="E113" s="7">
        <v>8.1979032447E10</v>
      </c>
      <c r="F113" s="6" t="s">
        <v>437</v>
      </c>
      <c r="G113" s="6" t="s">
        <v>438</v>
      </c>
    </row>
    <row r="114" ht="15.75" customHeight="1">
      <c r="A114" s="3">
        <f t="shared" si="1"/>
        <v>112</v>
      </c>
      <c r="B114" s="30" t="s">
        <v>790</v>
      </c>
      <c r="C114" s="12" t="s">
        <v>494</v>
      </c>
      <c r="D114" s="18" t="s">
        <v>791</v>
      </c>
      <c r="E114" s="7" t="s">
        <v>792</v>
      </c>
      <c r="F114" s="6" t="s">
        <v>437</v>
      </c>
      <c r="G114" s="6" t="s">
        <v>438</v>
      </c>
    </row>
    <row r="115" ht="15.75" customHeight="1">
      <c r="A115" s="3">
        <f t="shared" si="1"/>
        <v>113</v>
      </c>
      <c r="B115" s="19" t="s">
        <v>793</v>
      </c>
      <c r="C115" s="8" t="s">
        <v>794</v>
      </c>
      <c r="D115" s="10" t="s">
        <v>795</v>
      </c>
      <c r="E115" s="7" t="s">
        <v>796</v>
      </c>
      <c r="F115" s="6" t="s">
        <v>437</v>
      </c>
      <c r="G115" s="6" t="s">
        <v>438</v>
      </c>
    </row>
    <row r="116" ht="15.75" customHeight="1">
      <c r="A116" s="3">
        <f t="shared" si="1"/>
        <v>114</v>
      </c>
      <c r="B116" s="30" t="s">
        <v>797</v>
      </c>
      <c r="C116" s="12" t="s">
        <v>494</v>
      </c>
      <c r="D116" s="6" t="s">
        <v>798</v>
      </c>
      <c r="E116" s="7" t="s">
        <v>799</v>
      </c>
      <c r="F116" s="6" t="s">
        <v>437</v>
      </c>
      <c r="G116" s="6" t="s">
        <v>438</v>
      </c>
    </row>
    <row r="117" ht="15.75" customHeight="1">
      <c r="A117" s="3">
        <f t="shared" si="1"/>
        <v>115</v>
      </c>
      <c r="B117" s="16" t="s">
        <v>800</v>
      </c>
      <c r="C117" s="41" t="s">
        <v>626</v>
      </c>
      <c r="D117" s="10" t="s">
        <v>801</v>
      </c>
      <c r="E117" s="7" t="s">
        <v>802</v>
      </c>
      <c r="F117" s="6" t="s">
        <v>437</v>
      </c>
      <c r="G117" s="6" t="s">
        <v>438</v>
      </c>
    </row>
    <row r="118" ht="15.75" customHeight="1">
      <c r="A118" s="3">
        <f t="shared" si="1"/>
        <v>116</v>
      </c>
      <c r="B118" s="9" t="s">
        <v>803</v>
      </c>
      <c r="C118" s="14" t="s">
        <v>626</v>
      </c>
      <c r="D118" s="10" t="s">
        <v>804</v>
      </c>
      <c r="E118" s="7" t="s">
        <v>805</v>
      </c>
      <c r="F118" s="6" t="s">
        <v>437</v>
      </c>
      <c r="G118" s="6" t="s">
        <v>438</v>
      </c>
    </row>
    <row r="119" ht="15.75" customHeight="1">
      <c r="A119" s="3">
        <f t="shared" si="1"/>
        <v>117</v>
      </c>
      <c r="B119" s="31" t="s">
        <v>806</v>
      </c>
      <c r="C119" s="12" t="s">
        <v>477</v>
      </c>
      <c r="D119" s="6" t="s">
        <v>807</v>
      </c>
      <c r="E119" s="7" t="s">
        <v>808</v>
      </c>
      <c r="F119" s="6" t="s">
        <v>437</v>
      </c>
      <c r="G119" s="6" t="s">
        <v>438</v>
      </c>
    </row>
    <row r="120" ht="15.75" customHeight="1">
      <c r="A120" s="3">
        <f t="shared" si="1"/>
        <v>118</v>
      </c>
      <c r="B120" s="4" t="s">
        <v>809</v>
      </c>
      <c r="C120" s="5" t="s">
        <v>519</v>
      </c>
      <c r="D120" s="6" t="s">
        <v>810</v>
      </c>
      <c r="E120" s="7" t="s">
        <v>811</v>
      </c>
      <c r="F120" s="6" t="s">
        <v>437</v>
      </c>
      <c r="G120" s="6" t="s">
        <v>438</v>
      </c>
    </row>
    <row r="121" ht="15.75" customHeight="1">
      <c r="A121" s="3">
        <f t="shared" si="1"/>
        <v>119</v>
      </c>
      <c r="B121" s="4" t="s">
        <v>812</v>
      </c>
      <c r="C121" s="8" t="s">
        <v>813</v>
      </c>
      <c r="D121" s="18" t="s">
        <v>814</v>
      </c>
      <c r="E121" s="7" t="s">
        <v>815</v>
      </c>
      <c r="F121" s="6" t="s">
        <v>437</v>
      </c>
      <c r="G121" s="6" t="s">
        <v>438</v>
      </c>
    </row>
    <row r="122" ht="15.75" customHeight="1">
      <c r="A122" s="3">
        <f t="shared" si="1"/>
        <v>120</v>
      </c>
      <c r="B122" s="33" t="s">
        <v>816</v>
      </c>
      <c r="C122" s="12" t="s">
        <v>603</v>
      </c>
      <c r="D122" s="6" t="s">
        <v>817</v>
      </c>
      <c r="E122" s="7" t="s">
        <v>818</v>
      </c>
      <c r="F122" s="6" t="s">
        <v>437</v>
      </c>
      <c r="G122" s="6" t="s">
        <v>438</v>
      </c>
    </row>
    <row r="123" ht="15.75" customHeight="1">
      <c r="A123" s="3">
        <f t="shared" si="1"/>
        <v>121</v>
      </c>
      <c r="B123" s="9" t="s">
        <v>819</v>
      </c>
      <c r="C123" s="5" t="s">
        <v>434</v>
      </c>
      <c r="D123" s="10" t="s">
        <v>820</v>
      </c>
      <c r="E123" s="7" t="s">
        <v>821</v>
      </c>
      <c r="F123" s="6" t="s">
        <v>437</v>
      </c>
      <c r="G123" s="6" t="s">
        <v>438</v>
      </c>
    </row>
    <row r="124" ht="15.75" customHeight="1">
      <c r="A124" s="3">
        <f t="shared" si="1"/>
        <v>122</v>
      </c>
      <c r="B124" s="9" t="s">
        <v>822</v>
      </c>
      <c r="C124" s="17" t="s">
        <v>434</v>
      </c>
      <c r="D124" s="10" t="s">
        <v>823</v>
      </c>
      <c r="E124" s="7" t="s">
        <v>824</v>
      </c>
      <c r="F124" s="6" t="s">
        <v>437</v>
      </c>
      <c r="G124" s="6" t="s">
        <v>438</v>
      </c>
    </row>
    <row r="125" ht="15.75" customHeight="1">
      <c r="A125" s="3">
        <f t="shared" si="1"/>
        <v>123</v>
      </c>
      <c r="B125" s="9" t="s">
        <v>825</v>
      </c>
      <c r="C125" s="8" t="s">
        <v>603</v>
      </c>
      <c r="D125" s="18" t="s">
        <v>826</v>
      </c>
      <c r="E125" s="7" t="s">
        <v>827</v>
      </c>
      <c r="F125" s="6" t="s">
        <v>437</v>
      </c>
      <c r="G125" s="6" t="s">
        <v>438</v>
      </c>
    </row>
    <row r="126" ht="15.75" customHeight="1">
      <c r="A126" s="3">
        <f t="shared" si="1"/>
        <v>124</v>
      </c>
      <c r="B126" s="9" t="s">
        <v>828</v>
      </c>
      <c r="C126" s="5" t="s">
        <v>434</v>
      </c>
      <c r="D126" s="10" t="s">
        <v>829</v>
      </c>
      <c r="E126" s="7" t="s">
        <v>830</v>
      </c>
      <c r="F126" s="6" t="s">
        <v>437</v>
      </c>
      <c r="G126" s="6" t="s">
        <v>438</v>
      </c>
    </row>
    <row r="127" ht="15.75" customHeight="1">
      <c r="A127" s="3">
        <f t="shared" si="1"/>
        <v>125</v>
      </c>
      <c r="B127" s="19" t="s">
        <v>831</v>
      </c>
      <c r="C127" s="8" t="s">
        <v>459</v>
      </c>
      <c r="D127" s="10" t="s">
        <v>832</v>
      </c>
      <c r="E127" s="7" t="s">
        <v>833</v>
      </c>
      <c r="F127" s="6" t="s">
        <v>437</v>
      </c>
      <c r="G127" s="6" t="s">
        <v>438</v>
      </c>
    </row>
    <row r="128" ht="15.75" customHeight="1">
      <c r="A128" s="3">
        <f t="shared" si="1"/>
        <v>126</v>
      </c>
      <c r="B128" s="35" t="s">
        <v>834</v>
      </c>
      <c r="C128" s="8" t="s">
        <v>642</v>
      </c>
      <c r="D128" s="6" t="s">
        <v>835</v>
      </c>
      <c r="E128" s="7" t="s">
        <v>836</v>
      </c>
      <c r="F128" s="6" t="s">
        <v>437</v>
      </c>
      <c r="G128" s="6" t="s">
        <v>438</v>
      </c>
    </row>
    <row r="129" ht="15.75" customHeight="1">
      <c r="A129" s="3">
        <f t="shared" si="1"/>
        <v>127</v>
      </c>
      <c r="B129" s="9" t="s">
        <v>837</v>
      </c>
      <c r="C129" s="5" t="s">
        <v>434</v>
      </c>
      <c r="D129" s="10" t="s">
        <v>838</v>
      </c>
      <c r="E129" s="7" t="s">
        <v>839</v>
      </c>
      <c r="F129" s="6" t="s">
        <v>437</v>
      </c>
      <c r="G129" s="6" t="s">
        <v>438</v>
      </c>
    </row>
    <row r="130" ht="15.75" customHeight="1">
      <c r="A130" s="3">
        <f t="shared" si="1"/>
        <v>128</v>
      </c>
      <c r="B130" s="42" t="s">
        <v>840</v>
      </c>
      <c r="C130" s="12" t="s">
        <v>723</v>
      </c>
      <c r="D130" s="6" t="s">
        <v>841</v>
      </c>
      <c r="E130" s="7" t="s">
        <v>842</v>
      </c>
      <c r="F130" s="6" t="s">
        <v>437</v>
      </c>
      <c r="G130" s="6" t="s">
        <v>438</v>
      </c>
    </row>
    <row r="131" ht="15.75" customHeight="1">
      <c r="A131" s="3">
        <f t="shared" si="1"/>
        <v>129</v>
      </c>
      <c r="B131" s="9" t="s">
        <v>843</v>
      </c>
      <c r="C131" s="17" t="s">
        <v>434</v>
      </c>
      <c r="D131" s="10" t="s">
        <v>844</v>
      </c>
      <c r="E131" s="7" t="s">
        <v>845</v>
      </c>
      <c r="F131" s="6" t="s">
        <v>437</v>
      </c>
      <c r="G131" s="6" t="s">
        <v>438</v>
      </c>
    </row>
    <row r="132" ht="15.75" customHeight="1">
      <c r="A132" s="3">
        <f t="shared" si="1"/>
        <v>130</v>
      </c>
      <c r="B132" s="19" t="s">
        <v>846</v>
      </c>
      <c r="C132" s="8" t="s">
        <v>847</v>
      </c>
      <c r="D132" s="10" t="s">
        <v>848</v>
      </c>
      <c r="E132" s="7" t="s">
        <v>849</v>
      </c>
      <c r="F132" s="6" t="s">
        <v>437</v>
      </c>
      <c r="G132" s="6" t="s">
        <v>438</v>
      </c>
    </row>
    <row r="133" ht="15.75" customHeight="1">
      <c r="A133" s="3">
        <f t="shared" si="1"/>
        <v>131</v>
      </c>
      <c r="B133" s="16" t="s">
        <v>850</v>
      </c>
      <c r="C133" s="17" t="s">
        <v>434</v>
      </c>
      <c r="D133" s="10" t="s">
        <v>851</v>
      </c>
      <c r="E133" s="7" t="s">
        <v>852</v>
      </c>
      <c r="F133" s="6" t="s">
        <v>437</v>
      </c>
      <c r="G133" s="6" t="s">
        <v>438</v>
      </c>
    </row>
    <row r="134" ht="15.75" customHeight="1">
      <c r="A134" s="3">
        <f t="shared" si="1"/>
        <v>132</v>
      </c>
      <c r="B134" s="9" t="s">
        <v>853</v>
      </c>
      <c r="C134" s="17" t="s">
        <v>434</v>
      </c>
      <c r="D134" s="10" t="s">
        <v>854</v>
      </c>
      <c r="E134" s="7" t="s">
        <v>855</v>
      </c>
      <c r="F134" s="6" t="s">
        <v>437</v>
      </c>
      <c r="G134" s="6" t="s">
        <v>438</v>
      </c>
    </row>
    <row r="135" ht="15.75" customHeight="1">
      <c r="A135" s="3">
        <f t="shared" si="1"/>
        <v>133</v>
      </c>
      <c r="B135" s="11" t="s">
        <v>856</v>
      </c>
      <c r="C135" s="12" t="s">
        <v>469</v>
      </c>
      <c r="D135" s="18" t="s">
        <v>857</v>
      </c>
      <c r="E135" s="7" t="s">
        <v>858</v>
      </c>
      <c r="F135" s="6" t="s">
        <v>437</v>
      </c>
      <c r="G135" s="6" t="s">
        <v>438</v>
      </c>
    </row>
    <row r="136" ht="15.75" customHeight="1">
      <c r="A136" s="3">
        <f t="shared" si="1"/>
        <v>134</v>
      </c>
      <c r="B136" s="31" t="s">
        <v>859</v>
      </c>
      <c r="C136" s="12" t="s">
        <v>477</v>
      </c>
      <c r="D136" s="18" t="s">
        <v>860</v>
      </c>
      <c r="E136" s="7" t="s">
        <v>861</v>
      </c>
      <c r="F136" s="6" t="s">
        <v>437</v>
      </c>
      <c r="G136" s="6" t="s">
        <v>438</v>
      </c>
    </row>
    <row r="137" ht="15.75" customHeight="1">
      <c r="A137" s="3">
        <f t="shared" si="1"/>
        <v>135</v>
      </c>
      <c r="B137" s="36" t="s">
        <v>862</v>
      </c>
      <c r="C137" s="12" t="s">
        <v>723</v>
      </c>
      <c r="D137" s="6" t="s">
        <v>863</v>
      </c>
      <c r="E137" s="7" t="s">
        <v>864</v>
      </c>
      <c r="F137" s="6" t="s">
        <v>437</v>
      </c>
      <c r="G137" s="6" t="s">
        <v>438</v>
      </c>
    </row>
    <row r="138" ht="15.75" customHeight="1">
      <c r="A138" s="3">
        <f t="shared" si="1"/>
        <v>136</v>
      </c>
      <c r="B138" s="21" t="s">
        <v>865</v>
      </c>
      <c r="C138" s="8" t="s">
        <v>126</v>
      </c>
      <c r="D138" s="6" t="s">
        <v>866</v>
      </c>
      <c r="E138" s="7" t="s">
        <v>867</v>
      </c>
      <c r="F138" s="6" t="s">
        <v>437</v>
      </c>
      <c r="G138" s="6" t="s">
        <v>438</v>
      </c>
    </row>
    <row r="139" ht="15.75" customHeight="1">
      <c r="A139" s="3">
        <f t="shared" si="1"/>
        <v>137</v>
      </c>
      <c r="B139" s="9" t="s">
        <v>868</v>
      </c>
      <c r="C139" s="17" t="s">
        <v>626</v>
      </c>
      <c r="D139" s="10" t="s">
        <v>869</v>
      </c>
      <c r="E139" s="7" t="s">
        <v>870</v>
      </c>
      <c r="F139" s="6" t="s">
        <v>437</v>
      </c>
      <c r="G139" s="6" t="s">
        <v>438</v>
      </c>
    </row>
    <row r="140" ht="15.75" customHeight="1">
      <c r="A140" s="3">
        <f t="shared" si="1"/>
        <v>138</v>
      </c>
      <c r="B140" s="9" t="s">
        <v>871</v>
      </c>
      <c r="C140" s="8" t="s">
        <v>23</v>
      </c>
      <c r="D140" s="18" t="s">
        <v>872</v>
      </c>
      <c r="E140" s="7" t="s">
        <v>873</v>
      </c>
      <c r="F140" s="6" t="s">
        <v>437</v>
      </c>
      <c r="G140" s="6" t="s">
        <v>438</v>
      </c>
    </row>
    <row r="141" ht="15.75" customHeight="1">
      <c r="A141" s="3">
        <f t="shared" si="1"/>
        <v>139</v>
      </c>
      <c r="B141" s="19" t="s">
        <v>874</v>
      </c>
      <c r="C141" s="8" t="s">
        <v>459</v>
      </c>
      <c r="D141" s="10" t="s">
        <v>875</v>
      </c>
      <c r="E141" s="7" t="s">
        <v>876</v>
      </c>
      <c r="F141" s="6" t="s">
        <v>437</v>
      </c>
      <c r="G141" s="6" t="s">
        <v>438</v>
      </c>
    </row>
    <row r="142" ht="15.75" customHeight="1">
      <c r="A142" s="3">
        <f t="shared" si="1"/>
        <v>140</v>
      </c>
      <c r="B142" s="30" t="s">
        <v>877</v>
      </c>
      <c r="C142" s="12" t="s">
        <v>494</v>
      </c>
      <c r="D142" s="6" t="s">
        <v>878</v>
      </c>
      <c r="E142" s="7" t="s">
        <v>879</v>
      </c>
      <c r="F142" s="6" t="s">
        <v>437</v>
      </c>
      <c r="G142" s="6" t="s">
        <v>438</v>
      </c>
    </row>
    <row r="143" ht="15.75" customHeight="1">
      <c r="A143" s="3">
        <f t="shared" si="1"/>
        <v>141</v>
      </c>
      <c r="B143" s="19" t="s">
        <v>880</v>
      </c>
      <c r="C143" s="8" t="s">
        <v>498</v>
      </c>
      <c r="D143" s="10" t="s">
        <v>881</v>
      </c>
      <c r="E143" s="7" t="s">
        <v>882</v>
      </c>
      <c r="F143" s="6" t="s">
        <v>437</v>
      </c>
      <c r="G143" s="6" t="s">
        <v>438</v>
      </c>
    </row>
    <row r="144" ht="15.75" customHeight="1">
      <c r="A144" s="3">
        <f t="shared" si="1"/>
        <v>142</v>
      </c>
      <c r="B144" s="21" t="s">
        <v>883</v>
      </c>
      <c r="C144" s="8" t="s">
        <v>126</v>
      </c>
      <c r="D144" s="6" t="s">
        <v>884</v>
      </c>
      <c r="E144" s="7" t="s">
        <v>885</v>
      </c>
      <c r="F144" s="6" t="s">
        <v>437</v>
      </c>
      <c r="G144" s="6" t="s">
        <v>438</v>
      </c>
    </row>
    <row r="145" ht="15.75" customHeight="1">
      <c r="A145" s="3">
        <f t="shared" si="1"/>
        <v>143</v>
      </c>
      <c r="B145" s="31" t="s">
        <v>886</v>
      </c>
      <c r="C145" s="12" t="s">
        <v>477</v>
      </c>
      <c r="D145" s="18" t="s">
        <v>887</v>
      </c>
      <c r="E145" s="7" t="s">
        <v>888</v>
      </c>
      <c r="F145" s="6" t="s">
        <v>437</v>
      </c>
      <c r="G145" s="6" t="s">
        <v>438</v>
      </c>
    </row>
    <row r="146" ht="15.75" customHeight="1">
      <c r="A146" s="3">
        <f t="shared" si="1"/>
        <v>144</v>
      </c>
      <c r="B146" s="9" t="s">
        <v>889</v>
      </c>
      <c r="C146" s="17" t="s">
        <v>434</v>
      </c>
      <c r="D146" s="10" t="s">
        <v>890</v>
      </c>
      <c r="E146" s="7" t="s">
        <v>891</v>
      </c>
      <c r="F146" s="6" t="s">
        <v>437</v>
      </c>
      <c r="G146" s="6" t="s">
        <v>438</v>
      </c>
    </row>
    <row r="147" ht="15.75" customHeight="1">
      <c r="A147" s="3">
        <f t="shared" si="1"/>
        <v>145</v>
      </c>
      <c r="B147" s="9" t="s">
        <v>892</v>
      </c>
      <c r="C147" s="5" t="s">
        <v>434</v>
      </c>
      <c r="D147" s="10" t="s">
        <v>893</v>
      </c>
      <c r="E147" s="7" t="s">
        <v>894</v>
      </c>
      <c r="F147" s="6" t="s">
        <v>437</v>
      </c>
      <c r="G147" s="6" t="s">
        <v>438</v>
      </c>
    </row>
    <row r="148" ht="15.75" customHeight="1">
      <c r="A148" s="3">
        <f t="shared" si="1"/>
        <v>146</v>
      </c>
      <c r="B148" s="4" t="s">
        <v>895</v>
      </c>
      <c r="C148" s="8" t="s">
        <v>896</v>
      </c>
      <c r="D148" s="6" t="s">
        <v>897</v>
      </c>
      <c r="E148" s="7" t="s">
        <v>898</v>
      </c>
      <c r="F148" s="6" t="s">
        <v>437</v>
      </c>
      <c r="G148" s="6" t="s">
        <v>438</v>
      </c>
    </row>
    <row r="149" ht="15.75" customHeight="1">
      <c r="A149" s="3">
        <f t="shared" si="1"/>
        <v>147</v>
      </c>
      <c r="B149" s="11" t="s">
        <v>899</v>
      </c>
      <c r="C149" s="12" t="s">
        <v>469</v>
      </c>
      <c r="D149" s="18" t="s">
        <v>900</v>
      </c>
      <c r="E149" s="7" t="s">
        <v>901</v>
      </c>
      <c r="F149" s="6" t="s">
        <v>437</v>
      </c>
      <c r="G149" s="6" t="s">
        <v>438</v>
      </c>
    </row>
    <row r="150" ht="15.75" customHeight="1">
      <c r="A150" s="3">
        <f t="shared" si="1"/>
        <v>148</v>
      </c>
      <c r="B150" s="9" t="s">
        <v>902</v>
      </c>
      <c r="C150" s="5" t="s">
        <v>434</v>
      </c>
      <c r="D150" s="10" t="s">
        <v>903</v>
      </c>
      <c r="E150" s="7" t="s">
        <v>904</v>
      </c>
      <c r="F150" s="6" t="s">
        <v>437</v>
      </c>
      <c r="G150" s="6" t="s">
        <v>438</v>
      </c>
    </row>
    <row r="151" ht="15.75" customHeight="1">
      <c r="A151" s="3">
        <f t="shared" si="1"/>
        <v>149</v>
      </c>
      <c r="B151" s="36" t="s">
        <v>905</v>
      </c>
      <c r="C151" s="12" t="s">
        <v>723</v>
      </c>
      <c r="D151" s="6" t="s">
        <v>906</v>
      </c>
      <c r="E151" s="7" t="s">
        <v>907</v>
      </c>
      <c r="F151" s="6" t="s">
        <v>437</v>
      </c>
      <c r="G151" s="6" t="s">
        <v>438</v>
      </c>
    </row>
    <row r="152" ht="15.75" customHeight="1">
      <c r="A152" s="3">
        <f t="shared" si="1"/>
        <v>150</v>
      </c>
      <c r="B152" s="11" t="s">
        <v>908</v>
      </c>
      <c r="C152" s="12" t="s">
        <v>469</v>
      </c>
      <c r="D152" s="18" t="s">
        <v>909</v>
      </c>
      <c r="E152" s="7" t="s">
        <v>910</v>
      </c>
      <c r="F152" s="6" t="s">
        <v>437</v>
      </c>
      <c r="G152" s="6" t="s">
        <v>438</v>
      </c>
    </row>
    <row r="153" ht="15.75" customHeight="1">
      <c r="A153" s="3">
        <f t="shared" si="1"/>
        <v>151</v>
      </c>
      <c r="B153" s="9" t="s">
        <v>911</v>
      </c>
      <c r="C153" s="14" t="s">
        <v>626</v>
      </c>
      <c r="D153" s="15" t="s">
        <v>912</v>
      </c>
      <c r="E153" s="7" t="s">
        <v>913</v>
      </c>
      <c r="F153" s="6" t="s">
        <v>437</v>
      </c>
      <c r="G153" s="6" t="s">
        <v>438</v>
      </c>
    </row>
    <row r="154" ht="15.75" customHeight="1">
      <c r="A154" s="3">
        <f t="shared" si="1"/>
        <v>152</v>
      </c>
      <c r="B154" s="21" t="s">
        <v>914</v>
      </c>
      <c r="C154" s="8" t="s">
        <v>15</v>
      </c>
      <c r="D154" s="6" t="s">
        <v>915</v>
      </c>
      <c r="E154" s="7" t="s">
        <v>916</v>
      </c>
      <c r="F154" s="6" t="s">
        <v>437</v>
      </c>
      <c r="G154" s="6" t="s">
        <v>438</v>
      </c>
    </row>
    <row r="155" ht="15.75" customHeight="1">
      <c r="A155" s="3">
        <f t="shared" si="1"/>
        <v>153</v>
      </c>
      <c r="B155" s="9" t="s">
        <v>917</v>
      </c>
      <c r="C155" s="17" t="s">
        <v>626</v>
      </c>
      <c r="D155" s="10" t="s">
        <v>918</v>
      </c>
      <c r="E155" s="7" t="s">
        <v>919</v>
      </c>
      <c r="F155" s="6" t="s">
        <v>437</v>
      </c>
      <c r="G155" s="6" t="s">
        <v>438</v>
      </c>
    </row>
    <row r="156" ht="15.75" customHeight="1">
      <c r="A156" s="3">
        <f t="shared" si="1"/>
        <v>154</v>
      </c>
      <c r="B156" s="39" t="s">
        <v>920</v>
      </c>
      <c r="C156" s="27" t="s">
        <v>498</v>
      </c>
      <c r="D156" s="10" t="s">
        <v>921</v>
      </c>
      <c r="E156" s="7" t="s">
        <v>922</v>
      </c>
      <c r="F156" s="6" t="s">
        <v>437</v>
      </c>
      <c r="G156" s="6" t="s">
        <v>438</v>
      </c>
    </row>
    <row r="157" ht="15.75" customHeight="1">
      <c r="A157" s="3">
        <f t="shared" si="1"/>
        <v>155</v>
      </c>
      <c r="B157" s="19" t="s">
        <v>923</v>
      </c>
      <c r="C157" s="8" t="s">
        <v>459</v>
      </c>
      <c r="D157" s="10" t="s">
        <v>924</v>
      </c>
      <c r="E157" s="7" t="s">
        <v>925</v>
      </c>
      <c r="F157" s="6" t="s">
        <v>437</v>
      </c>
      <c r="G157" s="6" t="s">
        <v>438</v>
      </c>
    </row>
    <row r="158" ht="15.75" customHeight="1">
      <c r="A158" s="3">
        <f t="shared" si="1"/>
        <v>156</v>
      </c>
      <c r="B158" s="21" t="s">
        <v>926</v>
      </c>
      <c r="C158" s="32" t="s">
        <v>748</v>
      </c>
      <c r="D158" s="6" t="s">
        <v>927</v>
      </c>
      <c r="E158" s="7" t="s">
        <v>928</v>
      </c>
      <c r="F158" s="6" t="s">
        <v>437</v>
      </c>
      <c r="G158" s="6" t="s">
        <v>438</v>
      </c>
    </row>
    <row r="159" ht="15.75" customHeight="1">
      <c r="A159" s="3">
        <f t="shared" si="1"/>
        <v>157</v>
      </c>
      <c r="B159" s="16" t="s">
        <v>929</v>
      </c>
      <c r="C159" s="41" t="s">
        <v>626</v>
      </c>
      <c r="D159" s="10" t="s">
        <v>930</v>
      </c>
      <c r="E159" s="7" t="s">
        <v>931</v>
      </c>
      <c r="F159" s="6" t="s">
        <v>437</v>
      </c>
      <c r="G159" s="6" t="s">
        <v>438</v>
      </c>
    </row>
    <row r="160" ht="15.75" customHeight="1">
      <c r="A160" s="3">
        <f t="shared" si="1"/>
        <v>158</v>
      </c>
      <c r="B160" s="19" t="s">
        <v>932</v>
      </c>
      <c r="C160" s="8" t="s">
        <v>459</v>
      </c>
      <c r="D160" s="18" t="s">
        <v>933</v>
      </c>
      <c r="E160" s="7" t="s">
        <v>934</v>
      </c>
      <c r="F160" s="6" t="s">
        <v>437</v>
      </c>
      <c r="G160" s="6" t="s">
        <v>438</v>
      </c>
    </row>
    <row r="161" ht="15.75" customHeight="1">
      <c r="A161" s="3">
        <f t="shared" si="1"/>
        <v>159</v>
      </c>
      <c r="B161" s="4" t="s">
        <v>935</v>
      </c>
      <c r="C161" s="5" t="s">
        <v>519</v>
      </c>
      <c r="D161" s="6" t="s">
        <v>936</v>
      </c>
      <c r="E161" s="7" t="s">
        <v>937</v>
      </c>
      <c r="F161" s="6" t="s">
        <v>437</v>
      </c>
      <c r="G161" s="6" t="s">
        <v>438</v>
      </c>
    </row>
    <row r="162" ht="15.75" customHeight="1">
      <c r="A162" s="3">
        <f t="shared" si="1"/>
        <v>160</v>
      </c>
      <c r="B162" s="4" t="s">
        <v>938</v>
      </c>
      <c r="C162" s="5" t="s">
        <v>519</v>
      </c>
      <c r="D162" s="6" t="s">
        <v>939</v>
      </c>
      <c r="E162" s="7" t="s">
        <v>940</v>
      </c>
      <c r="F162" s="6" t="s">
        <v>437</v>
      </c>
      <c r="G162" s="6" t="s">
        <v>438</v>
      </c>
    </row>
    <row r="163" ht="15.75" customHeight="1">
      <c r="A163" s="3">
        <f t="shared" si="1"/>
        <v>161</v>
      </c>
      <c r="B163" s="11" t="s">
        <v>941</v>
      </c>
      <c r="C163" s="12" t="s">
        <v>452</v>
      </c>
      <c r="D163" s="18" t="s">
        <v>942</v>
      </c>
      <c r="E163" s="7" t="s">
        <v>943</v>
      </c>
      <c r="F163" s="6" t="s">
        <v>437</v>
      </c>
      <c r="G163" s="6" t="s">
        <v>438</v>
      </c>
    </row>
    <row r="164" ht="15.75" customHeight="1">
      <c r="A164" s="3">
        <f t="shared" si="1"/>
        <v>162</v>
      </c>
      <c r="B164" s="30" t="s">
        <v>944</v>
      </c>
      <c r="C164" s="12" t="s">
        <v>847</v>
      </c>
      <c r="D164" s="43" t="s">
        <v>945</v>
      </c>
      <c r="E164" s="7" t="s">
        <v>946</v>
      </c>
      <c r="F164" s="6" t="s">
        <v>437</v>
      </c>
      <c r="G164" s="6" t="s">
        <v>438</v>
      </c>
    </row>
    <row r="165" ht="15.75" customHeight="1">
      <c r="A165" s="3">
        <f t="shared" si="1"/>
        <v>163</v>
      </c>
      <c r="B165" s="30" t="s">
        <v>947</v>
      </c>
      <c r="C165" s="12" t="s">
        <v>847</v>
      </c>
      <c r="D165" s="6" t="s">
        <v>948</v>
      </c>
      <c r="E165" s="7" t="s">
        <v>949</v>
      </c>
      <c r="F165" s="6" t="s">
        <v>437</v>
      </c>
      <c r="G165" s="6" t="s">
        <v>438</v>
      </c>
    </row>
    <row r="166" ht="15.75" customHeight="1">
      <c r="A166" s="3">
        <f t="shared" si="1"/>
        <v>164</v>
      </c>
      <c r="B166" s="35" t="s">
        <v>950</v>
      </c>
      <c r="C166" s="8" t="s">
        <v>951</v>
      </c>
      <c r="D166" s="6" t="s">
        <v>952</v>
      </c>
      <c r="E166" s="7" t="s">
        <v>953</v>
      </c>
      <c r="F166" s="6" t="s">
        <v>437</v>
      </c>
      <c r="G166" s="6" t="s">
        <v>438</v>
      </c>
    </row>
    <row r="167" ht="15.75" customHeight="1">
      <c r="A167" s="3">
        <f t="shared" si="1"/>
        <v>165</v>
      </c>
      <c r="B167" s="4" t="s">
        <v>954</v>
      </c>
      <c r="C167" s="5" t="s">
        <v>519</v>
      </c>
      <c r="D167" s="6" t="s">
        <v>955</v>
      </c>
      <c r="E167" s="7" t="s">
        <v>956</v>
      </c>
      <c r="F167" s="6" t="s">
        <v>437</v>
      </c>
      <c r="G167" s="6" t="s">
        <v>438</v>
      </c>
    </row>
    <row r="168" ht="15.75" customHeight="1">
      <c r="A168" s="3">
        <f t="shared" si="1"/>
        <v>166</v>
      </c>
      <c r="B168" s="30" t="s">
        <v>957</v>
      </c>
      <c r="C168" s="12" t="s">
        <v>494</v>
      </c>
      <c r="D168" s="6" t="s">
        <v>958</v>
      </c>
      <c r="E168" s="7" t="s">
        <v>959</v>
      </c>
      <c r="F168" s="6" t="s">
        <v>437</v>
      </c>
      <c r="G168" s="6" t="s">
        <v>438</v>
      </c>
    </row>
    <row r="169" ht="15.75" customHeight="1">
      <c r="A169" s="3">
        <f t="shared" si="1"/>
        <v>167</v>
      </c>
      <c r="B169" s="19" t="s">
        <v>960</v>
      </c>
      <c r="C169" s="8" t="s">
        <v>176</v>
      </c>
      <c r="D169" s="6" t="s">
        <v>961</v>
      </c>
      <c r="E169" s="7" t="s">
        <v>962</v>
      </c>
      <c r="F169" s="6" t="s">
        <v>437</v>
      </c>
      <c r="G169" s="6" t="s">
        <v>438</v>
      </c>
    </row>
    <row r="170" ht="15.75" customHeight="1">
      <c r="A170" s="3">
        <f t="shared" si="1"/>
        <v>168</v>
      </c>
      <c r="B170" s="16" t="s">
        <v>963</v>
      </c>
      <c r="C170" s="17" t="s">
        <v>434</v>
      </c>
      <c r="D170" s="10" t="s">
        <v>964</v>
      </c>
      <c r="E170" s="7" t="s">
        <v>965</v>
      </c>
      <c r="F170" s="6" t="s">
        <v>437</v>
      </c>
      <c r="G170" s="6" t="s">
        <v>438</v>
      </c>
    </row>
    <row r="171" ht="15.75" customHeight="1">
      <c r="A171" s="3">
        <f t="shared" si="1"/>
        <v>169</v>
      </c>
      <c r="B171" s="31" t="s">
        <v>966</v>
      </c>
      <c r="C171" s="12" t="s">
        <v>502</v>
      </c>
      <c r="D171" s="18" t="s">
        <v>967</v>
      </c>
      <c r="E171" s="7" t="s">
        <v>968</v>
      </c>
      <c r="F171" s="6" t="s">
        <v>437</v>
      </c>
      <c r="G171" s="6" t="s">
        <v>438</v>
      </c>
    </row>
    <row r="172" ht="15.75" customHeight="1">
      <c r="A172" s="3">
        <f t="shared" si="1"/>
        <v>170</v>
      </c>
      <c r="B172" s="21" t="s">
        <v>969</v>
      </c>
      <c r="C172" s="8" t="s">
        <v>126</v>
      </c>
      <c r="D172" s="6" t="s">
        <v>970</v>
      </c>
      <c r="E172" s="7" t="s">
        <v>971</v>
      </c>
      <c r="F172" s="6" t="s">
        <v>437</v>
      </c>
      <c r="G172" s="6" t="s">
        <v>438</v>
      </c>
    </row>
    <row r="173" ht="15.75" customHeight="1">
      <c r="A173" s="3">
        <f t="shared" si="1"/>
        <v>171</v>
      </c>
      <c r="B173" s="4" t="s">
        <v>972</v>
      </c>
      <c r="C173" s="8" t="s">
        <v>23</v>
      </c>
      <c r="D173" s="18" t="s">
        <v>973</v>
      </c>
      <c r="E173" s="7" t="s">
        <v>974</v>
      </c>
      <c r="F173" s="6" t="s">
        <v>437</v>
      </c>
      <c r="G173" s="6" t="s">
        <v>438</v>
      </c>
    </row>
    <row r="174" ht="15.75" customHeight="1">
      <c r="A174" s="3">
        <f t="shared" si="1"/>
        <v>172</v>
      </c>
      <c r="B174" s="31" t="s">
        <v>975</v>
      </c>
      <c r="C174" s="12" t="s">
        <v>477</v>
      </c>
      <c r="D174" s="6" t="s">
        <v>976</v>
      </c>
      <c r="E174" s="7" t="s">
        <v>977</v>
      </c>
      <c r="F174" s="6" t="s">
        <v>437</v>
      </c>
      <c r="G174" s="6" t="s">
        <v>438</v>
      </c>
    </row>
    <row r="175" ht="15.75" customHeight="1">
      <c r="A175" s="3">
        <f t="shared" si="1"/>
        <v>173</v>
      </c>
      <c r="B175" s="19" t="s">
        <v>978</v>
      </c>
      <c r="C175" s="8" t="s">
        <v>473</v>
      </c>
      <c r="D175" s="10" t="s">
        <v>979</v>
      </c>
      <c r="E175" s="7" t="s">
        <v>980</v>
      </c>
      <c r="F175" s="6" t="s">
        <v>437</v>
      </c>
      <c r="G175" s="6" t="s">
        <v>438</v>
      </c>
    </row>
    <row r="176" ht="15.75" customHeight="1">
      <c r="A176" s="3">
        <f t="shared" si="1"/>
        <v>174</v>
      </c>
      <c r="B176" s="4" t="s">
        <v>981</v>
      </c>
      <c r="C176" s="8" t="s">
        <v>15</v>
      </c>
      <c r="D176" s="10" t="s">
        <v>982</v>
      </c>
      <c r="E176" s="7" t="s">
        <v>983</v>
      </c>
      <c r="F176" s="6" t="s">
        <v>437</v>
      </c>
      <c r="G176" s="6" t="s">
        <v>438</v>
      </c>
    </row>
    <row r="177" ht="15.75" customHeight="1">
      <c r="A177" s="3">
        <f t="shared" si="1"/>
        <v>175</v>
      </c>
      <c r="B177" s="16" t="s">
        <v>984</v>
      </c>
      <c r="C177" s="17" t="s">
        <v>434</v>
      </c>
      <c r="D177" s="10" t="s">
        <v>985</v>
      </c>
      <c r="E177" s="7" t="s">
        <v>986</v>
      </c>
      <c r="F177" s="6" t="s">
        <v>437</v>
      </c>
      <c r="G177" s="6" t="s">
        <v>438</v>
      </c>
    </row>
    <row r="178" ht="15.75" customHeight="1">
      <c r="A178" s="3">
        <f t="shared" si="1"/>
        <v>176</v>
      </c>
      <c r="B178" s="4" t="s">
        <v>987</v>
      </c>
      <c r="C178" s="5" t="s">
        <v>655</v>
      </c>
      <c r="D178" s="18" t="s">
        <v>988</v>
      </c>
      <c r="E178" s="7" t="s">
        <v>989</v>
      </c>
      <c r="F178" s="6" t="s">
        <v>437</v>
      </c>
      <c r="G178" s="6" t="s">
        <v>438</v>
      </c>
    </row>
    <row r="179" ht="15.75" customHeight="1">
      <c r="A179" s="3">
        <f t="shared" si="1"/>
        <v>177</v>
      </c>
      <c r="B179" s="31" t="s">
        <v>990</v>
      </c>
      <c r="C179" s="12" t="s">
        <v>502</v>
      </c>
      <c r="D179" s="6" t="s">
        <v>991</v>
      </c>
      <c r="E179" s="7" t="s">
        <v>992</v>
      </c>
      <c r="F179" s="6" t="s">
        <v>437</v>
      </c>
      <c r="G179" s="6" t="s">
        <v>438</v>
      </c>
    </row>
    <row r="180" ht="15.75" customHeight="1">
      <c r="A180" s="3">
        <f t="shared" si="1"/>
        <v>178</v>
      </c>
      <c r="B180" s="11" t="s">
        <v>993</v>
      </c>
      <c r="C180" s="12" t="s">
        <v>994</v>
      </c>
      <c r="D180" s="6" t="s">
        <v>995</v>
      </c>
      <c r="E180" s="7" t="s">
        <v>996</v>
      </c>
      <c r="F180" s="6" t="s">
        <v>437</v>
      </c>
      <c r="G180" s="6" t="s">
        <v>438</v>
      </c>
    </row>
    <row r="181" ht="15.75" customHeight="1">
      <c r="A181" s="3">
        <f t="shared" si="1"/>
        <v>179</v>
      </c>
      <c r="B181" s="9" t="s">
        <v>997</v>
      </c>
      <c r="C181" s="17" t="s">
        <v>626</v>
      </c>
      <c r="D181" s="10" t="s">
        <v>998</v>
      </c>
      <c r="E181" s="7" t="s">
        <v>999</v>
      </c>
      <c r="F181" s="6" t="s">
        <v>437</v>
      </c>
      <c r="G181" s="6" t="s">
        <v>438</v>
      </c>
    </row>
    <row r="182" ht="15.75" customHeight="1">
      <c r="A182" s="3">
        <f t="shared" si="1"/>
        <v>180</v>
      </c>
      <c r="B182" s="4" t="s">
        <v>1000</v>
      </c>
      <c r="C182" s="5" t="s">
        <v>519</v>
      </c>
      <c r="D182" s="6" t="s">
        <v>1001</v>
      </c>
      <c r="E182" s="7" t="s">
        <v>1002</v>
      </c>
      <c r="F182" s="6" t="s">
        <v>437</v>
      </c>
      <c r="G182" s="6" t="s">
        <v>438</v>
      </c>
    </row>
    <row r="183" ht="15.75" customHeight="1">
      <c r="A183" s="3">
        <f t="shared" si="1"/>
        <v>181</v>
      </c>
      <c r="B183" s="30" t="s">
        <v>1003</v>
      </c>
      <c r="C183" s="12" t="s">
        <v>494</v>
      </c>
      <c r="D183" s="18" t="s">
        <v>1004</v>
      </c>
      <c r="E183" s="7" t="s">
        <v>1002</v>
      </c>
      <c r="F183" s="6" t="s">
        <v>437</v>
      </c>
      <c r="G183" s="6" t="s">
        <v>438</v>
      </c>
    </row>
    <row r="184" ht="15.75" customHeight="1">
      <c r="A184" s="3">
        <f t="shared" si="1"/>
        <v>182</v>
      </c>
      <c r="B184" s="44" t="s">
        <v>1005</v>
      </c>
      <c r="C184" s="45" t="s">
        <v>626</v>
      </c>
      <c r="D184" s="6" t="s">
        <v>1006</v>
      </c>
      <c r="E184" s="7" t="s">
        <v>1007</v>
      </c>
      <c r="F184" s="6" t="s">
        <v>437</v>
      </c>
      <c r="G184" s="6" t="s">
        <v>438</v>
      </c>
    </row>
    <row r="185" ht="15.75" customHeight="1">
      <c r="A185" s="3">
        <f t="shared" si="1"/>
        <v>183</v>
      </c>
      <c r="B185" s="9" t="s">
        <v>1008</v>
      </c>
      <c r="C185" s="5" t="s">
        <v>434</v>
      </c>
      <c r="D185" s="10" t="s">
        <v>1009</v>
      </c>
      <c r="E185" s="7" t="s">
        <v>1010</v>
      </c>
      <c r="F185" s="6" t="s">
        <v>437</v>
      </c>
      <c r="G185" s="6" t="s">
        <v>438</v>
      </c>
    </row>
    <row r="186" ht="15.75" customHeight="1">
      <c r="A186" s="3">
        <f t="shared" si="1"/>
        <v>184</v>
      </c>
      <c r="B186" s="9" t="s">
        <v>1011</v>
      </c>
      <c r="C186" s="17" t="s">
        <v>626</v>
      </c>
      <c r="D186" s="10" t="s">
        <v>1012</v>
      </c>
      <c r="E186" s="7" t="s">
        <v>1013</v>
      </c>
      <c r="F186" s="6" t="s">
        <v>437</v>
      </c>
      <c r="G186" s="6" t="s">
        <v>438</v>
      </c>
    </row>
    <row r="187" ht="15.75" customHeight="1">
      <c r="A187" s="3">
        <f t="shared" si="1"/>
        <v>185</v>
      </c>
      <c r="B187" s="9" t="s">
        <v>1014</v>
      </c>
      <c r="C187" s="5" t="s">
        <v>434</v>
      </c>
      <c r="D187" s="10" t="s">
        <v>1015</v>
      </c>
      <c r="E187" s="7" t="s">
        <v>1016</v>
      </c>
      <c r="F187" s="6" t="s">
        <v>437</v>
      </c>
      <c r="G187" s="6" t="s">
        <v>438</v>
      </c>
    </row>
    <row r="188" ht="15.75" customHeight="1">
      <c r="A188" s="3">
        <f t="shared" si="1"/>
        <v>186</v>
      </c>
      <c r="B188" s="21" t="s">
        <v>1017</v>
      </c>
      <c r="C188" s="8" t="s">
        <v>126</v>
      </c>
      <c r="D188" s="6" t="s">
        <v>1018</v>
      </c>
      <c r="E188" s="7" t="s">
        <v>1019</v>
      </c>
      <c r="F188" s="6" t="s">
        <v>437</v>
      </c>
      <c r="G188" s="6" t="s">
        <v>438</v>
      </c>
    </row>
    <row r="189" ht="15.75" customHeight="1">
      <c r="A189" s="3">
        <f t="shared" si="1"/>
        <v>187</v>
      </c>
      <c r="B189" s="11" t="s">
        <v>1020</v>
      </c>
      <c r="C189" s="12" t="s">
        <v>469</v>
      </c>
      <c r="D189" s="18" t="s">
        <v>1021</v>
      </c>
      <c r="E189" s="7" t="s">
        <v>1022</v>
      </c>
      <c r="F189" s="6" t="s">
        <v>437</v>
      </c>
      <c r="G189" s="6" t="s">
        <v>438</v>
      </c>
    </row>
    <row r="190" ht="15.75" customHeight="1">
      <c r="A190" s="3">
        <f t="shared" si="1"/>
        <v>188</v>
      </c>
      <c r="B190" s="36" t="s">
        <v>1023</v>
      </c>
      <c r="C190" s="12" t="s">
        <v>502</v>
      </c>
      <c r="D190" s="18" t="s">
        <v>1024</v>
      </c>
      <c r="E190" s="7" t="s">
        <v>1025</v>
      </c>
      <c r="F190" s="6" t="s">
        <v>437</v>
      </c>
      <c r="G190" s="6" t="s">
        <v>438</v>
      </c>
    </row>
    <row r="191" ht="15.75" customHeight="1">
      <c r="A191" s="3">
        <f t="shared" si="1"/>
        <v>189</v>
      </c>
      <c r="B191" s="4" t="s">
        <v>1026</v>
      </c>
      <c r="C191" s="8" t="s">
        <v>1027</v>
      </c>
      <c r="D191" s="6" t="s">
        <v>1028</v>
      </c>
      <c r="E191" s="7" t="s">
        <v>1029</v>
      </c>
      <c r="F191" s="6" t="s">
        <v>437</v>
      </c>
      <c r="G191" s="6" t="s">
        <v>438</v>
      </c>
    </row>
    <row r="192" ht="15.75" customHeight="1">
      <c r="A192" s="3">
        <f t="shared" si="1"/>
        <v>190</v>
      </c>
      <c r="B192" s="19" t="s">
        <v>1030</v>
      </c>
      <c r="C192" s="8" t="s">
        <v>498</v>
      </c>
      <c r="D192" s="10" t="s">
        <v>1031</v>
      </c>
      <c r="E192" s="7" t="s">
        <v>1032</v>
      </c>
      <c r="F192" s="6" t="s">
        <v>437</v>
      </c>
      <c r="G192" s="6" t="s">
        <v>438</v>
      </c>
    </row>
    <row r="193" ht="15.75" customHeight="1">
      <c r="A193" s="3">
        <f t="shared" si="1"/>
        <v>191</v>
      </c>
      <c r="B193" s="9" t="s">
        <v>1033</v>
      </c>
      <c r="C193" s="5" t="s">
        <v>434</v>
      </c>
      <c r="D193" s="10" t="s">
        <v>1034</v>
      </c>
      <c r="E193" s="7" t="s">
        <v>1035</v>
      </c>
      <c r="F193" s="6" t="s">
        <v>437</v>
      </c>
      <c r="G193" s="6" t="s">
        <v>438</v>
      </c>
    </row>
    <row r="194" ht="15.75" customHeight="1">
      <c r="A194" s="3">
        <f t="shared" si="1"/>
        <v>192</v>
      </c>
      <c r="B194" s="19" t="s">
        <v>1036</v>
      </c>
      <c r="C194" s="8" t="s">
        <v>610</v>
      </c>
      <c r="D194" s="10" t="s">
        <v>1037</v>
      </c>
      <c r="E194" s="7" t="s">
        <v>1038</v>
      </c>
      <c r="F194" s="6" t="s">
        <v>437</v>
      </c>
      <c r="G194" s="6" t="s">
        <v>438</v>
      </c>
    </row>
    <row r="195" ht="15.75" customHeight="1">
      <c r="A195" s="3">
        <f t="shared" si="1"/>
        <v>193</v>
      </c>
      <c r="B195" s="16" t="s">
        <v>1039</v>
      </c>
      <c r="C195" s="41" t="s">
        <v>626</v>
      </c>
      <c r="D195" s="10" t="s">
        <v>1040</v>
      </c>
      <c r="E195" s="7" t="s">
        <v>1041</v>
      </c>
      <c r="F195" s="6" t="s">
        <v>437</v>
      </c>
      <c r="G195" s="6" t="s">
        <v>438</v>
      </c>
    </row>
    <row r="196" ht="15.75" customHeight="1">
      <c r="A196" s="3">
        <f t="shared" si="1"/>
        <v>194</v>
      </c>
      <c r="B196" s="9" t="s">
        <v>1042</v>
      </c>
      <c r="C196" s="5" t="s">
        <v>434</v>
      </c>
      <c r="D196" s="10" t="s">
        <v>1043</v>
      </c>
      <c r="E196" s="7" t="s">
        <v>1044</v>
      </c>
      <c r="F196" s="6" t="s">
        <v>437</v>
      </c>
      <c r="G196" s="6" t="s">
        <v>438</v>
      </c>
    </row>
    <row r="197" ht="15.75" customHeight="1">
      <c r="A197" s="3">
        <f t="shared" si="1"/>
        <v>195</v>
      </c>
      <c r="B197" s="4" t="s">
        <v>1045</v>
      </c>
      <c r="C197" s="8" t="s">
        <v>642</v>
      </c>
      <c r="D197" s="18" t="s">
        <v>1046</v>
      </c>
      <c r="E197" s="7" t="s">
        <v>1047</v>
      </c>
      <c r="F197" s="6" t="s">
        <v>437</v>
      </c>
      <c r="G197" s="6" t="s">
        <v>438</v>
      </c>
    </row>
    <row r="198" ht="15.75" customHeight="1">
      <c r="A198" s="3">
        <f t="shared" si="1"/>
        <v>196</v>
      </c>
      <c r="B198" s="4" t="s">
        <v>1048</v>
      </c>
      <c r="C198" s="5" t="s">
        <v>519</v>
      </c>
      <c r="D198" s="6" t="s">
        <v>1049</v>
      </c>
      <c r="E198" s="7" t="s">
        <v>1050</v>
      </c>
      <c r="F198" s="6" t="s">
        <v>437</v>
      </c>
      <c r="G198" s="6" t="s">
        <v>438</v>
      </c>
    </row>
    <row r="199" ht="15.75" customHeight="1">
      <c r="A199" s="3">
        <f t="shared" si="1"/>
        <v>197</v>
      </c>
      <c r="B199" s="4" t="s">
        <v>1051</v>
      </c>
      <c r="C199" s="8" t="s">
        <v>1052</v>
      </c>
      <c r="D199" s="10" t="s">
        <v>1053</v>
      </c>
      <c r="E199" s="7" t="s">
        <v>1054</v>
      </c>
      <c r="F199" s="6" t="s">
        <v>437</v>
      </c>
      <c r="G199" s="6" t="s">
        <v>438</v>
      </c>
    </row>
    <row r="200" ht="15.75" customHeight="1">
      <c r="A200" s="3">
        <f t="shared" si="1"/>
        <v>198</v>
      </c>
      <c r="B200" s="31" t="s">
        <v>1055</v>
      </c>
      <c r="C200" s="12" t="s">
        <v>477</v>
      </c>
      <c r="D200" s="18" t="s">
        <v>1056</v>
      </c>
      <c r="E200" s="7" t="s">
        <v>1057</v>
      </c>
      <c r="F200" s="6" t="s">
        <v>437</v>
      </c>
      <c r="G200" s="6" t="s">
        <v>438</v>
      </c>
    </row>
    <row r="201" ht="15.75" customHeight="1">
      <c r="A201" s="3">
        <f t="shared" si="1"/>
        <v>199</v>
      </c>
      <c r="B201" s="4" t="s">
        <v>1058</v>
      </c>
      <c r="C201" s="5" t="s">
        <v>519</v>
      </c>
      <c r="D201" s="18" t="s">
        <v>1059</v>
      </c>
      <c r="E201" s="7" t="s">
        <v>1060</v>
      </c>
      <c r="F201" s="6" t="s">
        <v>437</v>
      </c>
      <c r="G201" s="6" t="s">
        <v>438</v>
      </c>
    </row>
    <row r="202" ht="15.75" customHeight="1">
      <c r="A202" s="3">
        <f t="shared" si="1"/>
        <v>200</v>
      </c>
      <c r="B202" s="11" t="s">
        <v>1061</v>
      </c>
      <c r="C202" s="12" t="s">
        <v>469</v>
      </c>
      <c r="D202" s="18" t="s">
        <v>1062</v>
      </c>
      <c r="E202" s="7" t="s">
        <v>1063</v>
      </c>
      <c r="F202" s="6" t="s">
        <v>437</v>
      </c>
      <c r="G202" s="6" t="s">
        <v>438</v>
      </c>
    </row>
    <row r="203" ht="15.75" customHeight="1">
      <c r="A203" s="3">
        <f t="shared" si="1"/>
        <v>201</v>
      </c>
      <c r="B203" s="4" t="s">
        <v>1064</v>
      </c>
      <c r="C203" s="8" t="s">
        <v>1065</v>
      </c>
      <c r="D203" s="6" t="s">
        <v>1066</v>
      </c>
      <c r="E203" s="7" t="s">
        <v>1067</v>
      </c>
      <c r="F203" s="6" t="s">
        <v>437</v>
      </c>
      <c r="G203" s="6" t="s">
        <v>438</v>
      </c>
    </row>
    <row r="204" ht="15.75" customHeight="1">
      <c r="A204" s="3">
        <f t="shared" si="1"/>
        <v>202</v>
      </c>
      <c r="B204" s="9" t="s">
        <v>1068</v>
      </c>
      <c r="C204" s="17" t="s">
        <v>434</v>
      </c>
      <c r="D204" s="10" t="s">
        <v>1069</v>
      </c>
      <c r="E204" s="7" t="s">
        <v>1070</v>
      </c>
      <c r="F204" s="6" t="s">
        <v>437</v>
      </c>
      <c r="G204" s="6" t="s">
        <v>438</v>
      </c>
    </row>
    <row r="205" ht="15.75" customHeight="1">
      <c r="A205" s="3">
        <f t="shared" si="1"/>
        <v>203</v>
      </c>
      <c r="B205" s="4" t="s">
        <v>1071</v>
      </c>
      <c r="C205" s="8" t="s">
        <v>23</v>
      </c>
      <c r="D205" s="18" t="s">
        <v>1072</v>
      </c>
      <c r="E205" s="7" t="s">
        <v>1073</v>
      </c>
      <c r="F205" s="6" t="s">
        <v>437</v>
      </c>
      <c r="G205" s="6" t="s">
        <v>438</v>
      </c>
    </row>
    <row r="206" ht="15.75" customHeight="1">
      <c r="A206" s="3">
        <f t="shared" si="1"/>
        <v>204</v>
      </c>
      <c r="B206" s="4" t="s">
        <v>1074</v>
      </c>
      <c r="C206" s="8" t="s">
        <v>23</v>
      </c>
      <c r="D206" s="18" t="s">
        <v>1075</v>
      </c>
      <c r="E206" s="7" t="s">
        <v>1076</v>
      </c>
      <c r="F206" s="6" t="s">
        <v>437</v>
      </c>
      <c r="G206" s="6" t="s">
        <v>438</v>
      </c>
    </row>
    <row r="207" ht="15.75" customHeight="1">
      <c r="A207" s="3">
        <f t="shared" si="1"/>
        <v>205</v>
      </c>
      <c r="B207" s="4" t="s">
        <v>1077</v>
      </c>
      <c r="C207" s="8" t="s">
        <v>566</v>
      </c>
      <c r="D207" s="18" t="s">
        <v>1078</v>
      </c>
      <c r="E207" s="7" t="s">
        <v>1079</v>
      </c>
      <c r="F207" s="6" t="s">
        <v>437</v>
      </c>
      <c r="G207" s="6" t="s">
        <v>438</v>
      </c>
    </row>
    <row r="208" ht="15.75" customHeight="1">
      <c r="A208" s="3">
        <f t="shared" si="1"/>
        <v>206</v>
      </c>
      <c r="B208" s="9" t="s">
        <v>1080</v>
      </c>
      <c r="C208" s="5" t="s">
        <v>434</v>
      </c>
      <c r="D208" s="10" t="s">
        <v>1081</v>
      </c>
      <c r="E208" s="7" t="s">
        <v>1082</v>
      </c>
      <c r="F208" s="6" t="s">
        <v>437</v>
      </c>
      <c r="G208" s="6" t="s">
        <v>438</v>
      </c>
    </row>
    <row r="209" ht="15.75" customHeight="1">
      <c r="A209" s="3">
        <f t="shared" si="1"/>
        <v>207</v>
      </c>
      <c r="B209" s="46" t="s">
        <v>1083</v>
      </c>
      <c r="C209" s="47" t="s">
        <v>1084</v>
      </c>
      <c r="D209" s="6" t="s">
        <v>1085</v>
      </c>
      <c r="E209" s="7" t="s">
        <v>1086</v>
      </c>
      <c r="F209" s="6" t="s">
        <v>437</v>
      </c>
      <c r="G209" s="6" t="s">
        <v>438</v>
      </c>
    </row>
    <row r="210" ht="15.75" customHeight="1">
      <c r="A210" s="3">
        <f t="shared" si="1"/>
        <v>208</v>
      </c>
      <c r="B210" s="19" t="s">
        <v>1087</v>
      </c>
      <c r="C210" s="8" t="s">
        <v>498</v>
      </c>
      <c r="D210" s="18" t="s">
        <v>1088</v>
      </c>
      <c r="E210" s="7" t="s">
        <v>1089</v>
      </c>
      <c r="F210" s="6" t="s">
        <v>437</v>
      </c>
      <c r="G210" s="6" t="s">
        <v>438</v>
      </c>
    </row>
    <row r="211" ht="15.75" customHeight="1">
      <c r="A211" s="3">
        <f t="shared" si="1"/>
        <v>209</v>
      </c>
      <c r="B211" s="31" t="s">
        <v>1090</v>
      </c>
      <c r="C211" s="12" t="s">
        <v>502</v>
      </c>
      <c r="D211" s="6" t="s">
        <v>1091</v>
      </c>
      <c r="E211" s="7" t="s">
        <v>1092</v>
      </c>
      <c r="F211" s="6" t="s">
        <v>437</v>
      </c>
      <c r="G211" s="6" t="s">
        <v>438</v>
      </c>
    </row>
    <row r="212" ht="15.75" customHeight="1">
      <c r="A212" s="3">
        <f t="shared" si="1"/>
        <v>210</v>
      </c>
      <c r="B212" s="31" t="s">
        <v>1093</v>
      </c>
      <c r="C212" s="12" t="s">
        <v>477</v>
      </c>
      <c r="D212" s="18" t="s">
        <v>1094</v>
      </c>
      <c r="E212" s="7" t="s">
        <v>1095</v>
      </c>
      <c r="F212" s="6" t="s">
        <v>437</v>
      </c>
      <c r="G212" s="6" t="s">
        <v>438</v>
      </c>
    </row>
    <row r="213" ht="15.75" customHeight="1">
      <c r="A213" s="3">
        <f t="shared" si="1"/>
        <v>211</v>
      </c>
      <c r="B213" s="29" t="s">
        <v>1096</v>
      </c>
      <c r="C213" s="12" t="s">
        <v>477</v>
      </c>
      <c r="D213" s="6" t="s">
        <v>1097</v>
      </c>
      <c r="E213" s="7" t="s">
        <v>1098</v>
      </c>
      <c r="F213" s="6" t="s">
        <v>437</v>
      </c>
      <c r="G213" s="6" t="s">
        <v>438</v>
      </c>
    </row>
    <row r="214" ht="15.75" customHeight="1">
      <c r="A214" s="3">
        <f t="shared" si="1"/>
        <v>212</v>
      </c>
      <c r="B214" s="9" t="s">
        <v>1099</v>
      </c>
      <c r="C214" s="5" t="s">
        <v>434</v>
      </c>
      <c r="D214" s="10" t="s">
        <v>1100</v>
      </c>
      <c r="E214" s="7" t="s">
        <v>1101</v>
      </c>
      <c r="F214" s="6" t="s">
        <v>437</v>
      </c>
      <c r="G214" s="6" t="s">
        <v>438</v>
      </c>
    </row>
    <row r="215" ht="15.75" customHeight="1">
      <c r="A215" s="3">
        <f t="shared" si="1"/>
        <v>213</v>
      </c>
      <c r="B215" s="16" t="s">
        <v>1102</v>
      </c>
      <c r="C215" s="17" t="s">
        <v>434</v>
      </c>
      <c r="D215" s="10" t="s">
        <v>1103</v>
      </c>
      <c r="E215" s="7" t="s">
        <v>1104</v>
      </c>
      <c r="F215" s="6" t="s">
        <v>437</v>
      </c>
      <c r="G215" s="6" t="s">
        <v>438</v>
      </c>
    </row>
    <row r="216" ht="15.75" customHeight="1">
      <c r="A216" s="3">
        <f t="shared" si="1"/>
        <v>214</v>
      </c>
      <c r="B216" s="9" t="s">
        <v>1105</v>
      </c>
      <c r="C216" s="17" t="s">
        <v>434</v>
      </c>
      <c r="D216" s="10" t="s">
        <v>1106</v>
      </c>
      <c r="E216" s="7" t="s">
        <v>1107</v>
      </c>
      <c r="F216" s="6" t="s">
        <v>437</v>
      </c>
      <c r="G216" s="6" t="s">
        <v>438</v>
      </c>
    </row>
    <row r="217" ht="15.75" customHeight="1">
      <c r="A217" s="3">
        <f t="shared" si="1"/>
        <v>215</v>
      </c>
      <c r="B217" s="9" t="s">
        <v>1108</v>
      </c>
      <c r="C217" s="17" t="s">
        <v>626</v>
      </c>
      <c r="D217" s="10" t="s">
        <v>1109</v>
      </c>
      <c r="E217" s="7" t="s">
        <v>1110</v>
      </c>
      <c r="F217" s="6" t="s">
        <v>437</v>
      </c>
      <c r="G217" s="6" t="s">
        <v>438</v>
      </c>
    </row>
    <row r="218" ht="15.75" customHeight="1">
      <c r="A218" s="3">
        <f t="shared" si="1"/>
        <v>216</v>
      </c>
      <c r="B218" s="30" t="s">
        <v>1111</v>
      </c>
      <c r="C218" s="12" t="s">
        <v>494</v>
      </c>
      <c r="D218" s="6" t="s">
        <v>1112</v>
      </c>
      <c r="E218" s="7" t="s">
        <v>1113</v>
      </c>
      <c r="F218" s="6" t="s">
        <v>437</v>
      </c>
      <c r="G218" s="6" t="s">
        <v>438</v>
      </c>
    </row>
    <row r="219" ht="15.75" customHeight="1">
      <c r="A219" s="3">
        <f t="shared" si="1"/>
        <v>217</v>
      </c>
      <c r="B219" s="16" t="s">
        <v>1114</v>
      </c>
      <c r="C219" s="41" t="s">
        <v>626</v>
      </c>
      <c r="D219" s="10" t="s">
        <v>1115</v>
      </c>
      <c r="E219" s="7" t="s">
        <v>1116</v>
      </c>
      <c r="F219" s="6" t="s">
        <v>437</v>
      </c>
      <c r="G219" s="6" t="s">
        <v>438</v>
      </c>
    </row>
    <row r="220" ht="15.75" customHeight="1">
      <c r="A220" s="3">
        <f t="shared" si="1"/>
        <v>218</v>
      </c>
      <c r="B220" s="19" t="s">
        <v>1117</v>
      </c>
      <c r="C220" s="8" t="s">
        <v>847</v>
      </c>
      <c r="D220" s="10" t="s">
        <v>1118</v>
      </c>
      <c r="E220" s="7" t="s">
        <v>1119</v>
      </c>
      <c r="F220" s="6" t="s">
        <v>437</v>
      </c>
      <c r="G220" s="6" t="s">
        <v>438</v>
      </c>
    </row>
    <row r="221" ht="15.75" customHeight="1">
      <c r="A221" s="3">
        <f t="shared" si="1"/>
        <v>219</v>
      </c>
      <c r="B221" s="4" t="s">
        <v>1120</v>
      </c>
      <c r="C221" s="8" t="s">
        <v>1121</v>
      </c>
      <c r="D221" s="10" t="s">
        <v>1122</v>
      </c>
      <c r="E221" s="7" t="s">
        <v>1123</v>
      </c>
      <c r="F221" s="6" t="s">
        <v>437</v>
      </c>
      <c r="G221" s="6" t="s">
        <v>438</v>
      </c>
    </row>
    <row r="222" ht="15.75" customHeight="1">
      <c r="A222" s="3">
        <f t="shared" si="1"/>
        <v>220</v>
      </c>
      <c r="B222" s="4" t="s">
        <v>1124</v>
      </c>
      <c r="C222" s="5" t="s">
        <v>519</v>
      </c>
      <c r="D222" s="6" t="s">
        <v>1125</v>
      </c>
      <c r="E222" s="7" t="s">
        <v>1126</v>
      </c>
      <c r="F222" s="6" t="s">
        <v>437</v>
      </c>
      <c r="G222" s="6" t="s">
        <v>438</v>
      </c>
    </row>
    <row r="223" ht="15.75" customHeight="1">
      <c r="A223" s="3">
        <f t="shared" si="1"/>
        <v>221</v>
      </c>
      <c r="B223" s="30" t="s">
        <v>1127</v>
      </c>
      <c r="C223" s="12" t="s">
        <v>473</v>
      </c>
      <c r="D223" s="6" t="s">
        <v>1128</v>
      </c>
      <c r="E223" s="7" t="s">
        <v>1129</v>
      </c>
      <c r="F223" s="6" t="s">
        <v>437</v>
      </c>
      <c r="G223" s="6" t="s">
        <v>438</v>
      </c>
    </row>
    <row r="224" ht="15.75" customHeight="1">
      <c r="A224" s="3">
        <f t="shared" si="1"/>
        <v>222</v>
      </c>
      <c r="B224" s="46" t="s">
        <v>1130</v>
      </c>
      <c r="C224" s="47" t="s">
        <v>1084</v>
      </c>
      <c r="D224" s="6" t="s">
        <v>1131</v>
      </c>
      <c r="E224" s="7" t="s">
        <v>1132</v>
      </c>
      <c r="F224" s="6" t="s">
        <v>437</v>
      </c>
      <c r="G224" s="6" t="s">
        <v>438</v>
      </c>
    </row>
    <row r="225" ht="15.75" customHeight="1">
      <c r="A225" s="3">
        <f t="shared" si="1"/>
        <v>223</v>
      </c>
      <c r="B225" s="33" t="s">
        <v>1133</v>
      </c>
      <c r="C225" s="12" t="s">
        <v>473</v>
      </c>
      <c r="D225" s="6" t="s">
        <v>1134</v>
      </c>
      <c r="E225" s="7" t="s">
        <v>1135</v>
      </c>
      <c r="F225" s="6" t="s">
        <v>437</v>
      </c>
      <c r="G225" s="6" t="s">
        <v>438</v>
      </c>
    </row>
    <row r="226" ht="15.75" customHeight="1">
      <c r="A226" s="3">
        <f t="shared" si="1"/>
        <v>224</v>
      </c>
      <c r="B226" s="19" t="s">
        <v>1136</v>
      </c>
      <c r="C226" s="8" t="s">
        <v>498</v>
      </c>
      <c r="D226" s="10" t="s">
        <v>1137</v>
      </c>
      <c r="E226" s="7" t="s">
        <v>1138</v>
      </c>
      <c r="F226" s="6" t="s">
        <v>437</v>
      </c>
      <c r="G226" s="6" t="s">
        <v>438</v>
      </c>
    </row>
    <row r="227" ht="15.75" customHeight="1">
      <c r="A227" s="3">
        <f t="shared" si="1"/>
        <v>225</v>
      </c>
      <c r="B227" s="33" t="s">
        <v>1139</v>
      </c>
      <c r="C227" s="12" t="s">
        <v>610</v>
      </c>
      <c r="D227" s="18" t="s">
        <v>1140</v>
      </c>
      <c r="E227" s="7" t="s">
        <v>1141</v>
      </c>
      <c r="F227" s="6" t="s">
        <v>437</v>
      </c>
      <c r="G227" s="6" t="s">
        <v>438</v>
      </c>
    </row>
    <row r="228" ht="15.75" customHeight="1">
      <c r="A228" s="3">
        <f t="shared" si="1"/>
        <v>226</v>
      </c>
      <c r="B228" s="4" t="s">
        <v>1142</v>
      </c>
      <c r="C228" s="8" t="s">
        <v>1143</v>
      </c>
      <c r="D228" s="18" t="s">
        <v>1144</v>
      </c>
      <c r="E228" s="7" t="s">
        <v>1145</v>
      </c>
      <c r="F228" s="6" t="s">
        <v>437</v>
      </c>
      <c r="G228" s="6" t="s">
        <v>438</v>
      </c>
    </row>
    <row r="229" ht="15.75" customHeight="1">
      <c r="A229" s="3">
        <f t="shared" si="1"/>
        <v>227</v>
      </c>
      <c r="B229" s="13" t="s">
        <v>1146</v>
      </c>
      <c r="C229" s="48" t="s">
        <v>23</v>
      </c>
      <c r="D229" s="18" t="s">
        <v>1147</v>
      </c>
      <c r="E229" s="7" t="s">
        <v>1148</v>
      </c>
      <c r="F229" s="6" t="s">
        <v>437</v>
      </c>
      <c r="G229" s="6" t="s">
        <v>438</v>
      </c>
    </row>
    <row r="230" ht="15.75" customHeight="1">
      <c r="A230" s="3">
        <f t="shared" si="1"/>
        <v>228</v>
      </c>
      <c r="B230" s="31" t="s">
        <v>1149</v>
      </c>
      <c r="C230" s="12" t="s">
        <v>477</v>
      </c>
      <c r="D230" s="18" t="s">
        <v>1150</v>
      </c>
      <c r="E230" s="7" t="s">
        <v>1151</v>
      </c>
      <c r="F230" s="6" t="s">
        <v>437</v>
      </c>
      <c r="G230" s="6" t="s">
        <v>438</v>
      </c>
    </row>
    <row r="231" ht="15.75" customHeight="1">
      <c r="A231" s="3">
        <f t="shared" si="1"/>
        <v>229</v>
      </c>
      <c r="B231" s="21" t="s">
        <v>1152</v>
      </c>
      <c r="C231" s="8" t="s">
        <v>126</v>
      </c>
      <c r="D231" s="18" t="s">
        <v>1153</v>
      </c>
      <c r="E231" s="7" t="s">
        <v>1154</v>
      </c>
      <c r="F231" s="6" t="s">
        <v>437</v>
      </c>
      <c r="G231" s="6" t="s">
        <v>438</v>
      </c>
    </row>
    <row r="232" ht="15.75" customHeight="1">
      <c r="A232" s="3">
        <f t="shared" si="1"/>
        <v>230</v>
      </c>
      <c r="B232" s="30" t="s">
        <v>1155</v>
      </c>
      <c r="C232" s="12" t="s">
        <v>494</v>
      </c>
      <c r="D232" s="6" t="s">
        <v>1156</v>
      </c>
      <c r="E232" s="7" t="s">
        <v>1157</v>
      </c>
      <c r="F232" s="6" t="s">
        <v>437</v>
      </c>
      <c r="G232" s="6" t="s">
        <v>438</v>
      </c>
    </row>
    <row r="233" ht="15.75" customHeight="1">
      <c r="A233" s="3">
        <f t="shared" si="1"/>
        <v>231</v>
      </c>
      <c r="B233" s="30" t="s">
        <v>1158</v>
      </c>
      <c r="C233" s="12" t="s">
        <v>847</v>
      </c>
      <c r="D233" s="6" t="s">
        <v>1159</v>
      </c>
      <c r="E233" s="7" t="s">
        <v>1160</v>
      </c>
      <c r="F233" s="6" t="s">
        <v>437</v>
      </c>
      <c r="G233" s="6" t="s">
        <v>438</v>
      </c>
    </row>
    <row r="234" ht="15.75" customHeight="1">
      <c r="A234" s="3">
        <f t="shared" si="1"/>
        <v>232</v>
      </c>
      <c r="B234" s="11" t="s">
        <v>1161</v>
      </c>
      <c r="C234" s="12" t="s">
        <v>452</v>
      </c>
      <c r="D234" s="18" t="s">
        <v>1162</v>
      </c>
      <c r="E234" s="7" t="s">
        <v>1163</v>
      </c>
      <c r="F234" s="6" t="s">
        <v>437</v>
      </c>
      <c r="G234" s="6" t="s">
        <v>438</v>
      </c>
    </row>
    <row r="235" ht="15.75" customHeight="1">
      <c r="A235" s="3">
        <f t="shared" si="1"/>
        <v>233</v>
      </c>
      <c r="B235" s="19" t="s">
        <v>1164</v>
      </c>
      <c r="C235" s="8" t="s">
        <v>498</v>
      </c>
      <c r="D235" s="10" t="s">
        <v>1165</v>
      </c>
      <c r="E235" s="7" t="s">
        <v>1166</v>
      </c>
      <c r="F235" s="6" t="s">
        <v>437</v>
      </c>
      <c r="G235" s="6" t="s">
        <v>438</v>
      </c>
    </row>
    <row r="236" ht="15.75" customHeight="1">
      <c r="A236" s="3">
        <f t="shared" si="1"/>
        <v>234</v>
      </c>
      <c r="B236" s="4" t="s">
        <v>1167</v>
      </c>
      <c r="C236" s="8" t="s">
        <v>813</v>
      </c>
      <c r="D236" s="6" t="s">
        <v>1168</v>
      </c>
      <c r="E236" s="7" t="s">
        <v>1169</v>
      </c>
      <c r="F236" s="6" t="s">
        <v>437</v>
      </c>
      <c r="G236" s="6" t="s">
        <v>438</v>
      </c>
    </row>
    <row r="237" ht="15.75" customHeight="1">
      <c r="A237" s="3">
        <f t="shared" si="1"/>
        <v>235</v>
      </c>
      <c r="B237" s="49" t="s">
        <v>1170</v>
      </c>
      <c r="C237" s="8" t="s">
        <v>126</v>
      </c>
      <c r="D237" s="15" t="s">
        <v>1171</v>
      </c>
      <c r="E237" s="7" t="s">
        <v>1172</v>
      </c>
      <c r="F237" s="6" t="s">
        <v>437</v>
      </c>
      <c r="G237" s="6" t="s">
        <v>438</v>
      </c>
    </row>
    <row r="238" ht="15.75" customHeight="1">
      <c r="A238" s="3">
        <f t="shared" si="1"/>
        <v>236</v>
      </c>
      <c r="B238" s="9" t="s">
        <v>1173</v>
      </c>
      <c r="C238" s="17" t="s">
        <v>626</v>
      </c>
      <c r="D238" s="18" t="s">
        <v>1174</v>
      </c>
      <c r="E238" s="7" t="s">
        <v>1175</v>
      </c>
      <c r="F238" s="6" t="s">
        <v>437</v>
      </c>
      <c r="G238" s="6" t="s">
        <v>438</v>
      </c>
    </row>
    <row r="239" ht="15.75" customHeight="1">
      <c r="A239" s="3">
        <f t="shared" si="1"/>
        <v>237</v>
      </c>
      <c r="B239" s="4" t="s">
        <v>1176</v>
      </c>
      <c r="C239" s="8" t="s">
        <v>473</v>
      </c>
      <c r="D239" s="18" t="s">
        <v>1177</v>
      </c>
      <c r="E239" s="7" t="s">
        <v>1178</v>
      </c>
      <c r="F239" s="6" t="s">
        <v>437</v>
      </c>
      <c r="G239" s="6" t="s">
        <v>438</v>
      </c>
    </row>
    <row r="240" ht="15.75" customHeight="1">
      <c r="A240" s="3">
        <f t="shared" si="1"/>
        <v>238</v>
      </c>
      <c r="B240" s="9" t="s">
        <v>1179</v>
      </c>
      <c r="C240" s="17" t="s">
        <v>434</v>
      </c>
      <c r="D240" s="10" t="s">
        <v>1180</v>
      </c>
      <c r="E240" s="7" t="s">
        <v>1181</v>
      </c>
      <c r="F240" s="6" t="s">
        <v>437</v>
      </c>
      <c r="G240" s="6" t="s">
        <v>438</v>
      </c>
    </row>
    <row r="241" ht="15.75" customHeight="1">
      <c r="A241" s="3">
        <f t="shared" si="1"/>
        <v>239</v>
      </c>
      <c r="B241" s="31" t="s">
        <v>1182</v>
      </c>
      <c r="C241" s="12" t="s">
        <v>477</v>
      </c>
      <c r="D241" s="6" t="s">
        <v>1183</v>
      </c>
      <c r="E241" s="7" t="s">
        <v>1184</v>
      </c>
      <c r="F241" s="6" t="s">
        <v>437</v>
      </c>
      <c r="G241" s="6" t="s">
        <v>438</v>
      </c>
    </row>
    <row r="242" ht="15.75" customHeight="1">
      <c r="A242" s="3">
        <f t="shared" si="1"/>
        <v>240</v>
      </c>
      <c r="B242" s="4" t="s">
        <v>1185</v>
      </c>
      <c r="C242" s="8" t="s">
        <v>176</v>
      </c>
      <c r="D242" s="6" t="s">
        <v>1186</v>
      </c>
      <c r="E242" s="7" t="s">
        <v>1187</v>
      </c>
      <c r="F242" s="6" t="s">
        <v>437</v>
      </c>
      <c r="G242" s="6" t="s">
        <v>438</v>
      </c>
    </row>
    <row r="243" ht="15.75" customHeight="1">
      <c r="A243" s="3">
        <f t="shared" si="1"/>
        <v>241</v>
      </c>
      <c r="B243" s="9" t="s">
        <v>1188</v>
      </c>
      <c r="C243" s="17" t="s">
        <v>434</v>
      </c>
      <c r="D243" s="10" t="s">
        <v>1189</v>
      </c>
      <c r="E243" s="7" t="s">
        <v>1190</v>
      </c>
      <c r="F243" s="6" t="s">
        <v>437</v>
      </c>
      <c r="G243" s="6" t="s">
        <v>438</v>
      </c>
    </row>
    <row r="244" ht="15.75" customHeight="1">
      <c r="A244" s="3">
        <f t="shared" si="1"/>
        <v>242</v>
      </c>
      <c r="B244" s="30" t="s">
        <v>1191</v>
      </c>
      <c r="C244" s="12" t="s">
        <v>494</v>
      </c>
      <c r="D244" s="6" t="s">
        <v>1192</v>
      </c>
      <c r="E244" s="7" t="s">
        <v>1193</v>
      </c>
      <c r="F244" s="6" t="s">
        <v>437</v>
      </c>
      <c r="G244" s="6" t="s">
        <v>438</v>
      </c>
    </row>
    <row r="245" ht="15.75" customHeight="1">
      <c r="A245" s="3">
        <f t="shared" si="1"/>
        <v>243</v>
      </c>
      <c r="B245" s="9" t="s">
        <v>1194</v>
      </c>
      <c r="C245" s="17" t="s">
        <v>434</v>
      </c>
      <c r="D245" s="10" t="s">
        <v>1195</v>
      </c>
      <c r="E245" s="7" t="s">
        <v>1196</v>
      </c>
      <c r="F245" s="6" t="s">
        <v>437</v>
      </c>
      <c r="G245" s="6" t="s">
        <v>438</v>
      </c>
    </row>
    <row r="246" ht="15.75" customHeight="1">
      <c r="A246" s="3">
        <f t="shared" si="1"/>
        <v>244</v>
      </c>
      <c r="B246" s="16" t="s">
        <v>1197</v>
      </c>
      <c r="C246" s="17" t="s">
        <v>434</v>
      </c>
      <c r="D246" s="18" t="s">
        <v>1195</v>
      </c>
      <c r="E246" s="7" t="s">
        <v>1198</v>
      </c>
      <c r="F246" s="6" t="s">
        <v>437</v>
      </c>
      <c r="G246" s="6" t="s">
        <v>438</v>
      </c>
    </row>
    <row r="247" ht="15.75" customHeight="1">
      <c r="A247" s="3">
        <f t="shared" si="1"/>
        <v>245</v>
      </c>
      <c r="B247" s="16" t="s">
        <v>1199</v>
      </c>
      <c r="C247" s="17" t="s">
        <v>434</v>
      </c>
      <c r="D247" s="18" t="s">
        <v>1200</v>
      </c>
      <c r="E247" s="7" t="s">
        <v>1201</v>
      </c>
      <c r="F247" s="6" t="s">
        <v>437</v>
      </c>
      <c r="G247" s="6" t="s">
        <v>438</v>
      </c>
    </row>
    <row r="248" ht="15.75" customHeight="1">
      <c r="A248" s="3">
        <f t="shared" si="1"/>
        <v>246</v>
      </c>
      <c r="B248" s="19" t="s">
        <v>1202</v>
      </c>
      <c r="C248" s="8" t="s">
        <v>459</v>
      </c>
      <c r="D248" s="10" t="s">
        <v>1203</v>
      </c>
      <c r="E248" s="7" t="s">
        <v>1204</v>
      </c>
      <c r="F248" s="6" t="s">
        <v>437</v>
      </c>
      <c r="G248" s="6" t="s">
        <v>438</v>
      </c>
    </row>
    <row r="249" ht="15.75" customHeight="1">
      <c r="A249" s="3">
        <f t="shared" si="1"/>
        <v>247</v>
      </c>
      <c r="B249" s="33" t="s">
        <v>1205</v>
      </c>
      <c r="C249" s="12" t="s">
        <v>603</v>
      </c>
      <c r="D249" s="18" t="s">
        <v>1206</v>
      </c>
      <c r="E249" s="7" t="s">
        <v>1207</v>
      </c>
      <c r="F249" s="6" t="s">
        <v>437</v>
      </c>
      <c r="G249" s="6" t="s">
        <v>438</v>
      </c>
    </row>
    <row r="250" ht="15.75" customHeight="1">
      <c r="A250" s="3">
        <f t="shared" si="1"/>
        <v>248</v>
      </c>
      <c r="B250" s="9" t="s">
        <v>1208</v>
      </c>
      <c r="C250" s="17" t="s">
        <v>434</v>
      </c>
      <c r="D250" s="6" t="s">
        <v>1209</v>
      </c>
      <c r="E250" s="7" t="s">
        <v>1210</v>
      </c>
      <c r="F250" s="6" t="s">
        <v>437</v>
      </c>
      <c r="G250" s="6" t="s">
        <v>438</v>
      </c>
    </row>
    <row r="251" ht="15.75" customHeight="1">
      <c r="A251" s="3">
        <f t="shared" si="1"/>
        <v>249</v>
      </c>
      <c r="B251" s="19" t="s">
        <v>1211</v>
      </c>
      <c r="C251" s="8" t="s">
        <v>498</v>
      </c>
      <c r="D251" s="10" t="s">
        <v>1212</v>
      </c>
      <c r="E251" s="7" t="s">
        <v>1213</v>
      </c>
      <c r="F251" s="6" t="s">
        <v>437</v>
      </c>
      <c r="G251" s="6" t="s">
        <v>438</v>
      </c>
    </row>
    <row r="252" ht="15.75" customHeight="1">
      <c r="A252" s="3">
        <f t="shared" si="1"/>
        <v>250</v>
      </c>
      <c r="B252" s="4" t="s">
        <v>1214</v>
      </c>
      <c r="C252" s="8" t="s">
        <v>23</v>
      </c>
      <c r="D252" s="18" t="s">
        <v>1215</v>
      </c>
      <c r="E252" s="7" t="s">
        <v>1216</v>
      </c>
      <c r="F252" s="6" t="s">
        <v>437</v>
      </c>
      <c r="G252" s="6" t="s">
        <v>438</v>
      </c>
    </row>
    <row r="253" ht="15.75" customHeight="1">
      <c r="A253" s="3">
        <f t="shared" si="1"/>
        <v>251</v>
      </c>
      <c r="B253" s="9" t="s">
        <v>1217</v>
      </c>
      <c r="C253" s="17" t="s">
        <v>434</v>
      </c>
      <c r="D253" s="10" t="s">
        <v>1218</v>
      </c>
      <c r="E253" s="7" t="s">
        <v>1219</v>
      </c>
      <c r="F253" s="6" t="s">
        <v>437</v>
      </c>
      <c r="G253" s="6" t="s">
        <v>438</v>
      </c>
    </row>
    <row r="254" ht="15.75" customHeight="1">
      <c r="A254" s="3">
        <f t="shared" si="1"/>
        <v>252</v>
      </c>
      <c r="B254" s="4" t="s">
        <v>1220</v>
      </c>
      <c r="C254" s="8" t="s">
        <v>23</v>
      </c>
      <c r="D254" s="18" t="s">
        <v>1221</v>
      </c>
      <c r="E254" s="7" t="s">
        <v>1222</v>
      </c>
      <c r="F254" s="6" t="s">
        <v>437</v>
      </c>
      <c r="G254" s="6" t="s">
        <v>438</v>
      </c>
    </row>
    <row r="255" ht="15.75" customHeight="1">
      <c r="A255" s="3">
        <f t="shared" si="1"/>
        <v>253</v>
      </c>
      <c r="B255" s="4" t="s">
        <v>1223</v>
      </c>
      <c r="C255" s="8" t="s">
        <v>23</v>
      </c>
      <c r="D255" s="18" t="s">
        <v>1224</v>
      </c>
      <c r="E255" s="7" t="s">
        <v>1225</v>
      </c>
      <c r="F255" s="6" t="s">
        <v>437</v>
      </c>
      <c r="G255" s="6" t="s">
        <v>438</v>
      </c>
    </row>
    <row r="256" ht="15.75" customHeight="1">
      <c r="A256" s="3">
        <f t="shared" si="1"/>
        <v>254</v>
      </c>
      <c r="B256" s="21" t="s">
        <v>1226</v>
      </c>
      <c r="C256" s="8" t="s">
        <v>15</v>
      </c>
      <c r="D256" s="50" t="s">
        <v>1227</v>
      </c>
      <c r="E256" s="7">
        <v>8.1994534311E10</v>
      </c>
      <c r="F256" s="6" t="s">
        <v>437</v>
      </c>
      <c r="G256" s="6" t="s">
        <v>438</v>
      </c>
    </row>
    <row r="257" ht="15.75" customHeight="1">
      <c r="A257" s="3">
        <f t="shared" si="1"/>
        <v>255</v>
      </c>
      <c r="B257" s="21" t="s">
        <v>1228</v>
      </c>
      <c r="C257" s="8" t="s">
        <v>951</v>
      </c>
      <c r="D257" s="15" t="s">
        <v>1229</v>
      </c>
      <c r="E257" s="7" t="s">
        <v>1230</v>
      </c>
      <c r="F257" s="6" t="s">
        <v>437</v>
      </c>
      <c r="G257" s="6" t="s">
        <v>438</v>
      </c>
    </row>
    <row r="258" ht="15.75" customHeight="1">
      <c r="A258" s="3">
        <f t="shared" si="1"/>
        <v>256</v>
      </c>
      <c r="B258" s="19" t="s">
        <v>1231</v>
      </c>
      <c r="C258" s="8" t="s">
        <v>847</v>
      </c>
      <c r="D258" s="10" t="s">
        <v>1232</v>
      </c>
      <c r="E258" s="7" t="s">
        <v>1233</v>
      </c>
      <c r="F258" s="6" t="s">
        <v>437</v>
      </c>
      <c r="G258" s="6" t="s">
        <v>438</v>
      </c>
    </row>
    <row r="259" ht="15.75" customHeight="1">
      <c r="A259" s="3">
        <f t="shared" si="1"/>
        <v>257</v>
      </c>
      <c r="B259" s="11" t="s">
        <v>1234</v>
      </c>
      <c r="C259" s="12" t="s">
        <v>126</v>
      </c>
      <c r="D259" s="6" t="s">
        <v>1235</v>
      </c>
      <c r="E259" s="7" t="s">
        <v>1236</v>
      </c>
      <c r="F259" s="6" t="s">
        <v>437</v>
      </c>
      <c r="G259" s="6" t="s">
        <v>438</v>
      </c>
    </row>
    <row r="260" ht="15.75" customHeight="1">
      <c r="A260" s="3">
        <f t="shared" si="1"/>
        <v>258</v>
      </c>
      <c r="B260" s="31" t="s">
        <v>1237</v>
      </c>
      <c r="C260" s="12" t="s">
        <v>477</v>
      </c>
      <c r="D260" s="6" t="s">
        <v>1238</v>
      </c>
      <c r="E260" s="7" t="s">
        <v>1239</v>
      </c>
      <c r="F260" s="6" t="s">
        <v>437</v>
      </c>
      <c r="G260" s="6" t="s">
        <v>438</v>
      </c>
    </row>
    <row r="261" ht="15.75" customHeight="1">
      <c r="A261" s="3">
        <f t="shared" si="1"/>
        <v>259</v>
      </c>
      <c r="B261" s="4" t="s">
        <v>1240</v>
      </c>
      <c r="C261" s="8" t="s">
        <v>813</v>
      </c>
      <c r="D261" s="18" t="s">
        <v>1241</v>
      </c>
      <c r="E261" s="7" t="s">
        <v>1242</v>
      </c>
      <c r="F261" s="6" t="s">
        <v>437</v>
      </c>
      <c r="G261" s="6" t="s">
        <v>438</v>
      </c>
    </row>
    <row r="262" ht="15.75" customHeight="1">
      <c r="A262" s="3">
        <f t="shared" si="1"/>
        <v>260</v>
      </c>
      <c r="B262" s="21" t="s">
        <v>1243</v>
      </c>
      <c r="C262" s="8" t="s">
        <v>15</v>
      </c>
      <c r="D262" s="6" t="s">
        <v>1244</v>
      </c>
      <c r="E262" s="7" t="s">
        <v>1245</v>
      </c>
      <c r="F262" s="6" t="s">
        <v>437</v>
      </c>
      <c r="G262" s="6" t="s">
        <v>438</v>
      </c>
    </row>
    <row r="263" ht="15.75" customHeight="1">
      <c r="A263" s="3">
        <f t="shared" si="1"/>
        <v>261</v>
      </c>
      <c r="B263" s="4" t="s">
        <v>1246</v>
      </c>
      <c r="C263" s="5" t="s">
        <v>519</v>
      </c>
      <c r="D263" s="6" t="s">
        <v>1247</v>
      </c>
      <c r="E263" s="7" t="s">
        <v>1248</v>
      </c>
      <c r="F263" s="6" t="s">
        <v>437</v>
      </c>
      <c r="G263" s="6" t="s">
        <v>438</v>
      </c>
    </row>
    <row r="264" ht="15.75" customHeight="1">
      <c r="A264" s="3">
        <f t="shared" si="1"/>
        <v>262</v>
      </c>
      <c r="B264" s="9" t="s">
        <v>1249</v>
      </c>
      <c r="C264" s="5" t="s">
        <v>434</v>
      </c>
      <c r="D264" s="51" t="s">
        <v>1250</v>
      </c>
      <c r="E264" s="7" t="s">
        <v>1251</v>
      </c>
      <c r="F264" s="6" t="s">
        <v>437</v>
      </c>
      <c r="G264" s="6" t="s">
        <v>438</v>
      </c>
    </row>
    <row r="265" ht="15.75" customHeight="1">
      <c r="A265" s="3">
        <f t="shared" si="1"/>
        <v>263</v>
      </c>
      <c r="B265" s="4" t="s">
        <v>1252</v>
      </c>
      <c r="C265" s="32" t="s">
        <v>896</v>
      </c>
      <c r="D265" s="6" t="s">
        <v>1253</v>
      </c>
      <c r="E265" s="7" t="s">
        <v>1254</v>
      </c>
      <c r="F265" s="6" t="s">
        <v>437</v>
      </c>
      <c r="G265" s="6" t="s">
        <v>438</v>
      </c>
    </row>
    <row r="266" ht="15.75" customHeight="1">
      <c r="A266" s="3">
        <f t="shared" si="1"/>
        <v>264</v>
      </c>
      <c r="B266" s="4" t="s">
        <v>1255</v>
      </c>
      <c r="C266" s="8" t="s">
        <v>813</v>
      </c>
      <c r="D266" s="18" t="s">
        <v>1256</v>
      </c>
      <c r="E266" s="7" t="s">
        <v>1257</v>
      </c>
      <c r="F266" s="6" t="s">
        <v>437</v>
      </c>
      <c r="G266" s="6" t="s">
        <v>438</v>
      </c>
    </row>
    <row r="267" ht="15.75" customHeight="1">
      <c r="A267" s="3">
        <f t="shared" si="1"/>
        <v>265</v>
      </c>
      <c r="B267" s="19" t="s">
        <v>1258</v>
      </c>
      <c r="C267" s="8" t="s">
        <v>498</v>
      </c>
      <c r="D267" s="18" t="s">
        <v>1259</v>
      </c>
      <c r="E267" s="7" t="s">
        <v>1260</v>
      </c>
      <c r="F267" s="6" t="s">
        <v>437</v>
      </c>
      <c r="G267" s="6" t="s">
        <v>438</v>
      </c>
    </row>
    <row r="268" ht="15.75" customHeight="1">
      <c r="A268" s="3">
        <f t="shared" si="1"/>
        <v>266</v>
      </c>
      <c r="B268" s="4" t="s">
        <v>1261</v>
      </c>
      <c r="C268" s="12" t="s">
        <v>452</v>
      </c>
      <c r="D268" s="18" t="s">
        <v>1262</v>
      </c>
      <c r="E268" s="7" t="s">
        <v>1263</v>
      </c>
      <c r="F268" s="6" t="s">
        <v>437</v>
      </c>
      <c r="G268" s="6" t="s">
        <v>438</v>
      </c>
    </row>
    <row r="269" ht="15.75" customHeight="1">
      <c r="A269" s="3">
        <f t="shared" si="1"/>
        <v>267</v>
      </c>
      <c r="B269" s="4" t="s">
        <v>1264</v>
      </c>
      <c r="C269" s="8" t="s">
        <v>23</v>
      </c>
      <c r="D269" s="18" t="s">
        <v>1265</v>
      </c>
      <c r="E269" s="7" t="s">
        <v>1266</v>
      </c>
      <c r="F269" s="6" t="s">
        <v>437</v>
      </c>
      <c r="G269" s="6" t="s">
        <v>438</v>
      </c>
    </row>
    <row r="270" ht="15.75" customHeight="1">
      <c r="A270" s="3">
        <f t="shared" si="1"/>
        <v>268</v>
      </c>
      <c r="B270" s="9" t="s">
        <v>1267</v>
      </c>
      <c r="C270" s="5" t="s">
        <v>434</v>
      </c>
      <c r="D270" s="10" t="s">
        <v>1268</v>
      </c>
      <c r="E270" s="7" t="s">
        <v>1269</v>
      </c>
      <c r="F270" s="6" t="s">
        <v>437</v>
      </c>
      <c r="G270" s="6" t="s">
        <v>438</v>
      </c>
    </row>
    <row r="271" ht="15.75" customHeight="1">
      <c r="A271" s="3">
        <f t="shared" si="1"/>
        <v>269</v>
      </c>
      <c r="B271" s="4" t="s">
        <v>1270</v>
      </c>
      <c r="C271" s="8" t="s">
        <v>659</v>
      </c>
      <c r="D271" s="18" t="s">
        <v>1271</v>
      </c>
      <c r="E271" s="7" t="s">
        <v>1272</v>
      </c>
      <c r="F271" s="6" t="s">
        <v>437</v>
      </c>
      <c r="G271" s="6" t="s">
        <v>438</v>
      </c>
    </row>
    <row r="272" ht="15.75" customHeight="1">
      <c r="A272" s="3">
        <f t="shared" si="1"/>
        <v>270</v>
      </c>
      <c r="B272" s="49" t="s">
        <v>1273</v>
      </c>
      <c r="C272" s="8" t="s">
        <v>126</v>
      </c>
      <c r="D272" s="10" t="s">
        <v>1274</v>
      </c>
      <c r="E272" s="7" t="s">
        <v>1275</v>
      </c>
      <c r="F272" s="6" t="s">
        <v>437</v>
      </c>
      <c r="G272" s="6" t="s">
        <v>438</v>
      </c>
    </row>
    <row r="273" ht="15.75" customHeight="1">
      <c r="A273" s="3">
        <f t="shared" si="1"/>
        <v>271</v>
      </c>
      <c r="B273" s="49" t="s">
        <v>1276</v>
      </c>
      <c r="C273" s="8" t="s">
        <v>126</v>
      </c>
      <c r="D273" s="6" t="s">
        <v>1277</v>
      </c>
      <c r="E273" s="7" t="s">
        <v>1278</v>
      </c>
      <c r="F273" s="6" t="s">
        <v>437</v>
      </c>
      <c r="G273" s="6" t="s">
        <v>438</v>
      </c>
    </row>
    <row r="274" ht="15.75" customHeight="1">
      <c r="A274" s="3">
        <f t="shared" si="1"/>
        <v>272</v>
      </c>
      <c r="B274" s="9" t="s">
        <v>1279</v>
      </c>
      <c r="C274" s="5" t="s">
        <v>626</v>
      </c>
      <c r="D274" s="10" t="s">
        <v>1280</v>
      </c>
      <c r="E274" s="7" t="s">
        <v>1281</v>
      </c>
      <c r="F274" s="6" t="s">
        <v>437</v>
      </c>
      <c r="G274" s="6" t="s">
        <v>438</v>
      </c>
    </row>
    <row r="275" ht="15.75" customHeight="1">
      <c r="A275" s="3">
        <f t="shared" si="1"/>
        <v>273</v>
      </c>
      <c r="B275" s="19" t="s">
        <v>1282</v>
      </c>
      <c r="C275" s="8" t="s">
        <v>459</v>
      </c>
      <c r="D275" s="18" t="s">
        <v>1283</v>
      </c>
      <c r="E275" s="7" t="s">
        <v>1284</v>
      </c>
      <c r="F275" s="6" t="s">
        <v>437</v>
      </c>
      <c r="G275" s="6" t="s">
        <v>438</v>
      </c>
    </row>
    <row r="276" ht="15.75" customHeight="1">
      <c r="A276" s="3">
        <f t="shared" si="1"/>
        <v>274</v>
      </c>
      <c r="B276" s="16" t="s">
        <v>1285</v>
      </c>
      <c r="C276" s="17" t="s">
        <v>434</v>
      </c>
      <c r="D276" s="18" t="s">
        <v>1286</v>
      </c>
      <c r="E276" s="7" t="s">
        <v>1287</v>
      </c>
      <c r="F276" s="6" t="s">
        <v>437</v>
      </c>
      <c r="G276" s="6" t="s">
        <v>438</v>
      </c>
    </row>
    <row r="277" ht="15.75" customHeight="1">
      <c r="A277" s="3">
        <f t="shared" si="1"/>
        <v>275</v>
      </c>
      <c r="B277" s="4" t="s">
        <v>1288</v>
      </c>
      <c r="C277" s="8" t="s">
        <v>1289</v>
      </c>
      <c r="D277" s="18" t="s">
        <v>1290</v>
      </c>
      <c r="E277" s="7" t="s">
        <v>1291</v>
      </c>
      <c r="F277" s="6" t="s">
        <v>437</v>
      </c>
      <c r="G277" s="6" t="s">
        <v>438</v>
      </c>
    </row>
    <row r="278" ht="15.75" customHeight="1">
      <c r="A278" s="3">
        <f t="shared" si="1"/>
        <v>276</v>
      </c>
      <c r="B278" s="9" t="s">
        <v>1292</v>
      </c>
      <c r="C278" s="5" t="s">
        <v>626</v>
      </c>
      <c r="D278" s="10" t="s">
        <v>1293</v>
      </c>
      <c r="E278" s="7" t="s">
        <v>1294</v>
      </c>
      <c r="F278" s="6" t="s">
        <v>437</v>
      </c>
      <c r="G278" s="6" t="s">
        <v>438</v>
      </c>
    </row>
    <row r="279" ht="15.75" customHeight="1">
      <c r="A279" s="3">
        <f t="shared" si="1"/>
        <v>277</v>
      </c>
      <c r="B279" s="33" t="s">
        <v>1295</v>
      </c>
      <c r="C279" s="12" t="s">
        <v>502</v>
      </c>
      <c r="D279" s="6" t="s">
        <v>1296</v>
      </c>
      <c r="E279" s="7" t="s">
        <v>1297</v>
      </c>
      <c r="F279" s="6" t="s">
        <v>437</v>
      </c>
      <c r="G279" s="6" t="s">
        <v>438</v>
      </c>
    </row>
    <row r="280" ht="15.75" customHeight="1">
      <c r="A280" s="3">
        <f t="shared" si="1"/>
        <v>278</v>
      </c>
      <c r="B280" s="19" t="s">
        <v>1298</v>
      </c>
      <c r="C280" s="8" t="s">
        <v>498</v>
      </c>
      <c r="D280" s="6" t="s">
        <v>1299</v>
      </c>
      <c r="E280" s="7" t="s">
        <v>1300</v>
      </c>
      <c r="F280" s="6" t="s">
        <v>437</v>
      </c>
      <c r="G280" s="6" t="s">
        <v>438</v>
      </c>
    </row>
    <row r="281" ht="15.75" customHeight="1">
      <c r="A281" s="3">
        <f t="shared" si="1"/>
        <v>279</v>
      </c>
      <c r="B281" s="4" t="s">
        <v>1301</v>
      </c>
      <c r="C281" s="8" t="s">
        <v>951</v>
      </c>
      <c r="D281" s="6" t="s">
        <v>1302</v>
      </c>
      <c r="E281" s="7" t="s">
        <v>1303</v>
      </c>
      <c r="F281" s="6" t="s">
        <v>437</v>
      </c>
      <c r="G281" s="6" t="s">
        <v>438</v>
      </c>
    </row>
    <row r="282" ht="15.75" customHeight="1">
      <c r="A282" s="3">
        <f t="shared" si="1"/>
        <v>280</v>
      </c>
      <c r="B282" s="19" t="s">
        <v>1304</v>
      </c>
      <c r="C282" s="5" t="s">
        <v>603</v>
      </c>
      <c r="D282" s="10" t="s">
        <v>1305</v>
      </c>
      <c r="E282" s="7" t="s">
        <v>1306</v>
      </c>
      <c r="F282" s="6" t="s">
        <v>437</v>
      </c>
      <c r="G282" s="6" t="s">
        <v>438</v>
      </c>
    </row>
    <row r="283" ht="15.75" customHeight="1">
      <c r="A283" s="3">
        <f t="shared" si="1"/>
        <v>281</v>
      </c>
      <c r="B283" s="9" t="s">
        <v>1307</v>
      </c>
      <c r="C283" s="5" t="s">
        <v>519</v>
      </c>
      <c r="D283" s="6" t="s">
        <v>1308</v>
      </c>
      <c r="E283" s="7" t="s">
        <v>1309</v>
      </c>
      <c r="F283" s="6" t="s">
        <v>437</v>
      </c>
      <c r="G283" s="6" t="s">
        <v>438</v>
      </c>
    </row>
    <row r="284" ht="15.75" customHeight="1">
      <c r="A284" s="3">
        <f t="shared" si="1"/>
        <v>282</v>
      </c>
      <c r="B284" s="11" t="s">
        <v>1310</v>
      </c>
      <c r="C284" s="12" t="s">
        <v>469</v>
      </c>
      <c r="D284" s="6" t="s">
        <v>1311</v>
      </c>
      <c r="E284" s="7" t="s">
        <v>1312</v>
      </c>
      <c r="F284" s="6" t="s">
        <v>437</v>
      </c>
      <c r="G284" s="6" t="s">
        <v>438</v>
      </c>
    </row>
    <row r="285" ht="15.75" customHeight="1">
      <c r="A285" s="3">
        <f t="shared" si="1"/>
        <v>283</v>
      </c>
      <c r="B285" s="33" t="s">
        <v>1313</v>
      </c>
      <c r="C285" s="12" t="s">
        <v>610</v>
      </c>
      <c r="D285" s="18" t="s">
        <v>1314</v>
      </c>
      <c r="E285" s="7" t="s">
        <v>1315</v>
      </c>
      <c r="F285" s="6" t="s">
        <v>437</v>
      </c>
      <c r="G285" s="6" t="s">
        <v>438</v>
      </c>
    </row>
    <row r="286" ht="15.75" customHeight="1">
      <c r="A286" s="3">
        <f t="shared" si="1"/>
        <v>284</v>
      </c>
      <c r="B286" s="30" t="s">
        <v>1316</v>
      </c>
      <c r="C286" s="12" t="s">
        <v>847</v>
      </c>
      <c r="D286" s="6" t="s">
        <v>1317</v>
      </c>
      <c r="E286" s="7" t="s">
        <v>1318</v>
      </c>
      <c r="F286" s="6" t="s">
        <v>437</v>
      </c>
      <c r="G286" s="6" t="s">
        <v>438</v>
      </c>
    </row>
    <row r="287" ht="15.75" customHeight="1">
      <c r="A287" s="3">
        <f t="shared" si="1"/>
        <v>285</v>
      </c>
      <c r="B287" s="21" t="s">
        <v>1319</v>
      </c>
      <c r="C287" s="8" t="s">
        <v>15</v>
      </c>
      <c r="D287" s="6" t="s">
        <v>1320</v>
      </c>
      <c r="E287" s="7" t="s">
        <v>1321</v>
      </c>
      <c r="F287" s="6" t="s">
        <v>437</v>
      </c>
      <c r="G287" s="6" t="s">
        <v>438</v>
      </c>
    </row>
    <row r="288" ht="15.75" customHeight="1">
      <c r="A288" s="3">
        <f t="shared" si="1"/>
        <v>286</v>
      </c>
      <c r="B288" s="49" t="s">
        <v>1322</v>
      </c>
      <c r="C288" s="8" t="s">
        <v>126</v>
      </c>
      <c r="D288" s="18" t="s">
        <v>1323</v>
      </c>
      <c r="E288" s="7" t="s">
        <v>1324</v>
      </c>
      <c r="F288" s="6" t="s">
        <v>437</v>
      </c>
      <c r="G288" s="6" t="s">
        <v>438</v>
      </c>
    </row>
    <row r="289" ht="15.75" customHeight="1">
      <c r="A289" s="3">
        <f t="shared" si="1"/>
        <v>287</v>
      </c>
      <c r="B289" s="11" t="s">
        <v>1325</v>
      </c>
      <c r="C289" s="12" t="s">
        <v>452</v>
      </c>
      <c r="D289" s="18" t="s">
        <v>1326</v>
      </c>
      <c r="E289" s="7" t="s">
        <v>1327</v>
      </c>
      <c r="F289" s="6" t="s">
        <v>437</v>
      </c>
      <c r="G289" s="6" t="s">
        <v>438</v>
      </c>
    </row>
    <row r="290" ht="15.75" customHeight="1">
      <c r="A290" s="3">
        <f t="shared" si="1"/>
        <v>288</v>
      </c>
      <c r="B290" s="19" t="s">
        <v>1328</v>
      </c>
      <c r="C290" s="8" t="s">
        <v>610</v>
      </c>
      <c r="D290" s="10" t="s">
        <v>1329</v>
      </c>
      <c r="E290" s="7" t="s">
        <v>1330</v>
      </c>
      <c r="F290" s="6" t="s">
        <v>437</v>
      </c>
      <c r="G290" s="6" t="s">
        <v>438</v>
      </c>
    </row>
    <row r="291" ht="15.75" customHeight="1">
      <c r="A291" s="3">
        <f t="shared" si="1"/>
        <v>289</v>
      </c>
      <c r="B291" s="40" t="s">
        <v>1331</v>
      </c>
      <c r="C291" s="17" t="s">
        <v>603</v>
      </c>
      <c r="D291" s="18" t="s">
        <v>1332</v>
      </c>
      <c r="E291" s="7" t="s">
        <v>1333</v>
      </c>
      <c r="F291" s="6" t="s">
        <v>437</v>
      </c>
      <c r="G291" s="6" t="s">
        <v>438</v>
      </c>
    </row>
    <row r="292" ht="15.75" customHeight="1">
      <c r="A292" s="3">
        <f t="shared" si="1"/>
        <v>290</v>
      </c>
      <c r="B292" s="4" t="s">
        <v>1334</v>
      </c>
      <c r="C292" s="5" t="s">
        <v>519</v>
      </c>
      <c r="D292" s="6" t="s">
        <v>1335</v>
      </c>
      <c r="E292" s="7" t="s">
        <v>1336</v>
      </c>
      <c r="F292" s="6" t="s">
        <v>437</v>
      </c>
      <c r="G292" s="6" t="s">
        <v>438</v>
      </c>
    </row>
    <row r="293" ht="15.75" customHeight="1">
      <c r="A293" s="3">
        <f t="shared" si="1"/>
        <v>291</v>
      </c>
      <c r="B293" s="9" t="s">
        <v>1337</v>
      </c>
      <c r="C293" s="5" t="s">
        <v>626</v>
      </c>
      <c r="D293" s="10" t="s">
        <v>1338</v>
      </c>
      <c r="E293" s="7" t="s">
        <v>1339</v>
      </c>
      <c r="F293" s="6" t="s">
        <v>437</v>
      </c>
      <c r="G293" s="6" t="s">
        <v>438</v>
      </c>
    </row>
    <row r="294" ht="15.75" customHeight="1">
      <c r="A294" s="3">
        <f t="shared" si="1"/>
        <v>292</v>
      </c>
      <c r="B294" s="36" t="s">
        <v>1340</v>
      </c>
      <c r="C294" s="12" t="s">
        <v>603</v>
      </c>
      <c r="D294" s="6" t="s">
        <v>1341</v>
      </c>
      <c r="E294" s="7" t="s">
        <v>1342</v>
      </c>
      <c r="F294" s="6" t="s">
        <v>437</v>
      </c>
      <c r="G294" s="6" t="s">
        <v>438</v>
      </c>
    </row>
    <row r="295" ht="15.75" customHeight="1">
      <c r="A295" s="3">
        <f t="shared" si="1"/>
        <v>293</v>
      </c>
      <c r="B295" s="30" t="s">
        <v>1343</v>
      </c>
      <c r="C295" s="12" t="s">
        <v>494</v>
      </c>
      <c r="D295" s="6" t="s">
        <v>1344</v>
      </c>
      <c r="E295" s="7" t="s">
        <v>1345</v>
      </c>
      <c r="F295" s="6" t="s">
        <v>437</v>
      </c>
      <c r="G295" s="6" t="s">
        <v>438</v>
      </c>
    </row>
    <row r="296" ht="15.75" customHeight="1">
      <c r="A296" s="3">
        <f t="shared" si="1"/>
        <v>294</v>
      </c>
      <c r="B296" s="19" t="s">
        <v>1346</v>
      </c>
      <c r="C296" s="8" t="s">
        <v>498</v>
      </c>
      <c r="D296" s="10" t="s">
        <v>1347</v>
      </c>
      <c r="E296" s="7" t="s">
        <v>1348</v>
      </c>
      <c r="F296" s="6" t="s">
        <v>437</v>
      </c>
      <c r="G296" s="6" t="s">
        <v>438</v>
      </c>
    </row>
    <row r="297" ht="15.75" customHeight="1">
      <c r="A297" s="3">
        <f t="shared" si="1"/>
        <v>295</v>
      </c>
      <c r="B297" s="11" t="s">
        <v>1349</v>
      </c>
      <c r="C297" s="12" t="s">
        <v>469</v>
      </c>
      <c r="D297" s="18" t="s">
        <v>1350</v>
      </c>
      <c r="E297" s="7" t="s">
        <v>1351</v>
      </c>
      <c r="F297" s="6" t="s">
        <v>437</v>
      </c>
      <c r="G297" s="6" t="s">
        <v>438</v>
      </c>
    </row>
    <row r="298" ht="15.75" customHeight="1">
      <c r="A298" s="3">
        <f t="shared" si="1"/>
        <v>296</v>
      </c>
      <c r="B298" s="19" t="s">
        <v>1352</v>
      </c>
      <c r="C298" s="8" t="s">
        <v>459</v>
      </c>
      <c r="D298" s="18" t="s">
        <v>1353</v>
      </c>
      <c r="E298" s="7" t="s">
        <v>1354</v>
      </c>
      <c r="F298" s="6" t="s">
        <v>437</v>
      </c>
      <c r="G298" s="6" t="s">
        <v>438</v>
      </c>
    </row>
    <row r="299" ht="15.75" customHeight="1">
      <c r="A299" s="3">
        <f t="shared" si="1"/>
        <v>297</v>
      </c>
      <c r="B299" s="31" t="s">
        <v>1355</v>
      </c>
      <c r="C299" s="12" t="s">
        <v>477</v>
      </c>
      <c r="D299" s="6" t="s">
        <v>1356</v>
      </c>
      <c r="E299" s="7" t="s">
        <v>1357</v>
      </c>
      <c r="F299" s="6" t="s">
        <v>437</v>
      </c>
      <c r="G299" s="6" t="s">
        <v>438</v>
      </c>
    </row>
    <row r="300" ht="15.75" customHeight="1">
      <c r="A300" s="3">
        <f t="shared" si="1"/>
        <v>298</v>
      </c>
      <c r="B300" s="4" t="s">
        <v>1358</v>
      </c>
      <c r="C300" s="32" t="s">
        <v>1359</v>
      </c>
      <c r="D300" s="6" t="s">
        <v>1360</v>
      </c>
      <c r="E300" s="7" t="s">
        <v>1361</v>
      </c>
      <c r="F300" s="6" t="s">
        <v>437</v>
      </c>
      <c r="G300" s="6" t="s">
        <v>438</v>
      </c>
    </row>
    <row r="301" ht="15.75" customHeight="1">
      <c r="A301" s="3">
        <f t="shared" si="1"/>
        <v>299</v>
      </c>
      <c r="B301" s="11" t="s">
        <v>1362</v>
      </c>
      <c r="C301" s="12" t="s">
        <v>469</v>
      </c>
      <c r="D301" s="18" t="s">
        <v>1363</v>
      </c>
      <c r="E301" s="7" t="s">
        <v>1364</v>
      </c>
      <c r="F301" s="6" t="s">
        <v>437</v>
      </c>
      <c r="G301" s="6" t="s">
        <v>438</v>
      </c>
    </row>
    <row r="302" ht="15.75" customHeight="1">
      <c r="A302" s="3">
        <f t="shared" si="1"/>
        <v>300</v>
      </c>
      <c r="B302" s="33" t="s">
        <v>1365</v>
      </c>
      <c r="C302" s="12" t="s">
        <v>610</v>
      </c>
      <c r="D302" s="6" t="s">
        <v>1366</v>
      </c>
      <c r="E302" s="7" t="s">
        <v>1367</v>
      </c>
      <c r="F302" s="6" t="s">
        <v>437</v>
      </c>
      <c r="G302" s="6" t="s">
        <v>438</v>
      </c>
    </row>
    <row r="303" ht="15.75" customHeight="1">
      <c r="A303" s="3">
        <f t="shared" si="1"/>
        <v>301</v>
      </c>
      <c r="B303" s="30" t="s">
        <v>1368</v>
      </c>
      <c r="C303" s="12" t="s">
        <v>473</v>
      </c>
      <c r="D303" s="6" t="s">
        <v>1369</v>
      </c>
      <c r="E303" s="7" t="s">
        <v>1370</v>
      </c>
      <c r="F303" s="6" t="s">
        <v>437</v>
      </c>
      <c r="G303" s="6" t="s">
        <v>438</v>
      </c>
    </row>
    <row r="304" ht="15.75" customHeight="1">
      <c r="A304" s="3">
        <f t="shared" si="1"/>
        <v>302</v>
      </c>
      <c r="B304" s="19" t="s">
        <v>1371</v>
      </c>
      <c r="C304" s="8" t="s">
        <v>459</v>
      </c>
      <c r="D304" s="18" t="s">
        <v>1372</v>
      </c>
      <c r="E304" s="7" t="s">
        <v>1373</v>
      </c>
      <c r="F304" s="6" t="s">
        <v>437</v>
      </c>
      <c r="G304" s="6" t="s">
        <v>438</v>
      </c>
    </row>
    <row r="305" ht="15.75" customHeight="1">
      <c r="A305" s="3">
        <f t="shared" si="1"/>
        <v>303</v>
      </c>
      <c r="B305" s="30" t="s">
        <v>1374</v>
      </c>
      <c r="C305" s="12" t="s">
        <v>847</v>
      </c>
      <c r="D305" s="6" t="s">
        <v>1375</v>
      </c>
      <c r="E305" s="7" t="s">
        <v>1376</v>
      </c>
      <c r="F305" s="6" t="s">
        <v>437</v>
      </c>
      <c r="G305" s="6" t="s">
        <v>438</v>
      </c>
    </row>
    <row r="306" ht="15.75" customHeight="1">
      <c r="A306" s="3">
        <f t="shared" si="1"/>
        <v>304</v>
      </c>
      <c r="B306" s="31" t="s">
        <v>1377</v>
      </c>
      <c r="C306" s="12" t="s">
        <v>502</v>
      </c>
      <c r="D306" s="6" t="s">
        <v>1378</v>
      </c>
      <c r="E306" s="7" t="s">
        <v>1379</v>
      </c>
      <c r="F306" s="6" t="s">
        <v>437</v>
      </c>
      <c r="G306" s="6" t="s">
        <v>438</v>
      </c>
    </row>
    <row r="307" ht="15.75" customHeight="1">
      <c r="A307" s="3">
        <f t="shared" si="1"/>
        <v>305</v>
      </c>
      <c r="B307" s="19" t="s">
        <v>1380</v>
      </c>
      <c r="C307" s="8" t="s">
        <v>498</v>
      </c>
      <c r="D307" s="6" t="s">
        <v>1381</v>
      </c>
      <c r="E307" s="7" t="s">
        <v>1382</v>
      </c>
      <c r="F307" s="6" t="s">
        <v>437</v>
      </c>
      <c r="G307" s="6" t="s">
        <v>438</v>
      </c>
    </row>
    <row r="308" ht="15.75" customHeight="1">
      <c r="A308" s="3">
        <f t="shared" si="1"/>
        <v>306</v>
      </c>
      <c r="B308" s="46" t="s">
        <v>1383</v>
      </c>
      <c r="C308" s="32" t="s">
        <v>748</v>
      </c>
      <c r="D308" s="6" t="s">
        <v>1384</v>
      </c>
      <c r="E308" s="7" t="s">
        <v>1385</v>
      </c>
      <c r="F308" s="6" t="s">
        <v>437</v>
      </c>
      <c r="G308" s="6" t="s">
        <v>438</v>
      </c>
    </row>
    <row r="309" ht="15.75" customHeight="1">
      <c r="A309" s="3">
        <f t="shared" si="1"/>
        <v>307</v>
      </c>
      <c r="B309" s="19" t="s">
        <v>1386</v>
      </c>
      <c r="C309" s="8" t="s">
        <v>459</v>
      </c>
      <c r="D309" s="18" t="s">
        <v>1387</v>
      </c>
      <c r="E309" s="7" t="s">
        <v>1388</v>
      </c>
      <c r="F309" s="6" t="s">
        <v>437</v>
      </c>
      <c r="G309" s="6" t="s">
        <v>438</v>
      </c>
    </row>
    <row r="310" ht="15.75" customHeight="1">
      <c r="A310" s="3">
        <f t="shared" si="1"/>
        <v>308</v>
      </c>
      <c r="B310" s="33" t="s">
        <v>1389</v>
      </c>
      <c r="C310" s="12" t="s">
        <v>610</v>
      </c>
      <c r="D310" s="6" t="s">
        <v>1390</v>
      </c>
      <c r="E310" s="7" t="s">
        <v>1391</v>
      </c>
      <c r="F310" s="6" t="s">
        <v>437</v>
      </c>
      <c r="G310" s="6" t="s">
        <v>438</v>
      </c>
    </row>
    <row r="311" ht="15.75" customHeight="1">
      <c r="A311" s="3">
        <f t="shared" si="1"/>
        <v>309</v>
      </c>
      <c r="B311" s="16" t="s">
        <v>1392</v>
      </c>
      <c r="C311" s="41" t="s">
        <v>626</v>
      </c>
      <c r="D311" s="10" t="s">
        <v>1393</v>
      </c>
      <c r="E311" s="7" t="s">
        <v>1394</v>
      </c>
      <c r="F311" s="6" t="s">
        <v>437</v>
      </c>
      <c r="G311" s="6" t="s">
        <v>438</v>
      </c>
    </row>
    <row r="312" ht="15.75" customHeight="1">
      <c r="A312" s="3">
        <f t="shared" si="1"/>
        <v>310</v>
      </c>
      <c r="B312" s="19" t="s">
        <v>1395</v>
      </c>
      <c r="C312" s="8" t="s">
        <v>610</v>
      </c>
      <c r="D312" s="10" t="s">
        <v>1396</v>
      </c>
      <c r="E312" s="7" t="s">
        <v>1397</v>
      </c>
      <c r="F312" s="6" t="s">
        <v>437</v>
      </c>
      <c r="G312" s="6" t="s">
        <v>438</v>
      </c>
    </row>
    <row r="313" ht="15.75" customHeight="1">
      <c r="A313" s="3">
        <f t="shared" si="1"/>
        <v>311</v>
      </c>
      <c r="B313" s="9" t="s">
        <v>1398</v>
      </c>
      <c r="C313" s="5" t="s">
        <v>434</v>
      </c>
      <c r="D313" s="10" t="s">
        <v>1399</v>
      </c>
      <c r="E313" s="7" t="s">
        <v>1400</v>
      </c>
      <c r="F313" s="6" t="s">
        <v>437</v>
      </c>
      <c r="G313" s="6" t="s">
        <v>438</v>
      </c>
    </row>
    <row r="314" ht="15.75" customHeight="1">
      <c r="A314" s="3">
        <f t="shared" si="1"/>
        <v>312</v>
      </c>
      <c r="B314" s="4" t="s">
        <v>1401</v>
      </c>
      <c r="C314" s="8" t="s">
        <v>659</v>
      </c>
      <c r="D314" s="6" t="s">
        <v>1402</v>
      </c>
      <c r="E314" s="7" t="s">
        <v>1403</v>
      </c>
      <c r="F314" s="6" t="s">
        <v>437</v>
      </c>
      <c r="G314" s="6" t="s">
        <v>438</v>
      </c>
    </row>
    <row r="315" ht="15.75" customHeight="1">
      <c r="A315" s="3">
        <f t="shared" si="1"/>
        <v>313</v>
      </c>
      <c r="B315" s="31" t="s">
        <v>1404</v>
      </c>
      <c r="C315" s="12" t="s">
        <v>502</v>
      </c>
      <c r="D315" s="6" t="s">
        <v>1405</v>
      </c>
      <c r="E315" s="7" t="s">
        <v>1406</v>
      </c>
      <c r="F315" s="6" t="s">
        <v>437</v>
      </c>
      <c r="G315" s="6" t="s">
        <v>438</v>
      </c>
    </row>
    <row r="316" ht="15.75" customHeight="1">
      <c r="A316" s="3">
        <f t="shared" si="1"/>
        <v>314</v>
      </c>
      <c r="B316" s="49" t="s">
        <v>1407</v>
      </c>
      <c r="C316" s="8" t="s">
        <v>126</v>
      </c>
      <c r="D316" s="6" t="s">
        <v>1408</v>
      </c>
      <c r="E316" s="7" t="s">
        <v>1409</v>
      </c>
      <c r="F316" s="6" t="s">
        <v>437</v>
      </c>
      <c r="G316" s="6" t="s">
        <v>438</v>
      </c>
    </row>
    <row r="317" ht="15.75" customHeight="1">
      <c r="A317" s="3">
        <f t="shared" si="1"/>
        <v>315</v>
      </c>
      <c r="B317" s="9" t="s">
        <v>1410</v>
      </c>
      <c r="C317" s="17" t="s">
        <v>434</v>
      </c>
      <c r="D317" s="10" t="s">
        <v>1411</v>
      </c>
      <c r="E317" s="7" t="s">
        <v>1412</v>
      </c>
      <c r="F317" s="6" t="s">
        <v>437</v>
      </c>
      <c r="G317" s="6" t="s">
        <v>438</v>
      </c>
    </row>
    <row r="318" ht="15.75" customHeight="1">
      <c r="A318" s="3">
        <f t="shared" si="1"/>
        <v>316</v>
      </c>
      <c r="B318" s="40" t="s">
        <v>1413</v>
      </c>
      <c r="C318" s="5" t="s">
        <v>788</v>
      </c>
      <c r="D318" s="18" t="s">
        <v>1414</v>
      </c>
      <c r="E318" s="7" t="s">
        <v>1415</v>
      </c>
      <c r="F318" s="6" t="s">
        <v>437</v>
      </c>
      <c r="G318" s="6" t="s">
        <v>438</v>
      </c>
    </row>
    <row r="319" ht="15.75" customHeight="1">
      <c r="A319" s="3">
        <f t="shared" si="1"/>
        <v>317</v>
      </c>
      <c r="B319" s="16" t="s">
        <v>1416</v>
      </c>
      <c r="C319" s="17" t="s">
        <v>434</v>
      </c>
      <c r="D319" s="10" t="s">
        <v>1417</v>
      </c>
      <c r="E319" s="7" t="s">
        <v>1418</v>
      </c>
      <c r="F319" s="6" t="s">
        <v>437</v>
      </c>
      <c r="G319" s="6" t="s">
        <v>438</v>
      </c>
    </row>
    <row r="320" ht="15.75" customHeight="1">
      <c r="A320" s="3">
        <f t="shared" si="1"/>
        <v>318</v>
      </c>
      <c r="B320" s="16" t="s">
        <v>1419</v>
      </c>
      <c r="C320" s="17" t="s">
        <v>434</v>
      </c>
      <c r="D320" s="10" t="s">
        <v>1420</v>
      </c>
      <c r="E320" s="7" t="s">
        <v>1421</v>
      </c>
      <c r="F320" s="6" t="s">
        <v>437</v>
      </c>
      <c r="G320" s="6" t="s">
        <v>438</v>
      </c>
    </row>
    <row r="321" ht="15.75" customHeight="1">
      <c r="A321" s="3">
        <f t="shared" si="1"/>
        <v>319</v>
      </c>
      <c r="B321" s="9" t="s">
        <v>1422</v>
      </c>
      <c r="C321" s="5" t="s">
        <v>626</v>
      </c>
      <c r="D321" s="10" t="s">
        <v>1423</v>
      </c>
      <c r="E321" s="7" t="s">
        <v>1424</v>
      </c>
      <c r="F321" s="6" t="s">
        <v>437</v>
      </c>
      <c r="G321" s="6" t="s">
        <v>438</v>
      </c>
    </row>
    <row r="322" ht="15.75" customHeight="1">
      <c r="A322" s="3">
        <f t="shared" si="1"/>
        <v>320</v>
      </c>
      <c r="B322" s="30" t="s">
        <v>1425</v>
      </c>
      <c r="C322" s="12" t="s">
        <v>494</v>
      </c>
      <c r="D322" s="6" t="s">
        <v>1426</v>
      </c>
      <c r="E322" s="7" t="s">
        <v>1427</v>
      </c>
      <c r="F322" s="6" t="s">
        <v>437</v>
      </c>
      <c r="G322" s="6" t="s">
        <v>438</v>
      </c>
    </row>
    <row r="323" ht="15.75" customHeight="1">
      <c r="A323" s="3">
        <f t="shared" si="1"/>
        <v>321</v>
      </c>
      <c r="B323" s="9" t="s">
        <v>1428</v>
      </c>
      <c r="C323" s="17" t="s">
        <v>434</v>
      </c>
      <c r="D323" s="10" t="s">
        <v>1429</v>
      </c>
      <c r="E323" s="7" t="s">
        <v>1430</v>
      </c>
      <c r="F323" s="6" t="s">
        <v>437</v>
      </c>
      <c r="G323" s="6" t="s">
        <v>438</v>
      </c>
    </row>
    <row r="324" ht="15.75" customHeight="1">
      <c r="A324" s="3">
        <f t="shared" si="1"/>
        <v>322</v>
      </c>
      <c r="B324" s="13" t="s">
        <v>1431</v>
      </c>
      <c r="C324" s="48" t="s">
        <v>23</v>
      </c>
      <c r="D324" s="18" t="s">
        <v>1432</v>
      </c>
      <c r="E324" s="7" t="s">
        <v>1433</v>
      </c>
      <c r="F324" s="6" t="s">
        <v>437</v>
      </c>
      <c r="G324" s="6" t="s">
        <v>438</v>
      </c>
    </row>
    <row r="325" ht="15.75" customHeight="1">
      <c r="A325" s="3">
        <f t="shared" si="1"/>
        <v>323</v>
      </c>
      <c r="B325" s="4" t="s">
        <v>1434</v>
      </c>
      <c r="C325" s="8" t="s">
        <v>659</v>
      </c>
      <c r="D325" s="18" t="s">
        <v>1435</v>
      </c>
      <c r="E325" s="7" t="s">
        <v>1436</v>
      </c>
      <c r="F325" s="6" t="s">
        <v>437</v>
      </c>
      <c r="G325" s="6" t="s">
        <v>438</v>
      </c>
    </row>
    <row r="326" ht="15.75" customHeight="1">
      <c r="A326" s="3">
        <f t="shared" si="1"/>
        <v>324</v>
      </c>
      <c r="B326" s="36" t="s">
        <v>1437</v>
      </c>
      <c r="C326" s="12" t="s">
        <v>723</v>
      </c>
      <c r="D326" s="6" t="s">
        <v>1438</v>
      </c>
      <c r="E326" s="7" t="s">
        <v>1439</v>
      </c>
      <c r="F326" s="6" t="s">
        <v>437</v>
      </c>
      <c r="G326" s="6" t="s">
        <v>438</v>
      </c>
    </row>
    <row r="327" ht="15.75" customHeight="1">
      <c r="A327" s="3">
        <f t="shared" si="1"/>
        <v>325</v>
      </c>
      <c r="B327" s="30" t="s">
        <v>1440</v>
      </c>
      <c r="C327" s="12" t="s">
        <v>494</v>
      </c>
      <c r="D327" s="6" t="s">
        <v>1441</v>
      </c>
      <c r="E327" s="7" t="s">
        <v>1442</v>
      </c>
      <c r="F327" s="6" t="s">
        <v>437</v>
      </c>
      <c r="G327" s="6" t="s">
        <v>438</v>
      </c>
    </row>
    <row r="328" ht="15.75" customHeight="1">
      <c r="A328" s="3">
        <f t="shared" si="1"/>
        <v>326</v>
      </c>
      <c r="B328" s="16" t="s">
        <v>1443</v>
      </c>
      <c r="C328" s="17" t="s">
        <v>434</v>
      </c>
      <c r="D328" s="10" t="s">
        <v>1444</v>
      </c>
      <c r="E328" s="7" t="s">
        <v>1445</v>
      </c>
      <c r="F328" s="6" t="s">
        <v>437</v>
      </c>
      <c r="G328" s="6" t="s">
        <v>438</v>
      </c>
    </row>
    <row r="329" ht="15.75" customHeight="1">
      <c r="A329" s="3">
        <f t="shared" si="1"/>
        <v>327</v>
      </c>
      <c r="B329" s="9" t="s">
        <v>1446</v>
      </c>
      <c r="C329" s="17" t="s">
        <v>434</v>
      </c>
      <c r="D329" s="10" t="s">
        <v>1447</v>
      </c>
      <c r="E329" s="7" t="s">
        <v>1448</v>
      </c>
      <c r="F329" s="6" t="s">
        <v>437</v>
      </c>
      <c r="G329" s="6" t="s">
        <v>438</v>
      </c>
    </row>
    <row r="330" ht="15.75" customHeight="1">
      <c r="A330" s="3">
        <f t="shared" si="1"/>
        <v>328</v>
      </c>
      <c r="B330" s="4" t="s">
        <v>1449</v>
      </c>
      <c r="C330" s="8" t="s">
        <v>23</v>
      </c>
      <c r="D330" s="18" t="s">
        <v>1450</v>
      </c>
      <c r="E330" s="7" t="s">
        <v>1451</v>
      </c>
      <c r="F330" s="6" t="s">
        <v>437</v>
      </c>
      <c r="G330" s="6" t="s">
        <v>438</v>
      </c>
    </row>
    <row r="331" ht="15.75" customHeight="1">
      <c r="A331" s="3">
        <f t="shared" si="1"/>
        <v>329</v>
      </c>
      <c r="B331" s="9" t="s">
        <v>1452</v>
      </c>
      <c r="C331" s="17" t="s">
        <v>434</v>
      </c>
      <c r="D331" s="10" t="s">
        <v>1453</v>
      </c>
      <c r="E331" s="7" t="s">
        <v>1454</v>
      </c>
      <c r="F331" s="6" t="s">
        <v>437</v>
      </c>
      <c r="G331" s="6" t="s">
        <v>438</v>
      </c>
    </row>
    <row r="332" ht="15.75" customHeight="1">
      <c r="A332" s="3">
        <f t="shared" si="1"/>
        <v>330</v>
      </c>
      <c r="B332" s="9" t="s">
        <v>1455</v>
      </c>
      <c r="C332" s="5" t="s">
        <v>434</v>
      </c>
      <c r="D332" s="10" t="s">
        <v>1456</v>
      </c>
      <c r="E332" s="7" t="s">
        <v>1457</v>
      </c>
      <c r="F332" s="6" t="s">
        <v>437</v>
      </c>
      <c r="G332" s="6" t="s">
        <v>438</v>
      </c>
    </row>
    <row r="333" ht="15.75" customHeight="1">
      <c r="A333" s="3">
        <f t="shared" si="1"/>
        <v>331</v>
      </c>
      <c r="B333" s="30" t="s">
        <v>1458</v>
      </c>
      <c r="C333" s="12" t="s">
        <v>494</v>
      </c>
      <c r="D333" s="6" t="s">
        <v>1459</v>
      </c>
      <c r="E333" s="7" t="s">
        <v>1460</v>
      </c>
      <c r="F333" s="6" t="s">
        <v>437</v>
      </c>
      <c r="G333" s="6" t="s">
        <v>438</v>
      </c>
    </row>
    <row r="334" ht="15.75" customHeight="1">
      <c r="A334" s="3">
        <f t="shared" si="1"/>
        <v>332</v>
      </c>
      <c r="B334" s="4" t="s">
        <v>1461</v>
      </c>
      <c r="C334" s="8" t="s">
        <v>896</v>
      </c>
      <c r="D334" s="6" t="s">
        <v>1462</v>
      </c>
      <c r="E334" s="7" t="s">
        <v>1463</v>
      </c>
      <c r="F334" s="6" t="s">
        <v>437</v>
      </c>
      <c r="G334" s="6" t="s">
        <v>438</v>
      </c>
    </row>
    <row r="335" ht="15.75" customHeight="1">
      <c r="A335" s="3">
        <f t="shared" si="1"/>
        <v>333</v>
      </c>
      <c r="B335" s="33" t="s">
        <v>1464</v>
      </c>
      <c r="C335" s="12" t="s">
        <v>603</v>
      </c>
      <c r="D335" s="10" t="s">
        <v>1465</v>
      </c>
      <c r="E335" s="7" t="s">
        <v>1466</v>
      </c>
      <c r="F335" s="6" t="s">
        <v>437</v>
      </c>
      <c r="G335" s="6" t="s">
        <v>438</v>
      </c>
    </row>
    <row r="336" ht="15.75" customHeight="1">
      <c r="A336" s="3">
        <f t="shared" si="1"/>
        <v>334</v>
      </c>
      <c r="B336" s="16" t="s">
        <v>1467</v>
      </c>
      <c r="C336" s="17" t="s">
        <v>434</v>
      </c>
      <c r="D336" s="10" t="s">
        <v>1468</v>
      </c>
      <c r="E336" s="7" t="s">
        <v>1469</v>
      </c>
      <c r="F336" s="6" t="s">
        <v>437</v>
      </c>
      <c r="G336" s="6" t="s">
        <v>438</v>
      </c>
    </row>
    <row r="337" ht="15.75" customHeight="1">
      <c r="A337" s="3">
        <f t="shared" si="1"/>
        <v>335</v>
      </c>
      <c r="B337" s="9" t="s">
        <v>1470</v>
      </c>
      <c r="C337" s="5" t="s">
        <v>626</v>
      </c>
      <c r="D337" s="10" t="s">
        <v>1471</v>
      </c>
      <c r="E337" s="7" t="s">
        <v>1472</v>
      </c>
      <c r="F337" s="6" t="s">
        <v>437</v>
      </c>
      <c r="G337" s="6" t="s">
        <v>438</v>
      </c>
    </row>
    <row r="338" ht="15.75" customHeight="1">
      <c r="A338" s="3">
        <f t="shared" si="1"/>
        <v>336</v>
      </c>
      <c r="B338" s="11" t="s">
        <v>1473</v>
      </c>
      <c r="C338" s="5" t="s">
        <v>655</v>
      </c>
      <c r="D338" s="18" t="s">
        <v>1474</v>
      </c>
      <c r="E338" s="7" t="s">
        <v>1475</v>
      </c>
      <c r="F338" s="6" t="s">
        <v>437</v>
      </c>
      <c r="G338" s="6" t="s">
        <v>438</v>
      </c>
    </row>
    <row r="339" ht="15.75" customHeight="1">
      <c r="A339" s="3">
        <f t="shared" si="1"/>
        <v>337</v>
      </c>
      <c r="B339" s="16" t="s">
        <v>1476</v>
      </c>
      <c r="C339" s="17" t="s">
        <v>434</v>
      </c>
      <c r="D339" s="10" t="s">
        <v>1477</v>
      </c>
      <c r="E339" s="7" t="s">
        <v>1478</v>
      </c>
      <c r="F339" s="6" t="s">
        <v>437</v>
      </c>
      <c r="G339" s="6" t="s">
        <v>438</v>
      </c>
    </row>
    <row r="340" ht="15.75" customHeight="1">
      <c r="A340" s="3">
        <f t="shared" si="1"/>
        <v>338</v>
      </c>
      <c r="B340" s="16" t="s">
        <v>1479</v>
      </c>
      <c r="C340" s="17" t="s">
        <v>434</v>
      </c>
      <c r="D340" s="10" t="s">
        <v>1480</v>
      </c>
      <c r="E340" s="7" t="s">
        <v>1481</v>
      </c>
      <c r="F340" s="6" t="s">
        <v>437</v>
      </c>
      <c r="G340" s="6" t="s">
        <v>438</v>
      </c>
    </row>
    <row r="341" ht="15.75" customHeight="1">
      <c r="A341" s="3">
        <f t="shared" si="1"/>
        <v>339</v>
      </c>
      <c r="B341" s="30" t="s">
        <v>1482</v>
      </c>
      <c r="C341" s="12" t="s">
        <v>494</v>
      </c>
      <c r="D341" s="6" t="s">
        <v>1483</v>
      </c>
      <c r="E341" s="7" t="s">
        <v>1484</v>
      </c>
      <c r="F341" s="6" t="s">
        <v>437</v>
      </c>
      <c r="G341" s="6" t="s">
        <v>438</v>
      </c>
    </row>
    <row r="342" ht="15.75" customHeight="1">
      <c r="A342" s="3">
        <f t="shared" si="1"/>
        <v>340</v>
      </c>
      <c r="B342" s="19" t="s">
        <v>1485</v>
      </c>
      <c r="C342" s="8" t="s">
        <v>459</v>
      </c>
      <c r="D342" s="10" t="s">
        <v>1486</v>
      </c>
      <c r="E342" s="7" t="s">
        <v>1487</v>
      </c>
      <c r="F342" s="6" t="s">
        <v>437</v>
      </c>
      <c r="G342" s="6" t="s">
        <v>438</v>
      </c>
    </row>
    <row r="343" ht="15.75" customHeight="1">
      <c r="A343" s="3">
        <f t="shared" si="1"/>
        <v>341</v>
      </c>
      <c r="B343" s="36" t="s">
        <v>1488</v>
      </c>
      <c r="C343" s="12" t="s">
        <v>723</v>
      </c>
      <c r="D343" s="6" t="s">
        <v>1489</v>
      </c>
      <c r="E343" s="7" t="s">
        <v>1490</v>
      </c>
      <c r="F343" s="6" t="s">
        <v>437</v>
      </c>
      <c r="G343" s="6" t="s">
        <v>438</v>
      </c>
    </row>
    <row r="344" ht="15.75" customHeight="1">
      <c r="A344" s="3">
        <f t="shared" si="1"/>
        <v>342</v>
      </c>
      <c r="B344" s="4" t="s">
        <v>1491</v>
      </c>
      <c r="C344" s="5" t="s">
        <v>655</v>
      </c>
      <c r="D344" s="10" t="s">
        <v>1492</v>
      </c>
      <c r="E344" s="7" t="s">
        <v>1493</v>
      </c>
      <c r="F344" s="6" t="s">
        <v>437</v>
      </c>
      <c r="G344" s="6" t="s">
        <v>438</v>
      </c>
    </row>
    <row r="345" ht="15.75" customHeight="1">
      <c r="A345" s="3">
        <f t="shared" si="1"/>
        <v>343</v>
      </c>
      <c r="B345" s="9" t="s">
        <v>1494</v>
      </c>
      <c r="C345" s="5" t="s">
        <v>434</v>
      </c>
      <c r="D345" s="10" t="s">
        <v>1495</v>
      </c>
      <c r="E345" s="7" t="s">
        <v>1496</v>
      </c>
      <c r="F345" s="6" t="s">
        <v>437</v>
      </c>
      <c r="G345" s="6" t="s">
        <v>438</v>
      </c>
    </row>
    <row r="346" ht="15.75" customHeight="1">
      <c r="A346" s="3">
        <f t="shared" si="1"/>
        <v>344</v>
      </c>
      <c r="B346" s="40" t="s">
        <v>1497</v>
      </c>
      <c r="C346" s="5" t="s">
        <v>788</v>
      </c>
      <c r="D346" s="10" t="s">
        <v>1498</v>
      </c>
      <c r="E346" s="7" t="s">
        <v>1499</v>
      </c>
      <c r="F346" s="6" t="s">
        <v>437</v>
      </c>
      <c r="G346" s="6" t="s">
        <v>438</v>
      </c>
    </row>
    <row r="347" ht="15.75" customHeight="1">
      <c r="A347" s="3">
        <f t="shared" si="1"/>
        <v>345</v>
      </c>
      <c r="B347" s="21" t="s">
        <v>1500</v>
      </c>
      <c r="C347" s="8" t="s">
        <v>15</v>
      </c>
      <c r="D347" s="18" t="s">
        <v>1498</v>
      </c>
      <c r="E347" s="7" t="s">
        <v>1501</v>
      </c>
      <c r="F347" s="6" t="s">
        <v>437</v>
      </c>
      <c r="G347" s="6" t="s">
        <v>438</v>
      </c>
    </row>
    <row r="348" ht="15.75" customHeight="1">
      <c r="A348" s="3">
        <f t="shared" si="1"/>
        <v>346</v>
      </c>
      <c r="B348" s="39" t="s">
        <v>1502</v>
      </c>
      <c r="C348" s="45" t="s">
        <v>603</v>
      </c>
      <c r="D348" s="10" t="s">
        <v>1503</v>
      </c>
      <c r="E348" s="7" t="s">
        <v>1504</v>
      </c>
      <c r="F348" s="6" t="s">
        <v>437</v>
      </c>
      <c r="G348" s="6" t="s">
        <v>438</v>
      </c>
    </row>
    <row r="349" ht="15.75" customHeight="1">
      <c r="A349" s="3">
        <f t="shared" si="1"/>
        <v>347</v>
      </c>
      <c r="B349" s="21" t="s">
        <v>1505</v>
      </c>
      <c r="C349" s="8" t="s">
        <v>15</v>
      </c>
      <c r="D349" s="6" t="s">
        <v>1506</v>
      </c>
      <c r="E349" s="7" t="s">
        <v>1507</v>
      </c>
      <c r="F349" s="6" t="s">
        <v>437</v>
      </c>
      <c r="G349" s="6" t="s">
        <v>438</v>
      </c>
    </row>
    <row r="350" ht="15.75" customHeight="1">
      <c r="A350" s="3">
        <f t="shared" si="1"/>
        <v>348</v>
      </c>
      <c r="B350" s="19" t="s">
        <v>1508</v>
      </c>
      <c r="C350" s="5" t="s">
        <v>555</v>
      </c>
      <c r="D350" s="18" t="s">
        <v>1509</v>
      </c>
      <c r="E350" s="7" t="s">
        <v>1510</v>
      </c>
      <c r="F350" s="6" t="s">
        <v>437</v>
      </c>
      <c r="G350" s="6" t="s">
        <v>438</v>
      </c>
    </row>
    <row r="351" ht="15.75" customHeight="1">
      <c r="A351" s="3">
        <f t="shared" si="1"/>
        <v>349</v>
      </c>
      <c r="B351" s="9" t="s">
        <v>1511</v>
      </c>
      <c r="C351" s="14" t="s">
        <v>626</v>
      </c>
      <c r="D351" s="10" t="s">
        <v>1512</v>
      </c>
      <c r="E351" s="7" t="s">
        <v>1513</v>
      </c>
      <c r="F351" s="6" t="s">
        <v>437</v>
      </c>
      <c r="G351" s="6" t="s">
        <v>438</v>
      </c>
    </row>
    <row r="352" ht="15.75" customHeight="1">
      <c r="A352" s="3">
        <f t="shared" si="1"/>
        <v>350</v>
      </c>
      <c r="B352" s="19" t="s">
        <v>1514</v>
      </c>
      <c r="C352" s="8" t="s">
        <v>498</v>
      </c>
      <c r="D352" s="18" t="s">
        <v>1515</v>
      </c>
      <c r="E352" s="7" t="s">
        <v>1516</v>
      </c>
      <c r="F352" s="6" t="s">
        <v>437</v>
      </c>
      <c r="G352" s="6" t="s">
        <v>438</v>
      </c>
    </row>
    <row r="353" ht="15.75" customHeight="1">
      <c r="A353" s="3">
        <f t="shared" si="1"/>
        <v>351</v>
      </c>
      <c r="B353" s="9" t="s">
        <v>1517</v>
      </c>
      <c r="C353" s="5" t="s">
        <v>434</v>
      </c>
      <c r="D353" s="10" t="s">
        <v>1518</v>
      </c>
      <c r="E353" s="7" t="s">
        <v>1519</v>
      </c>
      <c r="F353" s="6" t="s">
        <v>437</v>
      </c>
      <c r="G353" s="6" t="s">
        <v>438</v>
      </c>
    </row>
    <row r="354" ht="15.75" customHeight="1">
      <c r="A354" s="3">
        <f t="shared" si="1"/>
        <v>352</v>
      </c>
      <c r="B354" s="19" t="s">
        <v>1520</v>
      </c>
      <c r="C354" s="8" t="s">
        <v>847</v>
      </c>
      <c r="D354" s="10" t="s">
        <v>1521</v>
      </c>
      <c r="E354" s="7" t="s">
        <v>1522</v>
      </c>
      <c r="F354" s="6" t="s">
        <v>437</v>
      </c>
      <c r="G354" s="6" t="s">
        <v>438</v>
      </c>
    </row>
    <row r="355" ht="15.75" customHeight="1">
      <c r="A355" s="3">
        <f t="shared" si="1"/>
        <v>353</v>
      </c>
      <c r="B355" s="19" t="s">
        <v>1523</v>
      </c>
      <c r="C355" s="5" t="s">
        <v>555</v>
      </c>
      <c r="D355" s="10" t="s">
        <v>1524</v>
      </c>
      <c r="E355" s="7" t="s">
        <v>1525</v>
      </c>
      <c r="F355" s="6" t="s">
        <v>437</v>
      </c>
      <c r="G355" s="6" t="s">
        <v>438</v>
      </c>
    </row>
    <row r="356" ht="15.75" customHeight="1">
      <c r="A356" s="3">
        <f t="shared" si="1"/>
        <v>354</v>
      </c>
      <c r="B356" s="4" t="s">
        <v>1526</v>
      </c>
      <c r="C356" s="8" t="s">
        <v>23</v>
      </c>
      <c r="D356" s="18" t="s">
        <v>1527</v>
      </c>
      <c r="E356" s="7" t="s">
        <v>1528</v>
      </c>
      <c r="F356" s="6" t="s">
        <v>437</v>
      </c>
      <c r="G356" s="6" t="s">
        <v>438</v>
      </c>
    </row>
    <row r="357" ht="15.75" customHeight="1">
      <c r="A357" s="3">
        <f t="shared" si="1"/>
        <v>355</v>
      </c>
      <c r="B357" s="30" t="s">
        <v>1529</v>
      </c>
      <c r="C357" s="12" t="s">
        <v>494</v>
      </c>
      <c r="D357" s="6" t="s">
        <v>1530</v>
      </c>
      <c r="E357" s="7" t="s">
        <v>1531</v>
      </c>
      <c r="F357" s="6" t="s">
        <v>437</v>
      </c>
      <c r="G357" s="6" t="s">
        <v>438</v>
      </c>
    </row>
    <row r="358" ht="15.75" customHeight="1">
      <c r="A358" s="3">
        <f t="shared" si="1"/>
        <v>356</v>
      </c>
      <c r="B358" s="31" t="s">
        <v>1532</v>
      </c>
      <c r="C358" s="12" t="s">
        <v>502</v>
      </c>
      <c r="D358" s="6" t="s">
        <v>1533</v>
      </c>
      <c r="E358" s="7" t="s">
        <v>1534</v>
      </c>
      <c r="F358" s="6" t="s">
        <v>437</v>
      </c>
      <c r="G358" s="6" t="s">
        <v>438</v>
      </c>
    </row>
    <row r="359" ht="15.75" customHeight="1">
      <c r="A359" s="3">
        <f t="shared" si="1"/>
        <v>357</v>
      </c>
      <c r="B359" s="9" t="s">
        <v>1535</v>
      </c>
      <c r="C359" s="5" t="s">
        <v>434</v>
      </c>
      <c r="D359" s="10" t="s">
        <v>1536</v>
      </c>
      <c r="E359" s="7" t="s">
        <v>1537</v>
      </c>
      <c r="F359" s="6" t="s">
        <v>437</v>
      </c>
      <c r="G359" s="6" t="s">
        <v>438</v>
      </c>
    </row>
    <row r="360" ht="15.75" customHeight="1">
      <c r="A360" s="3">
        <f t="shared" si="1"/>
        <v>358</v>
      </c>
      <c r="B360" s="21" t="s">
        <v>1538</v>
      </c>
      <c r="C360" s="8" t="s">
        <v>126</v>
      </c>
      <c r="D360" s="6" t="s">
        <v>1539</v>
      </c>
      <c r="E360" s="7" t="s">
        <v>1540</v>
      </c>
      <c r="F360" s="6" t="s">
        <v>437</v>
      </c>
      <c r="G360" s="6" t="s">
        <v>438</v>
      </c>
    </row>
    <row r="361" ht="15.75" customHeight="1">
      <c r="A361" s="3">
        <f t="shared" si="1"/>
        <v>359</v>
      </c>
      <c r="B361" s="33" t="s">
        <v>1541</v>
      </c>
      <c r="C361" s="12" t="s">
        <v>610</v>
      </c>
      <c r="D361" s="6" t="s">
        <v>1542</v>
      </c>
      <c r="E361" s="7" t="s">
        <v>1543</v>
      </c>
      <c r="F361" s="6" t="s">
        <v>437</v>
      </c>
      <c r="G361" s="6" t="s">
        <v>438</v>
      </c>
    </row>
    <row r="362" ht="15.75" customHeight="1">
      <c r="A362" s="3">
        <f t="shared" si="1"/>
        <v>360</v>
      </c>
      <c r="B362" s="4" t="s">
        <v>1544</v>
      </c>
      <c r="C362" s="8" t="s">
        <v>23</v>
      </c>
      <c r="D362" s="18" t="s">
        <v>1545</v>
      </c>
      <c r="E362" s="7" t="s">
        <v>1546</v>
      </c>
      <c r="F362" s="6" t="s">
        <v>437</v>
      </c>
      <c r="G362" s="6" t="s">
        <v>438</v>
      </c>
    </row>
    <row r="363" ht="15.75" customHeight="1">
      <c r="A363" s="3">
        <f t="shared" si="1"/>
        <v>361</v>
      </c>
      <c r="B363" s="9" t="s">
        <v>1547</v>
      </c>
      <c r="C363" s="17" t="s">
        <v>434</v>
      </c>
      <c r="D363" s="10" t="s">
        <v>1548</v>
      </c>
      <c r="E363" s="7" t="s">
        <v>1549</v>
      </c>
      <c r="F363" s="6" t="s">
        <v>437</v>
      </c>
      <c r="G363" s="6" t="s">
        <v>438</v>
      </c>
    </row>
    <row r="364" ht="15.75" customHeight="1">
      <c r="A364" s="3">
        <f t="shared" si="1"/>
        <v>362</v>
      </c>
      <c r="B364" s="21" t="s">
        <v>1550</v>
      </c>
      <c r="C364" s="8" t="s">
        <v>15</v>
      </c>
      <c r="D364" s="18" t="s">
        <v>1551</v>
      </c>
      <c r="E364" s="7" t="s">
        <v>1552</v>
      </c>
      <c r="F364" s="6" t="s">
        <v>437</v>
      </c>
      <c r="G364" s="6" t="s">
        <v>438</v>
      </c>
    </row>
    <row r="365" ht="15.75" customHeight="1">
      <c r="A365" s="3">
        <f t="shared" si="1"/>
        <v>363</v>
      </c>
      <c r="B365" s="4" t="s">
        <v>1553</v>
      </c>
      <c r="C365" s="8" t="s">
        <v>659</v>
      </c>
      <c r="D365" s="18" t="s">
        <v>1554</v>
      </c>
      <c r="E365" s="7" t="s">
        <v>1555</v>
      </c>
      <c r="F365" s="6" t="s">
        <v>437</v>
      </c>
      <c r="G365" s="6" t="s">
        <v>438</v>
      </c>
    </row>
    <row r="366" ht="15.75" customHeight="1">
      <c r="A366" s="3">
        <f t="shared" si="1"/>
        <v>364</v>
      </c>
      <c r="B366" s="42" t="s">
        <v>1556</v>
      </c>
      <c r="C366" s="12" t="s">
        <v>723</v>
      </c>
      <c r="D366" s="6" t="s">
        <v>1557</v>
      </c>
      <c r="E366" s="7" t="s">
        <v>1558</v>
      </c>
      <c r="F366" s="6" t="s">
        <v>437</v>
      </c>
      <c r="G366" s="6" t="s">
        <v>438</v>
      </c>
    </row>
    <row r="367" ht="15.75" customHeight="1">
      <c r="A367" s="3">
        <f t="shared" si="1"/>
        <v>365</v>
      </c>
      <c r="B367" s="33" t="s">
        <v>1559</v>
      </c>
      <c r="C367" s="12" t="s">
        <v>610</v>
      </c>
      <c r="D367" s="10" t="s">
        <v>1560</v>
      </c>
      <c r="E367" s="7" t="s">
        <v>1561</v>
      </c>
      <c r="F367" s="6" t="s">
        <v>437</v>
      </c>
      <c r="G367" s="6" t="s">
        <v>438</v>
      </c>
    </row>
    <row r="368" ht="15.75" customHeight="1">
      <c r="A368" s="3">
        <f t="shared" si="1"/>
        <v>366</v>
      </c>
      <c r="B368" s="33" t="s">
        <v>1562</v>
      </c>
      <c r="C368" s="12" t="s">
        <v>610</v>
      </c>
      <c r="D368" s="6" t="s">
        <v>1563</v>
      </c>
      <c r="E368" s="7" t="s">
        <v>1564</v>
      </c>
      <c r="F368" s="6" t="s">
        <v>437</v>
      </c>
      <c r="G368" s="6" t="s">
        <v>438</v>
      </c>
    </row>
    <row r="369" ht="15.75" customHeight="1">
      <c r="A369" s="3">
        <f t="shared" si="1"/>
        <v>367</v>
      </c>
      <c r="B369" s="4" t="s">
        <v>1565</v>
      </c>
      <c r="C369" s="8" t="s">
        <v>15</v>
      </c>
      <c r="D369" s="6" t="s">
        <v>1566</v>
      </c>
      <c r="E369" s="7" t="s">
        <v>1567</v>
      </c>
      <c r="F369" s="6" t="s">
        <v>437</v>
      </c>
      <c r="G369" s="6" t="s">
        <v>438</v>
      </c>
    </row>
    <row r="370" ht="15.75" customHeight="1">
      <c r="A370" s="3">
        <f t="shared" si="1"/>
        <v>368</v>
      </c>
      <c r="B370" s="4" t="s">
        <v>1568</v>
      </c>
      <c r="C370" s="8" t="s">
        <v>1027</v>
      </c>
      <c r="D370" s="18" t="s">
        <v>1569</v>
      </c>
      <c r="E370" s="7" t="s">
        <v>1570</v>
      </c>
      <c r="F370" s="6" t="s">
        <v>437</v>
      </c>
      <c r="G370" s="6" t="s">
        <v>438</v>
      </c>
    </row>
    <row r="371" ht="15.75" customHeight="1">
      <c r="A371" s="3">
        <f t="shared" si="1"/>
        <v>369</v>
      </c>
      <c r="B371" s="40" t="s">
        <v>1571</v>
      </c>
      <c r="C371" s="5" t="s">
        <v>788</v>
      </c>
      <c r="D371" s="10" t="s">
        <v>1572</v>
      </c>
      <c r="E371" s="7" t="s">
        <v>1573</v>
      </c>
      <c r="F371" s="6" t="s">
        <v>437</v>
      </c>
      <c r="G371" s="6" t="s">
        <v>438</v>
      </c>
    </row>
    <row r="372" ht="15.75" customHeight="1">
      <c r="A372" s="3">
        <f t="shared" si="1"/>
        <v>370</v>
      </c>
      <c r="B372" s="9" t="s">
        <v>1574</v>
      </c>
      <c r="C372" s="17" t="s">
        <v>434</v>
      </c>
      <c r="D372" s="10" t="s">
        <v>1575</v>
      </c>
      <c r="E372" s="7" t="s">
        <v>1576</v>
      </c>
      <c r="F372" s="6" t="s">
        <v>437</v>
      </c>
      <c r="G372" s="6" t="s">
        <v>438</v>
      </c>
    </row>
    <row r="373" ht="15.75" customHeight="1">
      <c r="A373" s="3">
        <f t="shared" si="1"/>
        <v>371</v>
      </c>
      <c r="B373" s="9" t="s">
        <v>1577</v>
      </c>
      <c r="C373" s="17" t="s">
        <v>626</v>
      </c>
      <c r="D373" s="10" t="s">
        <v>1578</v>
      </c>
      <c r="E373" s="7" t="s">
        <v>1579</v>
      </c>
      <c r="F373" s="6" t="s">
        <v>437</v>
      </c>
      <c r="G373" s="6" t="s">
        <v>438</v>
      </c>
    </row>
    <row r="374" ht="15.75" customHeight="1">
      <c r="A374" s="3">
        <f t="shared" si="1"/>
        <v>372</v>
      </c>
      <c r="B374" s="21" t="s">
        <v>1580</v>
      </c>
      <c r="C374" s="8" t="s">
        <v>15</v>
      </c>
      <c r="D374" s="6" t="s">
        <v>1581</v>
      </c>
      <c r="E374" s="7" t="s">
        <v>1582</v>
      </c>
      <c r="F374" s="6" t="s">
        <v>437</v>
      </c>
      <c r="G374" s="6" t="s">
        <v>438</v>
      </c>
    </row>
    <row r="375" ht="15.75" customHeight="1">
      <c r="A375" s="3">
        <f t="shared" si="1"/>
        <v>373</v>
      </c>
      <c r="B375" s="30" t="s">
        <v>1583</v>
      </c>
      <c r="C375" s="12" t="s">
        <v>494</v>
      </c>
      <c r="D375" s="6" t="s">
        <v>1584</v>
      </c>
      <c r="E375" s="7" t="s">
        <v>1585</v>
      </c>
      <c r="F375" s="6" t="s">
        <v>437</v>
      </c>
      <c r="G375" s="6" t="s">
        <v>438</v>
      </c>
    </row>
    <row r="376" ht="15.75" customHeight="1">
      <c r="A376" s="3">
        <f t="shared" si="1"/>
        <v>374</v>
      </c>
      <c r="B376" s="4" t="s">
        <v>1586</v>
      </c>
      <c r="C376" s="8" t="s">
        <v>23</v>
      </c>
      <c r="D376" s="18" t="s">
        <v>1584</v>
      </c>
      <c r="E376" s="7" t="s">
        <v>1587</v>
      </c>
      <c r="F376" s="6" t="s">
        <v>437</v>
      </c>
      <c r="G376" s="6" t="s">
        <v>438</v>
      </c>
    </row>
    <row r="377" ht="15.75" customHeight="1">
      <c r="A377" s="3">
        <f t="shared" si="1"/>
        <v>375</v>
      </c>
      <c r="B377" s="21" t="s">
        <v>1588</v>
      </c>
      <c r="C377" s="8" t="s">
        <v>126</v>
      </c>
      <c r="D377" s="6" t="s">
        <v>1589</v>
      </c>
      <c r="E377" s="7" t="s">
        <v>1590</v>
      </c>
      <c r="F377" s="6" t="s">
        <v>437</v>
      </c>
      <c r="G377" s="6" t="s">
        <v>438</v>
      </c>
    </row>
    <row r="378" ht="15.75" customHeight="1">
      <c r="A378" s="3">
        <f t="shared" si="1"/>
        <v>376</v>
      </c>
      <c r="B378" s="9" t="s">
        <v>1591</v>
      </c>
      <c r="C378" s="17" t="s">
        <v>626</v>
      </c>
      <c r="D378" s="10" t="s">
        <v>1592</v>
      </c>
      <c r="E378" s="7" t="s">
        <v>1593</v>
      </c>
      <c r="F378" s="6" t="s">
        <v>437</v>
      </c>
      <c r="G378" s="6" t="s">
        <v>438</v>
      </c>
    </row>
    <row r="379" ht="15.75" customHeight="1">
      <c r="A379" s="3">
        <f t="shared" si="1"/>
        <v>377</v>
      </c>
      <c r="B379" s="21" t="s">
        <v>1594</v>
      </c>
      <c r="C379" s="8" t="s">
        <v>126</v>
      </c>
      <c r="D379" s="6" t="s">
        <v>1595</v>
      </c>
      <c r="E379" s="7" t="s">
        <v>1596</v>
      </c>
      <c r="F379" s="6" t="s">
        <v>437</v>
      </c>
      <c r="G379" s="6" t="s">
        <v>438</v>
      </c>
    </row>
    <row r="380" ht="15.75" customHeight="1">
      <c r="A380" s="3">
        <f t="shared" si="1"/>
        <v>378</v>
      </c>
      <c r="B380" s="4" t="s">
        <v>1597</v>
      </c>
      <c r="C380" s="8" t="s">
        <v>951</v>
      </c>
      <c r="D380" s="6" t="s">
        <v>1598</v>
      </c>
      <c r="E380" s="7" t="s">
        <v>1599</v>
      </c>
      <c r="F380" s="6" t="s">
        <v>437</v>
      </c>
      <c r="G380" s="6" t="s">
        <v>438</v>
      </c>
    </row>
    <row r="381" ht="15.75" customHeight="1">
      <c r="A381" s="3">
        <f t="shared" si="1"/>
        <v>379</v>
      </c>
      <c r="B381" s="11" t="s">
        <v>1600</v>
      </c>
      <c r="C381" s="17" t="s">
        <v>1601</v>
      </c>
      <c r="D381" s="18" t="s">
        <v>1598</v>
      </c>
      <c r="E381" s="7" t="s">
        <v>1602</v>
      </c>
      <c r="F381" s="6" t="s">
        <v>437</v>
      </c>
      <c r="G381" s="6" t="s">
        <v>438</v>
      </c>
    </row>
    <row r="382" ht="15.75" customHeight="1">
      <c r="A382" s="3">
        <f t="shared" si="1"/>
        <v>380</v>
      </c>
      <c r="B382" s="31" t="s">
        <v>1603</v>
      </c>
      <c r="C382" s="12" t="s">
        <v>502</v>
      </c>
      <c r="D382" s="18" t="s">
        <v>1604</v>
      </c>
      <c r="E382" s="7" t="s">
        <v>1605</v>
      </c>
      <c r="F382" s="6" t="s">
        <v>437</v>
      </c>
      <c r="G382" s="6" t="s">
        <v>438</v>
      </c>
    </row>
    <row r="383" ht="15.75" customHeight="1">
      <c r="A383" s="3">
        <f t="shared" si="1"/>
        <v>381</v>
      </c>
      <c r="B383" s="9" t="s">
        <v>1606</v>
      </c>
      <c r="C383" s="17" t="s">
        <v>434</v>
      </c>
      <c r="D383" s="10" t="s">
        <v>1607</v>
      </c>
      <c r="E383" s="7" t="s">
        <v>1608</v>
      </c>
      <c r="F383" s="6" t="s">
        <v>437</v>
      </c>
      <c r="G383" s="6" t="s">
        <v>438</v>
      </c>
    </row>
    <row r="384" ht="15.75" customHeight="1">
      <c r="A384" s="3">
        <f t="shared" si="1"/>
        <v>382</v>
      </c>
      <c r="B384" s="30" t="s">
        <v>1609</v>
      </c>
      <c r="C384" s="12" t="s">
        <v>494</v>
      </c>
      <c r="D384" s="6" t="s">
        <v>1610</v>
      </c>
      <c r="E384" s="7" t="s">
        <v>1611</v>
      </c>
      <c r="F384" s="6" t="s">
        <v>437</v>
      </c>
      <c r="G384" s="6" t="s">
        <v>438</v>
      </c>
    </row>
    <row r="385" ht="15.75" customHeight="1">
      <c r="A385" s="3">
        <f t="shared" si="1"/>
        <v>383</v>
      </c>
      <c r="B385" s="11" t="s">
        <v>1612</v>
      </c>
      <c r="C385" s="12" t="s">
        <v>469</v>
      </c>
      <c r="D385" s="18" t="s">
        <v>1613</v>
      </c>
      <c r="E385" s="7" t="s">
        <v>1614</v>
      </c>
      <c r="F385" s="6" t="s">
        <v>437</v>
      </c>
      <c r="G385" s="6" t="s">
        <v>438</v>
      </c>
    </row>
    <row r="386" ht="15.75" customHeight="1">
      <c r="A386" s="3">
        <f t="shared" si="1"/>
        <v>384</v>
      </c>
      <c r="B386" s="9" t="s">
        <v>1615</v>
      </c>
      <c r="C386" s="17" t="s">
        <v>434</v>
      </c>
      <c r="D386" s="10" t="s">
        <v>1616</v>
      </c>
      <c r="E386" s="7" t="s">
        <v>1617</v>
      </c>
      <c r="F386" s="6" t="s">
        <v>437</v>
      </c>
      <c r="G386" s="6" t="s">
        <v>438</v>
      </c>
    </row>
    <row r="387" ht="15.75" customHeight="1">
      <c r="A387" s="3">
        <f t="shared" si="1"/>
        <v>385</v>
      </c>
      <c r="B387" s="9" t="s">
        <v>1618</v>
      </c>
      <c r="C387" s="5" t="s">
        <v>434</v>
      </c>
      <c r="D387" s="18" t="s">
        <v>1619</v>
      </c>
      <c r="E387" s="7" t="s">
        <v>1620</v>
      </c>
      <c r="F387" s="6" t="s">
        <v>437</v>
      </c>
      <c r="G387" s="6" t="s">
        <v>438</v>
      </c>
    </row>
    <row r="388" ht="15.75" customHeight="1">
      <c r="A388" s="3">
        <f t="shared" si="1"/>
        <v>386</v>
      </c>
      <c r="B388" s="4" t="s">
        <v>1621</v>
      </c>
      <c r="C388" s="8" t="s">
        <v>1027</v>
      </c>
      <c r="D388" s="6" t="s">
        <v>1622</v>
      </c>
      <c r="E388" s="7" t="s">
        <v>1623</v>
      </c>
      <c r="F388" s="6" t="s">
        <v>437</v>
      </c>
      <c r="G388" s="6" t="s">
        <v>438</v>
      </c>
    </row>
    <row r="389" ht="15.75" customHeight="1">
      <c r="A389" s="3">
        <f t="shared" si="1"/>
        <v>387</v>
      </c>
      <c r="B389" s="9" t="s">
        <v>1624</v>
      </c>
      <c r="C389" s="5" t="s">
        <v>434</v>
      </c>
      <c r="D389" s="6" t="s">
        <v>1625</v>
      </c>
      <c r="E389" s="7" t="s">
        <v>1626</v>
      </c>
      <c r="F389" s="6" t="s">
        <v>437</v>
      </c>
      <c r="G389" s="6" t="s">
        <v>438</v>
      </c>
    </row>
    <row r="390" ht="15.75" customHeight="1">
      <c r="A390" s="3">
        <f t="shared" si="1"/>
        <v>388</v>
      </c>
      <c r="B390" s="9" t="s">
        <v>1627</v>
      </c>
      <c r="C390" s="17" t="s">
        <v>434</v>
      </c>
      <c r="D390" s="10" t="s">
        <v>1628</v>
      </c>
      <c r="E390" s="7" t="s">
        <v>1629</v>
      </c>
      <c r="F390" s="6" t="s">
        <v>437</v>
      </c>
      <c r="G390" s="6" t="s">
        <v>438</v>
      </c>
    </row>
    <row r="391" ht="15.75" customHeight="1">
      <c r="A391" s="3">
        <f t="shared" si="1"/>
        <v>389</v>
      </c>
      <c r="B391" s="9" t="s">
        <v>1630</v>
      </c>
      <c r="C391" s="17" t="s">
        <v>434</v>
      </c>
      <c r="D391" s="10" t="s">
        <v>1631</v>
      </c>
      <c r="E391" s="7" t="s">
        <v>1632</v>
      </c>
      <c r="F391" s="6" t="s">
        <v>437</v>
      </c>
      <c r="G391" s="6" t="s">
        <v>438</v>
      </c>
    </row>
    <row r="392" ht="15.75" customHeight="1">
      <c r="A392" s="3">
        <f t="shared" si="1"/>
        <v>390</v>
      </c>
      <c r="B392" s="31" t="s">
        <v>1633</v>
      </c>
      <c r="C392" s="12" t="s">
        <v>477</v>
      </c>
      <c r="D392" s="6" t="s">
        <v>1634</v>
      </c>
      <c r="E392" s="7" t="s">
        <v>1635</v>
      </c>
      <c r="F392" s="6" t="s">
        <v>437</v>
      </c>
      <c r="G392" s="6" t="s">
        <v>438</v>
      </c>
    </row>
    <row r="393" ht="15.75" customHeight="1">
      <c r="A393" s="3">
        <f t="shared" si="1"/>
        <v>391</v>
      </c>
      <c r="B393" s="42" t="s">
        <v>1636</v>
      </c>
      <c r="C393" s="12" t="s">
        <v>723</v>
      </c>
      <c r="D393" s="6" t="s">
        <v>1637</v>
      </c>
      <c r="E393" s="7" t="s">
        <v>1638</v>
      </c>
      <c r="F393" s="6" t="s">
        <v>437</v>
      </c>
      <c r="G393" s="6" t="s">
        <v>438</v>
      </c>
    </row>
    <row r="394" ht="15.75" customHeight="1">
      <c r="A394" s="3">
        <f t="shared" si="1"/>
        <v>392</v>
      </c>
      <c r="B394" s="9" t="s">
        <v>1639</v>
      </c>
      <c r="C394" s="17" t="s">
        <v>626</v>
      </c>
      <c r="D394" s="10" t="s">
        <v>1640</v>
      </c>
      <c r="E394" s="7" t="s">
        <v>1641</v>
      </c>
      <c r="F394" s="6" t="s">
        <v>437</v>
      </c>
      <c r="G394" s="6" t="s">
        <v>438</v>
      </c>
    </row>
    <row r="395" ht="15.75" customHeight="1">
      <c r="A395" s="3">
        <f t="shared" si="1"/>
        <v>393</v>
      </c>
      <c r="B395" s="31" t="s">
        <v>1642</v>
      </c>
      <c r="C395" s="12" t="s">
        <v>477</v>
      </c>
      <c r="D395" s="6" t="s">
        <v>1643</v>
      </c>
      <c r="E395" s="7" t="s">
        <v>1644</v>
      </c>
      <c r="F395" s="6" t="s">
        <v>437</v>
      </c>
      <c r="G395" s="6" t="s">
        <v>438</v>
      </c>
    </row>
    <row r="396" ht="15.75" customHeight="1">
      <c r="A396" s="3">
        <f t="shared" si="1"/>
        <v>394</v>
      </c>
      <c r="B396" s="21" t="s">
        <v>1645</v>
      </c>
      <c r="C396" s="8" t="s">
        <v>126</v>
      </c>
      <c r="D396" s="6" t="s">
        <v>1646</v>
      </c>
      <c r="E396" s="7" t="s">
        <v>1647</v>
      </c>
      <c r="F396" s="6" t="s">
        <v>437</v>
      </c>
      <c r="G396" s="6" t="s">
        <v>438</v>
      </c>
    </row>
    <row r="397" ht="15.75" customHeight="1">
      <c r="A397" s="3">
        <f t="shared" si="1"/>
        <v>395</v>
      </c>
      <c r="B397" s="19" t="s">
        <v>1648</v>
      </c>
      <c r="C397" s="8" t="s">
        <v>498</v>
      </c>
      <c r="D397" s="10" t="s">
        <v>1649</v>
      </c>
      <c r="E397" s="7" t="s">
        <v>1650</v>
      </c>
      <c r="F397" s="6" t="s">
        <v>437</v>
      </c>
      <c r="G397" s="6" t="s">
        <v>438</v>
      </c>
    </row>
    <row r="398" ht="15.75" customHeight="1">
      <c r="A398" s="3">
        <f t="shared" si="1"/>
        <v>396</v>
      </c>
      <c r="B398" s="30" t="s">
        <v>1651</v>
      </c>
      <c r="C398" s="12" t="s">
        <v>610</v>
      </c>
      <c r="D398" s="6" t="s">
        <v>1652</v>
      </c>
      <c r="E398" s="7" t="s">
        <v>1653</v>
      </c>
      <c r="F398" s="6" t="s">
        <v>437</v>
      </c>
      <c r="G398" s="6" t="s">
        <v>438</v>
      </c>
    </row>
    <row r="399" ht="15.75" customHeight="1">
      <c r="A399" s="3">
        <f t="shared" si="1"/>
        <v>397</v>
      </c>
      <c r="B399" s="9" t="s">
        <v>1654</v>
      </c>
      <c r="C399" s="52" t="s">
        <v>434</v>
      </c>
      <c r="D399" s="10" t="s">
        <v>1655</v>
      </c>
      <c r="E399" s="7" t="s">
        <v>1656</v>
      </c>
      <c r="F399" s="6" t="s">
        <v>437</v>
      </c>
      <c r="G399" s="6" t="s">
        <v>438</v>
      </c>
    </row>
    <row r="400" ht="15.75" customHeight="1">
      <c r="A400" s="3">
        <f t="shared" si="1"/>
        <v>398</v>
      </c>
      <c r="B400" s="11" t="s">
        <v>1657</v>
      </c>
      <c r="C400" s="5" t="s">
        <v>655</v>
      </c>
      <c r="D400" s="18" t="s">
        <v>1658</v>
      </c>
      <c r="E400" s="7" t="s">
        <v>1659</v>
      </c>
      <c r="F400" s="6" t="s">
        <v>437</v>
      </c>
      <c r="G400" s="6" t="s">
        <v>438</v>
      </c>
    </row>
    <row r="401" ht="15.75" customHeight="1">
      <c r="A401" s="3">
        <f t="shared" si="1"/>
        <v>399</v>
      </c>
      <c r="B401" s="4" t="s">
        <v>1660</v>
      </c>
      <c r="C401" s="8" t="s">
        <v>659</v>
      </c>
      <c r="D401" s="18" t="s">
        <v>1661</v>
      </c>
      <c r="E401" s="7" t="s">
        <v>1662</v>
      </c>
      <c r="F401" s="6" t="s">
        <v>437</v>
      </c>
      <c r="G401" s="6" t="s">
        <v>438</v>
      </c>
    </row>
    <row r="402" ht="15.75" customHeight="1">
      <c r="A402" s="3">
        <f t="shared" si="1"/>
        <v>400</v>
      </c>
      <c r="B402" s="4" t="s">
        <v>1663</v>
      </c>
      <c r="C402" s="8" t="s">
        <v>23</v>
      </c>
      <c r="D402" s="18" t="s">
        <v>1664</v>
      </c>
      <c r="E402" s="7" t="s">
        <v>1665</v>
      </c>
      <c r="F402" s="6" t="s">
        <v>437</v>
      </c>
      <c r="G402" s="6" t="s">
        <v>438</v>
      </c>
    </row>
    <row r="403" ht="15.75" customHeight="1">
      <c r="A403" s="3">
        <f t="shared" si="1"/>
        <v>401</v>
      </c>
      <c r="B403" s="4" t="s">
        <v>1666</v>
      </c>
      <c r="C403" s="8" t="s">
        <v>1065</v>
      </c>
      <c r="D403" s="6" t="s">
        <v>1667</v>
      </c>
      <c r="E403" s="7" t="s">
        <v>1668</v>
      </c>
      <c r="F403" s="6" t="s">
        <v>437</v>
      </c>
      <c r="G403" s="6" t="s">
        <v>438</v>
      </c>
    </row>
    <row r="404" ht="15.75" customHeight="1">
      <c r="A404" s="3">
        <f t="shared" si="1"/>
        <v>402</v>
      </c>
      <c r="B404" s="4" t="s">
        <v>1669</v>
      </c>
      <c r="C404" s="5" t="s">
        <v>519</v>
      </c>
      <c r="D404" s="6" t="s">
        <v>1670</v>
      </c>
      <c r="E404" s="7" t="s">
        <v>1671</v>
      </c>
      <c r="F404" s="6" t="s">
        <v>437</v>
      </c>
      <c r="G404" s="6" t="s">
        <v>438</v>
      </c>
    </row>
    <row r="405" ht="15.75" customHeight="1">
      <c r="A405" s="3">
        <f t="shared" si="1"/>
        <v>403</v>
      </c>
      <c r="B405" s="4" t="s">
        <v>1672</v>
      </c>
      <c r="C405" s="8" t="s">
        <v>23</v>
      </c>
      <c r="D405" s="18" t="s">
        <v>1673</v>
      </c>
      <c r="E405" s="7" t="s">
        <v>1674</v>
      </c>
      <c r="F405" s="6" t="s">
        <v>437</v>
      </c>
      <c r="G405" s="6" t="s">
        <v>438</v>
      </c>
    </row>
    <row r="406" ht="15.75" customHeight="1">
      <c r="A406" s="3">
        <f t="shared" si="1"/>
        <v>404</v>
      </c>
      <c r="B406" s="16" t="s">
        <v>1675</v>
      </c>
      <c r="C406" s="17" t="s">
        <v>434</v>
      </c>
      <c r="D406" s="10" t="s">
        <v>1676</v>
      </c>
      <c r="E406" s="7" t="s">
        <v>1677</v>
      </c>
      <c r="F406" s="6" t="s">
        <v>437</v>
      </c>
      <c r="G406" s="6" t="s">
        <v>438</v>
      </c>
    </row>
    <row r="407" ht="15.75" customHeight="1">
      <c r="A407" s="3">
        <f t="shared" si="1"/>
        <v>405</v>
      </c>
      <c r="B407" s="30" t="s">
        <v>1678</v>
      </c>
      <c r="C407" s="12" t="s">
        <v>494</v>
      </c>
      <c r="D407" s="6" t="s">
        <v>1679</v>
      </c>
      <c r="E407" s="7" t="s">
        <v>1680</v>
      </c>
      <c r="F407" s="6" t="s">
        <v>437</v>
      </c>
      <c r="G407" s="6" t="s">
        <v>438</v>
      </c>
    </row>
    <row r="408" ht="15.75" customHeight="1">
      <c r="A408" s="3">
        <f t="shared" si="1"/>
        <v>406</v>
      </c>
      <c r="B408" s="53" t="s">
        <v>1681</v>
      </c>
      <c r="C408" s="17" t="s">
        <v>434</v>
      </c>
      <c r="D408" s="18" t="s">
        <v>1682</v>
      </c>
      <c r="E408" s="7" t="s">
        <v>1683</v>
      </c>
      <c r="F408" s="6" t="s">
        <v>437</v>
      </c>
      <c r="G408" s="6" t="s">
        <v>438</v>
      </c>
    </row>
    <row r="409" ht="15.75" customHeight="1">
      <c r="A409" s="3">
        <f t="shared" si="1"/>
        <v>407</v>
      </c>
      <c r="B409" s="54" t="s">
        <v>1684</v>
      </c>
      <c r="C409" s="8" t="s">
        <v>126</v>
      </c>
      <c r="D409" s="6" t="s">
        <v>1685</v>
      </c>
      <c r="E409" s="7" t="s">
        <v>1686</v>
      </c>
      <c r="F409" s="6" t="s">
        <v>437</v>
      </c>
      <c r="G409" s="6" t="s">
        <v>438</v>
      </c>
    </row>
    <row r="410" ht="15.75" customHeight="1">
      <c r="A410" s="3">
        <f t="shared" si="1"/>
        <v>408</v>
      </c>
      <c r="B410" s="37" t="s">
        <v>1687</v>
      </c>
      <c r="C410" s="8" t="s">
        <v>126</v>
      </c>
      <c r="D410" s="10" t="s">
        <v>1688</v>
      </c>
      <c r="E410" s="7" t="s">
        <v>1689</v>
      </c>
      <c r="F410" s="6" t="s">
        <v>437</v>
      </c>
      <c r="G410" s="6" t="s">
        <v>438</v>
      </c>
    </row>
    <row r="411" ht="15.75" customHeight="1">
      <c r="A411" s="3">
        <f t="shared" si="1"/>
        <v>409</v>
      </c>
      <c r="B411" s="21" t="s">
        <v>1690</v>
      </c>
      <c r="C411" s="8" t="s">
        <v>126</v>
      </c>
      <c r="D411" s="6" t="s">
        <v>1691</v>
      </c>
      <c r="E411" s="7" t="s">
        <v>1692</v>
      </c>
      <c r="F411" s="6" t="s">
        <v>437</v>
      </c>
      <c r="G411" s="6" t="s">
        <v>438</v>
      </c>
    </row>
    <row r="412" ht="15.75" customHeight="1">
      <c r="A412" s="3">
        <f t="shared" si="1"/>
        <v>410</v>
      </c>
      <c r="B412" s="4" t="s">
        <v>1693</v>
      </c>
      <c r="C412" s="8" t="s">
        <v>659</v>
      </c>
      <c r="D412" s="6" t="s">
        <v>307</v>
      </c>
      <c r="E412" s="7" t="s">
        <v>1694</v>
      </c>
      <c r="F412" s="6" t="s">
        <v>437</v>
      </c>
      <c r="G412" s="6" t="s">
        <v>438</v>
      </c>
    </row>
    <row r="413" ht="15.75" customHeight="1">
      <c r="A413" s="3">
        <f t="shared" si="1"/>
        <v>411</v>
      </c>
      <c r="B413" s="4" t="s">
        <v>1695</v>
      </c>
      <c r="C413" s="32" t="s">
        <v>1359</v>
      </c>
      <c r="D413" s="6" t="s">
        <v>1696</v>
      </c>
      <c r="E413" s="7" t="s">
        <v>1697</v>
      </c>
      <c r="F413" s="6" t="s">
        <v>437</v>
      </c>
      <c r="G413" s="6" t="s">
        <v>438</v>
      </c>
    </row>
    <row r="414" ht="15.75" customHeight="1">
      <c r="A414" s="3">
        <f t="shared" si="1"/>
        <v>412</v>
      </c>
      <c r="B414" s="9" t="s">
        <v>1698</v>
      </c>
      <c r="C414" s="17" t="s">
        <v>434</v>
      </c>
      <c r="D414" s="10" t="s">
        <v>1699</v>
      </c>
      <c r="E414" s="7" t="s">
        <v>1700</v>
      </c>
      <c r="F414" s="6" t="s">
        <v>437</v>
      </c>
      <c r="G414" s="6" t="s">
        <v>438</v>
      </c>
    </row>
    <row r="415" ht="15.75" customHeight="1">
      <c r="A415" s="3">
        <f t="shared" si="1"/>
        <v>413</v>
      </c>
      <c r="B415" s="30" t="s">
        <v>1701</v>
      </c>
      <c r="C415" s="12" t="s">
        <v>494</v>
      </c>
      <c r="D415" s="6" t="s">
        <v>1702</v>
      </c>
      <c r="E415" s="7" t="s">
        <v>1703</v>
      </c>
      <c r="F415" s="6" t="s">
        <v>437</v>
      </c>
      <c r="G415" s="6" t="s">
        <v>438</v>
      </c>
    </row>
    <row r="416" ht="15.75" customHeight="1">
      <c r="A416" s="3">
        <f t="shared" si="1"/>
        <v>414</v>
      </c>
      <c r="B416" s="30" t="s">
        <v>1704</v>
      </c>
      <c r="C416" s="12" t="s">
        <v>494</v>
      </c>
      <c r="D416" s="6" t="s">
        <v>1705</v>
      </c>
      <c r="E416" s="7" t="s">
        <v>1706</v>
      </c>
      <c r="F416" s="6" t="s">
        <v>437</v>
      </c>
      <c r="G416" s="6" t="s">
        <v>438</v>
      </c>
    </row>
    <row r="417" ht="15.75" customHeight="1">
      <c r="A417" s="3">
        <f t="shared" si="1"/>
        <v>415</v>
      </c>
      <c r="B417" s="4" t="s">
        <v>1707</v>
      </c>
      <c r="C417" s="8" t="s">
        <v>23</v>
      </c>
      <c r="D417" s="18" t="s">
        <v>1708</v>
      </c>
      <c r="E417" s="7" t="s">
        <v>1709</v>
      </c>
      <c r="F417" s="6" t="s">
        <v>437</v>
      </c>
      <c r="G417" s="6" t="s">
        <v>438</v>
      </c>
    </row>
    <row r="418" ht="15.75" customHeight="1">
      <c r="A418" s="3">
        <f t="shared" si="1"/>
        <v>416</v>
      </c>
      <c r="B418" s="40" t="s">
        <v>1710</v>
      </c>
      <c r="C418" s="5" t="s">
        <v>788</v>
      </c>
      <c r="D418" s="10" t="s">
        <v>1711</v>
      </c>
      <c r="E418" s="7" t="s">
        <v>1712</v>
      </c>
      <c r="F418" s="6" t="s">
        <v>437</v>
      </c>
      <c r="G418" s="6" t="s">
        <v>438</v>
      </c>
    </row>
    <row r="419" ht="15.75" customHeight="1">
      <c r="A419" s="3">
        <f t="shared" si="1"/>
        <v>417</v>
      </c>
      <c r="B419" s="30" t="s">
        <v>1713</v>
      </c>
      <c r="C419" s="12" t="s">
        <v>494</v>
      </c>
      <c r="D419" s="6" t="s">
        <v>1714</v>
      </c>
      <c r="E419" s="7" t="s">
        <v>1715</v>
      </c>
      <c r="F419" s="6" t="s">
        <v>437</v>
      </c>
      <c r="G419" s="6" t="s">
        <v>438</v>
      </c>
    </row>
    <row r="420" ht="15.75" customHeight="1">
      <c r="A420" s="3">
        <f t="shared" si="1"/>
        <v>418</v>
      </c>
      <c r="B420" s="30" t="s">
        <v>1716</v>
      </c>
      <c r="C420" s="12" t="s">
        <v>610</v>
      </c>
      <c r="D420" s="6" t="s">
        <v>1717</v>
      </c>
      <c r="E420" s="7" t="s">
        <v>1718</v>
      </c>
      <c r="F420" s="6" t="s">
        <v>437</v>
      </c>
      <c r="G420" s="6" t="s">
        <v>438</v>
      </c>
    </row>
    <row r="421" ht="15.75" customHeight="1">
      <c r="A421" s="3">
        <f t="shared" si="1"/>
        <v>419</v>
      </c>
      <c r="B421" s="4" t="s">
        <v>1719</v>
      </c>
      <c r="C421" s="8" t="s">
        <v>23</v>
      </c>
      <c r="D421" s="18" t="s">
        <v>1720</v>
      </c>
      <c r="E421" s="7" t="s">
        <v>1721</v>
      </c>
      <c r="F421" s="6" t="s">
        <v>437</v>
      </c>
      <c r="G421" s="6" t="s">
        <v>438</v>
      </c>
    </row>
    <row r="422" ht="15.75" customHeight="1">
      <c r="A422" s="3">
        <f t="shared" si="1"/>
        <v>420</v>
      </c>
      <c r="B422" s="4" t="s">
        <v>1722</v>
      </c>
      <c r="C422" s="8" t="s">
        <v>1065</v>
      </c>
      <c r="D422" s="6" t="s">
        <v>1723</v>
      </c>
      <c r="E422" s="7" t="s">
        <v>1724</v>
      </c>
      <c r="F422" s="6" t="s">
        <v>437</v>
      </c>
      <c r="G422" s="6" t="s">
        <v>438</v>
      </c>
    </row>
    <row r="423" ht="15.75" customHeight="1">
      <c r="A423" s="3">
        <f t="shared" si="1"/>
        <v>421</v>
      </c>
      <c r="B423" s="19" t="s">
        <v>1725</v>
      </c>
      <c r="C423" s="8" t="s">
        <v>459</v>
      </c>
      <c r="D423" s="10" t="s">
        <v>1726</v>
      </c>
      <c r="E423" s="7" t="s">
        <v>1727</v>
      </c>
      <c r="F423" s="6" t="s">
        <v>437</v>
      </c>
      <c r="G423" s="6" t="s">
        <v>438</v>
      </c>
    </row>
    <row r="424" ht="15.75" customHeight="1">
      <c r="A424" s="3">
        <f t="shared" si="1"/>
        <v>422</v>
      </c>
      <c r="B424" s="11" t="s">
        <v>1728</v>
      </c>
      <c r="C424" s="12" t="s">
        <v>126</v>
      </c>
      <c r="D424" s="10" t="s">
        <v>1729</v>
      </c>
      <c r="E424" s="7" t="s">
        <v>1730</v>
      </c>
      <c r="F424" s="6" t="s">
        <v>437</v>
      </c>
      <c r="G424" s="6" t="s">
        <v>438</v>
      </c>
    </row>
    <row r="425" ht="15.75" customHeight="1">
      <c r="A425" s="3">
        <f t="shared" si="1"/>
        <v>423</v>
      </c>
      <c r="B425" s="30" t="s">
        <v>1731</v>
      </c>
      <c r="C425" s="12" t="s">
        <v>494</v>
      </c>
      <c r="D425" s="6" t="s">
        <v>1732</v>
      </c>
      <c r="E425" s="7" t="s">
        <v>1733</v>
      </c>
      <c r="F425" s="6" t="s">
        <v>437</v>
      </c>
      <c r="G425" s="6" t="s">
        <v>438</v>
      </c>
    </row>
    <row r="426" ht="15.75" customHeight="1">
      <c r="A426" s="3">
        <f t="shared" si="1"/>
        <v>424</v>
      </c>
      <c r="B426" s="19" t="s">
        <v>1734</v>
      </c>
      <c r="C426" s="8" t="s">
        <v>1735</v>
      </c>
      <c r="D426" s="10" t="s">
        <v>1736</v>
      </c>
      <c r="E426" s="7" t="s">
        <v>1737</v>
      </c>
      <c r="F426" s="6" t="s">
        <v>437</v>
      </c>
      <c r="G426" s="6" t="s">
        <v>438</v>
      </c>
    </row>
    <row r="427" ht="15.75" customHeight="1">
      <c r="A427" s="3">
        <f t="shared" si="1"/>
        <v>425</v>
      </c>
      <c r="B427" s="30" t="s">
        <v>1738</v>
      </c>
      <c r="C427" s="12" t="s">
        <v>494</v>
      </c>
      <c r="D427" s="6" t="s">
        <v>1739</v>
      </c>
      <c r="E427" s="7" t="s">
        <v>1740</v>
      </c>
      <c r="F427" s="6" t="s">
        <v>437</v>
      </c>
      <c r="G427" s="6" t="s">
        <v>438</v>
      </c>
    </row>
    <row r="428" ht="15.75" customHeight="1">
      <c r="A428" s="3">
        <f t="shared" si="1"/>
        <v>426</v>
      </c>
      <c r="B428" s="36" t="s">
        <v>1741</v>
      </c>
      <c r="C428" s="12" t="s">
        <v>723</v>
      </c>
      <c r="D428" s="6" t="s">
        <v>1742</v>
      </c>
      <c r="E428" s="7" t="s">
        <v>1743</v>
      </c>
      <c r="F428" s="6" t="s">
        <v>437</v>
      </c>
      <c r="G428" s="6" t="s">
        <v>438</v>
      </c>
    </row>
    <row r="429" ht="15.75" customHeight="1">
      <c r="A429" s="3">
        <f t="shared" si="1"/>
        <v>427</v>
      </c>
      <c r="B429" s="9" t="s">
        <v>1744</v>
      </c>
      <c r="C429" s="5" t="s">
        <v>434</v>
      </c>
      <c r="D429" s="10" t="s">
        <v>1745</v>
      </c>
      <c r="E429" s="7" t="s">
        <v>1746</v>
      </c>
      <c r="F429" s="6" t="s">
        <v>437</v>
      </c>
      <c r="G429" s="6" t="s">
        <v>438</v>
      </c>
    </row>
    <row r="430" ht="15.75" customHeight="1">
      <c r="A430" s="3">
        <f t="shared" si="1"/>
        <v>428</v>
      </c>
      <c r="B430" s="21" t="s">
        <v>1747</v>
      </c>
      <c r="C430" s="8" t="s">
        <v>126</v>
      </c>
      <c r="D430" s="6" t="s">
        <v>1748</v>
      </c>
      <c r="E430" s="7" t="s">
        <v>1749</v>
      </c>
      <c r="F430" s="6" t="s">
        <v>437</v>
      </c>
      <c r="G430" s="6" t="s">
        <v>438</v>
      </c>
    </row>
    <row r="431" ht="15.75" customHeight="1">
      <c r="A431" s="3">
        <f t="shared" si="1"/>
        <v>429</v>
      </c>
      <c r="B431" s="4" t="s">
        <v>1750</v>
      </c>
      <c r="C431" s="17" t="s">
        <v>994</v>
      </c>
      <c r="D431" s="6" t="s">
        <v>1751</v>
      </c>
      <c r="E431" s="7" t="s">
        <v>1752</v>
      </c>
      <c r="F431" s="6" t="s">
        <v>437</v>
      </c>
      <c r="G431" s="6" t="s">
        <v>438</v>
      </c>
    </row>
    <row r="432" ht="15.75" customHeight="1">
      <c r="A432" s="3">
        <f t="shared" si="1"/>
        <v>430</v>
      </c>
      <c r="B432" s="16" t="s">
        <v>1753</v>
      </c>
      <c r="C432" s="17" t="s">
        <v>434</v>
      </c>
      <c r="D432" s="10" t="s">
        <v>1754</v>
      </c>
      <c r="E432" s="7" t="s">
        <v>1755</v>
      </c>
      <c r="F432" s="6" t="s">
        <v>437</v>
      </c>
      <c r="G432" s="6" t="s">
        <v>438</v>
      </c>
    </row>
    <row r="433" ht="15.75" customHeight="1">
      <c r="A433" s="3">
        <f t="shared" si="1"/>
        <v>431</v>
      </c>
      <c r="B433" s="9" t="s">
        <v>1756</v>
      </c>
      <c r="C433" s="5" t="s">
        <v>434</v>
      </c>
      <c r="D433" s="10" t="s">
        <v>1757</v>
      </c>
      <c r="E433" s="7" t="s">
        <v>1758</v>
      </c>
      <c r="F433" s="6" t="s">
        <v>437</v>
      </c>
      <c r="G433" s="6" t="s">
        <v>438</v>
      </c>
    </row>
    <row r="434" ht="15.75" customHeight="1">
      <c r="A434" s="3">
        <f t="shared" si="1"/>
        <v>432</v>
      </c>
      <c r="B434" s="9" t="s">
        <v>1759</v>
      </c>
      <c r="C434" s="5" t="s">
        <v>434</v>
      </c>
      <c r="D434" s="18" t="s">
        <v>1760</v>
      </c>
      <c r="E434" s="7" t="s">
        <v>1761</v>
      </c>
      <c r="F434" s="6" t="s">
        <v>437</v>
      </c>
      <c r="G434" s="6" t="s">
        <v>438</v>
      </c>
    </row>
    <row r="435" ht="15.75" customHeight="1">
      <c r="A435" s="3">
        <f t="shared" si="1"/>
        <v>433</v>
      </c>
      <c r="B435" s="4" t="s">
        <v>1762</v>
      </c>
      <c r="C435" s="8" t="s">
        <v>23</v>
      </c>
      <c r="D435" s="18" t="s">
        <v>1763</v>
      </c>
      <c r="E435" s="7" t="s">
        <v>1764</v>
      </c>
      <c r="F435" s="6" t="s">
        <v>437</v>
      </c>
      <c r="G435" s="6" t="s">
        <v>438</v>
      </c>
    </row>
    <row r="436" ht="15.75" customHeight="1">
      <c r="A436" s="3">
        <f t="shared" si="1"/>
        <v>434</v>
      </c>
      <c r="B436" s="9" t="s">
        <v>1765</v>
      </c>
      <c r="C436" s="5" t="s">
        <v>434</v>
      </c>
      <c r="D436" s="10" t="s">
        <v>1766</v>
      </c>
      <c r="E436" s="7" t="s">
        <v>1767</v>
      </c>
      <c r="F436" s="6" t="s">
        <v>437</v>
      </c>
      <c r="G436" s="6" t="s">
        <v>438</v>
      </c>
    </row>
    <row r="437" ht="15.75" customHeight="1">
      <c r="A437" s="3">
        <f t="shared" si="1"/>
        <v>435</v>
      </c>
      <c r="B437" s="31" t="s">
        <v>1768</v>
      </c>
      <c r="C437" s="12" t="s">
        <v>502</v>
      </c>
      <c r="D437" s="6" t="s">
        <v>1769</v>
      </c>
      <c r="E437" s="7" t="s">
        <v>1770</v>
      </c>
      <c r="F437" s="6" t="s">
        <v>437</v>
      </c>
      <c r="G437" s="6" t="s">
        <v>438</v>
      </c>
    </row>
    <row r="438" ht="15.75" customHeight="1">
      <c r="A438" s="3">
        <f t="shared" si="1"/>
        <v>436</v>
      </c>
      <c r="B438" s="4" t="s">
        <v>1771</v>
      </c>
      <c r="C438" s="5" t="s">
        <v>519</v>
      </c>
      <c r="D438" s="6" t="s">
        <v>1772</v>
      </c>
      <c r="E438" s="7" t="s">
        <v>1773</v>
      </c>
      <c r="F438" s="6" t="s">
        <v>437</v>
      </c>
      <c r="G438" s="6" t="s">
        <v>438</v>
      </c>
    </row>
    <row r="439" ht="15.75" customHeight="1">
      <c r="A439" s="3">
        <f t="shared" si="1"/>
        <v>437</v>
      </c>
      <c r="B439" s="16" t="s">
        <v>1774</v>
      </c>
      <c r="C439" s="17" t="s">
        <v>434</v>
      </c>
      <c r="D439" s="10" t="s">
        <v>1775</v>
      </c>
      <c r="E439" s="7" t="s">
        <v>1776</v>
      </c>
      <c r="F439" s="6" t="s">
        <v>437</v>
      </c>
      <c r="G439" s="6" t="s">
        <v>438</v>
      </c>
    </row>
    <row r="440" ht="15.75" customHeight="1">
      <c r="A440" s="3">
        <f t="shared" si="1"/>
        <v>438</v>
      </c>
      <c r="B440" s="4" t="s">
        <v>1777</v>
      </c>
      <c r="C440" s="8" t="s">
        <v>603</v>
      </c>
      <c r="D440" s="18" t="s">
        <v>1778</v>
      </c>
      <c r="E440" s="7" t="s">
        <v>1779</v>
      </c>
      <c r="F440" s="6" t="s">
        <v>437</v>
      </c>
      <c r="G440" s="6" t="s">
        <v>438</v>
      </c>
    </row>
    <row r="441" ht="15.75" customHeight="1">
      <c r="A441" s="3">
        <f t="shared" si="1"/>
        <v>439</v>
      </c>
      <c r="B441" s="4" t="s">
        <v>1780</v>
      </c>
      <c r="C441" s="8" t="s">
        <v>951</v>
      </c>
      <c r="D441" s="6" t="s">
        <v>1781</v>
      </c>
      <c r="E441" s="7" t="s">
        <v>1782</v>
      </c>
      <c r="F441" s="6" t="s">
        <v>437</v>
      </c>
      <c r="G441" s="6" t="s">
        <v>438</v>
      </c>
    </row>
    <row r="442" ht="15.75" customHeight="1">
      <c r="A442" s="3">
        <f t="shared" si="1"/>
        <v>440</v>
      </c>
      <c r="B442" s="4" t="s">
        <v>1783</v>
      </c>
      <c r="C442" s="8" t="s">
        <v>15</v>
      </c>
      <c r="D442" s="55" t="s">
        <v>1784</v>
      </c>
      <c r="E442" s="7" t="s">
        <v>1785</v>
      </c>
      <c r="F442" s="6" t="s">
        <v>437</v>
      </c>
      <c r="G442" s="6" t="s">
        <v>438</v>
      </c>
    </row>
    <row r="443" ht="15.75" customHeight="1">
      <c r="A443" s="3">
        <f t="shared" si="1"/>
        <v>441</v>
      </c>
      <c r="B443" s="31" t="s">
        <v>1786</v>
      </c>
      <c r="C443" s="12" t="s">
        <v>477</v>
      </c>
      <c r="D443" s="6" t="s">
        <v>1787</v>
      </c>
      <c r="E443" s="7" t="s">
        <v>1788</v>
      </c>
      <c r="F443" s="6" t="s">
        <v>437</v>
      </c>
      <c r="G443" s="6" t="s">
        <v>438</v>
      </c>
    </row>
    <row r="444" ht="15.75" customHeight="1">
      <c r="A444" s="3">
        <f t="shared" si="1"/>
        <v>442</v>
      </c>
      <c r="B444" s="4" t="s">
        <v>1789</v>
      </c>
      <c r="C444" s="8" t="s">
        <v>1065</v>
      </c>
      <c r="D444" s="6" t="s">
        <v>1790</v>
      </c>
      <c r="E444" s="7" t="s">
        <v>1791</v>
      </c>
      <c r="F444" s="6" t="s">
        <v>437</v>
      </c>
      <c r="G444" s="6" t="s">
        <v>438</v>
      </c>
    </row>
    <row r="445" ht="15.75" customHeight="1">
      <c r="A445" s="3">
        <f t="shared" si="1"/>
        <v>443</v>
      </c>
      <c r="B445" s="49" t="s">
        <v>1792</v>
      </c>
      <c r="C445" s="8" t="s">
        <v>126</v>
      </c>
      <c r="D445" s="6" t="s">
        <v>1793</v>
      </c>
      <c r="E445" s="7" t="s">
        <v>1794</v>
      </c>
      <c r="F445" s="6" t="s">
        <v>437</v>
      </c>
      <c r="G445" s="6" t="s">
        <v>438</v>
      </c>
    </row>
    <row r="446" ht="15.75" customHeight="1">
      <c r="A446" s="3">
        <f t="shared" si="1"/>
        <v>444</v>
      </c>
      <c r="B446" s="16" t="s">
        <v>1795</v>
      </c>
      <c r="C446" s="41" t="s">
        <v>626</v>
      </c>
      <c r="D446" s="10" t="s">
        <v>1796</v>
      </c>
      <c r="E446" s="7" t="s">
        <v>1797</v>
      </c>
      <c r="F446" s="6" t="s">
        <v>437</v>
      </c>
      <c r="G446" s="6" t="s">
        <v>438</v>
      </c>
    </row>
    <row r="447" ht="15.75" customHeight="1">
      <c r="A447" s="3">
        <f t="shared" si="1"/>
        <v>445</v>
      </c>
      <c r="B447" s="36" t="s">
        <v>1798</v>
      </c>
      <c r="C447" s="12" t="s">
        <v>723</v>
      </c>
      <c r="D447" s="6" t="s">
        <v>1799</v>
      </c>
      <c r="E447" s="7" t="s">
        <v>1800</v>
      </c>
      <c r="F447" s="6" t="s">
        <v>437</v>
      </c>
      <c r="G447" s="6" t="s">
        <v>438</v>
      </c>
    </row>
    <row r="448" ht="15.75" customHeight="1">
      <c r="A448" s="3">
        <f t="shared" si="1"/>
        <v>446</v>
      </c>
      <c r="B448" s="4" t="s">
        <v>1801</v>
      </c>
      <c r="C448" s="8" t="s">
        <v>642</v>
      </c>
      <c r="D448" s="18" t="s">
        <v>1802</v>
      </c>
      <c r="E448" s="7" t="s">
        <v>1803</v>
      </c>
      <c r="F448" s="6" t="s">
        <v>437</v>
      </c>
      <c r="G448" s="6" t="s">
        <v>438</v>
      </c>
    </row>
    <row r="449" ht="15.75" customHeight="1">
      <c r="A449" s="3">
        <f t="shared" si="1"/>
        <v>447</v>
      </c>
      <c r="B449" s="33" t="s">
        <v>1804</v>
      </c>
      <c r="C449" s="12" t="s">
        <v>555</v>
      </c>
      <c r="D449" s="6" t="s">
        <v>1805</v>
      </c>
      <c r="E449" s="7" t="s">
        <v>1806</v>
      </c>
      <c r="F449" s="6" t="s">
        <v>437</v>
      </c>
      <c r="G449" s="6" t="s">
        <v>438</v>
      </c>
    </row>
    <row r="450" ht="15.75" customHeight="1">
      <c r="A450" s="3">
        <f t="shared" si="1"/>
        <v>448</v>
      </c>
      <c r="B450" s="4" t="s">
        <v>1807</v>
      </c>
      <c r="C450" s="8" t="s">
        <v>15</v>
      </c>
      <c r="D450" s="10" t="s">
        <v>1808</v>
      </c>
      <c r="E450" s="7" t="s">
        <v>1809</v>
      </c>
      <c r="F450" s="6" t="s">
        <v>437</v>
      </c>
      <c r="G450" s="6" t="s">
        <v>438</v>
      </c>
    </row>
    <row r="451" ht="15.75" customHeight="1">
      <c r="A451" s="3">
        <f t="shared" si="1"/>
        <v>449</v>
      </c>
      <c r="B451" s="29" t="s">
        <v>1810</v>
      </c>
      <c r="C451" s="12" t="s">
        <v>502</v>
      </c>
      <c r="D451" s="6" t="s">
        <v>1811</v>
      </c>
      <c r="E451" s="7" t="s">
        <v>1812</v>
      </c>
      <c r="F451" s="6" t="s">
        <v>437</v>
      </c>
      <c r="G451" s="6" t="s">
        <v>438</v>
      </c>
    </row>
    <row r="452" ht="15.75" customHeight="1">
      <c r="A452" s="3">
        <f t="shared" si="1"/>
        <v>450</v>
      </c>
      <c r="B452" s="4" t="s">
        <v>1813</v>
      </c>
      <c r="C452" s="8" t="s">
        <v>1052</v>
      </c>
      <c r="D452" s="18" t="s">
        <v>1814</v>
      </c>
      <c r="E452" s="7" t="s">
        <v>1815</v>
      </c>
      <c r="F452" s="6" t="s">
        <v>437</v>
      </c>
      <c r="G452" s="6" t="s">
        <v>438</v>
      </c>
    </row>
    <row r="453" ht="15.75" customHeight="1">
      <c r="A453" s="3">
        <f t="shared" si="1"/>
        <v>451</v>
      </c>
      <c r="B453" s="9" t="s">
        <v>1816</v>
      </c>
      <c r="C453" s="5" t="s">
        <v>434</v>
      </c>
      <c r="D453" s="6" t="s">
        <v>1817</v>
      </c>
      <c r="E453" s="7" t="s">
        <v>1818</v>
      </c>
      <c r="F453" s="6" t="s">
        <v>437</v>
      </c>
      <c r="G453" s="6" t="s">
        <v>438</v>
      </c>
    </row>
    <row r="454" ht="15.75" customHeight="1">
      <c r="A454" s="3">
        <f t="shared" si="1"/>
        <v>452</v>
      </c>
      <c r="B454" s="9" t="s">
        <v>1819</v>
      </c>
      <c r="C454" s="17" t="s">
        <v>434</v>
      </c>
      <c r="D454" s="10" t="s">
        <v>1820</v>
      </c>
      <c r="E454" s="7" t="s">
        <v>1821</v>
      </c>
      <c r="F454" s="6" t="s">
        <v>437</v>
      </c>
      <c r="G454" s="6" t="s">
        <v>438</v>
      </c>
    </row>
    <row r="455" ht="15.75" customHeight="1">
      <c r="A455" s="3">
        <f t="shared" si="1"/>
        <v>453</v>
      </c>
      <c r="B455" s="21" t="s">
        <v>1822</v>
      </c>
      <c r="C455" s="8" t="s">
        <v>126</v>
      </c>
      <c r="D455" s="6" t="s">
        <v>1823</v>
      </c>
      <c r="E455" s="7" t="s">
        <v>1824</v>
      </c>
      <c r="F455" s="6" t="s">
        <v>437</v>
      </c>
      <c r="G455" s="6" t="s">
        <v>438</v>
      </c>
    </row>
    <row r="456" ht="15.75" customHeight="1">
      <c r="A456" s="3">
        <f t="shared" si="1"/>
        <v>454</v>
      </c>
      <c r="B456" s="9" t="s">
        <v>1825</v>
      </c>
      <c r="C456" s="17" t="s">
        <v>434</v>
      </c>
      <c r="D456" s="10" t="s">
        <v>1826</v>
      </c>
      <c r="E456" s="7" t="s">
        <v>1827</v>
      </c>
      <c r="F456" s="6" t="s">
        <v>437</v>
      </c>
      <c r="G456" s="6" t="s">
        <v>438</v>
      </c>
    </row>
    <row r="457" ht="15.75" customHeight="1">
      <c r="A457" s="3">
        <f t="shared" si="1"/>
        <v>455</v>
      </c>
      <c r="B457" s="30" t="s">
        <v>1828</v>
      </c>
      <c r="C457" s="12" t="s">
        <v>494</v>
      </c>
      <c r="D457" s="6" t="s">
        <v>1829</v>
      </c>
      <c r="E457" s="7" t="s">
        <v>1830</v>
      </c>
      <c r="F457" s="6" t="s">
        <v>437</v>
      </c>
      <c r="G457" s="6" t="s">
        <v>438</v>
      </c>
    </row>
    <row r="458" ht="15.75" customHeight="1">
      <c r="A458" s="3">
        <f t="shared" si="1"/>
        <v>456</v>
      </c>
      <c r="B458" s="30" t="s">
        <v>1831</v>
      </c>
      <c r="C458" s="12" t="s">
        <v>494</v>
      </c>
      <c r="D458" s="6" t="s">
        <v>1832</v>
      </c>
      <c r="E458" s="7" t="s">
        <v>1833</v>
      </c>
      <c r="F458" s="6" t="s">
        <v>437</v>
      </c>
      <c r="G458" s="6" t="s">
        <v>438</v>
      </c>
    </row>
    <row r="459" ht="15.75" customHeight="1">
      <c r="A459" s="3">
        <f t="shared" si="1"/>
        <v>457</v>
      </c>
      <c r="B459" s="19" t="s">
        <v>1834</v>
      </c>
      <c r="C459" s="8" t="s">
        <v>459</v>
      </c>
      <c r="D459" s="10" t="s">
        <v>1835</v>
      </c>
      <c r="E459" s="7" t="s">
        <v>1836</v>
      </c>
      <c r="F459" s="6" t="s">
        <v>437</v>
      </c>
      <c r="G459" s="6" t="s">
        <v>438</v>
      </c>
    </row>
    <row r="460" ht="15.75" customHeight="1">
      <c r="A460" s="3">
        <f t="shared" si="1"/>
        <v>458</v>
      </c>
      <c r="B460" s="9" t="s">
        <v>1837</v>
      </c>
      <c r="C460" s="17" t="s">
        <v>626</v>
      </c>
      <c r="D460" s="10" t="s">
        <v>1838</v>
      </c>
      <c r="E460" s="7" t="s">
        <v>1839</v>
      </c>
      <c r="F460" s="6" t="s">
        <v>437</v>
      </c>
      <c r="G460" s="6" t="s">
        <v>438</v>
      </c>
    </row>
    <row r="461" ht="15.75" customHeight="1">
      <c r="A461" s="3">
        <f t="shared" si="1"/>
        <v>459</v>
      </c>
      <c r="B461" s="36" t="s">
        <v>1840</v>
      </c>
      <c r="C461" s="12" t="s">
        <v>723</v>
      </c>
      <c r="D461" s="6" t="s">
        <v>1841</v>
      </c>
      <c r="E461" s="7" t="s">
        <v>1842</v>
      </c>
      <c r="F461" s="6" t="s">
        <v>437</v>
      </c>
      <c r="G461" s="6" t="s">
        <v>438</v>
      </c>
    </row>
    <row r="462" ht="15.75" customHeight="1">
      <c r="A462" s="3">
        <f t="shared" si="1"/>
        <v>460</v>
      </c>
      <c r="B462" s="31" t="s">
        <v>1843</v>
      </c>
      <c r="C462" s="12" t="s">
        <v>477</v>
      </c>
      <c r="D462" s="6" t="s">
        <v>1844</v>
      </c>
      <c r="E462" s="7" t="s">
        <v>1845</v>
      </c>
      <c r="F462" s="6" t="s">
        <v>437</v>
      </c>
      <c r="G462" s="6" t="s">
        <v>438</v>
      </c>
    </row>
    <row r="463" ht="15.75" customHeight="1">
      <c r="A463" s="3">
        <f t="shared" si="1"/>
        <v>461</v>
      </c>
      <c r="B463" s="56" t="s">
        <v>1846</v>
      </c>
      <c r="C463" s="17" t="s">
        <v>434</v>
      </c>
      <c r="D463" s="10" t="s">
        <v>1847</v>
      </c>
      <c r="E463" s="7" t="s">
        <v>1848</v>
      </c>
      <c r="F463" s="6" t="s">
        <v>437</v>
      </c>
      <c r="G463" s="6" t="s">
        <v>438</v>
      </c>
    </row>
    <row r="464" ht="15.75" customHeight="1">
      <c r="A464" s="3">
        <f t="shared" si="1"/>
        <v>462</v>
      </c>
      <c r="B464" s="22" t="s">
        <v>1849</v>
      </c>
      <c r="C464" s="8" t="s">
        <v>1027</v>
      </c>
      <c r="D464" s="6" t="s">
        <v>1850</v>
      </c>
      <c r="E464" s="7" t="s">
        <v>1851</v>
      </c>
      <c r="F464" s="6" t="s">
        <v>437</v>
      </c>
      <c r="G464" s="6" t="s">
        <v>438</v>
      </c>
    </row>
    <row r="465" ht="15.75" customHeight="1">
      <c r="A465" s="3">
        <f t="shared" si="1"/>
        <v>463</v>
      </c>
      <c r="B465" s="22" t="s">
        <v>1852</v>
      </c>
      <c r="C465" s="8" t="s">
        <v>23</v>
      </c>
      <c r="D465" s="18" t="s">
        <v>1853</v>
      </c>
      <c r="E465" s="7" t="s">
        <v>1854</v>
      </c>
      <c r="F465" s="6" t="s">
        <v>437</v>
      </c>
      <c r="G465" s="6" t="s">
        <v>438</v>
      </c>
    </row>
    <row r="466" ht="15.75" customHeight="1">
      <c r="A466" s="3">
        <f t="shared" si="1"/>
        <v>464</v>
      </c>
      <c r="B466" s="9" t="s">
        <v>1855</v>
      </c>
      <c r="C466" s="57" t="s">
        <v>434</v>
      </c>
      <c r="D466" s="10" t="s">
        <v>1856</v>
      </c>
      <c r="E466" s="7" t="s">
        <v>1857</v>
      </c>
      <c r="F466" s="6" t="s">
        <v>437</v>
      </c>
      <c r="G466" s="6" t="s">
        <v>438</v>
      </c>
    </row>
    <row r="467" ht="15.75" customHeight="1">
      <c r="A467" s="3">
        <f t="shared" si="1"/>
        <v>465</v>
      </c>
      <c r="B467" s="19" t="s">
        <v>1858</v>
      </c>
      <c r="C467" s="8" t="s">
        <v>610</v>
      </c>
      <c r="D467" s="10" t="s">
        <v>1859</v>
      </c>
      <c r="E467" s="7" t="s">
        <v>1860</v>
      </c>
      <c r="F467" s="6" t="s">
        <v>437</v>
      </c>
      <c r="G467" s="6" t="s">
        <v>438</v>
      </c>
    </row>
    <row r="468" ht="15.75" customHeight="1">
      <c r="A468" s="3">
        <f t="shared" si="1"/>
        <v>466</v>
      </c>
      <c r="B468" s="9" t="s">
        <v>1861</v>
      </c>
      <c r="C468" s="17" t="s">
        <v>434</v>
      </c>
      <c r="D468" s="10" t="s">
        <v>1862</v>
      </c>
      <c r="E468" s="7" t="s">
        <v>1863</v>
      </c>
      <c r="F468" s="6" t="s">
        <v>437</v>
      </c>
      <c r="G468" s="6" t="s">
        <v>438</v>
      </c>
    </row>
    <row r="469" ht="15.75" customHeight="1">
      <c r="A469" s="3">
        <f t="shared" si="1"/>
        <v>467</v>
      </c>
      <c r="B469" s="4" t="s">
        <v>1864</v>
      </c>
      <c r="C469" s="8" t="s">
        <v>23</v>
      </c>
      <c r="D469" s="18" t="s">
        <v>1865</v>
      </c>
      <c r="E469" s="7" t="s">
        <v>1866</v>
      </c>
      <c r="F469" s="6" t="s">
        <v>437</v>
      </c>
      <c r="G469" s="6" t="s">
        <v>438</v>
      </c>
    </row>
    <row r="470" ht="15.75" customHeight="1">
      <c r="A470" s="3">
        <f t="shared" si="1"/>
        <v>468</v>
      </c>
      <c r="B470" s="9" t="s">
        <v>1867</v>
      </c>
      <c r="C470" s="17" t="s">
        <v>434</v>
      </c>
      <c r="D470" s="10" t="s">
        <v>1868</v>
      </c>
      <c r="E470" s="7" t="s">
        <v>1869</v>
      </c>
      <c r="F470" s="6" t="s">
        <v>437</v>
      </c>
      <c r="G470" s="6" t="s">
        <v>438</v>
      </c>
    </row>
    <row r="471" ht="15.75" customHeight="1">
      <c r="A471" s="3">
        <f t="shared" si="1"/>
        <v>469</v>
      </c>
      <c r="B471" s="9" t="s">
        <v>1870</v>
      </c>
      <c r="C471" s="17" t="s">
        <v>434</v>
      </c>
      <c r="D471" s="10" t="s">
        <v>1871</v>
      </c>
      <c r="E471" s="7" t="s">
        <v>1872</v>
      </c>
      <c r="F471" s="6" t="s">
        <v>437</v>
      </c>
      <c r="G471" s="6" t="s">
        <v>438</v>
      </c>
    </row>
    <row r="472" ht="15.75" customHeight="1">
      <c r="A472" s="3">
        <f t="shared" si="1"/>
        <v>470</v>
      </c>
      <c r="B472" s="16" t="s">
        <v>1873</v>
      </c>
      <c r="C472" s="17" t="s">
        <v>434</v>
      </c>
      <c r="D472" s="10" t="s">
        <v>1874</v>
      </c>
      <c r="E472" s="7" t="s">
        <v>1875</v>
      </c>
      <c r="F472" s="6" t="s">
        <v>437</v>
      </c>
      <c r="G472" s="6" t="s">
        <v>438</v>
      </c>
    </row>
    <row r="473" ht="15.75" customHeight="1">
      <c r="A473" s="3">
        <f t="shared" si="1"/>
        <v>471</v>
      </c>
      <c r="B473" s="30" t="s">
        <v>1876</v>
      </c>
      <c r="C473" s="12" t="s">
        <v>494</v>
      </c>
      <c r="D473" s="6" t="s">
        <v>1877</v>
      </c>
      <c r="E473" s="7" t="s">
        <v>1878</v>
      </c>
      <c r="F473" s="6" t="s">
        <v>437</v>
      </c>
      <c r="G473" s="6" t="s">
        <v>438</v>
      </c>
    </row>
    <row r="474" ht="15.75" customHeight="1">
      <c r="A474" s="3">
        <f t="shared" si="1"/>
        <v>472</v>
      </c>
      <c r="B474" s="21" t="s">
        <v>1879</v>
      </c>
      <c r="C474" s="8" t="s">
        <v>126</v>
      </c>
      <c r="D474" s="6" t="s">
        <v>1880</v>
      </c>
      <c r="E474" s="7" t="s">
        <v>1881</v>
      </c>
      <c r="F474" s="6" t="s">
        <v>437</v>
      </c>
      <c r="G474" s="6" t="s">
        <v>438</v>
      </c>
    </row>
    <row r="475" ht="15.75" customHeight="1">
      <c r="A475" s="3">
        <f t="shared" si="1"/>
        <v>473</v>
      </c>
      <c r="B475" s="16" t="s">
        <v>1882</v>
      </c>
      <c r="C475" s="17" t="s">
        <v>434</v>
      </c>
      <c r="D475" s="10" t="s">
        <v>1883</v>
      </c>
      <c r="E475" s="7" t="s">
        <v>1884</v>
      </c>
      <c r="F475" s="6" t="s">
        <v>437</v>
      </c>
      <c r="G475" s="6" t="s">
        <v>438</v>
      </c>
    </row>
    <row r="476" ht="15.75" customHeight="1">
      <c r="A476" s="3">
        <f t="shared" si="1"/>
        <v>474</v>
      </c>
      <c r="B476" s="4" t="s">
        <v>1885</v>
      </c>
      <c r="C476" s="58" t="s">
        <v>642</v>
      </c>
      <c r="D476" s="6" t="s">
        <v>1886</v>
      </c>
      <c r="E476" s="7" t="s">
        <v>1887</v>
      </c>
      <c r="F476" s="6" t="s">
        <v>437</v>
      </c>
      <c r="G476" s="6" t="s">
        <v>438</v>
      </c>
    </row>
    <row r="477" ht="15.75" customHeight="1">
      <c r="A477" s="3">
        <f t="shared" si="1"/>
        <v>475</v>
      </c>
      <c r="B477" s="31" t="s">
        <v>1888</v>
      </c>
      <c r="C477" s="12" t="s">
        <v>477</v>
      </c>
      <c r="D477" s="6" t="s">
        <v>1889</v>
      </c>
      <c r="E477" s="7" t="s">
        <v>1890</v>
      </c>
      <c r="F477" s="6" t="s">
        <v>437</v>
      </c>
      <c r="G477" s="6" t="s">
        <v>438</v>
      </c>
    </row>
    <row r="478" ht="15.75" customHeight="1">
      <c r="A478" s="3">
        <f t="shared" si="1"/>
        <v>476</v>
      </c>
      <c r="B478" s="33" t="s">
        <v>1891</v>
      </c>
      <c r="C478" s="12" t="s">
        <v>555</v>
      </c>
      <c r="D478" s="6" t="s">
        <v>1892</v>
      </c>
      <c r="E478" s="7" t="s">
        <v>1893</v>
      </c>
      <c r="F478" s="6" t="s">
        <v>437</v>
      </c>
      <c r="G478" s="6" t="s">
        <v>438</v>
      </c>
    </row>
    <row r="479" ht="15.75" customHeight="1">
      <c r="A479" s="3">
        <f t="shared" si="1"/>
        <v>477</v>
      </c>
      <c r="B479" s="19" t="s">
        <v>1894</v>
      </c>
      <c r="C479" s="8" t="s">
        <v>459</v>
      </c>
      <c r="D479" s="10" t="s">
        <v>1895</v>
      </c>
      <c r="E479" s="7" t="s">
        <v>1896</v>
      </c>
      <c r="F479" s="6" t="s">
        <v>437</v>
      </c>
      <c r="G479" s="6" t="s">
        <v>438</v>
      </c>
    </row>
    <row r="480" ht="15.75" customHeight="1">
      <c r="A480" s="3">
        <f t="shared" si="1"/>
        <v>478</v>
      </c>
      <c r="B480" s="30" t="s">
        <v>1897</v>
      </c>
      <c r="C480" s="12" t="s">
        <v>494</v>
      </c>
      <c r="D480" s="6" t="s">
        <v>1898</v>
      </c>
      <c r="E480" s="7" t="s">
        <v>1899</v>
      </c>
      <c r="F480" s="6" t="s">
        <v>437</v>
      </c>
      <c r="G480" s="6" t="s">
        <v>438</v>
      </c>
    </row>
    <row r="481" ht="15.75" customHeight="1">
      <c r="A481" s="3">
        <f t="shared" si="1"/>
        <v>479</v>
      </c>
      <c r="B481" s="33" t="s">
        <v>1900</v>
      </c>
      <c r="C481" s="12" t="s">
        <v>723</v>
      </c>
      <c r="D481" s="59">
        <v>7.108716348E8</v>
      </c>
      <c r="E481" s="7" t="s">
        <v>1901</v>
      </c>
      <c r="F481" s="6" t="s">
        <v>437</v>
      </c>
      <c r="G481" s="6" t="s">
        <v>438</v>
      </c>
    </row>
    <row r="482" ht="15.75" customHeight="1">
      <c r="A482" s="3">
        <f t="shared" si="1"/>
        <v>480</v>
      </c>
      <c r="B482" s="40" t="s">
        <v>1902</v>
      </c>
      <c r="C482" s="17" t="s">
        <v>788</v>
      </c>
      <c r="D482" s="10" t="s">
        <v>1903</v>
      </c>
      <c r="E482" s="7" t="s">
        <v>1904</v>
      </c>
      <c r="F482" s="6" t="s">
        <v>437</v>
      </c>
      <c r="G482" s="6" t="s">
        <v>438</v>
      </c>
    </row>
    <row r="483" ht="15.75" customHeight="1">
      <c r="A483" s="3">
        <f t="shared" si="1"/>
        <v>481</v>
      </c>
      <c r="B483" s="30" t="s">
        <v>1905</v>
      </c>
      <c r="C483" s="12" t="s">
        <v>494</v>
      </c>
      <c r="D483" s="6" t="s">
        <v>1906</v>
      </c>
      <c r="E483" s="7" t="s">
        <v>1907</v>
      </c>
      <c r="F483" s="6" t="s">
        <v>437</v>
      </c>
      <c r="G483" s="6" t="s">
        <v>438</v>
      </c>
    </row>
    <row r="484" ht="15.75" customHeight="1">
      <c r="A484" s="3">
        <f t="shared" si="1"/>
        <v>482</v>
      </c>
      <c r="B484" s="16" t="s">
        <v>1908</v>
      </c>
      <c r="C484" s="17" t="s">
        <v>434</v>
      </c>
      <c r="D484" s="10" t="s">
        <v>1909</v>
      </c>
      <c r="E484" s="7" t="s">
        <v>1910</v>
      </c>
      <c r="F484" s="6" t="s">
        <v>437</v>
      </c>
      <c r="G484" s="6" t="s">
        <v>438</v>
      </c>
    </row>
    <row r="485" ht="15.75" customHeight="1">
      <c r="A485" s="3">
        <f t="shared" si="1"/>
        <v>483</v>
      </c>
      <c r="B485" s="16" t="s">
        <v>1911</v>
      </c>
      <c r="C485" s="41" t="s">
        <v>626</v>
      </c>
      <c r="D485" s="10" t="s">
        <v>1912</v>
      </c>
      <c r="E485" s="7" t="s">
        <v>1913</v>
      </c>
      <c r="F485" s="6" t="s">
        <v>437</v>
      </c>
      <c r="G485" s="6" t="s">
        <v>438</v>
      </c>
    </row>
    <row r="486" ht="15.75" customHeight="1">
      <c r="A486" s="3">
        <f t="shared" si="1"/>
        <v>484</v>
      </c>
      <c r="B486" s="21" t="s">
        <v>1914</v>
      </c>
      <c r="C486" s="8" t="s">
        <v>126</v>
      </c>
      <c r="D486" s="6" t="s">
        <v>1915</v>
      </c>
      <c r="E486" s="7" t="s">
        <v>1916</v>
      </c>
      <c r="F486" s="6" t="s">
        <v>437</v>
      </c>
      <c r="G486" s="6" t="s">
        <v>438</v>
      </c>
    </row>
    <row r="487" ht="15.75" customHeight="1">
      <c r="A487" s="3">
        <f t="shared" si="1"/>
        <v>485</v>
      </c>
      <c r="B487" s="4" t="s">
        <v>1917</v>
      </c>
      <c r="C487" s="8" t="s">
        <v>1143</v>
      </c>
      <c r="D487" s="6" t="s">
        <v>1918</v>
      </c>
      <c r="E487" s="7" t="s">
        <v>1919</v>
      </c>
      <c r="F487" s="6" t="s">
        <v>437</v>
      </c>
      <c r="G487" s="6" t="s">
        <v>438</v>
      </c>
    </row>
    <row r="488" ht="15.75" customHeight="1">
      <c r="A488" s="3">
        <f t="shared" si="1"/>
        <v>486</v>
      </c>
      <c r="B488" s="30" t="s">
        <v>1920</v>
      </c>
      <c r="C488" s="12" t="s">
        <v>494</v>
      </c>
      <c r="D488" s="6" t="s">
        <v>1921</v>
      </c>
      <c r="E488" s="7" t="s">
        <v>1922</v>
      </c>
      <c r="F488" s="6" t="s">
        <v>437</v>
      </c>
      <c r="G488" s="6" t="s">
        <v>438</v>
      </c>
    </row>
    <row r="489" ht="15.75" customHeight="1">
      <c r="A489" s="3">
        <f t="shared" si="1"/>
        <v>487</v>
      </c>
      <c r="B489" s="4" t="s">
        <v>1923</v>
      </c>
      <c r="C489" s="32" t="s">
        <v>506</v>
      </c>
      <c r="D489" s="6" t="s">
        <v>1924</v>
      </c>
      <c r="E489" s="7" t="s">
        <v>1925</v>
      </c>
      <c r="F489" s="6" t="s">
        <v>437</v>
      </c>
      <c r="G489" s="6" t="s">
        <v>438</v>
      </c>
    </row>
    <row r="490" ht="15.75" customHeight="1">
      <c r="A490" s="3">
        <f t="shared" si="1"/>
        <v>488</v>
      </c>
      <c r="B490" s="21" t="s">
        <v>1926</v>
      </c>
      <c r="C490" s="8" t="s">
        <v>126</v>
      </c>
      <c r="D490" s="6" t="s">
        <v>1927</v>
      </c>
      <c r="E490" s="7" t="s">
        <v>1928</v>
      </c>
      <c r="F490" s="6" t="s">
        <v>437</v>
      </c>
      <c r="G490" s="6" t="s">
        <v>438</v>
      </c>
    </row>
    <row r="491" ht="15.75" customHeight="1">
      <c r="A491" s="3">
        <f t="shared" si="1"/>
        <v>489</v>
      </c>
      <c r="B491" s="21" t="s">
        <v>1929</v>
      </c>
      <c r="C491" s="8" t="s">
        <v>642</v>
      </c>
      <c r="D491" s="6" t="s">
        <v>1930</v>
      </c>
      <c r="E491" s="7" t="s">
        <v>1931</v>
      </c>
      <c r="F491" s="6" t="s">
        <v>437</v>
      </c>
      <c r="G491" s="6" t="s">
        <v>438</v>
      </c>
    </row>
    <row r="492" ht="15.75" customHeight="1">
      <c r="A492" s="3">
        <f t="shared" si="1"/>
        <v>490</v>
      </c>
      <c r="B492" s="4" t="s">
        <v>1932</v>
      </c>
      <c r="C492" s="32" t="s">
        <v>1359</v>
      </c>
      <c r="D492" s="6" t="s">
        <v>1933</v>
      </c>
      <c r="E492" s="7" t="s">
        <v>1934</v>
      </c>
      <c r="F492" s="6" t="s">
        <v>437</v>
      </c>
      <c r="G492" s="6" t="s">
        <v>438</v>
      </c>
    </row>
    <row r="493" ht="15.75" customHeight="1">
      <c r="A493" s="3">
        <f t="shared" si="1"/>
        <v>491</v>
      </c>
      <c r="B493" s="30" t="s">
        <v>1935</v>
      </c>
      <c r="C493" s="12" t="s">
        <v>494</v>
      </c>
      <c r="D493" s="6" t="s">
        <v>1936</v>
      </c>
      <c r="E493" s="7" t="s">
        <v>1937</v>
      </c>
      <c r="F493" s="6" t="s">
        <v>437</v>
      </c>
      <c r="G493" s="6" t="s">
        <v>438</v>
      </c>
    </row>
    <row r="494" ht="15.75" customHeight="1">
      <c r="A494" s="3">
        <f t="shared" si="1"/>
        <v>492</v>
      </c>
      <c r="B494" s="11" t="s">
        <v>1938</v>
      </c>
      <c r="C494" s="12" t="s">
        <v>126</v>
      </c>
      <c r="D494" s="6" t="s">
        <v>1939</v>
      </c>
      <c r="E494" s="7" t="s">
        <v>1940</v>
      </c>
      <c r="F494" s="6" t="s">
        <v>437</v>
      </c>
      <c r="G494" s="6" t="s">
        <v>438</v>
      </c>
    </row>
    <row r="495" ht="15.75" customHeight="1">
      <c r="A495" s="3">
        <f t="shared" si="1"/>
        <v>493</v>
      </c>
      <c r="B495" s="30" t="s">
        <v>1941</v>
      </c>
      <c r="C495" s="12" t="s">
        <v>494</v>
      </c>
      <c r="D495" s="15" t="s">
        <v>1942</v>
      </c>
      <c r="E495" s="7" t="s">
        <v>1943</v>
      </c>
      <c r="F495" s="6" t="s">
        <v>437</v>
      </c>
      <c r="G495" s="6" t="s">
        <v>438</v>
      </c>
    </row>
    <row r="496" ht="15.75" customHeight="1">
      <c r="A496" s="3">
        <f t="shared" si="1"/>
        <v>494</v>
      </c>
      <c r="B496" s="4" t="s">
        <v>1944</v>
      </c>
      <c r="C496" s="8" t="s">
        <v>23</v>
      </c>
      <c r="D496" s="18" t="s">
        <v>1945</v>
      </c>
      <c r="E496" s="7" t="s">
        <v>1946</v>
      </c>
      <c r="F496" s="6" t="s">
        <v>437</v>
      </c>
      <c r="G496" s="6" t="s">
        <v>438</v>
      </c>
    </row>
    <row r="497" ht="15.75" customHeight="1">
      <c r="A497" s="3">
        <f t="shared" si="1"/>
        <v>495</v>
      </c>
      <c r="B497" s="19" t="s">
        <v>1947</v>
      </c>
      <c r="C497" s="8" t="s">
        <v>176</v>
      </c>
      <c r="D497" s="10" t="s">
        <v>1948</v>
      </c>
      <c r="E497" s="7" t="s">
        <v>1949</v>
      </c>
      <c r="F497" s="6" t="s">
        <v>437</v>
      </c>
      <c r="G497" s="6" t="s">
        <v>438</v>
      </c>
    </row>
    <row r="498" ht="15.75" customHeight="1">
      <c r="A498" s="3">
        <f t="shared" si="1"/>
        <v>496</v>
      </c>
      <c r="B498" s="21" t="s">
        <v>1950</v>
      </c>
      <c r="C498" s="8" t="s">
        <v>15</v>
      </c>
      <c r="D498" s="6" t="s">
        <v>1951</v>
      </c>
      <c r="E498" s="7" t="s">
        <v>1952</v>
      </c>
      <c r="F498" s="6" t="s">
        <v>437</v>
      </c>
      <c r="G498" s="6" t="s">
        <v>438</v>
      </c>
    </row>
    <row r="499" ht="15.75" customHeight="1">
      <c r="A499" s="3">
        <f t="shared" si="1"/>
        <v>497</v>
      </c>
      <c r="B499" s="33" t="s">
        <v>1953</v>
      </c>
      <c r="C499" s="12" t="s">
        <v>603</v>
      </c>
      <c r="D499" s="6" t="s">
        <v>1954</v>
      </c>
      <c r="E499" s="7" t="s">
        <v>1955</v>
      </c>
      <c r="F499" s="6" t="s">
        <v>437</v>
      </c>
      <c r="G499" s="6" t="s">
        <v>438</v>
      </c>
    </row>
    <row r="500" ht="15.75" customHeight="1">
      <c r="A500" s="3">
        <f t="shared" si="1"/>
        <v>498</v>
      </c>
      <c r="B500" s="9" t="s">
        <v>1956</v>
      </c>
      <c r="C500" s="14" t="s">
        <v>626</v>
      </c>
      <c r="D500" s="10" t="s">
        <v>1957</v>
      </c>
      <c r="E500" s="7" t="s">
        <v>1958</v>
      </c>
      <c r="F500" s="6" t="s">
        <v>437</v>
      </c>
      <c r="G500" s="6" t="s">
        <v>438</v>
      </c>
    </row>
    <row r="501" ht="15.75" customHeight="1">
      <c r="A501" s="3">
        <f t="shared" si="1"/>
        <v>499</v>
      </c>
      <c r="B501" s="4" t="s">
        <v>1959</v>
      </c>
      <c r="C501" s="32" t="s">
        <v>1359</v>
      </c>
      <c r="D501" s="6" t="s">
        <v>1960</v>
      </c>
      <c r="E501" s="7" t="s">
        <v>1961</v>
      </c>
      <c r="F501" s="6" t="s">
        <v>437</v>
      </c>
      <c r="G501" s="6" t="s">
        <v>438</v>
      </c>
    </row>
    <row r="502" ht="15.75" customHeight="1">
      <c r="A502" s="3">
        <f t="shared" si="1"/>
        <v>500</v>
      </c>
      <c r="B502" s="4" t="s">
        <v>1962</v>
      </c>
      <c r="C502" s="8" t="s">
        <v>951</v>
      </c>
      <c r="D502" s="6" t="s">
        <v>1963</v>
      </c>
      <c r="E502" s="7" t="s">
        <v>1964</v>
      </c>
      <c r="F502" s="6" t="s">
        <v>437</v>
      </c>
      <c r="G502" s="6" t="s">
        <v>438</v>
      </c>
    </row>
    <row r="503" ht="15.75" customHeight="1">
      <c r="A503" s="3">
        <f t="shared" si="1"/>
        <v>501</v>
      </c>
      <c r="B503" s="21" t="s">
        <v>1965</v>
      </c>
      <c r="C503" s="8" t="s">
        <v>126</v>
      </c>
      <c r="D503" s="6" t="s">
        <v>1966</v>
      </c>
      <c r="E503" s="7" t="s">
        <v>1967</v>
      </c>
      <c r="F503" s="6" t="s">
        <v>437</v>
      </c>
      <c r="G503" s="6" t="s">
        <v>438</v>
      </c>
    </row>
    <row r="504" ht="15.75" customHeight="1">
      <c r="A504" s="3">
        <f t="shared" si="1"/>
        <v>502</v>
      </c>
      <c r="B504" s="31" t="s">
        <v>1968</v>
      </c>
      <c r="C504" s="12" t="s">
        <v>477</v>
      </c>
      <c r="D504" s="6" t="s">
        <v>1969</v>
      </c>
      <c r="E504" s="7" t="s">
        <v>1970</v>
      </c>
      <c r="F504" s="6" t="s">
        <v>437</v>
      </c>
      <c r="G504" s="6" t="s">
        <v>438</v>
      </c>
    </row>
    <row r="505" ht="15.75" customHeight="1">
      <c r="A505" s="3">
        <f t="shared" si="1"/>
        <v>503</v>
      </c>
      <c r="B505" s="35" t="s">
        <v>1971</v>
      </c>
      <c r="C505" s="8" t="s">
        <v>951</v>
      </c>
      <c r="D505" s="18" t="s">
        <v>1972</v>
      </c>
      <c r="E505" s="7" t="s">
        <v>1973</v>
      </c>
      <c r="F505" s="6" t="s">
        <v>437</v>
      </c>
      <c r="G505" s="6" t="s">
        <v>438</v>
      </c>
    </row>
    <row r="506" ht="15.75" customHeight="1">
      <c r="A506" s="3">
        <f t="shared" si="1"/>
        <v>504</v>
      </c>
      <c r="B506" s="40" t="s">
        <v>1974</v>
      </c>
      <c r="C506" s="17" t="s">
        <v>1975</v>
      </c>
      <c r="D506" s="10" t="s">
        <v>1976</v>
      </c>
      <c r="E506" s="7" t="s">
        <v>1977</v>
      </c>
      <c r="F506" s="6" t="s">
        <v>437</v>
      </c>
      <c r="G506" s="6" t="s">
        <v>438</v>
      </c>
    </row>
    <row r="507" ht="15.75" customHeight="1">
      <c r="A507" s="3">
        <f t="shared" si="1"/>
        <v>505</v>
      </c>
      <c r="B507" s="30" t="s">
        <v>1978</v>
      </c>
      <c r="C507" s="12" t="s">
        <v>494</v>
      </c>
      <c r="D507" s="6" t="s">
        <v>1979</v>
      </c>
      <c r="E507" s="7" t="s">
        <v>1980</v>
      </c>
      <c r="F507" s="6" t="s">
        <v>437</v>
      </c>
      <c r="G507" s="6" t="s">
        <v>438</v>
      </c>
    </row>
    <row r="508" ht="15.75" customHeight="1">
      <c r="A508" s="3">
        <f t="shared" si="1"/>
        <v>506</v>
      </c>
      <c r="B508" s="4" t="s">
        <v>1981</v>
      </c>
      <c r="C508" s="8" t="s">
        <v>951</v>
      </c>
      <c r="D508" s="18" t="s">
        <v>1982</v>
      </c>
      <c r="E508" s="7" t="s">
        <v>1983</v>
      </c>
      <c r="F508" s="6" t="s">
        <v>437</v>
      </c>
      <c r="G508" s="6" t="s">
        <v>438</v>
      </c>
    </row>
    <row r="509" ht="15.75" customHeight="1">
      <c r="A509" s="3">
        <f t="shared" si="1"/>
        <v>507</v>
      </c>
      <c r="B509" s="9" t="s">
        <v>1984</v>
      </c>
      <c r="C509" s="5" t="s">
        <v>434</v>
      </c>
      <c r="D509" s="10" t="s">
        <v>1985</v>
      </c>
      <c r="E509" s="7" t="s">
        <v>1986</v>
      </c>
      <c r="F509" s="6" t="s">
        <v>437</v>
      </c>
      <c r="G509" s="6" t="s">
        <v>438</v>
      </c>
    </row>
    <row r="510" ht="15.75" customHeight="1">
      <c r="A510" s="3">
        <f t="shared" si="1"/>
        <v>508</v>
      </c>
      <c r="B510" s="4" t="s">
        <v>1987</v>
      </c>
      <c r="C510" s="32" t="s">
        <v>506</v>
      </c>
      <c r="D510" s="6" t="s">
        <v>1988</v>
      </c>
      <c r="E510" s="7" t="s">
        <v>1989</v>
      </c>
      <c r="F510" s="6" t="s">
        <v>437</v>
      </c>
      <c r="G510" s="6" t="s">
        <v>438</v>
      </c>
    </row>
    <row r="511" ht="15.75" customHeight="1">
      <c r="A511" s="3">
        <f t="shared" si="1"/>
        <v>509</v>
      </c>
      <c r="B511" s="19" t="s">
        <v>1990</v>
      </c>
      <c r="C511" s="5" t="s">
        <v>555</v>
      </c>
      <c r="D511" s="10" t="s">
        <v>1991</v>
      </c>
      <c r="E511" s="7" t="s">
        <v>1992</v>
      </c>
      <c r="F511" s="6" t="s">
        <v>437</v>
      </c>
      <c r="G511" s="6" t="s">
        <v>438</v>
      </c>
    </row>
    <row r="512" ht="15.75" customHeight="1">
      <c r="A512" s="3">
        <f t="shared" si="1"/>
        <v>510</v>
      </c>
      <c r="B512" s="9" t="s">
        <v>1993</v>
      </c>
      <c r="C512" s="17" t="s">
        <v>434</v>
      </c>
      <c r="D512" s="10" t="s">
        <v>1994</v>
      </c>
      <c r="E512" s="7" t="s">
        <v>1995</v>
      </c>
      <c r="F512" s="6" t="s">
        <v>437</v>
      </c>
      <c r="G512" s="6" t="s">
        <v>438</v>
      </c>
    </row>
    <row r="513" ht="15.75" customHeight="1">
      <c r="A513" s="3">
        <f t="shared" si="1"/>
        <v>511</v>
      </c>
      <c r="B513" s="33" t="s">
        <v>1996</v>
      </c>
      <c r="C513" s="12" t="s">
        <v>502</v>
      </c>
      <c r="D513" s="18" t="s">
        <v>1997</v>
      </c>
      <c r="E513" s="7" t="s">
        <v>1998</v>
      </c>
      <c r="F513" s="6" t="s">
        <v>437</v>
      </c>
      <c r="G513" s="6" t="s">
        <v>438</v>
      </c>
    </row>
    <row r="514" ht="15.75" customHeight="1">
      <c r="A514" s="3">
        <f t="shared" si="1"/>
        <v>512</v>
      </c>
      <c r="B514" s="19" t="s">
        <v>1999</v>
      </c>
      <c r="C514" s="8" t="s">
        <v>459</v>
      </c>
      <c r="D514" s="18" t="s">
        <v>2000</v>
      </c>
      <c r="E514" s="7" t="s">
        <v>2001</v>
      </c>
      <c r="F514" s="6" t="s">
        <v>437</v>
      </c>
      <c r="G514" s="6" t="s">
        <v>438</v>
      </c>
    </row>
    <row r="515" ht="15.75" customHeight="1">
      <c r="A515" s="3">
        <f t="shared" si="1"/>
        <v>513</v>
      </c>
      <c r="B515" s="21" t="s">
        <v>2002</v>
      </c>
      <c r="C515" s="8" t="s">
        <v>15</v>
      </c>
      <c r="D515" s="6" t="s">
        <v>2003</v>
      </c>
      <c r="E515" s="7" t="s">
        <v>2004</v>
      </c>
      <c r="F515" s="6" t="s">
        <v>437</v>
      </c>
      <c r="G515" s="6" t="s">
        <v>438</v>
      </c>
    </row>
    <row r="516" ht="15.75" customHeight="1">
      <c r="A516" s="3">
        <f t="shared" si="1"/>
        <v>514</v>
      </c>
      <c r="B516" s="21" t="s">
        <v>2005</v>
      </c>
      <c r="C516" s="8" t="s">
        <v>126</v>
      </c>
      <c r="D516" s="6" t="s">
        <v>2006</v>
      </c>
      <c r="E516" s="7" t="s">
        <v>2007</v>
      </c>
      <c r="F516" s="6" t="s">
        <v>437</v>
      </c>
      <c r="G516" s="6" t="s">
        <v>438</v>
      </c>
    </row>
    <row r="517" ht="15.75" customHeight="1">
      <c r="A517" s="3">
        <f t="shared" si="1"/>
        <v>515</v>
      </c>
      <c r="B517" s="19" t="s">
        <v>2008</v>
      </c>
      <c r="C517" s="8" t="s">
        <v>473</v>
      </c>
      <c r="D517" s="6" t="s">
        <v>2009</v>
      </c>
      <c r="E517" s="7" t="s">
        <v>2010</v>
      </c>
      <c r="F517" s="6" t="s">
        <v>437</v>
      </c>
      <c r="G517" s="6" t="s">
        <v>438</v>
      </c>
    </row>
    <row r="518" ht="15.75" customHeight="1">
      <c r="A518" s="3">
        <f t="shared" si="1"/>
        <v>516</v>
      </c>
      <c r="B518" s="19" t="s">
        <v>2011</v>
      </c>
      <c r="C518" s="8" t="s">
        <v>459</v>
      </c>
      <c r="D518" s="10" t="s">
        <v>2012</v>
      </c>
      <c r="E518" s="7" t="s">
        <v>2013</v>
      </c>
      <c r="F518" s="6" t="s">
        <v>437</v>
      </c>
      <c r="G518" s="6" t="s">
        <v>438</v>
      </c>
    </row>
    <row r="519" ht="15.75" customHeight="1">
      <c r="A519" s="3">
        <f t="shared" si="1"/>
        <v>517</v>
      </c>
      <c r="B519" s="31" t="s">
        <v>2014</v>
      </c>
      <c r="C519" s="12" t="s">
        <v>477</v>
      </c>
      <c r="D519" s="10" t="s">
        <v>2015</v>
      </c>
      <c r="E519" s="7" t="s">
        <v>2016</v>
      </c>
      <c r="F519" s="6" t="s">
        <v>437</v>
      </c>
      <c r="G519" s="6" t="s">
        <v>438</v>
      </c>
    </row>
    <row r="520" ht="15.75" customHeight="1">
      <c r="A520" s="3">
        <f t="shared" si="1"/>
        <v>518</v>
      </c>
      <c r="B520" s="9" t="s">
        <v>2017</v>
      </c>
      <c r="C520" s="5" t="s">
        <v>434</v>
      </c>
      <c r="D520" s="18" t="s">
        <v>2018</v>
      </c>
      <c r="E520" s="7" t="s">
        <v>2019</v>
      </c>
      <c r="F520" s="6" t="s">
        <v>437</v>
      </c>
      <c r="G520" s="6" t="s">
        <v>438</v>
      </c>
    </row>
    <row r="521" ht="15.75" customHeight="1">
      <c r="B521" s="11"/>
      <c r="C521" s="11"/>
      <c r="D521" s="11"/>
      <c r="E521" s="11"/>
      <c r="F521" s="11"/>
      <c r="G521" s="11"/>
    </row>
    <row r="522" ht="15.75" customHeight="1">
      <c r="B522" s="11"/>
      <c r="C522" s="11"/>
      <c r="D522" s="11"/>
      <c r="E522" s="11"/>
      <c r="F522" s="11"/>
      <c r="G522" s="11"/>
    </row>
    <row r="523" ht="15.75" customHeight="1">
      <c r="B523" s="11"/>
      <c r="C523" s="11"/>
      <c r="D523" s="11"/>
      <c r="E523" s="11"/>
      <c r="F523" s="11"/>
      <c r="G523" s="11"/>
    </row>
    <row r="524" ht="15.75" customHeight="1">
      <c r="B524" s="11"/>
      <c r="C524" s="11"/>
      <c r="D524" s="11"/>
      <c r="E524" s="11"/>
      <c r="F524" s="11"/>
      <c r="G524" s="11"/>
    </row>
    <row r="525" ht="15.75" customHeight="1">
      <c r="B525" s="11"/>
      <c r="C525" s="11"/>
      <c r="D525" s="11"/>
      <c r="E525" s="11"/>
      <c r="F525" s="11"/>
      <c r="G525" s="11"/>
    </row>
    <row r="526" ht="15.75" customHeight="1">
      <c r="B526" s="11"/>
      <c r="C526" s="11"/>
      <c r="D526" s="11"/>
      <c r="E526" s="11"/>
      <c r="F526" s="11"/>
      <c r="G526" s="11"/>
    </row>
    <row r="527" ht="15.75" customHeight="1">
      <c r="B527" s="11"/>
      <c r="C527" s="11"/>
      <c r="D527" s="11"/>
      <c r="E527" s="11"/>
      <c r="F527" s="11"/>
      <c r="G527" s="11"/>
    </row>
    <row r="528" ht="15.75" customHeight="1">
      <c r="B528" s="11"/>
      <c r="C528" s="11"/>
      <c r="D528" s="11"/>
      <c r="E528" s="11"/>
      <c r="F528" s="11"/>
      <c r="G528" s="11"/>
    </row>
    <row r="529" ht="15.75" customHeight="1">
      <c r="B529" s="11"/>
      <c r="C529" s="11"/>
      <c r="D529" s="11"/>
      <c r="E529" s="11"/>
      <c r="F529" s="11"/>
      <c r="G529" s="11"/>
    </row>
    <row r="530" ht="15.75" customHeight="1">
      <c r="B530" s="11"/>
      <c r="C530" s="11"/>
      <c r="D530" s="11"/>
      <c r="E530" s="11"/>
      <c r="F530" s="11"/>
      <c r="G530" s="11"/>
    </row>
    <row r="531" ht="15.75" customHeight="1">
      <c r="B531" s="11"/>
      <c r="C531" s="11"/>
      <c r="D531" s="11"/>
      <c r="E531" s="11"/>
      <c r="F531" s="11"/>
      <c r="G531" s="11"/>
    </row>
    <row r="532" ht="15.75" customHeight="1">
      <c r="B532" s="11"/>
      <c r="C532" s="11"/>
      <c r="D532" s="11"/>
      <c r="E532" s="11"/>
      <c r="F532" s="11"/>
      <c r="G532" s="11"/>
    </row>
    <row r="533" ht="15.75" customHeight="1">
      <c r="B533" s="11"/>
      <c r="C533" s="11"/>
      <c r="D533" s="11"/>
      <c r="E533" s="11"/>
      <c r="F533" s="11"/>
      <c r="G533" s="11"/>
    </row>
    <row r="534" ht="15.75" customHeight="1">
      <c r="B534" s="11"/>
      <c r="C534" s="11"/>
      <c r="D534" s="11"/>
      <c r="E534" s="11"/>
      <c r="F534" s="11"/>
      <c r="G534" s="11"/>
    </row>
    <row r="535" ht="15.75" customHeight="1">
      <c r="B535" s="11"/>
      <c r="C535" s="11"/>
      <c r="D535" s="11"/>
      <c r="E535" s="11"/>
      <c r="F535" s="11"/>
      <c r="G535" s="11"/>
    </row>
    <row r="536" ht="15.75" customHeight="1">
      <c r="B536" s="11"/>
      <c r="C536" s="11"/>
      <c r="D536" s="11"/>
      <c r="E536" s="11"/>
      <c r="F536" s="11"/>
      <c r="G536" s="11"/>
    </row>
    <row r="537" ht="15.75" customHeight="1">
      <c r="B537" s="11"/>
      <c r="C537" s="11"/>
      <c r="D537" s="11"/>
      <c r="E537" s="11"/>
      <c r="F537" s="11"/>
      <c r="G537" s="11"/>
    </row>
    <row r="538" ht="15.75" customHeight="1">
      <c r="B538" s="11"/>
      <c r="C538" s="11"/>
      <c r="D538" s="11"/>
      <c r="E538" s="11"/>
      <c r="F538" s="11"/>
      <c r="G538" s="11"/>
    </row>
    <row r="539" ht="15.75" customHeight="1">
      <c r="B539" s="11"/>
      <c r="C539" s="11"/>
      <c r="D539" s="11"/>
      <c r="E539" s="11"/>
      <c r="F539" s="11"/>
      <c r="G539" s="11"/>
    </row>
    <row r="540" ht="15.75" customHeight="1">
      <c r="B540" s="11"/>
      <c r="C540" s="11"/>
      <c r="D540" s="11"/>
      <c r="E540" s="11"/>
      <c r="F540" s="11"/>
      <c r="G540" s="11"/>
    </row>
    <row r="541" ht="15.75" customHeight="1">
      <c r="B541" s="11"/>
      <c r="C541" s="11"/>
      <c r="D541" s="11"/>
      <c r="E541" s="11"/>
      <c r="F541" s="11"/>
      <c r="G541" s="11"/>
    </row>
    <row r="542" ht="15.75" customHeight="1">
      <c r="B542" s="11"/>
      <c r="C542" s="11"/>
      <c r="D542" s="11"/>
      <c r="E542" s="11"/>
      <c r="F542" s="11"/>
      <c r="G542" s="11"/>
    </row>
    <row r="543" ht="15.75" customHeight="1">
      <c r="B543" s="11"/>
      <c r="C543" s="11"/>
      <c r="D543" s="11"/>
      <c r="E543" s="11"/>
      <c r="F543" s="11"/>
      <c r="G543" s="11"/>
    </row>
    <row r="544" ht="15.75" customHeight="1">
      <c r="B544" s="11"/>
      <c r="C544" s="11"/>
      <c r="D544" s="11"/>
      <c r="E544" s="11"/>
      <c r="F544" s="11"/>
      <c r="G544" s="11"/>
    </row>
    <row r="545" ht="15.75" customHeight="1">
      <c r="B545" s="11"/>
      <c r="C545" s="11"/>
      <c r="D545" s="11"/>
      <c r="E545" s="11"/>
      <c r="F545" s="11"/>
      <c r="G545" s="11"/>
    </row>
    <row r="546" ht="15.75" customHeight="1">
      <c r="B546" s="11"/>
      <c r="C546" s="11"/>
      <c r="D546" s="11"/>
      <c r="E546" s="11"/>
      <c r="F546" s="11"/>
      <c r="G546" s="11"/>
    </row>
    <row r="547" ht="15.75" customHeight="1">
      <c r="B547" s="11"/>
      <c r="C547" s="11"/>
      <c r="D547" s="11"/>
      <c r="E547" s="11"/>
      <c r="F547" s="11"/>
      <c r="G547" s="11"/>
    </row>
    <row r="548" ht="15.75" customHeight="1">
      <c r="B548" s="11"/>
      <c r="C548" s="11"/>
      <c r="D548" s="11"/>
      <c r="E548" s="11"/>
      <c r="F548" s="11"/>
      <c r="G548" s="11"/>
    </row>
    <row r="549" ht="15.75" customHeight="1">
      <c r="B549" s="11"/>
      <c r="C549" s="11"/>
      <c r="D549" s="11"/>
      <c r="E549" s="11"/>
      <c r="F549" s="11"/>
      <c r="G549" s="11"/>
    </row>
    <row r="550" ht="15.75" customHeight="1">
      <c r="B550" s="11"/>
      <c r="C550" s="11"/>
      <c r="D550" s="11"/>
      <c r="E550" s="11"/>
      <c r="F550" s="11"/>
      <c r="G550" s="11"/>
    </row>
    <row r="551" ht="15.75" customHeight="1">
      <c r="B551" s="11"/>
      <c r="C551" s="11"/>
      <c r="D551" s="11"/>
      <c r="E551" s="11"/>
      <c r="F551" s="11"/>
      <c r="G551" s="11"/>
    </row>
    <row r="552" ht="15.75" customHeight="1">
      <c r="B552" s="11"/>
      <c r="C552" s="11"/>
      <c r="D552" s="11"/>
      <c r="E552" s="11"/>
      <c r="F552" s="11"/>
      <c r="G552" s="11"/>
    </row>
    <row r="553" ht="15.75" customHeight="1">
      <c r="B553" s="11"/>
      <c r="C553" s="11"/>
      <c r="D553" s="11"/>
      <c r="E553" s="11"/>
      <c r="F553" s="11"/>
      <c r="G553" s="11"/>
    </row>
    <row r="554" ht="15.75" customHeight="1">
      <c r="B554" s="11"/>
      <c r="C554" s="11"/>
      <c r="D554" s="11"/>
      <c r="E554" s="11"/>
      <c r="F554" s="11"/>
      <c r="G554" s="11"/>
    </row>
    <row r="555" ht="15.75" customHeight="1">
      <c r="B555" s="11"/>
      <c r="C555" s="11"/>
      <c r="D555" s="11"/>
      <c r="E555" s="11"/>
      <c r="F555" s="11"/>
      <c r="G555" s="11"/>
    </row>
    <row r="556" ht="15.75" customHeight="1">
      <c r="B556" s="11"/>
      <c r="C556" s="11"/>
      <c r="D556" s="11"/>
      <c r="E556" s="11"/>
      <c r="F556" s="11"/>
      <c r="G556" s="11"/>
    </row>
    <row r="557" ht="15.75" customHeight="1">
      <c r="B557" s="11"/>
      <c r="C557" s="11"/>
      <c r="D557" s="11"/>
      <c r="E557" s="11"/>
      <c r="F557" s="11"/>
      <c r="G557" s="11"/>
    </row>
    <row r="558" ht="15.75" customHeight="1">
      <c r="B558" s="11"/>
      <c r="C558" s="11"/>
      <c r="D558" s="11"/>
      <c r="E558" s="11"/>
      <c r="F558" s="11"/>
      <c r="G558" s="11"/>
    </row>
    <row r="559" ht="15.75" customHeight="1">
      <c r="B559" s="11"/>
      <c r="C559" s="11"/>
      <c r="D559" s="11"/>
      <c r="E559" s="11"/>
      <c r="F559" s="11"/>
      <c r="G559" s="11"/>
    </row>
    <row r="560" ht="15.75" customHeight="1">
      <c r="B560" s="11"/>
      <c r="C560" s="11"/>
      <c r="D560" s="11"/>
      <c r="E560" s="11"/>
      <c r="F560" s="11"/>
      <c r="G560" s="11"/>
    </row>
    <row r="561" ht="15.75" customHeight="1">
      <c r="B561" s="11"/>
      <c r="C561" s="11"/>
      <c r="D561" s="11"/>
      <c r="E561" s="11"/>
      <c r="F561" s="11"/>
      <c r="G561" s="11"/>
    </row>
    <row r="562" ht="15.75" customHeight="1">
      <c r="B562" s="11"/>
      <c r="C562" s="11"/>
      <c r="D562" s="11"/>
      <c r="E562" s="11"/>
      <c r="F562" s="11"/>
      <c r="G562" s="11"/>
    </row>
    <row r="563" ht="15.75" customHeight="1">
      <c r="B563" s="11"/>
      <c r="C563" s="11"/>
      <c r="D563" s="11"/>
      <c r="E563" s="11"/>
      <c r="F563" s="11"/>
      <c r="G563" s="11"/>
    </row>
    <row r="564" ht="15.75" customHeight="1">
      <c r="B564" s="11"/>
      <c r="C564" s="11"/>
      <c r="D564" s="11"/>
      <c r="E564" s="11"/>
      <c r="F564" s="11"/>
      <c r="G564" s="11"/>
    </row>
    <row r="565" ht="15.75" customHeight="1">
      <c r="B565" s="11"/>
      <c r="C565" s="11"/>
      <c r="D565" s="11"/>
      <c r="E565" s="11"/>
      <c r="F565" s="11"/>
      <c r="G565" s="11"/>
    </row>
    <row r="566" ht="15.75" customHeight="1">
      <c r="B566" s="11"/>
      <c r="C566" s="11"/>
      <c r="D566" s="11"/>
      <c r="E566" s="11"/>
      <c r="F566" s="11"/>
      <c r="G566" s="11"/>
    </row>
    <row r="567" ht="15.75" customHeight="1">
      <c r="B567" s="11"/>
      <c r="C567" s="11"/>
      <c r="D567" s="11"/>
      <c r="E567" s="11"/>
      <c r="F567" s="11"/>
      <c r="G567" s="11"/>
    </row>
    <row r="568" ht="15.75" customHeight="1">
      <c r="B568" s="11"/>
      <c r="C568" s="11"/>
      <c r="D568" s="11"/>
      <c r="E568" s="11"/>
      <c r="F568" s="11"/>
      <c r="G568" s="11"/>
    </row>
    <row r="569" ht="15.75" customHeight="1">
      <c r="B569" s="11"/>
      <c r="C569" s="11"/>
      <c r="D569" s="11"/>
      <c r="E569" s="11"/>
      <c r="F569" s="11"/>
      <c r="G569" s="11"/>
    </row>
    <row r="570" ht="15.75" customHeight="1">
      <c r="B570" s="11"/>
      <c r="C570" s="11"/>
      <c r="D570" s="11"/>
      <c r="E570" s="11"/>
      <c r="F570" s="11"/>
      <c r="G570" s="11"/>
    </row>
    <row r="571" ht="15.75" customHeight="1">
      <c r="B571" s="11"/>
      <c r="C571" s="11"/>
      <c r="D571" s="11"/>
      <c r="E571" s="11"/>
      <c r="F571" s="11"/>
      <c r="G571" s="11"/>
    </row>
    <row r="572" ht="15.75" customHeight="1">
      <c r="B572" s="11"/>
      <c r="C572" s="11"/>
      <c r="D572" s="11"/>
      <c r="E572" s="11"/>
      <c r="F572" s="11"/>
      <c r="G572" s="11"/>
    </row>
    <row r="573" ht="15.75" customHeight="1">
      <c r="B573" s="11"/>
      <c r="C573" s="11"/>
      <c r="D573" s="11"/>
      <c r="E573" s="11"/>
      <c r="F573" s="11"/>
      <c r="G573" s="11"/>
    </row>
    <row r="574" ht="15.75" customHeight="1">
      <c r="B574" s="11"/>
      <c r="C574" s="11"/>
      <c r="D574" s="11"/>
      <c r="E574" s="11"/>
      <c r="F574" s="11"/>
      <c r="G574" s="11"/>
    </row>
    <row r="575" ht="15.75" customHeight="1">
      <c r="B575" s="11"/>
      <c r="C575" s="11"/>
      <c r="D575" s="11"/>
      <c r="E575" s="11"/>
      <c r="F575" s="11"/>
      <c r="G575" s="11"/>
    </row>
    <row r="576" ht="15.75" customHeight="1">
      <c r="B576" s="11"/>
      <c r="C576" s="11"/>
      <c r="D576" s="11"/>
      <c r="E576" s="11"/>
      <c r="F576" s="11"/>
      <c r="G576" s="11"/>
    </row>
    <row r="577" ht="15.75" customHeight="1">
      <c r="B577" s="11"/>
      <c r="C577" s="11"/>
      <c r="D577" s="11"/>
      <c r="E577" s="11"/>
      <c r="F577" s="11"/>
      <c r="G577" s="11"/>
    </row>
    <row r="578" ht="15.75" customHeight="1">
      <c r="B578" s="11"/>
      <c r="C578" s="11"/>
      <c r="D578" s="11"/>
      <c r="E578" s="11"/>
      <c r="F578" s="11"/>
      <c r="G578" s="11"/>
    </row>
    <row r="579" ht="15.75" customHeight="1">
      <c r="B579" s="11"/>
      <c r="C579" s="11"/>
      <c r="D579" s="11"/>
      <c r="E579" s="11"/>
      <c r="F579" s="11"/>
      <c r="G579" s="11"/>
    </row>
    <row r="580" ht="15.75" customHeight="1">
      <c r="B580" s="11"/>
      <c r="C580" s="11"/>
      <c r="D580" s="11"/>
      <c r="E580" s="11"/>
      <c r="F580" s="11"/>
      <c r="G580" s="11"/>
    </row>
    <row r="581" ht="15.75" customHeight="1">
      <c r="B581" s="11"/>
      <c r="C581" s="11"/>
      <c r="D581" s="11"/>
      <c r="E581" s="11"/>
      <c r="F581" s="11"/>
      <c r="G581" s="11"/>
    </row>
    <row r="582" ht="15.75" customHeight="1">
      <c r="B582" s="11"/>
      <c r="C582" s="11"/>
      <c r="D582" s="11"/>
      <c r="E582" s="11"/>
      <c r="F582" s="11"/>
      <c r="G582" s="11"/>
    </row>
    <row r="583" ht="15.75" customHeight="1">
      <c r="B583" s="11"/>
      <c r="C583" s="11"/>
      <c r="D583" s="11"/>
      <c r="E583" s="11"/>
      <c r="F583" s="11"/>
      <c r="G583" s="11"/>
    </row>
    <row r="584" ht="15.75" customHeight="1">
      <c r="D584" s="60"/>
      <c r="F584" s="60"/>
      <c r="G584" s="11"/>
    </row>
    <row r="585" ht="15.75" customHeight="1">
      <c r="D585" s="11"/>
      <c r="F585" s="11"/>
      <c r="G585" s="11"/>
    </row>
    <row r="586" ht="15.75" customHeight="1">
      <c r="D586" s="11"/>
      <c r="F586" s="11"/>
      <c r="G586" s="11"/>
    </row>
    <row r="587" ht="15.75" customHeight="1">
      <c r="D587" s="11"/>
      <c r="F587" s="11"/>
      <c r="G587" s="11"/>
    </row>
    <row r="588" ht="15.75" customHeight="1">
      <c r="D588" s="11"/>
      <c r="F588" s="11"/>
      <c r="G588" s="11"/>
    </row>
    <row r="589" ht="15.75" customHeight="1">
      <c r="D589" s="11"/>
      <c r="F589" s="11"/>
      <c r="G589" s="11"/>
    </row>
    <row r="590" ht="15.75" customHeight="1">
      <c r="D590" s="11"/>
      <c r="F590" s="11"/>
      <c r="G590" s="11"/>
    </row>
    <row r="591" ht="15.75" customHeight="1">
      <c r="D591" s="11"/>
      <c r="F591" s="11"/>
      <c r="G591" s="11"/>
    </row>
    <row r="592" ht="15.75" customHeight="1">
      <c r="D592" s="11"/>
      <c r="F592" s="11"/>
      <c r="G592" s="11"/>
    </row>
    <row r="593" ht="15.75" customHeight="1">
      <c r="D593" s="11"/>
      <c r="F593" s="11"/>
      <c r="G593" s="11"/>
    </row>
    <row r="594" ht="15.75" customHeight="1">
      <c r="D594" s="11"/>
      <c r="F594" s="11"/>
      <c r="G594" s="11"/>
    </row>
    <row r="595" ht="15.75" customHeight="1">
      <c r="D595" s="11"/>
      <c r="F595" s="11"/>
      <c r="G595" s="11"/>
    </row>
    <row r="596" ht="15.75" customHeight="1">
      <c r="D596" s="11"/>
      <c r="F596" s="11"/>
      <c r="G596" s="11"/>
    </row>
    <row r="597" ht="15.75" customHeight="1">
      <c r="D597" s="11"/>
      <c r="F597" s="11"/>
      <c r="G597" s="11"/>
    </row>
    <row r="598" ht="15.75" customHeight="1">
      <c r="D598" s="11"/>
      <c r="F598" s="11"/>
      <c r="G598" s="11"/>
    </row>
    <row r="599" ht="15.75" customHeight="1">
      <c r="D599" s="11"/>
      <c r="F599" s="11"/>
      <c r="G599" s="11"/>
    </row>
    <row r="600" ht="15.75" customHeight="1">
      <c r="D600" s="11"/>
      <c r="F600" s="11"/>
      <c r="G600" s="11"/>
    </row>
    <row r="601" ht="15.75" customHeight="1">
      <c r="D601" s="11"/>
      <c r="F601" s="11"/>
      <c r="G601" s="11"/>
    </row>
    <row r="602" ht="15.75" customHeight="1">
      <c r="D602" s="11"/>
      <c r="F602" s="11"/>
      <c r="G602" s="11"/>
    </row>
    <row r="603" ht="15.75" customHeight="1">
      <c r="D603" s="11"/>
      <c r="F603" s="11"/>
      <c r="G603" s="11"/>
    </row>
    <row r="604" ht="15.75" customHeight="1">
      <c r="D604" s="11"/>
      <c r="F604" s="11"/>
      <c r="G604" s="11"/>
    </row>
    <row r="605" ht="15.75" customHeight="1">
      <c r="D605" s="11"/>
      <c r="F605" s="11"/>
      <c r="G605" s="11"/>
    </row>
    <row r="606" ht="15.75" customHeight="1">
      <c r="D606" s="11"/>
      <c r="F606" s="11"/>
      <c r="G606" s="11"/>
    </row>
    <row r="607" ht="15.75" customHeight="1">
      <c r="D607" s="11"/>
      <c r="F607" s="11"/>
      <c r="G607" s="11"/>
    </row>
    <row r="608" ht="15.75" customHeight="1">
      <c r="D608" s="11"/>
      <c r="F608" s="11"/>
      <c r="G608" s="11"/>
    </row>
    <row r="609" ht="15.75" customHeight="1">
      <c r="D609" s="11"/>
      <c r="F609" s="11"/>
      <c r="G609" s="11"/>
    </row>
    <row r="610" ht="15.75" customHeight="1">
      <c r="D610" s="11"/>
      <c r="F610" s="11"/>
      <c r="G610" s="11"/>
    </row>
    <row r="611" ht="15.75" customHeight="1">
      <c r="D611" s="11"/>
      <c r="F611" s="11"/>
      <c r="G611" s="11"/>
    </row>
    <row r="612" ht="15.75" customHeight="1">
      <c r="D612" s="11"/>
      <c r="F612" s="11"/>
      <c r="G612" s="11"/>
    </row>
    <row r="613" ht="15.75" customHeight="1">
      <c r="D613" s="11"/>
      <c r="F613" s="11"/>
      <c r="G613" s="11"/>
    </row>
    <row r="614" ht="15.75" customHeight="1">
      <c r="D614" s="11"/>
      <c r="F614" s="11"/>
      <c r="G614" s="11"/>
    </row>
    <row r="615" ht="15.75" customHeight="1">
      <c r="D615" s="11"/>
      <c r="F615" s="11"/>
      <c r="G615" s="11"/>
    </row>
    <row r="616" ht="15.75" customHeight="1">
      <c r="D616" s="11"/>
      <c r="F616" s="11"/>
      <c r="G616" s="11"/>
    </row>
    <row r="617" ht="15.75" customHeight="1">
      <c r="D617" s="11"/>
      <c r="F617" s="11"/>
      <c r="G617" s="11"/>
    </row>
    <row r="618" ht="15.75" customHeight="1">
      <c r="D618" s="11"/>
      <c r="F618" s="11"/>
      <c r="G618" s="11"/>
    </row>
    <row r="619" ht="15.75" customHeight="1">
      <c r="D619" s="11"/>
      <c r="F619" s="11"/>
      <c r="G619" s="11"/>
    </row>
    <row r="620" ht="15.75" customHeight="1">
      <c r="D620" s="11"/>
      <c r="F620" s="11"/>
      <c r="G620" s="11"/>
    </row>
    <row r="621" ht="15.75" customHeight="1">
      <c r="D621" s="11"/>
      <c r="F621" s="11"/>
      <c r="G621" s="11"/>
    </row>
    <row r="622" ht="15.75" customHeight="1">
      <c r="D622" s="11"/>
      <c r="F622" s="11"/>
      <c r="G622" s="11"/>
    </row>
    <row r="623" ht="15.75" customHeight="1">
      <c r="D623" s="11"/>
      <c r="F623" s="11"/>
      <c r="G623" s="11"/>
    </row>
    <row r="624" ht="15.75" customHeight="1">
      <c r="D624" s="11"/>
      <c r="F624" s="11"/>
      <c r="G624" s="11"/>
    </row>
    <row r="625" ht="15.75" customHeight="1">
      <c r="D625" s="11"/>
      <c r="F625" s="11"/>
      <c r="G625" s="11"/>
    </row>
    <row r="626" ht="15.75" customHeight="1">
      <c r="D626" s="11"/>
      <c r="F626" s="11"/>
      <c r="G626" s="11"/>
    </row>
    <row r="627" ht="15.75" customHeight="1">
      <c r="D627" s="11"/>
      <c r="F627" s="11"/>
      <c r="G627" s="11"/>
    </row>
    <row r="628" ht="15.75" customHeight="1">
      <c r="D628" s="11"/>
      <c r="F628" s="11"/>
      <c r="G628" s="11"/>
    </row>
    <row r="629" ht="15.75" customHeight="1">
      <c r="D629" s="11"/>
      <c r="F629" s="11"/>
      <c r="G629" s="11"/>
    </row>
    <row r="630" ht="15.75" customHeight="1">
      <c r="D630" s="11"/>
      <c r="F630" s="11"/>
      <c r="G630" s="11"/>
    </row>
    <row r="631" ht="15.75" customHeight="1">
      <c r="D631" s="11"/>
      <c r="F631" s="11"/>
      <c r="G631" s="11"/>
    </row>
    <row r="632" ht="15.75" customHeight="1">
      <c r="D632" s="11"/>
      <c r="F632" s="11"/>
      <c r="G632" s="11"/>
    </row>
    <row r="633" ht="15.75" customHeight="1">
      <c r="D633" s="11"/>
      <c r="F633" s="11"/>
      <c r="G633" s="11"/>
    </row>
    <row r="634" ht="15.75" customHeight="1">
      <c r="D634" s="11"/>
      <c r="F634" s="11"/>
      <c r="G634" s="11"/>
    </row>
    <row r="635" ht="15.75" customHeight="1">
      <c r="D635" s="11"/>
      <c r="F635" s="11"/>
      <c r="G635" s="11"/>
    </row>
    <row r="636" ht="15.75" customHeight="1">
      <c r="D636" s="11"/>
      <c r="F636" s="11"/>
      <c r="G636" s="11"/>
    </row>
    <row r="637" ht="15.75" customHeight="1">
      <c r="D637" s="11"/>
      <c r="F637" s="11"/>
      <c r="G637" s="11"/>
    </row>
    <row r="638" ht="15.75" customHeight="1">
      <c r="D638" s="11"/>
      <c r="F638" s="11"/>
      <c r="G638" s="11"/>
    </row>
    <row r="639" ht="15.75" customHeight="1">
      <c r="D639" s="11"/>
      <c r="F639" s="11"/>
      <c r="G639" s="11"/>
    </row>
    <row r="640" ht="15.75" customHeight="1">
      <c r="D640" s="11"/>
      <c r="F640" s="11"/>
      <c r="G640" s="11"/>
    </row>
    <row r="641" ht="15.75" customHeight="1">
      <c r="D641" s="11"/>
      <c r="F641" s="11"/>
      <c r="G641" s="11"/>
    </row>
    <row r="642" ht="15.75" customHeight="1">
      <c r="D642" s="11"/>
      <c r="F642" s="11"/>
      <c r="G642" s="11"/>
    </row>
    <row r="643" ht="15.75" customHeight="1">
      <c r="D643" s="11"/>
      <c r="F643" s="11"/>
      <c r="G643" s="11"/>
    </row>
    <row r="644" ht="15.75" customHeight="1">
      <c r="D644" s="11"/>
      <c r="F644" s="11"/>
      <c r="G644" s="11"/>
    </row>
    <row r="645" ht="15.75" customHeight="1">
      <c r="D645" s="11"/>
      <c r="F645" s="11"/>
      <c r="G645" s="11"/>
    </row>
    <row r="646" ht="15.75" customHeight="1">
      <c r="D646" s="11"/>
      <c r="F646" s="11"/>
      <c r="G646" s="11"/>
    </row>
    <row r="647" ht="15.75" customHeight="1">
      <c r="D647" s="11"/>
      <c r="F647" s="11"/>
      <c r="G647" s="11"/>
    </row>
    <row r="648" ht="15.75" customHeight="1">
      <c r="D648" s="11"/>
      <c r="F648" s="11"/>
      <c r="G648" s="11"/>
    </row>
    <row r="649" ht="15.75" customHeight="1">
      <c r="D649" s="11"/>
      <c r="F649" s="11"/>
      <c r="G649" s="11"/>
    </row>
    <row r="650" ht="15.75" customHeight="1">
      <c r="D650" s="11"/>
      <c r="F650" s="11"/>
      <c r="G650" s="11"/>
    </row>
    <row r="651" ht="15.75" customHeight="1">
      <c r="D651" s="11"/>
      <c r="F651" s="11"/>
      <c r="G651" s="11"/>
    </row>
    <row r="652" ht="15.75" customHeight="1">
      <c r="D652" s="11"/>
      <c r="F652" s="11"/>
      <c r="G652" s="11"/>
    </row>
    <row r="653" ht="15.75" customHeight="1">
      <c r="D653" s="11"/>
      <c r="F653" s="11"/>
      <c r="G653" s="11"/>
    </row>
    <row r="654" ht="15.75" customHeight="1">
      <c r="D654" s="11"/>
      <c r="F654" s="11"/>
      <c r="G654" s="11"/>
    </row>
    <row r="655" ht="15.75" customHeight="1">
      <c r="D655" s="11"/>
      <c r="F655" s="11"/>
      <c r="G655" s="11"/>
    </row>
    <row r="656" ht="15.75" customHeight="1">
      <c r="D656" s="11"/>
      <c r="F656" s="11"/>
      <c r="G656" s="11"/>
    </row>
    <row r="657" ht="15.75" customHeight="1">
      <c r="D657" s="11"/>
      <c r="F657" s="11"/>
      <c r="G657" s="11"/>
    </row>
    <row r="658" ht="15.75" customHeight="1">
      <c r="D658" s="11"/>
      <c r="F658" s="11"/>
      <c r="G658" s="11"/>
    </row>
    <row r="659" ht="15.75" customHeight="1">
      <c r="D659" s="11"/>
      <c r="F659" s="11"/>
      <c r="G659" s="11"/>
    </row>
    <row r="660" ht="15.75" customHeight="1">
      <c r="D660" s="11"/>
      <c r="F660" s="11"/>
      <c r="G660" s="11"/>
    </row>
    <row r="661" ht="15.75" customHeight="1">
      <c r="D661" s="11"/>
      <c r="F661" s="11"/>
      <c r="G661" s="11"/>
    </row>
    <row r="662" ht="15.75" customHeight="1">
      <c r="D662" s="11"/>
      <c r="F662" s="11"/>
      <c r="G662" s="11"/>
    </row>
    <row r="663" ht="15.75" customHeight="1">
      <c r="D663" s="11"/>
      <c r="F663" s="11"/>
      <c r="G663" s="11"/>
    </row>
    <row r="664" ht="15.75" customHeight="1">
      <c r="D664" s="11"/>
      <c r="F664" s="11"/>
      <c r="G664" s="11"/>
    </row>
    <row r="665" ht="15.75" customHeight="1">
      <c r="D665" s="11"/>
      <c r="F665" s="11"/>
      <c r="G665" s="11"/>
    </row>
    <row r="666" ht="15.75" customHeight="1">
      <c r="D666" s="11"/>
      <c r="F666" s="11"/>
      <c r="G666" s="11"/>
    </row>
    <row r="667" ht="15.75" customHeight="1">
      <c r="D667" s="11"/>
      <c r="F667" s="11"/>
      <c r="G667" s="11"/>
    </row>
    <row r="668" ht="15.75" customHeight="1">
      <c r="D668" s="11"/>
      <c r="F668" s="11"/>
      <c r="G668" s="11"/>
    </row>
    <row r="669" ht="15.75" customHeight="1">
      <c r="D669" s="11"/>
      <c r="F669" s="11"/>
      <c r="G669" s="11"/>
    </row>
    <row r="670" ht="15.75" customHeight="1">
      <c r="D670" s="11"/>
      <c r="F670" s="11"/>
      <c r="G670" s="11"/>
    </row>
    <row r="671" ht="15.75" customHeight="1">
      <c r="D671" s="11"/>
      <c r="F671" s="11"/>
      <c r="G671" s="11"/>
    </row>
    <row r="672" ht="15.75" customHeight="1">
      <c r="D672" s="11"/>
      <c r="F672" s="11"/>
      <c r="G672" s="11"/>
    </row>
    <row r="673" ht="15.75" customHeight="1">
      <c r="D673" s="11"/>
      <c r="F673" s="11"/>
      <c r="G673" s="11"/>
    </row>
    <row r="674" ht="15.75" customHeight="1">
      <c r="D674" s="11"/>
      <c r="F674" s="11"/>
      <c r="G674" s="11"/>
    </row>
    <row r="675" ht="15.75" customHeight="1">
      <c r="D675" s="11"/>
      <c r="F675" s="11"/>
      <c r="G675" s="11"/>
    </row>
    <row r="676" ht="15.75" customHeight="1">
      <c r="D676" s="11"/>
      <c r="F676" s="11"/>
      <c r="G676" s="11"/>
    </row>
    <row r="677" ht="15.75" customHeight="1">
      <c r="D677" s="11"/>
      <c r="F677" s="11"/>
      <c r="G677" s="11"/>
    </row>
    <row r="678" ht="15.75" customHeight="1">
      <c r="D678" s="11"/>
      <c r="F678" s="11"/>
      <c r="G678" s="11"/>
    </row>
    <row r="679" ht="15.75" customHeight="1">
      <c r="D679" s="11"/>
      <c r="F679" s="11"/>
      <c r="G679" s="11"/>
    </row>
    <row r="680" ht="15.75" customHeight="1">
      <c r="D680" s="11"/>
      <c r="F680" s="11"/>
      <c r="G680" s="11"/>
    </row>
    <row r="681" ht="15.75" customHeight="1">
      <c r="D681" s="11"/>
      <c r="F681" s="11"/>
      <c r="G681" s="11"/>
    </row>
    <row r="682" ht="15.75" customHeight="1">
      <c r="D682" s="11"/>
      <c r="F682" s="11"/>
      <c r="G682" s="11"/>
    </row>
    <row r="683" ht="15.75" customHeight="1">
      <c r="D683" s="11"/>
      <c r="F683" s="11"/>
      <c r="G683" s="11"/>
    </row>
    <row r="684" ht="15.75" customHeight="1">
      <c r="D684" s="11"/>
      <c r="F684" s="11"/>
      <c r="G684" s="11"/>
    </row>
    <row r="685" ht="15.75" customHeight="1">
      <c r="D685" s="11"/>
      <c r="F685" s="11"/>
      <c r="G685" s="11"/>
    </row>
    <row r="686" ht="15.75" customHeight="1">
      <c r="D686" s="11"/>
      <c r="F686" s="11"/>
      <c r="G686" s="11"/>
    </row>
    <row r="687" ht="15.75" customHeight="1">
      <c r="D687" s="11"/>
      <c r="F687" s="11"/>
      <c r="G687" s="11"/>
    </row>
    <row r="688" ht="15.75" customHeight="1">
      <c r="D688" s="11"/>
      <c r="F688" s="11"/>
      <c r="G688" s="11"/>
    </row>
    <row r="689" ht="15.75" customHeight="1">
      <c r="D689" s="11"/>
      <c r="F689" s="11"/>
      <c r="G689" s="11"/>
    </row>
    <row r="690" ht="15.75" customHeight="1">
      <c r="D690" s="11"/>
      <c r="F690" s="11"/>
      <c r="G690" s="11"/>
    </row>
    <row r="691" ht="15.75" customHeight="1">
      <c r="D691" s="11"/>
      <c r="F691" s="11"/>
      <c r="G691" s="11"/>
    </row>
    <row r="692" ht="15.75" customHeight="1">
      <c r="D692" s="11"/>
      <c r="F692" s="11"/>
      <c r="G692" s="11"/>
    </row>
    <row r="693" ht="15.75" customHeight="1">
      <c r="D693" s="11"/>
      <c r="F693" s="11"/>
      <c r="G693" s="11"/>
    </row>
    <row r="694" ht="15.75" customHeight="1">
      <c r="D694" s="11"/>
      <c r="F694" s="11"/>
      <c r="G694" s="11"/>
    </row>
    <row r="695" ht="15.75" customHeight="1">
      <c r="D695" s="11"/>
      <c r="F695" s="11"/>
      <c r="G695" s="11"/>
    </row>
    <row r="696" ht="15.75" customHeight="1">
      <c r="D696" s="11"/>
      <c r="F696" s="11"/>
      <c r="G696" s="11"/>
    </row>
    <row r="697" ht="15.75" customHeight="1">
      <c r="D697" s="11"/>
      <c r="F697" s="11"/>
      <c r="G697" s="11"/>
    </row>
    <row r="698" ht="15.75" customHeight="1">
      <c r="D698" s="11"/>
      <c r="F698" s="11"/>
      <c r="G698" s="11"/>
    </row>
    <row r="699" ht="15.75" customHeight="1">
      <c r="D699" s="11"/>
      <c r="F699" s="11"/>
      <c r="G699" s="11"/>
    </row>
    <row r="700" ht="15.75" customHeight="1">
      <c r="D700" s="11"/>
      <c r="F700" s="11"/>
      <c r="G700" s="11"/>
    </row>
    <row r="701" ht="15.75" customHeight="1">
      <c r="D701" s="11"/>
      <c r="F701" s="11"/>
      <c r="G701" s="11"/>
    </row>
    <row r="702" ht="15.75" customHeight="1">
      <c r="D702" s="11"/>
      <c r="F702" s="11"/>
      <c r="G702" s="11"/>
    </row>
    <row r="703" ht="15.75" customHeight="1">
      <c r="D703" s="11"/>
      <c r="F703" s="11"/>
      <c r="G703" s="11"/>
    </row>
    <row r="704" ht="15.75" customHeight="1">
      <c r="D704" s="11"/>
      <c r="F704" s="11"/>
      <c r="G704" s="11"/>
    </row>
    <row r="705" ht="15.75" customHeight="1">
      <c r="D705" s="11"/>
      <c r="F705" s="11"/>
      <c r="G705" s="11"/>
    </row>
    <row r="706" ht="15.75" customHeight="1">
      <c r="D706" s="11"/>
      <c r="F706" s="11"/>
      <c r="G706" s="11"/>
    </row>
    <row r="707" ht="15.75" customHeight="1">
      <c r="D707" s="11"/>
      <c r="F707" s="11"/>
      <c r="G707" s="11"/>
    </row>
    <row r="708" ht="15.75" customHeight="1">
      <c r="D708" s="11"/>
      <c r="F708" s="11"/>
      <c r="G708" s="11"/>
    </row>
    <row r="709" ht="15.75" customHeight="1">
      <c r="D709" s="11"/>
      <c r="F709" s="11"/>
      <c r="G709" s="11"/>
    </row>
    <row r="710" ht="15.75" customHeight="1">
      <c r="D710" s="11"/>
      <c r="F710" s="11"/>
      <c r="G710" s="11"/>
    </row>
    <row r="711" ht="15.75" customHeight="1">
      <c r="D711" s="11"/>
      <c r="F711" s="11"/>
      <c r="G711" s="11"/>
    </row>
    <row r="712" ht="15.75" customHeight="1">
      <c r="D712" s="11"/>
      <c r="F712" s="11"/>
      <c r="G712" s="11"/>
    </row>
    <row r="713" ht="15.75" customHeight="1">
      <c r="D713" s="11"/>
      <c r="F713" s="11"/>
      <c r="G713" s="11"/>
    </row>
    <row r="714" ht="15.75" customHeight="1">
      <c r="D714" s="11"/>
      <c r="F714" s="11"/>
      <c r="G714" s="11"/>
    </row>
    <row r="715" ht="15.75" customHeight="1">
      <c r="D715" s="11"/>
      <c r="F715" s="11"/>
      <c r="G715" s="11"/>
    </row>
    <row r="716" ht="15.75" customHeight="1">
      <c r="D716" s="11"/>
      <c r="F716" s="11"/>
      <c r="G716" s="11"/>
    </row>
    <row r="717" ht="15.75" customHeight="1">
      <c r="D717" s="11"/>
      <c r="F717" s="11"/>
      <c r="G717" s="11"/>
    </row>
    <row r="718" ht="15.75" customHeight="1">
      <c r="D718" s="11"/>
      <c r="F718" s="11"/>
      <c r="G718" s="11"/>
    </row>
    <row r="719" ht="15.75" customHeight="1">
      <c r="D719" s="11"/>
      <c r="F719" s="11"/>
      <c r="G719" s="11"/>
    </row>
    <row r="720" ht="15.75" customHeight="1">
      <c r="D720" s="11"/>
      <c r="F720" s="11"/>
      <c r="G720" s="11"/>
    </row>
    <row r="721" ht="15.75" customHeight="1">
      <c r="D721" s="11"/>
      <c r="F721" s="11"/>
      <c r="G721" s="11"/>
    </row>
    <row r="722" ht="15.75" customHeight="1">
      <c r="D722" s="11"/>
      <c r="F722" s="11"/>
      <c r="G722" s="11"/>
    </row>
    <row r="723" ht="15.75" customHeight="1">
      <c r="D723" s="11"/>
      <c r="F723" s="11"/>
      <c r="G723" s="11"/>
    </row>
    <row r="724" ht="15.75" customHeight="1">
      <c r="D724" s="11"/>
      <c r="F724" s="11"/>
      <c r="G724" s="11"/>
    </row>
    <row r="725" ht="15.75" customHeight="1">
      <c r="D725" s="11"/>
      <c r="F725" s="11"/>
      <c r="G725" s="11"/>
    </row>
    <row r="726" ht="15.75" customHeight="1">
      <c r="D726" s="11"/>
      <c r="F726" s="11"/>
      <c r="G726" s="11"/>
    </row>
    <row r="727" ht="15.75" customHeight="1">
      <c r="D727" s="11"/>
      <c r="F727" s="11"/>
      <c r="G727" s="11"/>
    </row>
    <row r="728" ht="15.75" customHeight="1">
      <c r="D728" s="11"/>
      <c r="F728" s="11"/>
      <c r="G728" s="11"/>
    </row>
    <row r="729" ht="15.75" customHeight="1">
      <c r="D729" s="11"/>
      <c r="F729" s="11"/>
      <c r="G729" s="11"/>
    </row>
    <row r="730" ht="15.75" customHeight="1">
      <c r="D730" s="11"/>
      <c r="F730" s="11"/>
      <c r="G730" s="11"/>
    </row>
    <row r="731" ht="15.75" customHeight="1">
      <c r="D731" s="11"/>
      <c r="F731" s="11"/>
      <c r="G731" s="11"/>
    </row>
    <row r="732" ht="15.75" customHeight="1">
      <c r="D732" s="11"/>
      <c r="F732" s="11"/>
      <c r="G732" s="11"/>
    </row>
    <row r="733" ht="15.75" customHeight="1">
      <c r="D733" s="11"/>
      <c r="F733" s="11"/>
      <c r="G733" s="11"/>
    </row>
    <row r="734" ht="15.75" customHeight="1">
      <c r="D734" s="11"/>
      <c r="F734" s="11"/>
      <c r="G734" s="11"/>
    </row>
    <row r="735" ht="15.75" customHeight="1">
      <c r="D735" s="11"/>
      <c r="F735" s="11"/>
      <c r="G735" s="11"/>
    </row>
    <row r="736" ht="15.75" customHeight="1">
      <c r="D736" s="11"/>
      <c r="F736" s="11"/>
      <c r="G736" s="11"/>
    </row>
    <row r="737" ht="15.75" customHeight="1">
      <c r="D737" s="11"/>
      <c r="F737" s="11"/>
      <c r="G737" s="11"/>
    </row>
    <row r="738" ht="15.75" customHeight="1">
      <c r="D738" s="11"/>
      <c r="F738" s="11"/>
      <c r="G738" s="11"/>
    </row>
    <row r="739" ht="15.75" customHeight="1">
      <c r="D739" s="11"/>
      <c r="F739" s="11"/>
      <c r="G739" s="11"/>
    </row>
    <row r="740" ht="15.75" customHeight="1">
      <c r="D740" s="11"/>
      <c r="F740" s="11"/>
      <c r="G740" s="11"/>
    </row>
    <row r="741" ht="15.75" customHeight="1">
      <c r="D741" s="11"/>
      <c r="F741" s="11"/>
      <c r="G741" s="11"/>
    </row>
    <row r="742" ht="15.75" customHeight="1">
      <c r="D742" s="11"/>
      <c r="F742" s="11"/>
      <c r="G742" s="11"/>
    </row>
    <row r="743" ht="15.75" customHeight="1">
      <c r="D743" s="11"/>
      <c r="F743" s="11"/>
      <c r="G743" s="11"/>
    </row>
    <row r="744" ht="15.75" customHeight="1">
      <c r="D744" s="11"/>
      <c r="F744" s="11"/>
      <c r="G744" s="11"/>
    </row>
    <row r="745" ht="15.75" customHeight="1">
      <c r="D745" s="11"/>
      <c r="F745" s="11"/>
      <c r="G745" s="11"/>
    </row>
    <row r="746" ht="15.75" customHeight="1">
      <c r="D746" s="11"/>
      <c r="F746" s="11"/>
      <c r="G746" s="11"/>
    </row>
    <row r="747" ht="15.75" customHeight="1">
      <c r="D747" s="11"/>
      <c r="F747" s="11"/>
      <c r="G747" s="11"/>
    </row>
    <row r="748" ht="15.75" customHeight="1">
      <c r="D748" s="11"/>
      <c r="F748" s="11"/>
      <c r="G748" s="11"/>
    </row>
    <row r="749" ht="15.75" customHeight="1">
      <c r="D749" s="11"/>
      <c r="F749" s="11"/>
      <c r="G749" s="11"/>
    </row>
    <row r="750" ht="15.75" customHeight="1">
      <c r="D750" s="11"/>
      <c r="F750" s="11"/>
      <c r="G750" s="11"/>
    </row>
    <row r="751" ht="15.75" customHeight="1">
      <c r="D751" s="11"/>
      <c r="F751" s="11"/>
      <c r="G751" s="11"/>
    </row>
    <row r="752" ht="15.75" customHeight="1">
      <c r="D752" s="11"/>
      <c r="F752" s="11"/>
      <c r="G752" s="11"/>
    </row>
    <row r="753" ht="15.75" customHeight="1">
      <c r="D753" s="11"/>
      <c r="F753" s="11"/>
      <c r="G753" s="11"/>
    </row>
    <row r="754" ht="15.75" customHeight="1">
      <c r="D754" s="11"/>
      <c r="F754" s="11"/>
      <c r="G754" s="11"/>
    </row>
    <row r="755" ht="15.75" customHeight="1">
      <c r="D755" s="11"/>
      <c r="F755" s="11"/>
      <c r="G755" s="11"/>
    </row>
    <row r="756" ht="15.75" customHeight="1">
      <c r="D756" s="11"/>
      <c r="F756" s="11"/>
      <c r="G756" s="11"/>
    </row>
    <row r="757" ht="15.75" customHeight="1">
      <c r="D757" s="11"/>
      <c r="F757" s="11"/>
      <c r="G757" s="11"/>
    </row>
    <row r="758" ht="15.75" customHeight="1">
      <c r="D758" s="11"/>
      <c r="F758" s="11"/>
      <c r="G758" s="11"/>
    </row>
    <row r="759" ht="15.75" customHeight="1">
      <c r="D759" s="11"/>
      <c r="F759" s="11"/>
      <c r="G759" s="11"/>
    </row>
    <row r="760" ht="15.75" customHeight="1">
      <c r="D760" s="11"/>
      <c r="F760" s="11"/>
      <c r="G760" s="11"/>
    </row>
    <row r="761" ht="15.75" customHeight="1">
      <c r="D761" s="11"/>
      <c r="F761" s="11"/>
      <c r="G761" s="11"/>
    </row>
    <row r="762" ht="15.75" customHeight="1">
      <c r="D762" s="11"/>
      <c r="F762" s="11"/>
      <c r="G762" s="11"/>
    </row>
    <row r="763" ht="15.75" customHeight="1">
      <c r="D763" s="11"/>
      <c r="F763" s="11"/>
      <c r="G763" s="11"/>
    </row>
    <row r="764" ht="15.75" customHeight="1">
      <c r="D764" s="11"/>
      <c r="F764" s="11"/>
      <c r="G764" s="11"/>
    </row>
    <row r="765" ht="15.75" customHeight="1">
      <c r="D765" s="11"/>
      <c r="F765" s="11"/>
      <c r="G765" s="11"/>
    </row>
    <row r="766" ht="15.75" customHeight="1">
      <c r="D766" s="11"/>
      <c r="F766" s="11"/>
      <c r="G766" s="11"/>
    </row>
    <row r="767" ht="15.75" customHeight="1">
      <c r="D767" s="11"/>
      <c r="F767" s="11"/>
      <c r="G767" s="11"/>
    </row>
    <row r="768" ht="15.75" customHeight="1">
      <c r="D768" s="11"/>
      <c r="F768" s="11"/>
      <c r="G768" s="11"/>
    </row>
    <row r="769" ht="15.75" customHeight="1">
      <c r="D769" s="11"/>
      <c r="F769" s="11"/>
      <c r="G769" s="11"/>
    </row>
    <row r="770" ht="15.75" customHeight="1">
      <c r="D770" s="11"/>
      <c r="F770" s="11"/>
      <c r="G770" s="11"/>
    </row>
    <row r="771" ht="15.75" customHeight="1">
      <c r="D771" s="11"/>
      <c r="F771" s="11"/>
      <c r="G771" s="11"/>
    </row>
    <row r="772" ht="15.75" customHeight="1">
      <c r="D772" s="11"/>
      <c r="F772" s="11"/>
      <c r="G772" s="11"/>
    </row>
    <row r="773" ht="15.75" customHeight="1">
      <c r="D773" s="11"/>
      <c r="F773" s="11"/>
      <c r="G773" s="11"/>
    </row>
    <row r="774" ht="15.75" customHeight="1">
      <c r="D774" s="11"/>
      <c r="F774" s="11"/>
      <c r="G774" s="11"/>
    </row>
    <row r="775" ht="15.75" customHeight="1">
      <c r="D775" s="11"/>
      <c r="F775" s="11"/>
      <c r="G775" s="11"/>
    </row>
    <row r="776" ht="15.75" customHeight="1">
      <c r="D776" s="11"/>
      <c r="F776" s="11"/>
      <c r="G776" s="11"/>
    </row>
    <row r="777" ht="15.75" customHeight="1">
      <c r="D777" s="11"/>
      <c r="F777" s="11"/>
      <c r="G777" s="11"/>
    </row>
    <row r="778" ht="15.75" customHeight="1">
      <c r="D778" s="11"/>
      <c r="F778" s="11"/>
      <c r="G778" s="11"/>
    </row>
    <row r="779" ht="15.75" customHeight="1">
      <c r="D779" s="11"/>
      <c r="F779" s="11"/>
      <c r="G779" s="11"/>
    </row>
    <row r="780" ht="15.75" customHeight="1">
      <c r="D780" s="11"/>
      <c r="F780" s="11"/>
      <c r="G780" s="11"/>
    </row>
    <row r="781" ht="15.75" customHeight="1">
      <c r="D781" s="11"/>
      <c r="F781" s="11"/>
      <c r="G781" s="11"/>
    </row>
    <row r="782" ht="15.75" customHeight="1">
      <c r="D782" s="11"/>
      <c r="F782" s="11"/>
      <c r="G782" s="11"/>
    </row>
    <row r="783" ht="15.75" customHeight="1">
      <c r="D783" s="11"/>
      <c r="F783" s="11"/>
      <c r="G783" s="11"/>
    </row>
    <row r="784" ht="15.75" customHeight="1">
      <c r="D784" s="11"/>
      <c r="F784" s="11"/>
      <c r="G784" s="11"/>
    </row>
    <row r="785" ht="15.75" customHeight="1">
      <c r="D785" s="11"/>
      <c r="F785" s="11"/>
      <c r="G785" s="11"/>
    </row>
    <row r="786" ht="15.75" customHeight="1">
      <c r="D786" s="11"/>
      <c r="F786" s="11"/>
      <c r="G786" s="11"/>
    </row>
    <row r="787" ht="15.75" customHeight="1">
      <c r="D787" s="11"/>
      <c r="F787" s="11"/>
      <c r="G787" s="11"/>
    </row>
    <row r="788" ht="15.75" customHeight="1">
      <c r="D788" s="11"/>
      <c r="F788" s="11"/>
      <c r="G788" s="11"/>
    </row>
    <row r="789" ht="15.75" customHeight="1">
      <c r="D789" s="11"/>
      <c r="F789" s="11"/>
      <c r="G789" s="11"/>
    </row>
    <row r="790" ht="15.75" customHeight="1">
      <c r="D790" s="11"/>
      <c r="F790" s="11"/>
      <c r="G790" s="11"/>
    </row>
    <row r="791" ht="15.75" customHeight="1">
      <c r="D791" s="11"/>
      <c r="F791" s="11"/>
      <c r="G791" s="11"/>
    </row>
    <row r="792" ht="15.75" customHeight="1">
      <c r="D792" s="11"/>
      <c r="F792" s="11"/>
      <c r="G792" s="11"/>
    </row>
    <row r="793" ht="15.75" customHeight="1">
      <c r="D793" s="11"/>
      <c r="F793" s="11"/>
      <c r="G793" s="11"/>
    </row>
    <row r="794" ht="15.75" customHeight="1">
      <c r="D794" s="11"/>
      <c r="F794" s="11"/>
      <c r="G794" s="11"/>
    </row>
    <row r="795" ht="15.75" customHeight="1">
      <c r="D795" s="11"/>
      <c r="F795" s="11"/>
      <c r="G795" s="11"/>
    </row>
    <row r="796" ht="15.75" customHeight="1">
      <c r="D796" s="11"/>
      <c r="F796" s="11"/>
      <c r="G796" s="11"/>
    </row>
    <row r="797" ht="15.75" customHeight="1">
      <c r="D797" s="11"/>
      <c r="F797" s="11"/>
      <c r="G797" s="11"/>
    </row>
    <row r="798" ht="15.75" customHeight="1">
      <c r="D798" s="11"/>
      <c r="F798" s="11"/>
      <c r="G798" s="11"/>
    </row>
    <row r="799" ht="15.75" customHeight="1">
      <c r="D799" s="11"/>
      <c r="F799" s="11"/>
      <c r="G799" s="11"/>
    </row>
    <row r="800" ht="15.75" customHeight="1">
      <c r="D800" s="11"/>
      <c r="F800" s="11"/>
      <c r="G800" s="11"/>
    </row>
    <row r="801" ht="15.75" customHeight="1">
      <c r="D801" s="11"/>
      <c r="F801" s="11"/>
      <c r="G801" s="11"/>
    </row>
    <row r="802" ht="15.75" customHeight="1">
      <c r="D802" s="11"/>
      <c r="F802" s="11"/>
      <c r="G802" s="11"/>
    </row>
    <row r="803" ht="15.75" customHeight="1">
      <c r="D803" s="11"/>
      <c r="F803" s="11"/>
      <c r="G803" s="11"/>
    </row>
    <row r="804" ht="15.75" customHeight="1">
      <c r="D804" s="11"/>
      <c r="F804" s="11"/>
      <c r="G804" s="11"/>
    </row>
    <row r="805" ht="15.75" customHeight="1">
      <c r="D805" s="11"/>
      <c r="F805" s="11"/>
      <c r="G805" s="11"/>
    </row>
    <row r="806" ht="15.75" customHeight="1">
      <c r="D806" s="11"/>
      <c r="F806" s="11"/>
      <c r="G806" s="11"/>
    </row>
    <row r="807" ht="15.75" customHeight="1">
      <c r="D807" s="11"/>
      <c r="F807" s="11"/>
      <c r="G807" s="11"/>
    </row>
    <row r="808" ht="15.75" customHeight="1">
      <c r="D808" s="11"/>
      <c r="F808" s="11"/>
      <c r="G808" s="11"/>
    </row>
    <row r="809" ht="15.75" customHeight="1">
      <c r="D809" s="11"/>
      <c r="F809" s="11"/>
      <c r="G809" s="11"/>
    </row>
    <row r="810" ht="15.75" customHeight="1">
      <c r="D810" s="11"/>
      <c r="F810" s="11"/>
      <c r="G810" s="11"/>
    </row>
    <row r="811" ht="15.75" customHeight="1">
      <c r="D811" s="11"/>
      <c r="F811" s="11"/>
      <c r="G811" s="11"/>
    </row>
    <row r="812" ht="15.75" customHeight="1">
      <c r="D812" s="11"/>
      <c r="F812" s="11"/>
      <c r="G812" s="11"/>
    </row>
    <row r="813" ht="15.75" customHeight="1">
      <c r="D813" s="11"/>
      <c r="F813" s="11"/>
      <c r="G813" s="11"/>
    </row>
    <row r="814" ht="15.75" customHeight="1">
      <c r="D814" s="11"/>
      <c r="F814" s="11"/>
      <c r="G814" s="11"/>
    </row>
    <row r="815" ht="15.75" customHeight="1">
      <c r="D815" s="11"/>
      <c r="F815" s="11"/>
      <c r="G815" s="11"/>
    </row>
    <row r="816" ht="15.75" customHeight="1">
      <c r="D816" s="11"/>
      <c r="F816" s="11"/>
      <c r="G816" s="11"/>
    </row>
    <row r="817" ht="15.75" customHeight="1">
      <c r="D817" s="11"/>
      <c r="F817" s="11"/>
      <c r="G817" s="11"/>
    </row>
    <row r="818" ht="15.75" customHeight="1">
      <c r="D818" s="11"/>
      <c r="F818" s="11"/>
      <c r="G818" s="11"/>
    </row>
    <row r="819" ht="15.75" customHeight="1">
      <c r="D819" s="11"/>
      <c r="F819" s="11"/>
      <c r="G819" s="11"/>
    </row>
    <row r="820" ht="15.75" customHeight="1">
      <c r="D820" s="11"/>
      <c r="F820" s="11"/>
      <c r="G820" s="11"/>
    </row>
    <row r="821" ht="15.75" customHeight="1">
      <c r="D821" s="11"/>
      <c r="F821" s="11"/>
      <c r="G821" s="11"/>
    </row>
    <row r="822" ht="15.75" customHeight="1">
      <c r="D822" s="11"/>
      <c r="F822" s="11"/>
      <c r="G822" s="11"/>
    </row>
    <row r="823" ht="15.75" customHeight="1">
      <c r="D823" s="11"/>
      <c r="F823" s="11"/>
      <c r="G823" s="11"/>
    </row>
    <row r="824" ht="15.75" customHeight="1">
      <c r="D824" s="11"/>
      <c r="F824" s="11"/>
      <c r="G824" s="11"/>
    </row>
    <row r="825" ht="15.75" customHeight="1">
      <c r="D825" s="11"/>
      <c r="F825" s="11"/>
      <c r="G825" s="11"/>
    </row>
    <row r="826" ht="15.75" customHeight="1">
      <c r="D826" s="11"/>
      <c r="F826" s="11"/>
      <c r="G826" s="11"/>
    </row>
    <row r="827" ht="15.75" customHeight="1">
      <c r="D827" s="11"/>
      <c r="F827" s="11"/>
      <c r="G827" s="11"/>
    </row>
    <row r="828" ht="15.75" customHeight="1">
      <c r="D828" s="11"/>
      <c r="F828" s="11"/>
      <c r="G828" s="11"/>
    </row>
    <row r="829" ht="15.75" customHeight="1">
      <c r="D829" s="11"/>
      <c r="F829" s="11"/>
      <c r="G829" s="11"/>
    </row>
    <row r="830" ht="15.75" customHeight="1">
      <c r="D830" s="11"/>
      <c r="F830" s="11"/>
      <c r="G830" s="11"/>
    </row>
    <row r="831" ht="15.75" customHeight="1">
      <c r="D831" s="11"/>
      <c r="F831" s="11"/>
      <c r="G831" s="11"/>
    </row>
    <row r="832" ht="15.75" customHeight="1">
      <c r="D832" s="11"/>
      <c r="F832" s="11"/>
      <c r="G832" s="11"/>
    </row>
    <row r="833" ht="15.75" customHeight="1">
      <c r="D833" s="11"/>
      <c r="F833" s="11"/>
      <c r="G833" s="11"/>
    </row>
    <row r="834" ht="15.75" customHeight="1">
      <c r="D834" s="11"/>
      <c r="F834" s="11"/>
      <c r="G834" s="11"/>
    </row>
    <row r="835" ht="15.75" customHeight="1">
      <c r="D835" s="11"/>
      <c r="F835" s="11"/>
      <c r="G835" s="11"/>
    </row>
    <row r="836" ht="15.75" customHeight="1">
      <c r="D836" s="11"/>
      <c r="F836" s="11"/>
      <c r="G836" s="11"/>
    </row>
    <row r="837" ht="15.75" customHeight="1">
      <c r="D837" s="11"/>
      <c r="F837" s="11"/>
      <c r="G837" s="11"/>
    </row>
    <row r="838" ht="15.75" customHeight="1">
      <c r="D838" s="11"/>
      <c r="F838" s="11"/>
      <c r="G838" s="11"/>
    </row>
    <row r="839" ht="15.75" customHeight="1">
      <c r="D839" s="11"/>
      <c r="F839" s="11"/>
      <c r="G839" s="11"/>
    </row>
    <row r="840" ht="15.75" customHeight="1">
      <c r="D840" s="11"/>
      <c r="F840" s="11"/>
      <c r="G840" s="11"/>
    </row>
    <row r="841" ht="15.75" customHeight="1">
      <c r="D841" s="11"/>
      <c r="F841" s="11"/>
      <c r="G841" s="11"/>
    </row>
    <row r="842" ht="15.75" customHeight="1">
      <c r="D842" s="11"/>
      <c r="F842" s="11"/>
      <c r="G842" s="11"/>
    </row>
    <row r="843" ht="15.75" customHeight="1">
      <c r="D843" s="11"/>
      <c r="F843" s="11"/>
      <c r="G843" s="11"/>
    </row>
    <row r="844" ht="15.75" customHeight="1">
      <c r="D844" s="11"/>
      <c r="F844" s="11"/>
      <c r="G844" s="11"/>
    </row>
    <row r="845" ht="15.75" customHeight="1">
      <c r="D845" s="11"/>
      <c r="F845" s="11"/>
      <c r="G845" s="11"/>
    </row>
    <row r="846" ht="15.75" customHeight="1">
      <c r="D846" s="11"/>
      <c r="F846" s="11"/>
      <c r="G846" s="11"/>
    </row>
    <row r="847" ht="15.75" customHeight="1">
      <c r="D847" s="11"/>
      <c r="F847" s="11"/>
      <c r="G847" s="11"/>
    </row>
    <row r="848" ht="15.75" customHeight="1">
      <c r="D848" s="11"/>
      <c r="F848" s="11"/>
      <c r="G848" s="11"/>
    </row>
    <row r="849" ht="15.75" customHeight="1">
      <c r="D849" s="11"/>
      <c r="F849" s="11"/>
      <c r="G849" s="11"/>
    </row>
    <row r="850" ht="15.75" customHeight="1">
      <c r="D850" s="11"/>
      <c r="F850" s="11"/>
      <c r="G850" s="11"/>
    </row>
    <row r="851" ht="15.75" customHeight="1">
      <c r="D851" s="11"/>
      <c r="F851" s="11"/>
      <c r="G851" s="11"/>
    </row>
    <row r="852" ht="15.75" customHeight="1">
      <c r="D852" s="11"/>
      <c r="F852" s="11"/>
      <c r="G852" s="11"/>
    </row>
    <row r="853" ht="15.75" customHeight="1">
      <c r="D853" s="11"/>
      <c r="F853" s="11"/>
      <c r="G853" s="11"/>
    </row>
    <row r="854" ht="15.75" customHeight="1">
      <c r="D854" s="11"/>
      <c r="F854" s="11"/>
      <c r="G854" s="11"/>
    </row>
    <row r="855" ht="15.75" customHeight="1">
      <c r="D855" s="11"/>
      <c r="F855" s="11"/>
      <c r="G855" s="11"/>
    </row>
    <row r="856" ht="15.75" customHeight="1">
      <c r="D856" s="11"/>
      <c r="F856" s="11"/>
      <c r="G856" s="11"/>
    </row>
    <row r="857" ht="15.75" customHeight="1">
      <c r="D857" s="11"/>
      <c r="F857" s="11"/>
      <c r="G857" s="11"/>
    </row>
    <row r="858" ht="15.75" customHeight="1">
      <c r="D858" s="11"/>
      <c r="F858" s="11"/>
      <c r="G858" s="11"/>
    </row>
    <row r="859" ht="15.75" customHeight="1">
      <c r="D859" s="11"/>
      <c r="F859" s="11"/>
      <c r="G859" s="11"/>
    </row>
    <row r="860" ht="15.75" customHeight="1">
      <c r="D860" s="11"/>
      <c r="F860" s="11"/>
      <c r="G860" s="11"/>
    </row>
    <row r="861" ht="15.75" customHeight="1">
      <c r="D861" s="11"/>
      <c r="F861" s="11"/>
      <c r="G861" s="11"/>
    </row>
    <row r="862" ht="15.75" customHeight="1">
      <c r="D862" s="11"/>
      <c r="F862" s="11"/>
      <c r="G862" s="11"/>
    </row>
    <row r="863" ht="15.75" customHeight="1">
      <c r="D863" s="11"/>
      <c r="F863" s="11"/>
      <c r="G863" s="11"/>
    </row>
    <row r="864" ht="15.75" customHeight="1">
      <c r="D864" s="11"/>
      <c r="F864" s="11"/>
      <c r="G864" s="11"/>
    </row>
    <row r="865" ht="15.75" customHeight="1">
      <c r="D865" s="11"/>
      <c r="F865" s="11"/>
      <c r="G865" s="11"/>
    </row>
    <row r="866" ht="15.75" customHeight="1">
      <c r="D866" s="11"/>
      <c r="F866" s="11"/>
      <c r="G866" s="11"/>
    </row>
    <row r="867" ht="15.75" customHeight="1">
      <c r="D867" s="11"/>
      <c r="F867" s="11"/>
      <c r="G867" s="11"/>
    </row>
    <row r="868" ht="15.75" customHeight="1">
      <c r="D868" s="11"/>
      <c r="F868" s="11"/>
      <c r="G868" s="11"/>
    </row>
    <row r="869" ht="15.75" customHeight="1">
      <c r="D869" s="11"/>
      <c r="F869" s="11"/>
      <c r="G869" s="11"/>
    </row>
    <row r="870" ht="15.75" customHeight="1">
      <c r="D870" s="11"/>
      <c r="F870" s="11"/>
      <c r="G870" s="11"/>
    </row>
    <row r="871" ht="15.75" customHeight="1">
      <c r="D871" s="11"/>
      <c r="F871" s="11"/>
      <c r="G871" s="11"/>
    </row>
    <row r="872" ht="15.75" customHeight="1">
      <c r="D872" s="11"/>
      <c r="F872" s="11"/>
      <c r="G872" s="11"/>
    </row>
    <row r="873" ht="15.75" customHeight="1">
      <c r="D873" s="11"/>
      <c r="F873" s="11"/>
      <c r="G873" s="11"/>
    </row>
    <row r="874" ht="15.75" customHeight="1">
      <c r="D874" s="11"/>
      <c r="F874" s="11"/>
      <c r="G874" s="11"/>
    </row>
    <row r="875" ht="15.75" customHeight="1">
      <c r="D875" s="11"/>
      <c r="F875" s="11"/>
      <c r="G875" s="11"/>
    </row>
    <row r="876" ht="15.75" customHeight="1">
      <c r="D876" s="11"/>
      <c r="F876" s="11"/>
      <c r="G876" s="11"/>
    </row>
    <row r="877" ht="15.75" customHeight="1">
      <c r="D877" s="11"/>
      <c r="F877" s="11"/>
      <c r="G877" s="11"/>
    </row>
    <row r="878" ht="15.75" customHeight="1">
      <c r="D878" s="11"/>
      <c r="F878" s="11"/>
      <c r="G878" s="11"/>
    </row>
    <row r="879" ht="15.75" customHeight="1">
      <c r="D879" s="11"/>
      <c r="F879" s="11"/>
      <c r="G879" s="11"/>
    </row>
    <row r="880" ht="15.75" customHeight="1">
      <c r="D880" s="11"/>
      <c r="F880" s="11"/>
      <c r="G880" s="11"/>
    </row>
    <row r="881" ht="15.75" customHeight="1">
      <c r="D881" s="11"/>
      <c r="F881" s="11"/>
      <c r="G881" s="11"/>
    </row>
    <row r="882" ht="15.75" customHeight="1">
      <c r="D882" s="11"/>
      <c r="F882" s="11"/>
      <c r="G882" s="11"/>
    </row>
    <row r="883" ht="15.75" customHeight="1">
      <c r="D883" s="11"/>
      <c r="F883" s="11"/>
      <c r="G883" s="11"/>
    </row>
    <row r="884" ht="15.75" customHeight="1">
      <c r="D884" s="11"/>
      <c r="F884" s="11"/>
      <c r="G884" s="11"/>
    </row>
    <row r="885" ht="15.75" customHeight="1">
      <c r="D885" s="11"/>
      <c r="F885" s="11"/>
      <c r="G885" s="11"/>
    </row>
    <row r="886" ht="15.75" customHeight="1">
      <c r="D886" s="11"/>
      <c r="F886" s="11"/>
      <c r="G886" s="11"/>
    </row>
    <row r="887" ht="15.75" customHeight="1">
      <c r="D887" s="11"/>
      <c r="F887" s="11"/>
      <c r="G887" s="11"/>
    </row>
    <row r="888" ht="15.75" customHeight="1">
      <c r="D888" s="11"/>
      <c r="F888" s="11"/>
      <c r="G888" s="11"/>
    </row>
    <row r="889" ht="15.75" customHeight="1">
      <c r="D889" s="11"/>
      <c r="F889" s="11"/>
      <c r="G889" s="11"/>
    </row>
    <row r="890" ht="15.75" customHeight="1">
      <c r="D890" s="11"/>
      <c r="F890" s="11"/>
      <c r="G890" s="11"/>
    </row>
    <row r="891" ht="15.75" customHeight="1">
      <c r="D891" s="11"/>
      <c r="F891" s="11"/>
      <c r="G891" s="11"/>
    </row>
    <row r="892" ht="15.75" customHeight="1">
      <c r="D892" s="11"/>
      <c r="F892" s="11"/>
      <c r="G892" s="11"/>
    </row>
    <row r="893" ht="15.75" customHeight="1">
      <c r="D893" s="11"/>
      <c r="F893" s="11"/>
      <c r="G893" s="11"/>
    </row>
    <row r="894" ht="15.75" customHeight="1">
      <c r="D894" s="11"/>
      <c r="F894" s="11"/>
      <c r="G894" s="11"/>
    </row>
    <row r="895" ht="15.75" customHeight="1">
      <c r="D895" s="11"/>
      <c r="F895" s="11"/>
      <c r="G895" s="11"/>
    </row>
    <row r="896" ht="15.75" customHeight="1">
      <c r="D896" s="11"/>
      <c r="F896" s="11"/>
      <c r="G896" s="11"/>
    </row>
    <row r="897" ht="15.75" customHeight="1">
      <c r="D897" s="11"/>
      <c r="F897" s="11"/>
      <c r="G897" s="11"/>
    </row>
    <row r="898" ht="15.75" customHeight="1">
      <c r="D898" s="11"/>
      <c r="F898" s="11"/>
      <c r="G898" s="11"/>
    </row>
    <row r="899" ht="15.75" customHeight="1">
      <c r="D899" s="11"/>
      <c r="F899" s="11"/>
      <c r="G899" s="11"/>
    </row>
    <row r="900" ht="15.75" customHeight="1">
      <c r="D900" s="11"/>
      <c r="F900" s="11"/>
      <c r="G900" s="11"/>
    </row>
    <row r="901" ht="15.75" customHeight="1">
      <c r="D901" s="11"/>
      <c r="F901" s="11"/>
      <c r="G901" s="11"/>
    </row>
    <row r="902" ht="15.75" customHeight="1">
      <c r="D902" s="11"/>
      <c r="F902" s="11"/>
      <c r="G902" s="11"/>
    </row>
    <row r="903" ht="15.75" customHeight="1">
      <c r="D903" s="11"/>
      <c r="F903" s="11"/>
      <c r="G903" s="11"/>
    </row>
    <row r="904" ht="15.75" customHeight="1">
      <c r="D904" s="11"/>
      <c r="F904" s="11"/>
      <c r="G904" s="11"/>
    </row>
    <row r="905" ht="15.75" customHeight="1">
      <c r="D905" s="11"/>
      <c r="F905" s="11"/>
      <c r="G905" s="11"/>
    </row>
    <row r="906" ht="15.75" customHeight="1">
      <c r="D906" s="11"/>
      <c r="F906" s="11"/>
      <c r="G906" s="11"/>
    </row>
    <row r="907" ht="15.75" customHeight="1">
      <c r="D907" s="11"/>
      <c r="F907" s="11"/>
      <c r="G907" s="11"/>
    </row>
    <row r="908" ht="15.75" customHeight="1">
      <c r="D908" s="11"/>
      <c r="F908" s="11"/>
      <c r="G908" s="11"/>
    </row>
    <row r="909" ht="15.75" customHeight="1">
      <c r="D909" s="11"/>
      <c r="F909" s="11"/>
      <c r="G909" s="11"/>
    </row>
    <row r="910" ht="15.75" customHeight="1">
      <c r="D910" s="11"/>
      <c r="F910" s="11"/>
      <c r="G910" s="11"/>
    </row>
    <row r="911" ht="15.75" customHeight="1">
      <c r="D911" s="11"/>
      <c r="F911" s="11"/>
      <c r="G911" s="11"/>
    </row>
    <row r="912" ht="15.75" customHeight="1">
      <c r="D912" s="11"/>
      <c r="F912" s="11"/>
      <c r="G912" s="11"/>
    </row>
    <row r="913" ht="15.75" customHeight="1">
      <c r="D913" s="11"/>
      <c r="F913" s="11"/>
      <c r="G913" s="11"/>
    </row>
    <row r="914" ht="15.75" customHeight="1">
      <c r="D914" s="11"/>
      <c r="F914" s="11"/>
      <c r="G914" s="11"/>
    </row>
    <row r="915" ht="15.75" customHeight="1">
      <c r="D915" s="11"/>
      <c r="F915" s="11"/>
      <c r="G915" s="11"/>
    </row>
    <row r="916" ht="15.75" customHeight="1">
      <c r="D916" s="11"/>
      <c r="F916" s="11"/>
      <c r="G916" s="11"/>
    </row>
    <row r="917" ht="15.75" customHeight="1">
      <c r="D917" s="11"/>
      <c r="F917" s="11"/>
      <c r="G917" s="11"/>
    </row>
    <row r="918" ht="15.75" customHeight="1">
      <c r="D918" s="11"/>
      <c r="F918" s="11"/>
      <c r="G918" s="11"/>
    </row>
    <row r="919" ht="15.75" customHeight="1">
      <c r="D919" s="11"/>
      <c r="F919" s="11"/>
      <c r="G919" s="11"/>
    </row>
    <row r="920" ht="15.75" customHeight="1">
      <c r="D920" s="11"/>
      <c r="F920" s="11"/>
      <c r="G920" s="11"/>
    </row>
    <row r="921" ht="15.75" customHeight="1">
      <c r="D921" s="11"/>
      <c r="F921" s="11"/>
      <c r="G921" s="11"/>
    </row>
    <row r="922" ht="15.75" customHeight="1">
      <c r="D922" s="11"/>
      <c r="F922" s="11"/>
      <c r="G922" s="11"/>
    </row>
    <row r="923" ht="15.75" customHeight="1">
      <c r="D923" s="11"/>
      <c r="F923" s="11"/>
      <c r="G923" s="11"/>
    </row>
    <row r="924" ht="15.75" customHeight="1">
      <c r="D924" s="11"/>
      <c r="F924" s="11"/>
      <c r="G924" s="11"/>
    </row>
    <row r="925" ht="15.75" customHeight="1">
      <c r="D925" s="11"/>
      <c r="F925" s="11"/>
      <c r="G925" s="11"/>
    </row>
    <row r="926" ht="15.75" customHeight="1">
      <c r="D926" s="11"/>
      <c r="F926" s="11"/>
      <c r="G926" s="11"/>
    </row>
    <row r="927" ht="15.75" customHeight="1">
      <c r="D927" s="11"/>
      <c r="F927" s="11"/>
      <c r="G927" s="11"/>
    </row>
    <row r="928" ht="15.75" customHeight="1">
      <c r="D928" s="11"/>
      <c r="F928" s="11"/>
      <c r="G928" s="11"/>
    </row>
    <row r="929" ht="15.75" customHeight="1">
      <c r="D929" s="11"/>
      <c r="F929" s="11"/>
      <c r="G929" s="11"/>
    </row>
    <row r="930" ht="15.75" customHeight="1">
      <c r="D930" s="11"/>
      <c r="F930" s="11"/>
      <c r="G930" s="11"/>
    </row>
    <row r="931" ht="15.75" customHeight="1">
      <c r="D931" s="11"/>
      <c r="F931" s="11"/>
      <c r="G931" s="11"/>
    </row>
    <row r="932" ht="15.75" customHeight="1">
      <c r="D932" s="11"/>
      <c r="F932" s="11"/>
      <c r="G932" s="11"/>
    </row>
    <row r="933" ht="15.75" customHeight="1">
      <c r="D933" s="11"/>
      <c r="F933" s="11"/>
      <c r="G933" s="11"/>
    </row>
    <row r="934" ht="15.75" customHeight="1">
      <c r="D934" s="11"/>
      <c r="F934" s="11"/>
      <c r="G934" s="11"/>
    </row>
    <row r="935" ht="15.75" customHeight="1">
      <c r="D935" s="11"/>
      <c r="F935" s="11"/>
      <c r="G935" s="11"/>
    </row>
    <row r="936" ht="15.75" customHeight="1">
      <c r="D936" s="11"/>
      <c r="F936" s="11"/>
      <c r="G936" s="11"/>
    </row>
    <row r="937" ht="15.75" customHeight="1">
      <c r="D937" s="11"/>
      <c r="F937" s="11"/>
      <c r="G937" s="11"/>
    </row>
    <row r="938" ht="15.75" customHeight="1">
      <c r="D938" s="11"/>
      <c r="F938" s="11"/>
      <c r="G938" s="11"/>
    </row>
    <row r="939" ht="15.75" customHeight="1">
      <c r="D939" s="11"/>
      <c r="F939" s="11"/>
      <c r="G939" s="11"/>
    </row>
    <row r="940" ht="15.75" customHeight="1">
      <c r="D940" s="11"/>
      <c r="F940" s="11"/>
      <c r="G940" s="11"/>
    </row>
    <row r="941" ht="15.75" customHeight="1">
      <c r="D941" s="11"/>
      <c r="F941" s="11"/>
      <c r="G941" s="11"/>
    </row>
    <row r="942" ht="15.75" customHeight="1">
      <c r="D942" s="11"/>
      <c r="F942" s="11"/>
      <c r="G942" s="11"/>
    </row>
    <row r="943" ht="15.75" customHeight="1">
      <c r="D943" s="11"/>
      <c r="F943" s="11"/>
      <c r="G943" s="11"/>
    </row>
    <row r="944" ht="15.75" customHeight="1">
      <c r="D944" s="11"/>
      <c r="F944" s="11"/>
      <c r="G944" s="11"/>
    </row>
    <row r="945" ht="15.75" customHeight="1">
      <c r="D945" s="11"/>
      <c r="F945" s="11"/>
      <c r="G945" s="11"/>
    </row>
    <row r="946" ht="15.75" customHeight="1">
      <c r="D946" s="11"/>
      <c r="F946" s="11"/>
      <c r="G946" s="11"/>
    </row>
    <row r="947" ht="15.75" customHeight="1">
      <c r="D947" s="11"/>
      <c r="F947" s="11"/>
      <c r="G947" s="11"/>
    </row>
    <row r="948" ht="15.75" customHeight="1">
      <c r="D948" s="11"/>
      <c r="F948" s="11"/>
      <c r="G948" s="11"/>
    </row>
    <row r="949" ht="15.75" customHeight="1">
      <c r="D949" s="11"/>
      <c r="F949" s="11"/>
      <c r="G949" s="11"/>
    </row>
    <row r="950" ht="15.75" customHeight="1">
      <c r="D950" s="11"/>
      <c r="F950" s="11"/>
      <c r="G950" s="11"/>
    </row>
    <row r="951" ht="15.75" customHeight="1">
      <c r="D951" s="11"/>
      <c r="F951" s="11"/>
      <c r="G951" s="11"/>
    </row>
    <row r="952" ht="15.75" customHeight="1">
      <c r="D952" s="11"/>
      <c r="F952" s="11"/>
      <c r="G952" s="11"/>
    </row>
    <row r="953" ht="15.75" customHeight="1">
      <c r="D953" s="11"/>
      <c r="F953" s="11"/>
      <c r="G953" s="11"/>
    </row>
    <row r="954" ht="15.75" customHeight="1">
      <c r="D954" s="11"/>
      <c r="F954" s="11"/>
      <c r="G954" s="11"/>
    </row>
    <row r="955" ht="15.75" customHeight="1">
      <c r="D955" s="11"/>
      <c r="F955" s="11"/>
      <c r="G955" s="11"/>
    </row>
    <row r="956" ht="15.75" customHeight="1">
      <c r="D956" s="11"/>
      <c r="F956" s="11"/>
      <c r="G956" s="11"/>
    </row>
    <row r="957" ht="15.75" customHeight="1">
      <c r="D957" s="11"/>
      <c r="F957" s="11"/>
      <c r="G957" s="11"/>
    </row>
    <row r="958" ht="15.75" customHeight="1">
      <c r="D958" s="11"/>
      <c r="F958" s="11"/>
      <c r="G958" s="11"/>
    </row>
    <row r="959" ht="15.75" customHeight="1">
      <c r="D959" s="11"/>
      <c r="F959" s="11"/>
      <c r="G959" s="11"/>
    </row>
    <row r="960" ht="15.75" customHeight="1">
      <c r="D960" s="11"/>
      <c r="F960" s="11"/>
      <c r="G960" s="11"/>
    </row>
    <row r="961" ht="15.75" customHeight="1">
      <c r="D961" s="11"/>
      <c r="F961" s="11"/>
      <c r="G961" s="11"/>
    </row>
    <row r="962" ht="15.75" customHeight="1">
      <c r="D962" s="11"/>
      <c r="F962" s="11"/>
      <c r="G962" s="11"/>
    </row>
    <row r="963" ht="15.75" customHeight="1">
      <c r="D963" s="11"/>
      <c r="F963" s="11"/>
      <c r="G963" s="11"/>
    </row>
    <row r="964" ht="15.75" customHeight="1">
      <c r="D964" s="11"/>
      <c r="F964" s="11"/>
      <c r="G964" s="11"/>
    </row>
    <row r="965" ht="15.75" customHeight="1">
      <c r="D965" s="11"/>
      <c r="F965" s="11"/>
      <c r="G965" s="11"/>
    </row>
    <row r="966" ht="15.75" customHeight="1">
      <c r="D966" s="11"/>
      <c r="F966" s="11"/>
      <c r="G966" s="11"/>
    </row>
    <row r="967" ht="15.75" customHeight="1">
      <c r="D967" s="11"/>
      <c r="F967" s="11"/>
      <c r="G967" s="11"/>
    </row>
    <row r="968" ht="15.75" customHeight="1">
      <c r="D968" s="11"/>
      <c r="F968" s="11"/>
      <c r="G968" s="11"/>
    </row>
    <row r="969" ht="15.75" customHeight="1">
      <c r="D969" s="11"/>
      <c r="F969" s="11"/>
      <c r="G969" s="11"/>
    </row>
    <row r="970" ht="15.75" customHeight="1">
      <c r="D970" s="11"/>
      <c r="F970" s="11"/>
      <c r="G970" s="11"/>
    </row>
    <row r="971" ht="15.75" customHeight="1">
      <c r="D971" s="11"/>
      <c r="F971" s="11"/>
      <c r="G971" s="11"/>
    </row>
    <row r="972" ht="15.75" customHeight="1">
      <c r="D972" s="11"/>
      <c r="F972" s="11"/>
      <c r="G972" s="11"/>
    </row>
    <row r="973" ht="15.75" customHeight="1">
      <c r="D973" s="11"/>
      <c r="F973" s="11"/>
      <c r="G973" s="11"/>
    </row>
    <row r="974" ht="15.75" customHeight="1">
      <c r="D974" s="11"/>
      <c r="F974" s="11"/>
      <c r="G974" s="11"/>
    </row>
    <row r="975" ht="15.75" customHeight="1">
      <c r="D975" s="11"/>
      <c r="F975" s="11"/>
      <c r="G975" s="11"/>
    </row>
    <row r="976" ht="15.75" customHeight="1">
      <c r="D976" s="11"/>
      <c r="F976" s="11"/>
      <c r="G976" s="11"/>
    </row>
    <row r="977" ht="15.75" customHeight="1">
      <c r="D977" s="11"/>
      <c r="F977" s="11"/>
      <c r="G977" s="11"/>
    </row>
    <row r="978" ht="15.75" customHeight="1">
      <c r="D978" s="11"/>
      <c r="F978" s="11"/>
      <c r="G978" s="11"/>
    </row>
    <row r="979" ht="15.75" customHeight="1">
      <c r="D979" s="11"/>
      <c r="F979" s="11"/>
      <c r="G979" s="11"/>
    </row>
    <row r="980" ht="15.75" customHeight="1">
      <c r="D980" s="11"/>
      <c r="F980" s="11"/>
      <c r="G980" s="11"/>
    </row>
    <row r="981" ht="15.75" customHeight="1">
      <c r="D981" s="11"/>
      <c r="F981" s="11"/>
      <c r="G981" s="11"/>
    </row>
    <row r="982" ht="15.75" customHeight="1">
      <c r="D982" s="11"/>
      <c r="F982" s="11"/>
      <c r="G982" s="11"/>
    </row>
    <row r="983" ht="15.75" customHeight="1">
      <c r="D983" s="11"/>
      <c r="F983" s="11"/>
      <c r="G983" s="11"/>
    </row>
    <row r="984" ht="15.75" customHeight="1">
      <c r="D984" s="11"/>
      <c r="F984" s="11"/>
      <c r="G984" s="11"/>
    </row>
    <row r="985" ht="15.75" customHeight="1">
      <c r="D985" s="11"/>
      <c r="F985" s="11"/>
      <c r="G985" s="11"/>
    </row>
    <row r="986" ht="15.75" customHeight="1">
      <c r="D986" s="11"/>
      <c r="F986" s="11"/>
      <c r="G986" s="11"/>
    </row>
    <row r="987" ht="15.75" customHeight="1">
      <c r="D987" s="11"/>
      <c r="F987" s="11"/>
      <c r="G987" s="11"/>
    </row>
    <row r="988" ht="15.75" customHeight="1">
      <c r="D988" s="11"/>
      <c r="F988" s="11"/>
      <c r="G988" s="11"/>
    </row>
    <row r="989" ht="15.75" customHeight="1">
      <c r="D989" s="11"/>
      <c r="F989" s="11"/>
      <c r="G989" s="11"/>
    </row>
    <row r="990" ht="15.75" customHeight="1">
      <c r="D990" s="11"/>
      <c r="F990" s="11"/>
      <c r="G990" s="11"/>
    </row>
    <row r="991" ht="15.75" customHeight="1">
      <c r="D991" s="11"/>
      <c r="F991" s="11"/>
      <c r="G991" s="11"/>
    </row>
    <row r="992" ht="15.75" customHeight="1">
      <c r="D992" s="11"/>
      <c r="F992" s="11"/>
      <c r="G992" s="11"/>
    </row>
    <row r="993" ht="15.75" customHeight="1">
      <c r="D993" s="11"/>
      <c r="F993" s="11"/>
      <c r="G993" s="11"/>
    </row>
    <row r="994" ht="15.75" customHeight="1">
      <c r="D994" s="11"/>
      <c r="F994" s="11"/>
      <c r="G994" s="11"/>
    </row>
    <row r="995" ht="15.75" customHeight="1">
      <c r="D995" s="11"/>
      <c r="F995" s="11"/>
      <c r="G995" s="11"/>
    </row>
    <row r="996" ht="15.75" customHeight="1">
      <c r="D996" s="11"/>
      <c r="F996" s="11"/>
      <c r="G996" s="11"/>
    </row>
    <row r="997" ht="15.75" customHeight="1">
      <c r="D997" s="11"/>
      <c r="F997" s="11"/>
      <c r="G997" s="11"/>
    </row>
    <row r="998" ht="15.75" customHeight="1">
      <c r="D998" s="11"/>
      <c r="F998" s="11"/>
      <c r="G998" s="11"/>
    </row>
    <row r="999" ht="15.75" customHeight="1">
      <c r="D999" s="11"/>
      <c r="F999" s="11"/>
      <c r="G999" s="11"/>
    </row>
    <row r="1000" ht="15.75" customHeight="1">
      <c r="D1000" s="11"/>
      <c r="F1000" s="11"/>
      <c r="G1000" s="11"/>
    </row>
  </sheetData>
  <autoFilter ref="$A$2:$G$520"/>
  <mergeCells count="1">
    <mergeCell ref="A1:G1"/>
  </mergeCell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71"/>
    <col customWidth="1" min="2" max="2" width="44.57"/>
    <col customWidth="1" min="3" max="3" width="24.29"/>
    <col customWidth="1" min="4" max="4" width="18.0"/>
    <col customWidth="1" min="5" max="5" width="19.14"/>
    <col customWidth="1" min="6" max="6" width="17.14"/>
    <col customWidth="1" min="7" max="7" width="20.57"/>
    <col customWidth="1" min="8" max="26" width="8.71"/>
  </cols>
  <sheetData>
    <row r="1" ht="36.75" customHeight="1">
      <c r="A1" s="1" t="s">
        <v>0</v>
      </c>
    </row>
    <row r="2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</row>
    <row r="3">
      <c r="A3" s="3">
        <f t="shared" ref="A3:A8" si="1">ROW(A1)</f>
        <v>1</v>
      </c>
      <c r="B3" s="19" t="s">
        <v>2020</v>
      </c>
      <c r="C3" s="15" t="s">
        <v>23</v>
      </c>
      <c r="D3" s="6" t="s">
        <v>2021</v>
      </c>
      <c r="E3" s="18" t="s">
        <v>2022</v>
      </c>
      <c r="F3" s="6" t="s">
        <v>2023</v>
      </c>
      <c r="G3" s="6" t="s">
        <v>438</v>
      </c>
    </row>
    <row r="4">
      <c r="A4" s="3">
        <f t="shared" si="1"/>
        <v>2</v>
      </c>
      <c r="B4" s="4" t="s">
        <v>2024</v>
      </c>
      <c r="C4" s="15" t="s">
        <v>23</v>
      </c>
      <c r="D4" s="18" t="s">
        <v>1969</v>
      </c>
      <c r="E4" s="18" t="s">
        <v>2025</v>
      </c>
      <c r="F4" s="6" t="s">
        <v>2023</v>
      </c>
      <c r="G4" s="6" t="s">
        <v>438</v>
      </c>
    </row>
    <row r="5">
      <c r="A5" s="3">
        <f t="shared" si="1"/>
        <v>3</v>
      </c>
      <c r="B5" s="4" t="s">
        <v>2026</v>
      </c>
      <c r="C5" s="15" t="s">
        <v>23</v>
      </c>
      <c r="D5" s="6" t="s">
        <v>2027</v>
      </c>
      <c r="E5" s="18" t="s">
        <v>2028</v>
      </c>
      <c r="F5" s="6" t="s">
        <v>2023</v>
      </c>
      <c r="G5" s="6" t="s">
        <v>438</v>
      </c>
    </row>
    <row r="6">
      <c r="A6" s="3">
        <f t="shared" si="1"/>
        <v>4</v>
      </c>
      <c r="B6" s="4" t="s">
        <v>2029</v>
      </c>
      <c r="C6" s="15" t="s">
        <v>23</v>
      </c>
      <c r="D6" s="6" t="s">
        <v>2030</v>
      </c>
      <c r="E6" s="18" t="s">
        <v>2031</v>
      </c>
      <c r="F6" s="6" t="s">
        <v>2023</v>
      </c>
      <c r="G6" s="6" t="s">
        <v>438</v>
      </c>
    </row>
    <row r="7">
      <c r="A7" s="3">
        <f t="shared" si="1"/>
        <v>5</v>
      </c>
      <c r="B7" s="4" t="s">
        <v>2032</v>
      </c>
      <c r="C7" s="15" t="s">
        <v>2033</v>
      </c>
      <c r="D7" s="6" t="s">
        <v>2034</v>
      </c>
      <c r="E7" s="18" t="s">
        <v>2035</v>
      </c>
      <c r="F7" s="6" t="s">
        <v>2023</v>
      </c>
      <c r="G7" s="6" t="s">
        <v>438</v>
      </c>
    </row>
    <row r="8">
      <c r="A8" s="3">
        <f t="shared" si="1"/>
        <v>6</v>
      </c>
      <c r="B8" s="4" t="s">
        <v>2036</v>
      </c>
      <c r="C8" s="15" t="s">
        <v>23</v>
      </c>
      <c r="D8" s="6" t="s">
        <v>2037</v>
      </c>
      <c r="E8" s="18" t="s">
        <v>2038</v>
      </c>
      <c r="F8" s="6" t="s">
        <v>2023</v>
      </c>
      <c r="G8" s="6" t="s">
        <v>438</v>
      </c>
    </row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</sheetData>
  <autoFilter ref="$A$2:$Z$8"/>
  <mergeCells count="1">
    <mergeCell ref="A1:G1"/>
  </mergeCells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71"/>
    <col customWidth="1" min="2" max="2" width="44.57"/>
    <col customWidth="1" min="3" max="3" width="28.0"/>
    <col customWidth="1" min="4" max="4" width="18.0"/>
    <col customWidth="1" min="5" max="5" width="19.14"/>
    <col customWidth="1" min="6" max="6" width="22.71"/>
    <col customWidth="1" min="7" max="7" width="20.57"/>
    <col customWidth="1" min="8" max="26" width="8.71"/>
  </cols>
  <sheetData>
    <row r="1" ht="36.75" customHeight="1">
      <c r="A1" s="1" t="s">
        <v>0</v>
      </c>
    </row>
    <row r="2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</row>
    <row r="3">
      <c r="A3" s="3">
        <f t="shared" ref="A3:A12" si="1">ROW(A1)</f>
        <v>1</v>
      </c>
      <c r="B3" s="11" t="s">
        <v>2039</v>
      </c>
      <c r="C3" s="6" t="s">
        <v>2040</v>
      </c>
      <c r="D3" s="6" t="s">
        <v>2041</v>
      </c>
      <c r="E3" s="6" t="s">
        <v>2042</v>
      </c>
      <c r="F3" s="6" t="s">
        <v>2043</v>
      </c>
      <c r="G3" s="6" t="s">
        <v>2044</v>
      </c>
    </row>
    <row r="4">
      <c r="A4" s="3">
        <f t="shared" si="1"/>
        <v>2</v>
      </c>
      <c r="B4" s="11" t="s">
        <v>2045</v>
      </c>
      <c r="C4" s="6" t="s">
        <v>2046</v>
      </c>
      <c r="D4" s="6" t="s">
        <v>2047</v>
      </c>
      <c r="E4" s="6" t="s">
        <v>2048</v>
      </c>
      <c r="F4" s="6" t="s">
        <v>2043</v>
      </c>
      <c r="G4" s="6" t="s">
        <v>2044</v>
      </c>
    </row>
    <row r="5">
      <c r="A5" s="3">
        <f t="shared" si="1"/>
        <v>3</v>
      </c>
      <c r="B5" s="11" t="s">
        <v>2049</v>
      </c>
      <c r="C5" s="6" t="s">
        <v>2050</v>
      </c>
      <c r="D5" s="6" t="s">
        <v>2051</v>
      </c>
      <c r="E5" s="6" t="s">
        <v>2052</v>
      </c>
      <c r="F5" s="6" t="s">
        <v>2043</v>
      </c>
      <c r="G5" s="6" t="s">
        <v>2044</v>
      </c>
    </row>
    <row r="6">
      <c r="A6" s="3">
        <f t="shared" si="1"/>
        <v>4</v>
      </c>
      <c r="B6" s="11" t="s">
        <v>2053</v>
      </c>
      <c r="C6" s="6" t="s">
        <v>2050</v>
      </c>
      <c r="D6" s="6" t="s">
        <v>2054</v>
      </c>
      <c r="E6" s="6" t="s">
        <v>2055</v>
      </c>
      <c r="F6" s="6" t="s">
        <v>2043</v>
      </c>
      <c r="G6" s="6" t="s">
        <v>2044</v>
      </c>
    </row>
    <row r="7">
      <c r="A7" s="3">
        <f t="shared" si="1"/>
        <v>5</v>
      </c>
      <c r="B7" s="11" t="s">
        <v>2056</v>
      </c>
      <c r="C7" s="6" t="s">
        <v>2057</v>
      </c>
      <c r="D7" s="6" t="s">
        <v>2058</v>
      </c>
      <c r="E7" s="6" t="s">
        <v>2059</v>
      </c>
      <c r="F7" s="6" t="s">
        <v>2043</v>
      </c>
      <c r="G7" s="6" t="s">
        <v>2060</v>
      </c>
    </row>
    <row r="8">
      <c r="A8" s="3">
        <f t="shared" si="1"/>
        <v>6</v>
      </c>
      <c r="B8" s="11" t="s">
        <v>2061</v>
      </c>
      <c r="C8" s="6" t="s">
        <v>2062</v>
      </c>
      <c r="D8" s="6" t="s">
        <v>2063</v>
      </c>
      <c r="E8" s="6" t="s">
        <v>2064</v>
      </c>
      <c r="F8" s="6" t="s">
        <v>2043</v>
      </c>
      <c r="G8" s="6" t="s">
        <v>2044</v>
      </c>
    </row>
    <row r="9">
      <c r="A9" s="3">
        <f t="shared" si="1"/>
        <v>7</v>
      </c>
      <c r="B9" s="11" t="s">
        <v>2065</v>
      </c>
      <c r="C9" s="6" t="s">
        <v>2050</v>
      </c>
      <c r="D9" s="6" t="s">
        <v>2066</v>
      </c>
      <c r="E9" s="6" t="s">
        <v>2067</v>
      </c>
      <c r="F9" s="6" t="s">
        <v>2043</v>
      </c>
      <c r="G9" s="6" t="s">
        <v>2044</v>
      </c>
    </row>
    <row r="10">
      <c r="A10" s="3">
        <f t="shared" si="1"/>
        <v>8</v>
      </c>
      <c r="B10" s="11" t="s">
        <v>2068</v>
      </c>
      <c r="C10" s="6" t="s">
        <v>2050</v>
      </c>
      <c r="D10" s="6" t="s">
        <v>2069</v>
      </c>
      <c r="E10" s="6" t="s">
        <v>2070</v>
      </c>
      <c r="F10" s="6" t="s">
        <v>2043</v>
      </c>
      <c r="G10" s="6" t="s">
        <v>2044</v>
      </c>
    </row>
    <row r="11">
      <c r="A11" s="3">
        <f t="shared" si="1"/>
        <v>9</v>
      </c>
      <c r="B11" s="11" t="s">
        <v>2071</v>
      </c>
      <c r="C11" s="6" t="s">
        <v>2072</v>
      </c>
      <c r="D11" s="6" t="s">
        <v>2073</v>
      </c>
      <c r="E11" s="6" t="s">
        <v>2074</v>
      </c>
      <c r="F11" s="6" t="s">
        <v>2075</v>
      </c>
      <c r="G11" s="6" t="s">
        <v>2044</v>
      </c>
    </row>
    <row r="12">
      <c r="A12" s="3">
        <f t="shared" si="1"/>
        <v>10</v>
      </c>
      <c r="B12" s="4" t="s">
        <v>2076</v>
      </c>
      <c r="C12" s="10" t="s">
        <v>2077</v>
      </c>
      <c r="D12" s="6" t="s">
        <v>2078</v>
      </c>
      <c r="E12" s="6" t="s">
        <v>2079</v>
      </c>
      <c r="F12" s="6" t="s">
        <v>2043</v>
      </c>
      <c r="G12" s="6" t="s">
        <v>2044</v>
      </c>
    </row>
    <row r="13">
      <c r="A13" s="3"/>
    </row>
    <row r="14">
      <c r="A14" s="3"/>
    </row>
    <row r="15">
      <c r="A15" s="3"/>
    </row>
    <row r="16">
      <c r="A16" s="3"/>
    </row>
    <row r="17">
      <c r="A17" s="3"/>
    </row>
    <row r="18">
      <c r="A18" s="3"/>
    </row>
    <row r="19">
      <c r="A19" s="3"/>
    </row>
    <row r="20">
      <c r="A20" s="3"/>
    </row>
    <row r="21" ht="15.75" customHeight="1">
      <c r="A21" s="3"/>
    </row>
    <row r="22" ht="15.75" customHeight="1">
      <c r="A22" s="3"/>
    </row>
    <row r="23" ht="15.75" customHeight="1">
      <c r="A23" s="3"/>
    </row>
    <row r="24" ht="15.75" customHeight="1">
      <c r="A24" s="3"/>
    </row>
    <row r="25" ht="15.75" customHeight="1">
      <c r="A25" s="3"/>
    </row>
    <row r="26" ht="15.75" customHeight="1">
      <c r="A26" s="3"/>
    </row>
    <row r="27" ht="15.75" customHeight="1">
      <c r="A27" s="3"/>
    </row>
    <row r="28" ht="15.75" customHeight="1">
      <c r="A28" s="3"/>
    </row>
    <row r="29" ht="15.75" customHeight="1">
      <c r="A29" s="3"/>
    </row>
    <row r="30" ht="15.75" customHeight="1">
      <c r="A30" s="3"/>
    </row>
    <row r="31" ht="15.75" customHeight="1">
      <c r="A31" s="3"/>
    </row>
    <row r="32" ht="15.75" customHeight="1">
      <c r="A32" s="3"/>
    </row>
    <row r="33" ht="15.75" customHeight="1">
      <c r="A33" s="3"/>
    </row>
    <row r="34" ht="15.75" customHeight="1">
      <c r="A34" s="3"/>
    </row>
    <row r="35" ht="15.75" customHeight="1">
      <c r="A35" s="3"/>
    </row>
    <row r="36" ht="15.75" customHeight="1">
      <c r="A36" s="3"/>
    </row>
    <row r="37" ht="15.75" customHeight="1">
      <c r="A37" s="3"/>
    </row>
    <row r="38" ht="15.75" customHeight="1">
      <c r="A38" s="3"/>
    </row>
    <row r="39" ht="15.75" customHeight="1">
      <c r="A39" s="3"/>
    </row>
    <row r="40" ht="15.75" customHeight="1">
      <c r="A40" s="3"/>
    </row>
    <row r="41" ht="15.75" customHeight="1">
      <c r="A41" s="3"/>
    </row>
    <row r="42" ht="15.75" customHeight="1">
      <c r="A42" s="3"/>
    </row>
    <row r="43" ht="15.75" customHeight="1">
      <c r="A43" s="3"/>
    </row>
    <row r="44" ht="15.75" customHeight="1">
      <c r="A44" s="3"/>
    </row>
    <row r="45" ht="15.75" customHeight="1">
      <c r="A45" s="3"/>
    </row>
    <row r="46" ht="15.75" customHeight="1">
      <c r="A46" s="3"/>
    </row>
    <row r="47" ht="15.75" customHeight="1">
      <c r="A47" s="3"/>
    </row>
    <row r="48" ht="15.75" customHeight="1">
      <c r="A48" s="3"/>
    </row>
    <row r="49" ht="15.75" customHeight="1">
      <c r="A49" s="3"/>
    </row>
    <row r="50" ht="15.75" customHeight="1">
      <c r="A50" s="3"/>
    </row>
    <row r="51" ht="15.75" customHeight="1">
      <c r="A51" s="3"/>
    </row>
    <row r="52" ht="15.75" customHeight="1">
      <c r="A52" s="3"/>
    </row>
    <row r="53" ht="15.75" customHeight="1">
      <c r="A53" s="3"/>
    </row>
    <row r="54" ht="15.75" customHeight="1">
      <c r="A54" s="3"/>
    </row>
    <row r="55" ht="15.75" customHeight="1">
      <c r="A55" s="3"/>
    </row>
    <row r="56" ht="15.75" customHeight="1">
      <c r="A56" s="3"/>
    </row>
    <row r="57" ht="15.75" customHeight="1">
      <c r="A57" s="3"/>
    </row>
    <row r="58" ht="15.75" customHeight="1">
      <c r="A58" s="3"/>
    </row>
    <row r="59" ht="15.75" customHeight="1">
      <c r="A59" s="3"/>
    </row>
    <row r="60" ht="15.75" customHeight="1">
      <c r="A60" s="3"/>
    </row>
    <row r="61" ht="15.75" customHeight="1">
      <c r="A61" s="3"/>
    </row>
    <row r="62" ht="15.75" customHeight="1">
      <c r="A62" s="3"/>
    </row>
    <row r="63" ht="15.75" customHeight="1">
      <c r="A63" s="3"/>
    </row>
    <row r="64" ht="15.75" customHeight="1">
      <c r="A64" s="3"/>
    </row>
    <row r="65" ht="15.75" customHeight="1">
      <c r="A65" s="3"/>
    </row>
    <row r="66" ht="15.75" customHeight="1">
      <c r="A66" s="3"/>
    </row>
    <row r="67" ht="15.75" customHeight="1">
      <c r="A67" s="3"/>
    </row>
    <row r="68" ht="15.75" customHeight="1">
      <c r="A68" s="3"/>
    </row>
    <row r="69" ht="15.75" customHeight="1">
      <c r="A69" s="3"/>
    </row>
    <row r="70" ht="15.75" customHeight="1">
      <c r="A70" s="3"/>
    </row>
    <row r="71" ht="15.75" customHeight="1">
      <c r="A71" s="3"/>
    </row>
    <row r="72" ht="15.75" customHeight="1">
      <c r="A72" s="3"/>
    </row>
    <row r="73" ht="15.75" customHeight="1">
      <c r="A73" s="3"/>
    </row>
    <row r="74" ht="15.75" customHeight="1">
      <c r="A74" s="3"/>
    </row>
    <row r="75" ht="15.75" customHeight="1">
      <c r="A75" s="3"/>
    </row>
    <row r="76" ht="15.75" customHeight="1">
      <c r="A76" s="3"/>
    </row>
    <row r="77" ht="15.75" customHeight="1">
      <c r="A77" s="3"/>
    </row>
    <row r="78" ht="15.75" customHeight="1">
      <c r="A78" s="3"/>
    </row>
    <row r="79" ht="15.75" customHeight="1">
      <c r="A79" s="3"/>
    </row>
    <row r="80" ht="15.75" customHeight="1">
      <c r="A80" s="3"/>
    </row>
    <row r="81" ht="15.75" customHeight="1">
      <c r="A81" s="3"/>
    </row>
    <row r="82" ht="15.75" customHeight="1">
      <c r="A82" s="3"/>
    </row>
    <row r="83" ht="15.75" customHeight="1">
      <c r="A83" s="3"/>
    </row>
    <row r="84" ht="15.75" customHeight="1">
      <c r="A84" s="3"/>
    </row>
    <row r="85" ht="15.75" customHeight="1">
      <c r="A85" s="3"/>
    </row>
    <row r="86" ht="15.75" customHeight="1">
      <c r="A86" s="3"/>
    </row>
    <row r="87" ht="15.75" customHeight="1">
      <c r="A87" s="3"/>
    </row>
    <row r="88" ht="15.75" customHeight="1">
      <c r="A88" s="3"/>
    </row>
    <row r="89" ht="15.75" customHeight="1">
      <c r="A89" s="3"/>
    </row>
    <row r="90" ht="15.75" customHeight="1">
      <c r="A90" s="3"/>
    </row>
    <row r="91" ht="15.75" customHeight="1">
      <c r="A91" s="3"/>
    </row>
    <row r="92" ht="15.75" customHeight="1">
      <c r="A92" s="3"/>
    </row>
    <row r="93" ht="15.75" customHeight="1">
      <c r="A93" s="3"/>
    </row>
    <row r="94" ht="15.75" customHeight="1">
      <c r="A94" s="3"/>
    </row>
    <row r="95" ht="15.75" customHeight="1">
      <c r="A95" s="3"/>
    </row>
    <row r="96" ht="15.75" customHeight="1">
      <c r="A96" s="3"/>
    </row>
    <row r="97" ht="15.75" customHeight="1">
      <c r="A97" s="3"/>
    </row>
    <row r="98" ht="15.75" customHeight="1">
      <c r="A98" s="3"/>
    </row>
    <row r="99" ht="15.75" customHeight="1">
      <c r="A99" s="3"/>
    </row>
    <row r="100" ht="15.75" customHeight="1">
      <c r="A100" s="3"/>
    </row>
    <row r="101" ht="15.75" customHeight="1">
      <c r="A101" s="3"/>
    </row>
    <row r="102" ht="15.75" customHeight="1">
      <c r="A102" s="3"/>
    </row>
    <row r="103" ht="15.75" customHeight="1">
      <c r="A103" s="3"/>
    </row>
    <row r="104" ht="15.75" customHeight="1">
      <c r="A104" s="3"/>
    </row>
    <row r="105" ht="15.75" customHeight="1">
      <c r="A105" s="3"/>
    </row>
    <row r="106" ht="15.75" customHeight="1">
      <c r="A106" s="3"/>
    </row>
    <row r="107" ht="15.75" customHeight="1">
      <c r="A107" s="3"/>
    </row>
    <row r="108" ht="15.75" customHeight="1">
      <c r="A108" s="3"/>
    </row>
    <row r="109" ht="15.75" customHeight="1">
      <c r="A109" s="3"/>
    </row>
    <row r="110" ht="15.75" customHeight="1">
      <c r="A110" s="3"/>
    </row>
    <row r="111" ht="15.75" customHeight="1">
      <c r="A111" s="3"/>
    </row>
    <row r="112" ht="15.75" customHeight="1">
      <c r="A112" s="3"/>
    </row>
    <row r="113" ht="15.75" customHeight="1">
      <c r="A113" s="3"/>
    </row>
    <row r="114" ht="15.75" customHeight="1">
      <c r="A114" s="3"/>
    </row>
    <row r="115" ht="15.75" customHeight="1">
      <c r="A115" s="3"/>
    </row>
    <row r="116" ht="15.75" customHeight="1">
      <c r="A116" s="3"/>
    </row>
    <row r="117" ht="15.75" customHeight="1">
      <c r="A117" s="3"/>
    </row>
    <row r="118" ht="15.75" customHeight="1">
      <c r="A118" s="3"/>
    </row>
    <row r="119" ht="15.75" customHeight="1">
      <c r="A119" s="3"/>
    </row>
    <row r="120" ht="15.75" customHeight="1">
      <c r="A120" s="3"/>
    </row>
    <row r="121" ht="15.75" customHeight="1">
      <c r="A121" s="3"/>
    </row>
    <row r="122" ht="15.75" customHeight="1">
      <c r="A122" s="3"/>
    </row>
    <row r="123" ht="15.75" customHeight="1">
      <c r="A123" s="3"/>
    </row>
    <row r="124" ht="15.75" customHeight="1">
      <c r="A124" s="3"/>
    </row>
    <row r="125" ht="15.75" customHeight="1">
      <c r="A125" s="3"/>
    </row>
    <row r="126" ht="15.75" customHeight="1">
      <c r="A126" s="3"/>
    </row>
    <row r="127" ht="15.75" customHeight="1">
      <c r="A127" s="3"/>
    </row>
    <row r="128" ht="15.75" customHeight="1">
      <c r="A128" s="3"/>
    </row>
    <row r="129" ht="15.75" customHeight="1">
      <c r="A129" s="3"/>
    </row>
    <row r="130" ht="15.75" customHeight="1">
      <c r="A130" s="3"/>
    </row>
    <row r="131" ht="15.75" customHeight="1">
      <c r="A131" s="3"/>
    </row>
    <row r="132" ht="15.75" customHeight="1">
      <c r="A132" s="3"/>
    </row>
    <row r="133" ht="15.75" customHeight="1">
      <c r="A133" s="3"/>
    </row>
    <row r="134" ht="15.75" customHeight="1">
      <c r="A134" s="3"/>
    </row>
    <row r="135" ht="15.75" customHeight="1">
      <c r="A135" s="3"/>
    </row>
    <row r="136" ht="15.75" customHeight="1">
      <c r="A136" s="3"/>
    </row>
    <row r="137" ht="15.75" customHeight="1">
      <c r="A137" s="3"/>
    </row>
    <row r="138" ht="15.75" customHeight="1">
      <c r="A138" s="3"/>
    </row>
    <row r="139" ht="15.75" customHeight="1">
      <c r="A139" s="3"/>
    </row>
    <row r="140" ht="15.75" customHeight="1">
      <c r="A140" s="3"/>
    </row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2:$Z$140"/>
  <mergeCells count="1">
    <mergeCell ref="A1:G1"/>
  </mergeCells>
  <printOptions/>
  <pageMargins bottom="0.75" footer="0.0" header="0.0" left="0.7" right="0.7" top="0.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1.43"/>
    <col customWidth="1" min="2" max="2" width="14.14"/>
    <col customWidth="1" min="5" max="5" width="9.86"/>
  </cols>
  <sheetData>
    <row r="1">
      <c r="A1" s="2" t="s">
        <v>2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61"/>
    </row>
    <row r="2">
      <c r="A2" s="62" t="str">
        <f>IFERROR(__xludf.DUMMYFUNCTION("QUERY({
  FILTER(RECIFE!B3:G993, LEN(RECIFE!B3:B993));
  FILTER(CARUARU!B3:G993, LEN(CARUARU!B3:B993));
  FILTER('JOÃO PESSOA'!B3:G993, LEN('JOÃO PESSOA'!B3:B993));
  FILTER(ADM!B3:G993, LEN(ADM!B3:B993))
}, ""select * where Col1 is not null"", 0)
"),"ADRIANA GOMES")</f>
        <v>ADRIANA GOMES</v>
      </c>
      <c r="B2" s="62" t="str">
        <f>IFERROR(__xludf.DUMMYFUNCTION("""COMPUTED_VALUE"""),"CUIDADORA")</f>
        <v>CUIDADORA</v>
      </c>
      <c r="C2" s="62" t="str">
        <f>IFERROR(__xludf.DUMMYFUNCTION("""COMPUTED_VALUE"""),"057.286.094-30")</f>
        <v>057.286.094-30</v>
      </c>
      <c r="D2" s="62" t="str">
        <f>IFERROR(__xludf.DUMMYFUNCTION("""COMPUTED_VALUE"""),"81 98349-9759")</f>
        <v>81 98349-9759</v>
      </c>
      <c r="E2" s="62" t="str">
        <f>IFERROR(__xludf.DUMMYFUNCTION("""COMPUTED_VALUE"""),"RECIFE")</f>
        <v>RECIFE</v>
      </c>
      <c r="F2" s="62" t="str">
        <f>IFERROR(__xludf.DUMMYFUNCTION("""COMPUTED_VALUE"""),"COOPERADO ")</f>
        <v>COOPERADO </v>
      </c>
      <c r="G2" s="61"/>
    </row>
    <row r="3">
      <c r="A3" s="62" t="str">
        <f>IFERROR(__xludf.DUMMYFUNCTION("""COMPUTED_VALUE"""),"Afonso Vinícius Seabra C. da Silva")</f>
        <v>Afonso Vinícius Seabra C. da Silva</v>
      </c>
      <c r="B3" s="62" t="str">
        <f>IFERROR(__xludf.DUMMYFUNCTION("""COMPUTED_VALUE"""),"Enfermeiro(a)")</f>
        <v>Enfermeiro(a)</v>
      </c>
      <c r="C3" s="62" t="str">
        <f>IFERROR(__xludf.DUMMYFUNCTION("""COMPUTED_VALUE"""),"704.859.454-36")</f>
        <v>704.859.454-36</v>
      </c>
      <c r="D3" s="62" t="str">
        <f>IFERROR(__xludf.DUMMYFUNCTION("""COMPUTED_VALUE"""),"81 98793-5755")</f>
        <v>81 98793-5755</v>
      </c>
      <c r="E3" s="62" t="str">
        <f>IFERROR(__xludf.DUMMYFUNCTION("""COMPUTED_VALUE"""),"RECIFE")</f>
        <v>RECIFE</v>
      </c>
      <c r="F3" s="62" t="str">
        <f>IFERROR(__xludf.DUMMYFUNCTION("""COMPUTED_VALUE"""),"COOPERADO ")</f>
        <v>COOPERADO </v>
      </c>
    </row>
    <row r="4">
      <c r="A4" s="62" t="str">
        <f>IFERROR(__xludf.DUMMYFUNCTION("""COMPUTED_VALUE"""),"ALEX AURELIANO DE LIMA")</f>
        <v>ALEX AURELIANO DE LIMA</v>
      </c>
      <c r="B4" s="62" t="str">
        <f>IFERROR(__xludf.DUMMYFUNCTION("""COMPUTED_VALUE"""),"CUIDADOR")</f>
        <v>CUIDADOR</v>
      </c>
      <c r="C4" s="62" t="str">
        <f>IFERROR(__xludf.DUMMYFUNCTION("""COMPUTED_VALUE"""),"112.227.774-10")</f>
        <v>112.227.774-10</v>
      </c>
      <c r="D4" s="62" t="str">
        <f>IFERROR(__xludf.DUMMYFUNCTION("""COMPUTED_VALUE"""),"81 99687-0917")</f>
        <v>81 99687-0917</v>
      </c>
      <c r="E4" s="62" t="str">
        <f>IFERROR(__xludf.DUMMYFUNCTION("""COMPUTED_VALUE"""),"RECIFE")</f>
        <v>RECIFE</v>
      </c>
      <c r="F4" s="62" t="str">
        <f>IFERROR(__xludf.DUMMYFUNCTION("""COMPUTED_VALUE"""),"COOPERADO ")</f>
        <v>COOPERADO </v>
      </c>
    </row>
    <row r="5">
      <c r="A5" s="62" t="str">
        <f>IFERROR(__xludf.DUMMYFUNCTION("""COMPUTED_VALUE"""),"Alexandre José da Silva")</f>
        <v>Alexandre José da Silva</v>
      </c>
      <c r="B5" s="62" t="str">
        <f>IFERROR(__xludf.DUMMYFUNCTION("""COMPUTED_VALUE"""),"TÉC. ENF.")</f>
        <v>TÉC. ENF.</v>
      </c>
      <c r="C5" s="62" t="str">
        <f>IFERROR(__xludf.DUMMYFUNCTION("""COMPUTED_VALUE"""),"049.084.664-59")</f>
        <v>049.084.664-59</v>
      </c>
      <c r="D5" s="62" t="str">
        <f>IFERROR(__xludf.DUMMYFUNCTION("""COMPUTED_VALUE"""),"81 98199-1037")</f>
        <v>81 98199-1037</v>
      </c>
      <c r="E5" s="62" t="str">
        <f>IFERROR(__xludf.DUMMYFUNCTION("""COMPUTED_VALUE"""),"RECIFE")</f>
        <v>RECIFE</v>
      </c>
      <c r="F5" s="62" t="str">
        <f>IFERROR(__xludf.DUMMYFUNCTION("""COMPUTED_VALUE"""),"COOPERADO ")</f>
        <v>COOPERADO </v>
      </c>
    </row>
    <row r="6">
      <c r="A6" s="62" t="str">
        <f>IFERROR(__xludf.DUMMYFUNCTION("""COMPUTED_VALUE"""),"ALINE AFONSO FERREIRA")</f>
        <v>ALINE AFONSO FERREIRA</v>
      </c>
      <c r="B6" s="62" t="str">
        <f>IFERROR(__xludf.DUMMYFUNCTION("""COMPUTED_VALUE"""),"CUIDADORA")</f>
        <v>CUIDADORA</v>
      </c>
      <c r="C6" s="62" t="str">
        <f>IFERROR(__xludf.DUMMYFUNCTION("""COMPUTED_VALUE"""),"075.192.914-05")</f>
        <v>075.192.914-05</v>
      </c>
      <c r="D6" s="62" t="str">
        <f>IFERROR(__xludf.DUMMYFUNCTION("""COMPUTED_VALUE"""),"81 99666-8170")</f>
        <v>81 99666-8170</v>
      </c>
      <c r="E6" s="62" t="str">
        <f>IFERROR(__xludf.DUMMYFUNCTION("""COMPUTED_VALUE"""),"RECIFE")</f>
        <v>RECIFE</v>
      </c>
      <c r="F6" s="62" t="str">
        <f>IFERROR(__xludf.DUMMYFUNCTION("""COMPUTED_VALUE"""),"COOPERADO ")</f>
        <v>COOPERADO </v>
      </c>
    </row>
    <row r="7">
      <c r="A7" s="62" t="str">
        <f>IFERROR(__xludf.DUMMYFUNCTION("""COMPUTED_VALUE"""),"ANA CAROLINA NASCIMENTO DO REGO")</f>
        <v>ANA CAROLINA NASCIMENTO DO REGO</v>
      </c>
      <c r="B7" s="62" t="str">
        <f>IFERROR(__xludf.DUMMYFUNCTION("""COMPUTED_VALUE"""),"CUIDADORA")</f>
        <v>CUIDADORA</v>
      </c>
      <c r="C7" s="62" t="str">
        <f>IFERROR(__xludf.DUMMYFUNCTION("""COMPUTED_VALUE"""),"701.967.304-06")</f>
        <v>701.967.304-06</v>
      </c>
      <c r="D7" s="62" t="str">
        <f>IFERROR(__xludf.DUMMYFUNCTION("""COMPUTED_VALUE"""),"81 98130-4313")</f>
        <v>81 98130-4313</v>
      </c>
      <c r="E7" s="62" t="str">
        <f>IFERROR(__xludf.DUMMYFUNCTION("""COMPUTED_VALUE"""),"RECIFE")</f>
        <v>RECIFE</v>
      </c>
      <c r="F7" s="62" t="str">
        <f>IFERROR(__xludf.DUMMYFUNCTION("""COMPUTED_VALUE"""),"COOPERADO ")</f>
        <v>COOPERADO </v>
      </c>
    </row>
    <row r="8">
      <c r="A8" s="62" t="str">
        <f>IFERROR(__xludf.DUMMYFUNCTION("""COMPUTED_VALUE"""),"Ana Gabrielly Gomes Vasconscelos")</f>
        <v>Ana Gabrielly Gomes Vasconscelos</v>
      </c>
      <c r="B8" s="62" t="str">
        <f>IFERROR(__xludf.DUMMYFUNCTION("""COMPUTED_VALUE"""),"TÉC. ENF.")</f>
        <v>TÉC. ENF.</v>
      </c>
      <c r="C8" s="62" t="str">
        <f>IFERROR(__xludf.DUMMYFUNCTION("""COMPUTED_VALUE"""),"713.812.004-43")</f>
        <v>713.812.004-43</v>
      </c>
      <c r="D8" s="62" t="str">
        <f>IFERROR(__xludf.DUMMYFUNCTION("""COMPUTED_VALUE"""),"81 98367-9749")</f>
        <v>81 98367-9749</v>
      </c>
      <c r="E8" s="62" t="str">
        <f>IFERROR(__xludf.DUMMYFUNCTION("""COMPUTED_VALUE"""),"RECIFE")</f>
        <v>RECIFE</v>
      </c>
      <c r="F8" s="62" t="str">
        <f>IFERROR(__xludf.DUMMYFUNCTION("""COMPUTED_VALUE"""),"COOPERADO ")</f>
        <v>COOPERADO </v>
      </c>
    </row>
    <row r="9">
      <c r="A9" s="62" t="str">
        <f>IFERROR(__xludf.DUMMYFUNCTION("""COMPUTED_VALUE"""),"ANA LÚCIA GOMES")</f>
        <v>ANA LÚCIA GOMES</v>
      </c>
      <c r="B9" s="62" t="str">
        <f>IFERROR(__xludf.DUMMYFUNCTION("""COMPUTED_VALUE"""),"CUIDADORA")</f>
        <v>CUIDADORA</v>
      </c>
      <c r="C9" s="62" t="str">
        <f>IFERROR(__xludf.DUMMYFUNCTION("""COMPUTED_VALUE"""),"044.173.174-02")</f>
        <v>044.173.174-02</v>
      </c>
      <c r="D9" s="62" t="str">
        <f>IFERROR(__xludf.DUMMYFUNCTION("""COMPUTED_VALUE"""),"81 98461-9785")</f>
        <v>81 98461-9785</v>
      </c>
      <c r="E9" s="62" t="str">
        <f>IFERROR(__xludf.DUMMYFUNCTION("""COMPUTED_VALUE"""),"RECIFE")</f>
        <v>RECIFE</v>
      </c>
      <c r="F9" s="62" t="str">
        <f>IFERROR(__xludf.DUMMYFUNCTION("""COMPUTED_VALUE"""),"COOPERADO ")</f>
        <v>COOPERADO </v>
      </c>
    </row>
    <row r="10">
      <c r="A10" s="62" t="str">
        <f>IFERROR(__xludf.DUMMYFUNCTION("""COMPUTED_VALUE"""),"Ana Paula Alves da Silva")</f>
        <v>Ana Paula Alves da Silva</v>
      </c>
      <c r="B10" s="62" t="str">
        <f>IFERROR(__xludf.DUMMYFUNCTION("""COMPUTED_VALUE"""),"TÉC. ENF.")</f>
        <v>TÉC. ENF.</v>
      </c>
      <c r="C10" s="62" t="str">
        <f>IFERROR(__xludf.DUMMYFUNCTION("""COMPUTED_VALUE"""),"039.662.004-3")</f>
        <v>039.662.004-3</v>
      </c>
      <c r="D10" s="62" t="str">
        <f>IFERROR(__xludf.DUMMYFUNCTION("""COMPUTED_VALUE"""),"81 98510-4923")</f>
        <v>81 98510-4923</v>
      </c>
      <c r="E10" s="62" t="str">
        <f>IFERROR(__xludf.DUMMYFUNCTION("""COMPUTED_VALUE"""),"RECIFE")</f>
        <v>RECIFE</v>
      </c>
      <c r="F10" s="62" t="str">
        <f>IFERROR(__xludf.DUMMYFUNCTION("""COMPUTED_VALUE"""),"COOPERADO ")</f>
        <v>COOPERADO </v>
      </c>
    </row>
    <row r="11">
      <c r="A11" s="62" t="str">
        <f>IFERROR(__xludf.DUMMYFUNCTION("""COMPUTED_VALUE"""),"ANA PAULA CARNEIRO DA SILVA")</f>
        <v>ANA PAULA CARNEIRO DA SILVA</v>
      </c>
      <c r="B11" s="62" t="str">
        <f>IFERROR(__xludf.DUMMYFUNCTION("""COMPUTED_VALUE"""),"CUIDADORA")</f>
        <v>CUIDADORA</v>
      </c>
      <c r="C11" s="62" t="str">
        <f>IFERROR(__xludf.DUMMYFUNCTION("""COMPUTED_VALUE"""),"062.155.374-38")</f>
        <v>062.155.374-38</v>
      </c>
      <c r="D11" s="62" t="str">
        <f>IFERROR(__xludf.DUMMYFUNCTION("""COMPUTED_VALUE"""),"81 99454-2301")</f>
        <v>81 99454-2301</v>
      </c>
      <c r="E11" s="62" t="str">
        <f>IFERROR(__xludf.DUMMYFUNCTION("""COMPUTED_VALUE"""),"RECIFE")</f>
        <v>RECIFE</v>
      </c>
      <c r="F11" s="62" t="str">
        <f>IFERROR(__xludf.DUMMYFUNCTION("""COMPUTED_VALUE"""),"COOPERADO ")</f>
        <v>COOPERADO </v>
      </c>
    </row>
    <row r="12">
      <c r="A12" s="62" t="str">
        <f>IFERROR(__xludf.DUMMYFUNCTION("""COMPUTED_VALUE"""),"ANDRÉ LÚCIO COSTA MIRANDA")</f>
        <v>ANDRÉ LÚCIO COSTA MIRANDA</v>
      </c>
      <c r="B12" s="62" t="str">
        <f>IFERROR(__xludf.DUMMYFUNCTION("""COMPUTED_VALUE"""),"TÉC. ENF.")</f>
        <v>TÉC. ENF.</v>
      </c>
      <c r="C12" s="62" t="str">
        <f>IFERROR(__xludf.DUMMYFUNCTION("""COMPUTED_VALUE"""),"921.867.504-49")</f>
        <v>921.867.504-49</v>
      </c>
      <c r="D12" s="62" t="str">
        <f>IFERROR(__xludf.DUMMYFUNCTION("""COMPUTED_VALUE"""),"81 99154-8817")</f>
        <v>81 99154-8817</v>
      </c>
      <c r="E12" s="62" t="str">
        <f>IFERROR(__xludf.DUMMYFUNCTION("""COMPUTED_VALUE"""),"RECIFE")</f>
        <v>RECIFE</v>
      </c>
      <c r="F12" s="62" t="str">
        <f>IFERROR(__xludf.DUMMYFUNCTION("""COMPUTED_VALUE"""),"COOPERADO ")</f>
        <v>COOPERADO </v>
      </c>
    </row>
    <row r="13">
      <c r="A13" s="62" t="str">
        <f>IFERROR(__xludf.DUMMYFUNCTION("""COMPUTED_VALUE"""),"ANGELA BARBOSA DA SILVA")</f>
        <v>ANGELA BARBOSA DA SILVA</v>
      </c>
      <c r="B13" s="62" t="str">
        <f>IFERROR(__xludf.DUMMYFUNCTION("""COMPUTED_VALUE"""),"CUIDADORA")</f>
        <v>CUIDADORA</v>
      </c>
      <c r="C13" s="62" t="str">
        <f>IFERROR(__xludf.DUMMYFUNCTION("""COMPUTED_VALUE"""),"793.195.134-49")</f>
        <v>793.195.134-49</v>
      </c>
      <c r="D13" s="62" t="str">
        <f>IFERROR(__xludf.DUMMYFUNCTION("""COMPUTED_VALUE"""),"81 98601-8849")</f>
        <v>81 98601-8849</v>
      </c>
      <c r="E13" s="62" t="str">
        <f>IFERROR(__xludf.DUMMYFUNCTION("""COMPUTED_VALUE"""),"RECIFE")</f>
        <v>RECIFE</v>
      </c>
      <c r="F13" s="62" t="str">
        <f>IFERROR(__xludf.DUMMYFUNCTION("""COMPUTED_VALUE"""),"COOPERADO ")</f>
        <v>COOPERADO </v>
      </c>
    </row>
    <row r="14">
      <c r="A14" s="62" t="str">
        <f>IFERROR(__xludf.DUMMYFUNCTION("""COMPUTED_VALUE"""),"Anne Karyne C.S da Silva")</f>
        <v>Anne Karyne C.S da Silva</v>
      </c>
      <c r="B14" s="62" t="str">
        <f>IFERROR(__xludf.DUMMYFUNCTION("""COMPUTED_VALUE"""),"TÉC. ENF.")</f>
        <v>TÉC. ENF.</v>
      </c>
      <c r="C14" s="62" t="str">
        <f>IFERROR(__xludf.DUMMYFUNCTION("""COMPUTED_VALUE"""),"120.536.034-45")</f>
        <v>120.536.034-45</v>
      </c>
      <c r="D14" s="62" t="str">
        <f>IFERROR(__xludf.DUMMYFUNCTION("""COMPUTED_VALUE"""),"81 98333-0663")</f>
        <v>81 98333-0663</v>
      </c>
      <c r="E14" s="62" t="str">
        <f>IFERROR(__xludf.DUMMYFUNCTION("""COMPUTED_VALUE"""),"RECIFE")</f>
        <v>RECIFE</v>
      </c>
      <c r="F14" s="62" t="str">
        <f>IFERROR(__xludf.DUMMYFUNCTION("""COMPUTED_VALUE"""),"COOPERADO ")</f>
        <v>COOPERADO </v>
      </c>
    </row>
    <row r="15">
      <c r="A15" s="62" t="str">
        <f>IFERROR(__xludf.DUMMYFUNCTION("""COMPUTED_VALUE"""),"AUDILENE DE OLIVEIRA")</f>
        <v>AUDILENE DE OLIVEIRA</v>
      </c>
      <c r="B15" s="62" t="str">
        <f>IFERROR(__xludf.DUMMYFUNCTION("""COMPUTED_VALUE"""),"CUIDADORA")</f>
        <v>CUIDADORA</v>
      </c>
      <c r="C15" s="62" t="str">
        <f>IFERROR(__xludf.DUMMYFUNCTION("""COMPUTED_VALUE"""),"066.846.944-71")</f>
        <v>066.846.944-71</v>
      </c>
      <c r="D15" s="62" t="str">
        <f>IFERROR(__xludf.DUMMYFUNCTION("""COMPUTED_VALUE"""),"81 98662-0995")</f>
        <v>81 98662-0995</v>
      </c>
      <c r="E15" s="62" t="str">
        <f>IFERROR(__xludf.DUMMYFUNCTION("""COMPUTED_VALUE"""),"RECIFE")</f>
        <v>RECIFE</v>
      </c>
      <c r="F15" s="62" t="str">
        <f>IFERROR(__xludf.DUMMYFUNCTION("""COMPUTED_VALUE"""),"COOPERADO ")</f>
        <v>COOPERADO </v>
      </c>
    </row>
    <row r="16">
      <c r="A16" s="62" t="str">
        <f>IFERROR(__xludf.DUMMYFUNCTION("""COMPUTED_VALUE"""),"Aurenize Melo da Silva")</f>
        <v>Aurenize Melo da Silva</v>
      </c>
      <c r="B16" s="62" t="str">
        <f>IFERROR(__xludf.DUMMYFUNCTION("""COMPUTED_VALUE"""),"TÉC. ENF.")</f>
        <v>TÉC. ENF.</v>
      </c>
      <c r="C16" s="62" t="str">
        <f>IFERROR(__xludf.DUMMYFUNCTION("""COMPUTED_VALUE"""),"072.748.424-98")</f>
        <v>072.748.424-98</v>
      </c>
      <c r="D16" s="62" t="str">
        <f>IFERROR(__xludf.DUMMYFUNCTION("""COMPUTED_VALUE"""),"81 99152-3299")</f>
        <v>81 99152-3299</v>
      </c>
      <c r="E16" s="62" t="str">
        <f>IFERROR(__xludf.DUMMYFUNCTION("""COMPUTED_VALUE"""),"RECIFE")</f>
        <v>RECIFE</v>
      </c>
      <c r="F16" s="62" t="str">
        <f>IFERROR(__xludf.DUMMYFUNCTION("""COMPUTED_VALUE"""),"COOPERADO ")</f>
        <v>COOPERADO </v>
      </c>
    </row>
    <row r="17">
      <c r="A17" s="62" t="str">
        <f>IFERROR(__xludf.DUMMYFUNCTION("""COMPUTED_VALUE"""),"BÁRBARA BARROS TAVARES DA SILVA")</f>
        <v>BÁRBARA BARROS TAVARES DA SILVA</v>
      </c>
      <c r="B17" s="62" t="str">
        <f>IFERROR(__xludf.DUMMYFUNCTION("""COMPUTED_VALUE"""),"TÉC. RAD.")</f>
        <v>TÉC. RAD.</v>
      </c>
      <c r="C17" s="62" t="str">
        <f>IFERROR(__xludf.DUMMYFUNCTION("""COMPUTED_VALUE"""),"947.013.004-97")</f>
        <v>947.013.004-97</v>
      </c>
      <c r="D17" s="62" t="str">
        <f>IFERROR(__xludf.DUMMYFUNCTION("""COMPUTED_VALUE"""),"81 98815-5006")</f>
        <v>81 98815-5006</v>
      </c>
      <c r="E17" s="62" t="str">
        <f>IFERROR(__xludf.DUMMYFUNCTION("""COMPUTED_VALUE"""),"RECIFE")</f>
        <v>RECIFE</v>
      </c>
      <c r="F17" s="62" t="str">
        <f>IFERROR(__xludf.DUMMYFUNCTION("""COMPUTED_VALUE"""),"COOPERADO ")</f>
        <v>COOPERADO </v>
      </c>
    </row>
    <row r="18">
      <c r="A18" s="62" t="str">
        <f>IFERROR(__xludf.DUMMYFUNCTION("""COMPUTED_VALUE"""),"Camila Tenório Sales")</f>
        <v>Camila Tenório Sales</v>
      </c>
      <c r="B18" s="62" t="str">
        <f>IFERROR(__xludf.DUMMYFUNCTION("""COMPUTED_VALUE"""),"TÉC. ENF.")</f>
        <v>TÉC. ENF.</v>
      </c>
      <c r="C18" s="62" t="str">
        <f>IFERROR(__xludf.DUMMYFUNCTION("""COMPUTED_VALUE"""),"096.664.244-95")</f>
        <v>096.664.244-95</v>
      </c>
      <c r="D18" s="62" t="str">
        <f>IFERROR(__xludf.DUMMYFUNCTION("""COMPUTED_VALUE"""),"81 98603-5645")</f>
        <v>81 98603-5645</v>
      </c>
      <c r="E18" s="62" t="str">
        <f>IFERROR(__xludf.DUMMYFUNCTION("""COMPUTED_VALUE"""),"RECIFE")</f>
        <v>RECIFE</v>
      </c>
      <c r="F18" s="62" t="str">
        <f>IFERROR(__xludf.DUMMYFUNCTION("""COMPUTED_VALUE"""),"COOPERADO ")</f>
        <v>COOPERADO </v>
      </c>
    </row>
    <row r="19">
      <c r="A19" s="62" t="str">
        <f>IFERROR(__xludf.DUMMYFUNCTION("""COMPUTED_VALUE"""),"CARLA VANESSA TRINDADE DO NASCIMENTO ")</f>
        <v>CARLA VANESSA TRINDADE DO NASCIMENTO </v>
      </c>
      <c r="B19" s="62" t="str">
        <f>IFERROR(__xludf.DUMMYFUNCTION("""COMPUTED_VALUE"""),"CUIDADORA")</f>
        <v>CUIDADORA</v>
      </c>
      <c r="C19" s="62" t="str">
        <f>IFERROR(__xludf.DUMMYFUNCTION("""COMPUTED_VALUE"""),"064.294.944-11")</f>
        <v>064.294.944-11</v>
      </c>
      <c r="D19" s="62" t="str">
        <f>IFERROR(__xludf.DUMMYFUNCTION("""COMPUTED_VALUE"""),"81 98566-8461")</f>
        <v>81 98566-8461</v>
      </c>
      <c r="E19" s="62" t="str">
        <f>IFERROR(__xludf.DUMMYFUNCTION("""COMPUTED_VALUE"""),"RECIFE")</f>
        <v>RECIFE</v>
      </c>
      <c r="F19" s="62" t="str">
        <f>IFERROR(__xludf.DUMMYFUNCTION("""COMPUTED_VALUE"""),"COOPERADO ")</f>
        <v>COOPERADO </v>
      </c>
    </row>
    <row r="20">
      <c r="A20" s="62" t="str">
        <f>IFERROR(__xludf.DUMMYFUNCTION("""COMPUTED_VALUE"""),"CARMEN ALICE NASCIMENTO DA SILVA")</f>
        <v>CARMEN ALICE NASCIMENTO DA SILVA</v>
      </c>
      <c r="B20" s="62" t="str">
        <f>IFERROR(__xludf.DUMMYFUNCTION("""COMPUTED_VALUE"""),"TÉC. ENF.")</f>
        <v>TÉC. ENF.</v>
      </c>
      <c r="C20" s="62" t="str">
        <f>IFERROR(__xludf.DUMMYFUNCTION("""COMPUTED_VALUE"""),"037.180.154-04")</f>
        <v>037.180.154-04</v>
      </c>
      <c r="D20" s="62" t="str">
        <f>IFERROR(__xludf.DUMMYFUNCTION("""COMPUTED_VALUE"""),"81 98643-2635")</f>
        <v>81 98643-2635</v>
      </c>
      <c r="E20" s="62" t="str">
        <f>IFERROR(__xludf.DUMMYFUNCTION("""COMPUTED_VALUE"""),"RECIFE")</f>
        <v>RECIFE</v>
      </c>
      <c r="F20" s="62" t="str">
        <f>IFERROR(__xludf.DUMMYFUNCTION("""COMPUTED_VALUE"""),"COOPERADO ")</f>
        <v>COOPERADO </v>
      </c>
    </row>
    <row r="21">
      <c r="A21" s="62" t="str">
        <f>IFERROR(__xludf.DUMMYFUNCTION("""COMPUTED_VALUE"""),"Charliston José Freire de França")</f>
        <v>Charliston José Freire de França</v>
      </c>
      <c r="B21" s="62" t="str">
        <f>IFERROR(__xludf.DUMMYFUNCTION("""COMPUTED_VALUE"""),"TÉC. ENF.")</f>
        <v>TÉC. ENF.</v>
      </c>
      <c r="C21" s="62" t="str">
        <f>IFERROR(__xludf.DUMMYFUNCTION("""COMPUTED_VALUE"""),"037.180.154-04")</f>
        <v>037.180.154-04</v>
      </c>
      <c r="D21" s="62" t="str">
        <f>IFERROR(__xludf.DUMMYFUNCTION("""COMPUTED_VALUE"""),"81 98819-6182")</f>
        <v>81 98819-6182</v>
      </c>
      <c r="E21" s="62" t="str">
        <f>IFERROR(__xludf.DUMMYFUNCTION("""COMPUTED_VALUE"""),"RECIFE")</f>
        <v>RECIFE</v>
      </c>
      <c r="F21" s="62" t="str">
        <f>IFERROR(__xludf.DUMMYFUNCTION("""COMPUTED_VALUE"""),"COOPERADO ")</f>
        <v>COOPERADO </v>
      </c>
    </row>
    <row r="22">
      <c r="A22" s="62" t="str">
        <f>IFERROR(__xludf.DUMMYFUNCTION("""COMPUTED_VALUE"""),"CLAUDETE MARIA DE LIMA")</f>
        <v>CLAUDETE MARIA DE LIMA</v>
      </c>
      <c r="B22" s="62" t="str">
        <f>IFERROR(__xludf.DUMMYFUNCTION("""COMPUTED_VALUE"""),"CUIDADORA")</f>
        <v>CUIDADORA</v>
      </c>
      <c r="C22" s="62" t="str">
        <f>IFERROR(__xludf.DUMMYFUNCTION("""COMPUTED_VALUE"""),"029.496.274-39")</f>
        <v>029.496.274-39</v>
      </c>
      <c r="D22" s="62" t="str">
        <f>IFERROR(__xludf.DUMMYFUNCTION("""COMPUTED_VALUE"""),"81 98881-2392")</f>
        <v>81 98881-2392</v>
      </c>
      <c r="E22" s="62" t="str">
        <f>IFERROR(__xludf.DUMMYFUNCTION("""COMPUTED_VALUE"""),"RECIFE")</f>
        <v>RECIFE</v>
      </c>
      <c r="F22" s="62" t="str">
        <f>IFERROR(__xludf.DUMMYFUNCTION("""COMPUTED_VALUE"""),"COOPERADO ")</f>
        <v>COOPERADO </v>
      </c>
    </row>
    <row r="23">
      <c r="A23" s="62" t="str">
        <f>IFERROR(__xludf.DUMMYFUNCTION("""COMPUTED_VALUE"""),"Claudia Herica da Silva Lima")</f>
        <v>Claudia Herica da Silva Lima</v>
      </c>
      <c r="B23" s="62" t="str">
        <f>IFERROR(__xludf.DUMMYFUNCTION("""COMPUTED_VALUE"""),"Enfermeiro(a)")</f>
        <v>Enfermeiro(a)</v>
      </c>
      <c r="C23" s="62" t="str">
        <f>IFERROR(__xludf.DUMMYFUNCTION("""COMPUTED_VALUE"""),"039.153.114-05")</f>
        <v>039.153.114-05</v>
      </c>
      <c r="D23" s="62" t="str">
        <f>IFERROR(__xludf.DUMMYFUNCTION("""COMPUTED_VALUE"""),"81 99722-3656")</f>
        <v>81 99722-3656</v>
      </c>
      <c r="E23" s="62" t="str">
        <f>IFERROR(__xludf.DUMMYFUNCTION("""COMPUTED_VALUE"""),"RECIFE")</f>
        <v>RECIFE</v>
      </c>
      <c r="F23" s="62" t="str">
        <f>IFERROR(__xludf.DUMMYFUNCTION("""COMPUTED_VALUE"""),"COOPERADO ")</f>
        <v>COOPERADO </v>
      </c>
    </row>
    <row r="24">
      <c r="A24" s="62" t="str">
        <f>IFERROR(__xludf.DUMMYFUNCTION("""COMPUTED_VALUE"""),"CLEIDILENE ALEXANDRE DA SILVA CABRAL")</f>
        <v>CLEIDILENE ALEXANDRE DA SILVA CABRAL</v>
      </c>
      <c r="B24" s="62" t="str">
        <f>IFERROR(__xludf.DUMMYFUNCTION("""COMPUTED_VALUE"""),"CUIDADORA")</f>
        <v>CUIDADORA</v>
      </c>
      <c r="C24" s="62" t="str">
        <f>IFERROR(__xludf.DUMMYFUNCTION("""COMPUTED_VALUE"""),"023.464.294-73")</f>
        <v>023.464.294-73</v>
      </c>
      <c r="D24" s="62" t="str">
        <f>IFERROR(__xludf.DUMMYFUNCTION("""COMPUTED_VALUE"""),"81 99233-1547")</f>
        <v>81 99233-1547</v>
      </c>
      <c r="E24" s="62" t="str">
        <f>IFERROR(__xludf.DUMMYFUNCTION("""COMPUTED_VALUE"""),"RECIFE")</f>
        <v>RECIFE</v>
      </c>
      <c r="F24" s="62" t="str">
        <f>IFERROR(__xludf.DUMMYFUNCTION("""COMPUTED_VALUE"""),"COOPERADO ")</f>
        <v>COOPERADO </v>
      </c>
    </row>
    <row r="25">
      <c r="A25" s="62" t="str">
        <f>IFERROR(__xludf.DUMMYFUNCTION("""COMPUTED_VALUE"""),"Cristiana de Barros Rodrigues")</f>
        <v>Cristiana de Barros Rodrigues</v>
      </c>
      <c r="B25" s="62" t="str">
        <f>IFERROR(__xludf.DUMMYFUNCTION("""COMPUTED_VALUE"""),"TÉC. ENF.")</f>
        <v>TÉC. ENF.</v>
      </c>
      <c r="C25" s="62" t="str">
        <f>IFERROR(__xludf.DUMMYFUNCTION("""COMPUTED_VALUE"""),"103.883.144-00")</f>
        <v>103.883.144-00</v>
      </c>
      <c r="D25" s="62" t="str">
        <f>IFERROR(__xludf.DUMMYFUNCTION("""COMPUTED_VALUE"""),"81 99285-6898")</f>
        <v>81 99285-6898</v>
      </c>
      <c r="E25" s="62" t="str">
        <f>IFERROR(__xludf.DUMMYFUNCTION("""COMPUTED_VALUE"""),"RECIFE")</f>
        <v>RECIFE</v>
      </c>
      <c r="F25" s="62" t="str">
        <f>IFERROR(__xludf.DUMMYFUNCTION("""COMPUTED_VALUE"""),"COOPERADO ")</f>
        <v>COOPERADO </v>
      </c>
    </row>
    <row r="26">
      <c r="A26" s="62" t="str">
        <f>IFERROR(__xludf.DUMMYFUNCTION("""COMPUTED_VALUE"""),"Daniela da Silva Carvalho")</f>
        <v>Daniela da Silva Carvalho</v>
      </c>
      <c r="B26" s="62" t="str">
        <f>IFERROR(__xludf.DUMMYFUNCTION("""COMPUTED_VALUE"""),"TÉC. ENF.")</f>
        <v>TÉC. ENF.</v>
      </c>
      <c r="C26" s="62" t="str">
        <f>IFERROR(__xludf.DUMMYFUNCTION("""COMPUTED_VALUE"""),"040.653.354-77")</f>
        <v>040.653.354-77</v>
      </c>
      <c r="D26" s="62" t="str">
        <f>IFERROR(__xludf.DUMMYFUNCTION("""COMPUTED_VALUE"""),"81 98710-7007")</f>
        <v>81 98710-7007</v>
      </c>
      <c r="E26" s="62" t="str">
        <f>IFERROR(__xludf.DUMMYFUNCTION("""COMPUTED_VALUE"""),"RECIFE")</f>
        <v>RECIFE</v>
      </c>
      <c r="F26" s="62" t="str">
        <f>IFERROR(__xludf.DUMMYFUNCTION("""COMPUTED_VALUE"""),"COOPERADO ")</f>
        <v>COOPERADO </v>
      </c>
    </row>
    <row r="27">
      <c r="A27" s="62" t="str">
        <f>IFERROR(__xludf.DUMMYFUNCTION("""COMPUTED_VALUE"""),"Daniele Dias Batista Borba")</f>
        <v>Daniele Dias Batista Borba</v>
      </c>
      <c r="B27" s="62" t="str">
        <f>IFERROR(__xludf.DUMMYFUNCTION("""COMPUTED_VALUE"""),"TÉC. ENF.")</f>
        <v>TÉC. ENF.</v>
      </c>
      <c r="C27" s="62" t="str">
        <f>IFERROR(__xludf.DUMMYFUNCTION("""COMPUTED_VALUE"""),"010.546.424-43")</f>
        <v>010.546.424-43</v>
      </c>
      <c r="D27" s="62" t="str">
        <f>IFERROR(__xludf.DUMMYFUNCTION("""COMPUTED_VALUE"""),"81 98743-2574")</f>
        <v>81 98743-2574</v>
      </c>
      <c r="E27" s="62" t="str">
        <f>IFERROR(__xludf.DUMMYFUNCTION("""COMPUTED_VALUE"""),"RECIFE")</f>
        <v>RECIFE</v>
      </c>
      <c r="F27" s="62" t="str">
        <f>IFERROR(__xludf.DUMMYFUNCTION("""COMPUTED_VALUE"""),"COOPERADO ")</f>
        <v>COOPERADO </v>
      </c>
    </row>
    <row r="28">
      <c r="A28" s="62" t="str">
        <f>IFERROR(__xludf.DUMMYFUNCTION("""COMPUTED_VALUE"""),"DENNYS RALF ALMEIDA DA SILVA")</f>
        <v>DENNYS RALF ALMEIDA DA SILVA</v>
      </c>
      <c r="B28" s="62" t="str">
        <f>IFERROR(__xludf.DUMMYFUNCTION("""COMPUTED_VALUE"""),"TÉC. RAD.")</f>
        <v>TÉC. RAD.</v>
      </c>
      <c r="C28" s="62" t="str">
        <f>IFERROR(__xludf.DUMMYFUNCTION("""COMPUTED_VALUE"""),"061.474.394-05")</f>
        <v>061.474.394-05</v>
      </c>
      <c r="D28" s="62" t="str">
        <f>IFERROR(__xludf.DUMMYFUNCTION("""COMPUTED_VALUE"""),"81 98583-5625 ")</f>
        <v>81 98583-5625 </v>
      </c>
      <c r="E28" s="62" t="str">
        <f>IFERROR(__xludf.DUMMYFUNCTION("""COMPUTED_VALUE"""),"RECIFE")</f>
        <v>RECIFE</v>
      </c>
      <c r="F28" s="62" t="str">
        <f>IFERROR(__xludf.DUMMYFUNCTION("""COMPUTED_VALUE"""),"COOPERADO ")</f>
        <v>COOPERADO </v>
      </c>
    </row>
    <row r="29">
      <c r="A29" s="62" t="str">
        <f>IFERROR(__xludf.DUMMYFUNCTION("""COMPUTED_VALUE"""),"DINOAH ALDA DE FREITAS MOURA")</f>
        <v>DINOAH ALDA DE FREITAS MOURA</v>
      </c>
      <c r="B29" s="62" t="str">
        <f>IFERROR(__xludf.DUMMYFUNCTION("""COMPUTED_VALUE"""),"TÉC. RAD.")</f>
        <v>TÉC. RAD.</v>
      </c>
      <c r="C29" s="62" t="str">
        <f>IFERROR(__xludf.DUMMYFUNCTION("""COMPUTED_VALUE"""),"110.243.734-44")</f>
        <v>110.243.734-44</v>
      </c>
      <c r="D29" s="62" t="str">
        <f>IFERROR(__xludf.DUMMYFUNCTION("""COMPUTED_VALUE"""),"81 98732-0810")</f>
        <v>81 98732-0810</v>
      </c>
      <c r="E29" s="62" t="str">
        <f>IFERROR(__xludf.DUMMYFUNCTION("""COMPUTED_VALUE"""),"RECIFE")</f>
        <v>RECIFE</v>
      </c>
      <c r="F29" s="62" t="str">
        <f>IFERROR(__xludf.DUMMYFUNCTION("""COMPUTED_VALUE"""),"COOPERADO ")</f>
        <v>COOPERADO </v>
      </c>
    </row>
    <row r="30">
      <c r="A30" s="62" t="str">
        <f>IFERROR(__xludf.DUMMYFUNCTION("""COMPUTED_VALUE"""),"Edilene Ventura da Silva")</f>
        <v>Edilene Ventura da Silva</v>
      </c>
      <c r="B30" s="62" t="str">
        <f>IFERROR(__xludf.DUMMYFUNCTION("""COMPUTED_VALUE"""),"Enfermeiro(a)")</f>
        <v>Enfermeiro(a)</v>
      </c>
      <c r="C30" s="62" t="str">
        <f>IFERROR(__xludf.DUMMYFUNCTION("""COMPUTED_VALUE"""),"079.865.634-43")</f>
        <v>079.865.634-43</v>
      </c>
      <c r="D30" s="62" t="str">
        <f>IFERROR(__xludf.DUMMYFUNCTION("""COMPUTED_VALUE"""),"81 98655-7392")</f>
        <v>81 98655-7392</v>
      </c>
      <c r="E30" s="62" t="str">
        <f>IFERROR(__xludf.DUMMYFUNCTION("""COMPUTED_VALUE"""),"RECIFE")</f>
        <v>RECIFE</v>
      </c>
      <c r="F30" s="62" t="str">
        <f>IFERROR(__xludf.DUMMYFUNCTION("""COMPUTED_VALUE"""),"COOPERADO ")</f>
        <v>COOPERADO </v>
      </c>
    </row>
    <row r="31">
      <c r="A31" s="62" t="str">
        <f>IFERROR(__xludf.DUMMYFUNCTION("""COMPUTED_VALUE"""),"EDILEUZA ARAÚJO DA SILVA ")</f>
        <v>EDILEUZA ARAÚJO DA SILVA </v>
      </c>
      <c r="B31" s="62" t="str">
        <f>IFERROR(__xludf.DUMMYFUNCTION("""COMPUTED_VALUE"""),"CUIDADORA")</f>
        <v>CUIDADORA</v>
      </c>
      <c r="C31" s="62" t="str">
        <f>IFERROR(__xludf.DUMMYFUNCTION("""COMPUTED_VALUE"""),"031.729.514-48")</f>
        <v>031.729.514-48</v>
      </c>
      <c r="D31" s="62" t="str">
        <f>IFERROR(__xludf.DUMMYFUNCTION("""COMPUTED_VALUE"""),"81 98793-6985")</f>
        <v>81 98793-6985</v>
      </c>
      <c r="E31" s="62" t="str">
        <f>IFERROR(__xludf.DUMMYFUNCTION("""COMPUTED_VALUE"""),"RECIFE")</f>
        <v>RECIFE</v>
      </c>
      <c r="F31" s="62" t="str">
        <f>IFERROR(__xludf.DUMMYFUNCTION("""COMPUTED_VALUE"""),"COOPERADO ")</f>
        <v>COOPERADO </v>
      </c>
    </row>
    <row r="32">
      <c r="A32" s="62" t="str">
        <f>IFERROR(__xludf.DUMMYFUNCTION("""COMPUTED_VALUE"""),"Edileuza Maria da Silva")</f>
        <v>Edileuza Maria da Silva</v>
      </c>
      <c r="B32" s="62" t="str">
        <f>IFERROR(__xludf.DUMMYFUNCTION("""COMPUTED_VALUE"""),"TÉC. ENF.")</f>
        <v>TÉC. ENF.</v>
      </c>
      <c r="C32" s="62" t="str">
        <f>IFERROR(__xludf.DUMMYFUNCTION("""COMPUTED_VALUE"""),"043.116.374-03")</f>
        <v>043.116.374-03</v>
      </c>
      <c r="D32" s="62" t="str">
        <f>IFERROR(__xludf.DUMMYFUNCTION("""COMPUTED_VALUE"""),"81 98407-4285")</f>
        <v>81 98407-4285</v>
      </c>
      <c r="E32" s="62" t="str">
        <f>IFERROR(__xludf.DUMMYFUNCTION("""COMPUTED_VALUE"""),"RECIFE")</f>
        <v>RECIFE</v>
      </c>
      <c r="F32" s="62" t="str">
        <f>IFERROR(__xludf.DUMMYFUNCTION("""COMPUTED_VALUE"""),"COOPERADO ")</f>
        <v>COOPERADO </v>
      </c>
    </row>
    <row r="33">
      <c r="A33" s="62" t="str">
        <f>IFERROR(__xludf.DUMMYFUNCTION("""COMPUTED_VALUE"""),"EDNA MARIA DE SOUZA")</f>
        <v>EDNA MARIA DE SOUZA</v>
      </c>
      <c r="B33" s="62" t="str">
        <f>IFERROR(__xludf.DUMMYFUNCTION("""COMPUTED_VALUE"""),"CUIDADORA")</f>
        <v>CUIDADORA</v>
      </c>
      <c r="C33" s="62" t="str">
        <f>IFERROR(__xludf.DUMMYFUNCTION("""COMPUTED_VALUE"""),"091.394.884-54")</f>
        <v>091.394.884-54</v>
      </c>
      <c r="D33" s="62" t="str">
        <f>IFERROR(__xludf.DUMMYFUNCTION("""COMPUTED_VALUE"""),"81 98887-6530")</f>
        <v>81 98887-6530</v>
      </c>
      <c r="E33" s="62" t="str">
        <f>IFERROR(__xludf.DUMMYFUNCTION("""COMPUTED_VALUE"""),"RECIFE")</f>
        <v>RECIFE</v>
      </c>
      <c r="F33" s="62" t="str">
        <f>IFERROR(__xludf.DUMMYFUNCTION("""COMPUTED_VALUE"""),"COOPERADO ")</f>
        <v>COOPERADO </v>
      </c>
    </row>
    <row r="34">
      <c r="A34" s="62" t="str">
        <f>IFERROR(__xludf.DUMMYFUNCTION("""COMPUTED_VALUE"""),"Elaine Cristina Azevedo de Andrade")</f>
        <v>Elaine Cristina Azevedo de Andrade</v>
      </c>
      <c r="B34" s="62" t="str">
        <f>IFERROR(__xludf.DUMMYFUNCTION("""COMPUTED_VALUE"""),"Enfermeiro(a)")</f>
        <v>Enfermeiro(a)</v>
      </c>
      <c r="C34" s="62" t="str">
        <f>IFERROR(__xludf.DUMMYFUNCTION("""COMPUTED_VALUE"""),"025.339.354-09")</f>
        <v>025.339.354-09</v>
      </c>
      <c r="D34" s="62" t="str">
        <f>IFERROR(__xludf.DUMMYFUNCTION("""COMPUTED_VALUE"""),"81 98854-7418")</f>
        <v>81 98854-7418</v>
      </c>
      <c r="E34" s="62" t="str">
        <f>IFERROR(__xludf.DUMMYFUNCTION("""COMPUTED_VALUE"""),"RECIFE")</f>
        <v>RECIFE</v>
      </c>
      <c r="F34" s="62" t="str">
        <f>IFERROR(__xludf.DUMMYFUNCTION("""COMPUTED_VALUE"""),"COOPERADO ")</f>
        <v>COOPERADO </v>
      </c>
    </row>
    <row r="35">
      <c r="A35" s="62" t="str">
        <f>IFERROR(__xludf.DUMMYFUNCTION("""COMPUTED_VALUE"""),"Elania Oliveira de Lima")</f>
        <v>Elania Oliveira de Lima</v>
      </c>
      <c r="B35" s="62" t="str">
        <f>IFERROR(__xludf.DUMMYFUNCTION("""COMPUTED_VALUE"""),"TÉC. ENF.")</f>
        <v>TÉC. ENF.</v>
      </c>
      <c r="C35" s="62" t="str">
        <f>IFERROR(__xludf.DUMMYFUNCTION("""COMPUTED_VALUE"""),"047.566.044-71")</f>
        <v>047.566.044-71</v>
      </c>
      <c r="D35" s="62" t="str">
        <f>IFERROR(__xludf.DUMMYFUNCTION("""COMPUTED_VALUE"""),"81 98846-6440")</f>
        <v>81 98846-6440</v>
      </c>
      <c r="E35" s="62" t="str">
        <f>IFERROR(__xludf.DUMMYFUNCTION("""COMPUTED_VALUE"""),"RECIFE")</f>
        <v>RECIFE</v>
      </c>
      <c r="F35" s="62" t="str">
        <f>IFERROR(__xludf.DUMMYFUNCTION("""COMPUTED_VALUE"""),"COOPERADO ")</f>
        <v>COOPERADO </v>
      </c>
    </row>
    <row r="36">
      <c r="A36" s="62" t="str">
        <f>IFERROR(__xludf.DUMMYFUNCTION("""COMPUTED_VALUE"""),"ELIANE LIMA DE ANDRADE ")</f>
        <v>ELIANE LIMA DE ANDRADE </v>
      </c>
      <c r="B36" s="62" t="str">
        <f>IFERROR(__xludf.DUMMYFUNCTION("""COMPUTED_VALUE"""),"CUIDADORA")</f>
        <v>CUIDADORA</v>
      </c>
      <c r="C36" s="62" t="str">
        <f>IFERROR(__xludf.DUMMYFUNCTION("""COMPUTED_VALUE"""),"633.355.654-87")</f>
        <v>633.355.654-87</v>
      </c>
      <c r="D36" s="62" t="str">
        <f>IFERROR(__xludf.DUMMYFUNCTION("""COMPUTED_VALUE"""),"81 98548-0072")</f>
        <v>81 98548-0072</v>
      </c>
      <c r="E36" s="62" t="str">
        <f>IFERROR(__xludf.DUMMYFUNCTION("""COMPUTED_VALUE"""),"RECIFE")</f>
        <v>RECIFE</v>
      </c>
      <c r="F36" s="62" t="str">
        <f>IFERROR(__xludf.DUMMYFUNCTION("""COMPUTED_VALUE"""),"COOPERADO ")</f>
        <v>COOPERADO </v>
      </c>
    </row>
    <row r="37">
      <c r="A37" s="62" t="str">
        <f>IFERROR(__xludf.DUMMYFUNCTION("""COMPUTED_VALUE"""),"Eliane Martins Ribeiro")</f>
        <v>Eliane Martins Ribeiro</v>
      </c>
      <c r="B37" s="62" t="str">
        <f>IFERROR(__xludf.DUMMYFUNCTION("""COMPUTED_VALUE"""),"TÉC. ENF.")</f>
        <v>TÉC. ENF.</v>
      </c>
      <c r="C37" s="62" t="str">
        <f>IFERROR(__xludf.DUMMYFUNCTION("""COMPUTED_VALUE"""),"769.580.194-15")</f>
        <v>769.580.194-15</v>
      </c>
      <c r="D37" s="62" t="str">
        <f>IFERROR(__xludf.DUMMYFUNCTION("""COMPUTED_VALUE"""),"81 98445-8046")</f>
        <v>81 98445-8046</v>
      </c>
      <c r="E37" s="62" t="str">
        <f>IFERROR(__xludf.DUMMYFUNCTION("""COMPUTED_VALUE"""),"RECIFE")</f>
        <v>RECIFE</v>
      </c>
      <c r="F37" s="62" t="str">
        <f>IFERROR(__xludf.DUMMYFUNCTION("""COMPUTED_VALUE"""),"COOPERADO ")</f>
        <v>COOPERADO </v>
      </c>
    </row>
    <row r="38">
      <c r="A38" s="62" t="str">
        <f>IFERROR(__xludf.DUMMYFUNCTION("""COMPUTED_VALUE"""),"Elizaangela Marques da S. Correia")</f>
        <v>Elizaangela Marques da S. Correia</v>
      </c>
      <c r="B38" s="62" t="str">
        <f>IFERROR(__xludf.DUMMYFUNCTION("""COMPUTED_VALUE"""),"TÉC. ENF.")</f>
        <v>TÉC. ENF.</v>
      </c>
      <c r="C38" s="62" t="str">
        <f>IFERROR(__xludf.DUMMYFUNCTION("""COMPUTED_VALUE"""),"919.976.744-91")</f>
        <v>919.976.744-91</v>
      </c>
      <c r="D38" s="62" t="str">
        <f>IFERROR(__xludf.DUMMYFUNCTION("""COMPUTED_VALUE"""),"81 98447-0886")</f>
        <v>81 98447-0886</v>
      </c>
      <c r="E38" s="62" t="str">
        <f>IFERROR(__xludf.DUMMYFUNCTION("""COMPUTED_VALUE"""),"RECIFE")</f>
        <v>RECIFE</v>
      </c>
      <c r="F38" s="62" t="str">
        <f>IFERROR(__xludf.DUMMYFUNCTION("""COMPUTED_VALUE"""),"COOPERADO ")</f>
        <v>COOPERADO </v>
      </c>
    </row>
    <row r="39">
      <c r="A39" s="62" t="str">
        <f>IFERROR(__xludf.DUMMYFUNCTION("""COMPUTED_VALUE"""),"Erica Cristina Vieira da Silva")</f>
        <v>Erica Cristina Vieira da Silva</v>
      </c>
      <c r="B39" s="62" t="str">
        <f>IFERROR(__xludf.DUMMYFUNCTION("""COMPUTED_VALUE"""),"Téc. Enf.")</f>
        <v>Téc. Enf.</v>
      </c>
      <c r="C39" s="62" t="str">
        <f>IFERROR(__xludf.DUMMYFUNCTION("""COMPUTED_VALUE"""),"047.291.304-21")</f>
        <v>047.291.304-21</v>
      </c>
      <c r="D39" s="62" t="str">
        <f>IFERROR(__xludf.DUMMYFUNCTION("""COMPUTED_VALUE"""),"81 98610-9546")</f>
        <v>81 98610-9546</v>
      </c>
      <c r="E39" s="62" t="str">
        <f>IFERROR(__xludf.DUMMYFUNCTION("""COMPUTED_VALUE"""),"RECIFE")</f>
        <v>RECIFE</v>
      </c>
      <c r="F39" s="62" t="str">
        <f>IFERROR(__xludf.DUMMYFUNCTION("""COMPUTED_VALUE"""),"COOPERADO ")</f>
        <v>COOPERADO </v>
      </c>
    </row>
    <row r="40">
      <c r="A40" s="62" t="str">
        <f>IFERROR(__xludf.DUMMYFUNCTION("""COMPUTED_VALUE"""),"ERIKA NUNES ")</f>
        <v>ERIKA NUNES </v>
      </c>
      <c r="B40" s="62" t="str">
        <f>IFERROR(__xludf.DUMMYFUNCTION("""COMPUTED_VALUE"""),"CUIDADORA")</f>
        <v>CUIDADORA</v>
      </c>
      <c r="C40" s="62" t="str">
        <f>IFERROR(__xludf.DUMMYFUNCTION("""COMPUTED_VALUE"""),"040.864.344-74")</f>
        <v>040.864.344-74</v>
      </c>
      <c r="D40" s="62" t="str">
        <f>IFERROR(__xludf.DUMMYFUNCTION("""COMPUTED_VALUE"""),"81 98591-3939")</f>
        <v>81 98591-3939</v>
      </c>
      <c r="E40" s="62" t="str">
        <f>IFERROR(__xludf.DUMMYFUNCTION("""COMPUTED_VALUE"""),"RECIFE")</f>
        <v>RECIFE</v>
      </c>
      <c r="F40" s="62" t="str">
        <f>IFERROR(__xludf.DUMMYFUNCTION("""COMPUTED_VALUE"""),"COOPERADO ")</f>
        <v>COOPERADO </v>
      </c>
    </row>
    <row r="41">
      <c r="A41" s="62" t="str">
        <f>IFERROR(__xludf.DUMMYFUNCTION("""COMPUTED_VALUE"""),"Estefany Severino da Silva")</f>
        <v>Estefany Severino da Silva</v>
      </c>
      <c r="B41" s="62" t="str">
        <f>IFERROR(__xludf.DUMMYFUNCTION("""COMPUTED_VALUE"""),"TÉC. ENF.")</f>
        <v>TÉC. ENF.</v>
      </c>
      <c r="C41" s="62" t="str">
        <f>IFERROR(__xludf.DUMMYFUNCTION("""COMPUTED_VALUE"""),"708.266.874-07")</f>
        <v>708.266.874-07</v>
      </c>
      <c r="D41" s="62" t="str">
        <f>IFERROR(__xludf.DUMMYFUNCTION("""COMPUTED_VALUE"""),"81 98404-3835")</f>
        <v>81 98404-3835</v>
      </c>
      <c r="E41" s="62" t="str">
        <f>IFERROR(__xludf.DUMMYFUNCTION("""COMPUTED_VALUE"""),"RECIFE")</f>
        <v>RECIFE</v>
      </c>
      <c r="F41" s="62" t="str">
        <f>IFERROR(__xludf.DUMMYFUNCTION("""COMPUTED_VALUE"""),"COOPERADO ")</f>
        <v>COOPERADO </v>
      </c>
    </row>
    <row r="42">
      <c r="A42" s="62" t="str">
        <f>IFERROR(__xludf.DUMMYFUNCTION("""COMPUTED_VALUE"""),"EURIDES DE GOES SILVA")</f>
        <v>EURIDES DE GOES SILVA</v>
      </c>
      <c r="B42" s="62" t="str">
        <f>IFERROR(__xludf.DUMMYFUNCTION("""COMPUTED_VALUE"""),"CUIDADORA")</f>
        <v>CUIDADORA</v>
      </c>
      <c r="C42" s="62" t="str">
        <f>IFERROR(__xludf.DUMMYFUNCTION("""COMPUTED_VALUE"""),"031.558.554-44")</f>
        <v>031.558.554-44</v>
      </c>
      <c r="D42" s="62" t="str">
        <f>IFERROR(__xludf.DUMMYFUNCTION("""COMPUTED_VALUE"""),"81 99614-1121")</f>
        <v>81 99614-1121</v>
      </c>
      <c r="E42" s="62" t="str">
        <f>IFERROR(__xludf.DUMMYFUNCTION("""COMPUTED_VALUE"""),"RECIFE")</f>
        <v>RECIFE</v>
      </c>
      <c r="F42" s="62" t="str">
        <f>IFERROR(__xludf.DUMMYFUNCTION("""COMPUTED_VALUE"""),"COOPERADO ")</f>
        <v>COOPERADO </v>
      </c>
    </row>
    <row r="43">
      <c r="A43" s="62" t="str">
        <f>IFERROR(__xludf.DUMMYFUNCTION("""COMPUTED_VALUE"""),"EVELIN DA COSTA GOMES")</f>
        <v>EVELIN DA COSTA GOMES</v>
      </c>
      <c r="B43" s="62" t="str">
        <f>IFERROR(__xludf.DUMMYFUNCTION("""COMPUTED_VALUE"""),"CUIDADORA")</f>
        <v>CUIDADORA</v>
      </c>
      <c r="C43" s="62" t="str">
        <f>IFERROR(__xludf.DUMMYFUNCTION("""COMPUTED_VALUE"""),"127.985.374-36")</f>
        <v>127.985.374-36</v>
      </c>
      <c r="D43" s="62" t="str">
        <f>IFERROR(__xludf.DUMMYFUNCTION("""COMPUTED_VALUE"""),"81 99493-5843")</f>
        <v>81 99493-5843</v>
      </c>
      <c r="E43" s="62" t="str">
        <f>IFERROR(__xludf.DUMMYFUNCTION("""COMPUTED_VALUE"""),"RECIFE")</f>
        <v>RECIFE</v>
      </c>
      <c r="F43" s="62" t="str">
        <f>IFERROR(__xludf.DUMMYFUNCTION("""COMPUTED_VALUE"""),"COOPERADO ")</f>
        <v>COOPERADO </v>
      </c>
    </row>
    <row r="44">
      <c r="A44" s="62" t="str">
        <f>IFERROR(__xludf.DUMMYFUNCTION("""COMPUTED_VALUE"""),"Fabiola de Souza Belizario")</f>
        <v>Fabiola de Souza Belizario</v>
      </c>
      <c r="B44" s="62" t="str">
        <f>IFERROR(__xludf.DUMMYFUNCTION("""COMPUTED_VALUE"""),"TÉC. ENF.")</f>
        <v>TÉC. ENF.</v>
      </c>
      <c r="C44" s="62" t="str">
        <f>IFERROR(__xludf.DUMMYFUNCTION("""COMPUTED_VALUE"""),"055.784.024-45")</f>
        <v>055.784.024-45</v>
      </c>
      <c r="D44" s="62" t="str">
        <f>IFERROR(__xludf.DUMMYFUNCTION("""COMPUTED_VALUE"""),"81 99844-9754")</f>
        <v>81 99844-9754</v>
      </c>
      <c r="E44" s="62" t="str">
        <f>IFERROR(__xludf.DUMMYFUNCTION("""COMPUTED_VALUE"""),"RECIFE")</f>
        <v>RECIFE</v>
      </c>
      <c r="F44" s="62" t="str">
        <f>IFERROR(__xludf.DUMMYFUNCTION("""COMPUTED_VALUE"""),"COOPERADO ")</f>
        <v>COOPERADO </v>
      </c>
    </row>
    <row r="45">
      <c r="A45" s="62" t="str">
        <f>IFERROR(__xludf.DUMMYFUNCTION("""COMPUTED_VALUE"""),"FLÁVIA LUIZA SILVA")</f>
        <v>FLÁVIA LUIZA SILVA</v>
      </c>
      <c r="B45" s="62" t="str">
        <f>IFERROR(__xludf.DUMMYFUNCTION("""COMPUTED_VALUE"""),"TÉC. RADIOLOGIA")</f>
        <v>TÉC. RADIOLOGIA</v>
      </c>
      <c r="C45" s="62" t="str">
        <f>IFERROR(__xludf.DUMMYFUNCTION("""COMPUTED_VALUE"""),"073.180.964-51")</f>
        <v>073.180.964-51</v>
      </c>
      <c r="D45" s="62" t="str">
        <f>IFERROR(__xludf.DUMMYFUNCTION("""COMPUTED_VALUE"""),"81 99538-7929")</f>
        <v>81 99538-7929</v>
      </c>
      <c r="E45" s="62" t="str">
        <f>IFERROR(__xludf.DUMMYFUNCTION("""COMPUTED_VALUE"""),"RECIFE")</f>
        <v>RECIFE</v>
      </c>
      <c r="F45" s="62" t="str">
        <f>IFERROR(__xludf.DUMMYFUNCTION("""COMPUTED_VALUE"""),"COOPERADO ")</f>
        <v>COOPERADO </v>
      </c>
    </row>
    <row r="46">
      <c r="A46" s="62" t="str">
        <f>IFERROR(__xludf.DUMMYFUNCTION("""COMPUTED_VALUE"""),"GABRIELE ARAUJO LEITE DA SILVA")</f>
        <v>GABRIELE ARAUJO LEITE DA SILVA</v>
      </c>
      <c r="B46" s="62" t="str">
        <f>IFERROR(__xludf.DUMMYFUNCTION("""COMPUTED_VALUE"""),"TÉC. ENF.")</f>
        <v>TÉC. ENF.</v>
      </c>
      <c r="C46" s="62" t="str">
        <f>IFERROR(__xludf.DUMMYFUNCTION("""COMPUTED_VALUE"""),"114.862.154-75")</f>
        <v>114.862.154-75</v>
      </c>
      <c r="D46" s="62" t="str">
        <f>IFERROR(__xludf.DUMMYFUNCTION("""COMPUTED_VALUE"""),"81 99986-3966")</f>
        <v>81 99986-3966</v>
      </c>
      <c r="E46" s="62" t="str">
        <f>IFERROR(__xludf.DUMMYFUNCTION("""COMPUTED_VALUE"""),"RECIFE")</f>
        <v>RECIFE</v>
      </c>
      <c r="F46" s="62" t="str">
        <f>IFERROR(__xludf.DUMMYFUNCTION("""COMPUTED_VALUE"""),"COOPERADO ")</f>
        <v>COOPERADO </v>
      </c>
    </row>
    <row r="47">
      <c r="A47" s="62" t="str">
        <f>IFERROR(__xludf.DUMMYFUNCTION("""COMPUTED_VALUE"""),"Gilmarques Caetano da Silva")</f>
        <v>Gilmarques Caetano da Silva</v>
      </c>
      <c r="B47" s="62" t="str">
        <f>IFERROR(__xludf.DUMMYFUNCTION("""COMPUTED_VALUE"""),"TÉC. ENF.")</f>
        <v>TÉC. ENF.</v>
      </c>
      <c r="C47" s="62" t="str">
        <f>IFERROR(__xludf.DUMMYFUNCTION("""COMPUTED_VALUE"""),"052.042.604-55")</f>
        <v>052.042.604-55</v>
      </c>
      <c r="D47" s="62" t="str">
        <f>IFERROR(__xludf.DUMMYFUNCTION("""COMPUTED_VALUE"""),"81 98896-7201")</f>
        <v>81 98896-7201</v>
      </c>
      <c r="E47" s="62" t="str">
        <f>IFERROR(__xludf.DUMMYFUNCTION("""COMPUTED_VALUE"""),"RECIFE")</f>
        <v>RECIFE</v>
      </c>
      <c r="F47" s="62" t="str">
        <f>IFERROR(__xludf.DUMMYFUNCTION("""COMPUTED_VALUE"""),"COOPERADO ")</f>
        <v>COOPERADO </v>
      </c>
    </row>
    <row r="48">
      <c r="A48" s="62" t="str">
        <f>IFERROR(__xludf.DUMMYFUNCTION("""COMPUTED_VALUE"""),"Gilvania Soares Bezerra")</f>
        <v>Gilvania Soares Bezerra</v>
      </c>
      <c r="B48" s="62" t="str">
        <f>IFERROR(__xludf.DUMMYFUNCTION("""COMPUTED_VALUE"""),"TÉC. ENF.")</f>
        <v>TÉC. ENF.</v>
      </c>
      <c r="C48" s="62" t="str">
        <f>IFERROR(__xludf.DUMMYFUNCTION("""COMPUTED_VALUE"""),"733.772.871-91")</f>
        <v>733.772.871-91</v>
      </c>
      <c r="D48" s="62" t="str">
        <f>IFERROR(__xludf.DUMMYFUNCTION("""COMPUTED_VALUE"""),"81 99438-2119")</f>
        <v>81 99438-2119</v>
      </c>
      <c r="E48" s="62" t="str">
        <f>IFERROR(__xludf.DUMMYFUNCTION("""COMPUTED_VALUE"""),"RECIFE")</f>
        <v>RECIFE</v>
      </c>
      <c r="F48" s="62" t="str">
        <f>IFERROR(__xludf.DUMMYFUNCTION("""COMPUTED_VALUE"""),"COOPERADO ")</f>
        <v>COOPERADO </v>
      </c>
    </row>
    <row r="49">
      <c r="A49" s="62" t="str">
        <f>IFERROR(__xludf.DUMMYFUNCTION("""COMPUTED_VALUE"""),"Gizelle Francisca Albuquerque")</f>
        <v>Gizelle Francisca Albuquerque</v>
      </c>
      <c r="B49" s="62" t="str">
        <f>IFERROR(__xludf.DUMMYFUNCTION("""COMPUTED_VALUE"""),"TÉC. ENF.")</f>
        <v>TÉC. ENF.</v>
      </c>
      <c r="C49" s="62" t="str">
        <f>IFERROR(__xludf.DUMMYFUNCTION("""COMPUTED_VALUE"""),"071.272.594-61")</f>
        <v>071.272.594-61</v>
      </c>
      <c r="D49" s="62" t="str">
        <f>IFERROR(__xludf.DUMMYFUNCTION("""COMPUTED_VALUE"""),"81 98768-5466")</f>
        <v>81 98768-5466</v>
      </c>
      <c r="E49" s="62" t="str">
        <f>IFERROR(__xludf.DUMMYFUNCTION("""COMPUTED_VALUE"""),"RECIFE")</f>
        <v>RECIFE</v>
      </c>
      <c r="F49" s="62" t="str">
        <f>IFERROR(__xludf.DUMMYFUNCTION("""COMPUTED_VALUE"""),"COOPERADO ")</f>
        <v>COOPERADO </v>
      </c>
    </row>
    <row r="50">
      <c r="A50" s="62" t="str">
        <f>IFERROR(__xludf.DUMMYFUNCTION("""COMPUTED_VALUE"""),"Gleicy Mary dos Santos")</f>
        <v>Gleicy Mary dos Santos</v>
      </c>
      <c r="B50" s="62" t="str">
        <f>IFERROR(__xludf.DUMMYFUNCTION("""COMPUTED_VALUE"""),"TÉC. ENF.")</f>
        <v>TÉC. ENF.</v>
      </c>
      <c r="C50" s="62" t="str">
        <f>IFERROR(__xludf.DUMMYFUNCTION("""COMPUTED_VALUE"""),"091.830.854-24")</f>
        <v>091.830.854-24</v>
      </c>
      <c r="D50" s="62" t="str">
        <f>IFERROR(__xludf.DUMMYFUNCTION("""COMPUTED_VALUE"""),"81 98117-3348")</f>
        <v>81 98117-3348</v>
      </c>
      <c r="E50" s="62" t="str">
        <f>IFERROR(__xludf.DUMMYFUNCTION("""COMPUTED_VALUE"""),"RECIFE")</f>
        <v>RECIFE</v>
      </c>
      <c r="F50" s="62" t="str">
        <f>IFERROR(__xludf.DUMMYFUNCTION("""COMPUTED_VALUE"""),"COOPERADO ")</f>
        <v>COOPERADO </v>
      </c>
    </row>
    <row r="51">
      <c r="A51" s="62" t="str">
        <f>IFERROR(__xludf.DUMMYFUNCTION("""COMPUTED_VALUE"""),"ÍCARO GUILHERME RAMOS DE ASSIS")</f>
        <v>ÍCARO GUILHERME RAMOS DE ASSIS</v>
      </c>
      <c r="B51" s="62" t="str">
        <f>IFERROR(__xludf.DUMMYFUNCTION("""COMPUTED_VALUE"""),"TÉC. RADIOLOGIA")</f>
        <v>TÉC. RADIOLOGIA</v>
      </c>
      <c r="C51" s="62" t="str">
        <f>IFERROR(__xludf.DUMMYFUNCTION("""COMPUTED_VALUE"""),"132.614.704-88")</f>
        <v>132.614.704-88</v>
      </c>
      <c r="D51" s="62" t="str">
        <f>IFERROR(__xludf.DUMMYFUNCTION("""COMPUTED_VALUE"""),"81 99907-7575")</f>
        <v>81 99907-7575</v>
      </c>
      <c r="E51" s="62" t="str">
        <f>IFERROR(__xludf.DUMMYFUNCTION("""COMPUTED_VALUE"""),"RECIFE")</f>
        <v>RECIFE</v>
      </c>
      <c r="F51" s="62" t="str">
        <f>IFERROR(__xludf.DUMMYFUNCTION("""COMPUTED_VALUE"""),"COOPERADO ")</f>
        <v>COOPERADO </v>
      </c>
    </row>
    <row r="52">
      <c r="A52" s="62" t="str">
        <f>IFERROR(__xludf.DUMMYFUNCTION("""COMPUTED_VALUE"""),"Iracileide Silva de Castro")</f>
        <v>Iracileide Silva de Castro</v>
      </c>
      <c r="B52" s="62" t="str">
        <f>IFERROR(__xludf.DUMMYFUNCTION("""COMPUTED_VALUE"""),"Enfermeiro(a)")</f>
        <v>Enfermeiro(a)</v>
      </c>
      <c r="C52" s="62" t="str">
        <f>IFERROR(__xludf.DUMMYFUNCTION("""COMPUTED_VALUE"""),"013.645.194-29")</f>
        <v>013.645.194-29</v>
      </c>
      <c r="D52" s="62" t="str">
        <f>IFERROR(__xludf.DUMMYFUNCTION("""COMPUTED_VALUE"""),"81 99891-5249")</f>
        <v>81 99891-5249</v>
      </c>
      <c r="E52" s="62" t="str">
        <f>IFERROR(__xludf.DUMMYFUNCTION("""COMPUTED_VALUE"""),"RECIFE")</f>
        <v>RECIFE</v>
      </c>
      <c r="F52" s="62" t="str">
        <f>IFERROR(__xludf.DUMMYFUNCTION("""COMPUTED_VALUE"""),"COOPERADO ")</f>
        <v>COOPERADO </v>
      </c>
    </row>
    <row r="53">
      <c r="A53" s="62" t="str">
        <f>IFERROR(__xludf.DUMMYFUNCTION("""COMPUTED_VALUE"""),"ISABELLE CONCEIÇÃO DE LIMA")</f>
        <v>ISABELLE CONCEIÇÃO DE LIMA</v>
      </c>
      <c r="B53" s="62" t="str">
        <f>IFERROR(__xludf.DUMMYFUNCTION("""COMPUTED_VALUE"""),"CUIDADORA")</f>
        <v>CUIDADORA</v>
      </c>
      <c r="C53" s="62" t="str">
        <f>IFERROR(__xludf.DUMMYFUNCTION("""COMPUTED_VALUE"""),"094.035.694-50")</f>
        <v>094.035.694-50</v>
      </c>
      <c r="D53" s="62" t="str">
        <f>IFERROR(__xludf.DUMMYFUNCTION("""COMPUTED_VALUE"""),"81 98924-1346")</f>
        <v>81 98924-1346</v>
      </c>
      <c r="E53" s="62" t="str">
        <f>IFERROR(__xludf.DUMMYFUNCTION("""COMPUTED_VALUE"""),"RECIFE")</f>
        <v>RECIFE</v>
      </c>
      <c r="F53" s="62" t="str">
        <f>IFERROR(__xludf.DUMMYFUNCTION("""COMPUTED_VALUE"""),"COOPERADO ")</f>
        <v>COOPERADO </v>
      </c>
    </row>
    <row r="54">
      <c r="A54" s="62" t="str">
        <f>IFERROR(__xludf.DUMMYFUNCTION("""COMPUTED_VALUE"""),"ISABELLE S. NERY DE MELLO GOMES")</f>
        <v>ISABELLE S. NERY DE MELLO GOMES</v>
      </c>
      <c r="B54" s="62" t="str">
        <f>IFERROR(__xludf.DUMMYFUNCTION("""COMPUTED_VALUE"""),"TÉC. RADIOLOGIA")</f>
        <v>TÉC. RADIOLOGIA</v>
      </c>
      <c r="C54" s="62" t="str">
        <f>IFERROR(__xludf.DUMMYFUNCTION("""COMPUTED_VALUE"""),"104.023.984-67")</f>
        <v>104.023.984-67</v>
      </c>
      <c r="D54" s="62" t="str">
        <f>IFERROR(__xludf.DUMMYFUNCTION("""COMPUTED_VALUE"""),"81 98115-5067")</f>
        <v>81 98115-5067</v>
      </c>
      <c r="E54" s="62" t="str">
        <f>IFERROR(__xludf.DUMMYFUNCTION("""COMPUTED_VALUE"""),"RECIFE")</f>
        <v>RECIFE</v>
      </c>
      <c r="F54" s="62" t="str">
        <f>IFERROR(__xludf.DUMMYFUNCTION("""COMPUTED_VALUE"""),"COOPERADO ")</f>
        <v>COOPERADO </v>
      </c>
    </row>
    <row r="55">
      <c r="A55" s="62" t="str">
        <f>IFERROR(__xludf.DUMMYFUNCTION("""COMPUTED_VALUE"""),"Istallone luckeuw silva")</f>
        <v>Istallone luckeuw silva</v>
      </c>
      <c r="B55" s="62" t="str">
        <f>IFERROR(__xludf.DUMMYFUNCTION("""COMPUTED_VALUE"""),"MAQUEIRO")</f>
        <v>MAQUEIRO</v>
      </c>
      <c r="C55" s="62" t="str">
        <f>IFERROR(__xludf.DUMMYFUNCTION("""COMPUTED_VALUE"""),"059.209.354-99")</f>
        <v>059.209.354-99</v>
      </c>
      <c r="D55" s="62" t="str">
        <f>IFERROR(__xludf.DUMMYFUNCTION("""COMPUTED_VALUE"""),"81 98579-7155")</f>
        <v>81 98579-7155</v>
      </c>
      <c r="E55" s="62" t="str">
        <f>IFERROR(__xludf.DUMMYFUNCTION("""COMPUTED_VALUE"""),"RECIFE")</f>
        <v>RECIFE</v>
      </c>
      <c r="F55" s="62" t="str">
        <f>IFERROR(__xludf.DUMMYFUNCTION("""COMPUTED_VALUE"""),"COOPERADO ")</f>
        <v>COOPERADO </v>
      </c>
    </row>
    <row r="56">
      <c r="A56" s="62" t="str">
        <f>IFERROR(__xludf.DUMMYFUNCTION("""COMPUTED_VALUE"""),"Ivani Lopes da Silva")</f>
        <v>Ivani Lopes da Silva</v>
      </c>
      <c r="B56" s="62" t="str">
        <f>IFERROR(__xludf.DUMMYFUNCTION("""COMPUTED_VALUE"""),"TÉC. ENF.")</f>
        <v>TÉC. ENF.</v>
      </c>
      <c r="C56" s="62" t="str">
        <f>IFERROR(__xludf.DUMMYFUNCTION("""COMPUTED_VALUE"""),"433.318.234-49")</f>
        <v>433.318.234-49</v>
      </c>
      <c r="D56" s="62" t="str">
        <f>IFERROR(__xludf.DUMMYFUNCTION("""COMPUTED_VALUE"""),"81 99210-4204")</f>
        <v>81 99210-4204</v>
      </c>
      <c r="E56" s="62" t="str">
        <f>IFERROR(__xludf.DUMMYFUNCTION("""COMPUTED_VALUE"""),"RECIFE")</f>
        <v>RECIFE</v>
      </c>
      <c r="F56" s="62" t="str">
        <f>IFERROR(__xludf.DUMMYFUNCTION("""COMPUTED_VALUE"""),"COOPERADO ")</f>
        <v>COOPERADO </v>
      </c>
    </row>
    <row r="57">
      <c r="A57" s="62" t="str">
        <f>IFERROR(__xludf.DUMMYFUNCTION("""COMPUTED_VALUE"""),"JANAINA DE FREITAS PEREIRA")</f>
        <v>JANAINA DE FREITAS PEREIRA</v>
      </c>
      <c r="B57" s="62" t="str">
        <f>IFERROR(__xludf.DUMMYFUNCTION("""COMPUTED_VALUE"""),"CUIDADORA")</f>
        <v>CUIDADORA</v>
      </c>
      <c r="C57" s="62" t="str">
        <f>IFERROR(__xludf.DUMMYFUNCTION("""COMPUTED_VALUE"""),"046.520.414-70")</f>
        <v>046.520.414-70</v>
      </c>
      <c r="D57" s="62" t="str">
        <f>IFERROR(__xludf.DUMMYFUNCTION("""COMPUTED_VALUE"""),"81 98955-8742")</f>
        <v>81 98955-8742</v>
      </c>
      <c r="E57" s="62" t="str">
        <f>IFERROR(__xludf.DUMMYFUNCTION("""COMPUTED_VALUE"""),"RECIFE")</f>
        <v>RECIFE</v>
      </c>
      <c r="F57" s="62" t="str">
        <f>IFERROR(__xludf.DUMMYFUNCTION("""COMPUTED_VALUE"""),"COOPERADO ")</f>
        <v>COOPERADO </v>
      </c>
    </row>
    <row r="58">
      <c r="A58" s="62" t="str">
        <f>IFERROR(__xludf.DUMMYFUNCTION("""COMPUTED_VALUE"""),"JANEIDE FERREIRA DE MIRANDA")</f>
        <v>JANEIDE FERREIRA DE MIRANDA</v>
      </c>
      <c r="B58" s="62" t="str">
        <f>IFERROR(__xludf.DUMMYFUNCTION("""COMPUTED_VALUE"""),"TÉC. ENFERMAGEM")</f>
        <v>TÉC. ENFERMAGEM</v>
      </c>
      <c r="C58" s="62" t="str">
        <f>IFERROR(__xludf.DUMMYFUNCTION("""COMPUTED_VALUE"""),"025.621.334-80")</f>
        <v>025.621.334-80</v>
      </c>
      <c r="D58" s="62" t="str">
        <f>IFERROR(__xludf.DUMMYFUNCTION("""COMPUTED_VALUE"""),"81 98438-4920")</f>
        <v>81 98438-4920</v>
      </c>
      <c r="E58" s="62" t="str">
        <f>IFERROR(__xludf.DUMMYFUNCTION("""COMPUTED_VALUE"""),"RECIFE")</f>
        <v>RECIFE</v>
      </c>
      <c r="F58" s="62" t="str">
        <f>IFERROR(__xludf.DUMMYFUNCTION("""COMPUTED_VALUE"""),"COOPERADO ")</f>
        <v>COOPERADO </v>
      </c>
    </row>
    <row r="59">
      <c r="A59" s="62" t="str">
        <f>IFERROR(__xludf.DUMMYFUNCTION("""COMPUTED_VALUE"""),"Jedione Alice de Souza Sales")</f>
        <v>Jedione Alice de Souza Sales</v>
      </c>
      <c r="B59" s="62" t="str">
        <f>IFERROR(__xludf.DUMMYFUNCTION("""COMPUTED_VALUE"""),"TÉC. ENF.")</f>
        <v>TÉC. ENF.</v>
      </c>
      <c r="C59" s="62" t="str">
        <f>IFERROR(__xludf.DUMMYFUNCTION("""COMPUTED_VALUE"""),"101.390.294-78")</f>
        <v>101.390.294-78</v>
      </c>
      <c r="D59" s="62" t="str">
        <f>IFERROR(__xludf.DUMMYFUNCTION("""COMPUTED_VALUE"""),"81 98431-6509")</f>
        <v>81 98431-6509</v>
      </c>
      <c r="E59" s="62" t="str">
        <f>IFERROR(__xludf.DUMMYFUNCTION("""COMPUTED_VALUE"""),"RECIFE")</f>
        <v>RECIFE</v>
      </c>
      <c r="F59" s="62" t="str">
        <f>IFERROR(__xludf.DUMMYFUNCTION("""COMPUTED_VALUE"""),"COOPERADO ")</f>
        <v>COOPERADO </v>
      </c>
    </row>
    <row r="60">
      <c r="A60" s="62" t="str">
        <f>IFERROR(__xludf.DUMMYFUNCTION("""COMPUTED_VALUE"""),"Jefferson Diogo F. dos Santos")</f>
        <v>Jefferson Diogo F. dos Santos</v>
      </c>
      <c r="B60" s="62" t="str">
        <f>IFERROR(__xludf.DUMMYFUNCTION("""COMPUTED_VALUE"""),"TÉC. ENF.")</f>
        <v>TÉC. ENF.</v>
      </c>
      <c r="C60" s="62" t="str">
        <f>IFERROR(__xludf.DUMMYFUNCTION("""COMPUTED_VALUE"""),"107.153.174-31")</f>
        <v>107.153.174-31</v>
      </c>
      <c r="D60" s="62" t="str">
        <f>IFERROR(__xludf.DUMMYFUNCTION("""COMPUTED_VALUE"""),"81 98369-6666")</f>
        <v>81 98369-6666</v>
      </c>
      <c r="E60" s="62" t="str">
        <f>IFERROR(__xludf.DUMMYFUNCTION("""COMPUTED_VALUE"""),"RECIFE")</f>
        <v>RECIFE</v>
      </c>
      <c r="F60" s="62" t="str">
        <f>IFERROR(__xludf.DUMMYFUNCTION("""COMPUTED_VALUE"""),"COOPERADO ")</f>
        <v>COOPERADO </v>
      </c>
    </row>
    <row r="61">
      <c r="A61" s="62" t="str">
        <f>IFERROR(__xludf.DUMMYFUNCTION("""COMPUTED_VALUE"""),"JOÃO BEZERRA DOS SANTOS")</f>
        <v>JOÃO BEZERRA DOS SANTOS</v>
      </c>
      <c r="B61" s="62" t="str">
        <f>IFERROR(__xludf.DUMMYFUNCTION("""COMPUTED_VALUE"""),"TÉC. RADIOLOGIA")</f>
        <v>TÉC. RADIOLOGIA</v>
      </c>
      <c r="C61" s="62" t="str">
        <f>IFERROR(__xludf.DUMMYFUNCTION("""COMPUTED_VALUE"""),"781.569.554-04")</f>
        <v>781.569.554-04</v>
      </c>
      <c r="D61" s="62" t="str">
        <f>IFERROR(__xludf.DUMMYFUNCTION("""COMPUTED_VALUE"""),"81 99989-8732")</f>
        <v>81 99989-8732</v>
      </c>
      <c r="E61" s="62" t="str">
        <f>IFERROR(__xludf.DUMMYFUNCTION("""COMPUTED_VALUE"""),"RECIFE")</f>
        <v>RECIFE</v>
      </c>
      <c r="F61" s="62" t="str">
        <f>IFERROR(__xludf.DUMMYFUNCTION("""COMPUTED_VALUE"""),"COOPERADO ")</f>
        <v>COOPERADO </v>
      </c>
    </row>
    <row r="62">
      <c r="A62" s="62" t="str">
        <f>IFERROR(__xludf.DUMMYFUNCTION("""COMPUTED_VALUE"""),"JOCILENE TELMA BARROS DA GAMA ")</f>
        <v>JOCILENE TELMA BARROS DA GAMA </v>
      </c>
      <c r="B62" s="62" t="str">
        <f>IFERROR(__xludf.DUMMYFUNCTION("""COMPUTED_VALUE"""),"CUIDADORA")</f>
        <v>CUIDADORA</v>
      </c>
      <c r="C62" s="62" t="str">
        <f>IFERROR(__xludf.DUMMYFUNCTION("""COMPUTED_VALUE"""),"479.955.644-49")</f>
        <v>479.955.644-49</v>
      </c>
      <c r="D62" s="62" t="str">
        <f>IFERROR(__xludf.DUMMYFUNCTION("""COMPUTED_VALUE"""),"81 99110-3261")</f>
        <v>81 99110-3261</v>
      </c>
      <c r="E62" s="62" t="str">
        <f>IFERROR(__xludf.DUMMYFUNCTION("""COMPUTED_VALUE"""),"RECIFE")</f>
        <v>RECIFE</v>
      </c>
      <c r="F62" s="62" t="str">
        <f>IFERROR(__xludf.DUMMYFUNCTION("""COMPUTED_VALUE"""),"COOPERADO ")</f>
        <v>COOPERADO </v>
      </c>
    </row>
    <row r="63">
      <c r="A63" s="62" t="str">
        <f>IFERROR(__xludf.DUMMYFUNCTION("""COMPUTED_VALUE"""),"José George Ferreira de Albuquerque")</f>
        <v>José George Ferreira de Albuquerque</v>
      </c>
      <c r="B63" s="62" t="str">
        <f>IFERROR(__xludf.DUMMYFUNCTION("""COMPUTED_VALUE"""),"TÉC. ENF.")</f>
        <v>TÉC. ENF.</v>
      </c>
      <c r="C63" s="62" t="str">
        <f>IFERROR(__xludf.DUMMYFUNCTION("""COMPUTED_VALUE"""),"068.749.604-74")</f>
        <v>068.749.604-74</v>
      </c>
      <c r="D63" s="62" t="str">
        <f>IFERROR(__xludf.DUMMYFUNCTION("""COMPUTED_VALUE"""),"81 99735-4236")</f>
        <v>81 99735-4236</v>
      </c>
      <c r="E63" s="62" t="str">
        <f>IFERROR(__xludf.DUMMYFUNCTION("""COMPUTED_VALUE"""),"RECIFE")</f>
        <v>RECIFE</v>
      </c>
      <c r="F63" s="62" t="str">
        <f>IFERROR(__xludf.DUMMYFUNCTION("""COMPUTED_VALUE"""),"COOPERADO ")</f>
        <v>COOPERADO </v>
      </c>
    </row>
    <row r="64">
      <c r="A64" s="62" t="str">
        <f>IFERROR(__xludf.DUMMYFUNCTION("""COMPUTED_VALUE"""),"Jose Maria M da Silva")</f>
        <v>Jose Maria M da Silva</v>
      </c>
      <c r="B64" s="62" t="str">
        <f>IFERROR(__xludf.DUMMYFUNCTION("""COMPUTED_VALUE"""),"TÉC. ENF.")</f>
        <v>TÉC. ENF.</v>
      </c>
      <c r="C64" s="62" t="str">
        <f>IFERROR(__xludf.DUMMYFUNCTION("""COMPUTED_VALUE"""),"033.204.364-90")</f>
        <v>033.204.364-90</v>
      </c>
      <c r="D64" s="62" t="str">
        <f>IFERROR(__xludf.DUMMYFUNCTION("""COMPUTED_VALUE"""),"81 99253-9348")</f>
        <v>81 99253-9348</v>
      </c>
      <c r="E64" s="62" t="str">
        <f>IFERROR(__xludf.DUMMYFUNCTION("""COMPUTED_VALUE"""),"RECIFE")</f>
        <v>RECIFE</v>
      </c>
      <c r="F64" s="62" t="str">
        <f>IFERROR(__xludf.DUMMYFUNCTION("""COMPUTED_VALUE"""),"COOPERADO ")</f>
        <v>COOPERADO </v>
      </c>
    </row>
    <row r="65">
      <c r="A65" s="62" t="str">
        <f>IFERROR(__xludf.DUMMYFUNCTION("""COMPUTED_VALUE"""),"Joseane Marcia Loureço ")</f>
        <v>Joseane Marcia Loureço </v>
      </c>
      <c r="B65" s="62" t="str">
        <f>IFERROR(__xludf.DUMMYFUNCTION("""COMPUTED_VALUE"""),"TÉC. ENF.")</f>
        <v>TÉC. ENF.</v>
      </c>
      <c r="C65" s="62" t="str">
        <f>IFERROR(__xludf.DUMMYFUNCTION("""COMPUTED_VALUE"""),"072.530.634-30")</f>
        <v>072.530.634-30</v>
      </c>
      <c r="D65" s="62" t="str">
        <f>IFERROR(__xludf.DUMMYFUNCTION("""COMPUTED_VALUE"""),"81 99122-4571")</f>
        <v>81 99122-4571</v>
      </c>
      <c r="E65" s="62" t="str">
        <f>IFERROR(__xludf.DUMMYFUNCTION("""COMPUTED_VALUE"""),"RECIFE")</f>
        <v>RECIFE</v>
      </c>
      <c r="F65" s="62" t="str">
        <f>IFERROR(__xludf.DUMMYFUNCTION("""COMPUTED_VALUE"""),"COOPERADO ")</f>
        <v>COOPERADO </v>
      </c>
    </row>
    <row r="66">
      <c r="A66" s="62" t="str">
        <f>IFERROR(__xludf.DUMMYFUNCTION("""COMPUTED_VALUE"""),"JOSEFA JOSELMA DA CONCEIÇÃO DA SILVA")</f>
        <v>JOSEFA JOSELMA DA CONCEIÇÃO DA SILVA</v>
      </c>
      <c r="B66" s="62" t="str">
        <f>IFERROR(__xludf.DUMMYFUNCTION("""COMPUTED_VALUE"""),"CUIDADORA")</f>
        <v>CUIDADORA</v>
      </c>
      <c r="C66" s="62" t="str">
        <f>IFERROR(__xludf.DUMMYFUNCTION("""COMPUTED_VALUE"""),"321.812.638-09")</f>
        <v>321.812.638-09</v>
      </c>
      <c r="D66" s="62" t="str">
        <f>IFERROR(__xludf.DUMMYFUNCTION("""COMPUTED_VALUE""")," 81 99694-0857")</f>
        <v> 81 99694-0857</v>
      </c>
      <c r="E66" s="62" t="str">
        <f>IFERROR(__xludf.DUMMYFUNCTION("""COMPUTED_VALUE"""),"RECIFE")</f>
        <v>RECIFE</v>
      </c>
      <c r="F66" s="62" t="str">
        <f>IFERROR(__xludf.DUMMYFUNCTION("""COMPUTED_VALUE"""),"COOPERADO ")</f>
        <v>COOPERADO </v>
      </c>
    </row>
    <row r="67">
      <c r="A67" s="62" t="str">
        <f>IFERROR(__xludf.DUMMYFUNCTION("""COMPUTED_VALUE"""),"JOZINETE PEREIRA GUERRA DA SILVA")</f>
        <v>JOZINETE PEREIRA GUERRA DA SILVA</v>
      </c>
      <c r="B67" s="62" t="str">
        <f>IFERROR(__xludf.DUMMYFUNCTION("""COMPUTED_VALUE"""),"CUIDADORA")</f>
        <v>CUIDADORA</v>
      </c>
      <c r="C67" s="62" t="str">
        <f>IFERROR(__xludf.DUMMYFUNCTION("""COMPUTED_VALUE"""),"394.402.814-72")</f>
        <v>394.402.814-72</v>
      </c>
      <c r="D67" s="62" t="str">
        <f>IFERROR(__xludf.DUMMYFUNCTION("""COMPUTED_VALUE"""),"81 99924-0397")</f>
        <v>81 99924-0397</v>
      </c>
      <c r="E67" s="62" t="str">
        <f>IFERROR(__xludf.DUMMYFUNCTION("""COMPUTED_VALUE"""),"RECIFE")</f>
        <v>RECIFE</v>
      </c>
      <c r="F67" s="62" t="str">
        <f>IFERROR(__xludf.DUMMYFUNCTION("""COMPUTED_VALUE"""),"COOPERADO ")</f>
        <v>COOPERADO </v>
      </c>
    </row>
    <row r="68">
      <c r="A68" s="62" t="str">
        <f>IFERROR(__xludf.DUMMYFUNCTION("""COMPUTED_VALUE"""),"KARLLA SILENE GOMES DA SILVA")</f>
        <v>KARLLA SILENE GOMES DA SILVA</v>
      </c>
      <c r="B68" s="62" t="str">
        <f>IFERROR(__xludf.DUMMYFUNCTION("""COMPUTED_VALUE"""),"CUIDADORA")</f>
        <v>CUIDADORA</v>
      </c>
      <c r="C68" s="62" t="str">
        <f>IFERROR(__xludf.DUMMYFUNCTION("""COMPUTED_VALUE"""),"057.395.224-80")</f>
        <v>057.395.224-80</v>
      </c>
      <c r="D68" s="62" t="str">
        <f>IFERROR(__xludf.DUMMYFUNCTION("""COMPUTED_VALUE"""),"81 98682-4585")</f>
        <v>81 98682-4585</v>
      </c>
      <c r="E68" s="62" t="str">
        <f>IFERROR(__xludf.DUMMYFUNCTION("""COMPUTED_VALUE"""),"RECIFE")</f>
        <v>RECIFE</v>
      </c>
      <c r="F68" s="62" t="str">
        <f>IFERROR(__xludf.DUMMYFUNCTION("""COMPUTED_VALUE"""),"COOPERADO ")</f>
        <v>COOPERADO </v>
      </c>
    </row>
    <row r="69">
      <c r="A69" s="62" t="str">
        <f>IFERROR(__xludf.DUMMYFUNCTION("""COMPUTED_VALUE"""),"Ladjane Maria Francisca de Oliveira")</f>
        <v>Ladjane Maria Francisca de Oliveira</v>
      </c>
      <c r="B69" s="62" t="str">
        <f>IFERROR(__xludf.DUMMYFUNCTION("""COMPUTED_VALUE"""),"TÉC. ENF.")</f>
        <v>TÉC. ENF.</v>
      </c>
      <c r="C69" s="62" t="str">
        <f>IFERROR(__xludf.DUMMYFUNCTION("""COMPUTED_VALUE"""),"694.594.604-53")</f>
        <v>694.594.604-53</v>
      </c>
      <c r="D69" s="62" t="str">
        <f>IFERROR(__xludf.DUMMYFUNCTION("""COMPUTED_VALUE"""),"81 98534-5705")</f>
        <v>81 98534-5705</v>
      </c>
      <c r="E69" s="62" t="str">
        <f>IFERROR(__xludf.DUMMYFUNCTION("""COMPUTED_VALUE"""),"RECIFE")</f>
        <v>RECIFE</v>
      </c>
      <c r="F69" s="62" t="str">
        <f>IFERROR(__xludf.DUMMYFUNCTION("""COMPUTED_VALUE"""),"COOPERADO ")</f>
        <v>COOPERADO </v>
      </c>
    </row>
    <row r="70">
      <c r="A70" s="62" t="str">
        <f>IFERROR(__xludf.DUMMYFUNCTION("""COMPUTED_VALUE"""),"Larissa Rayana dos S Reis Batista")</f>
        <v>Larissa Rayana dos S Reis Batista</v>
      </c>
      <c r="B70" s="62" t="str">
        <f>IFERROR(__xludf.DUMMYFUNCTION("""COMPUTED_VALUE"""),"TÉC. ENF.")</f>
        <v>TÉC. ENF.</v>
      </c>
      <c r="C70" s="62" t="str">
        <f>IFERROR(__xludf.DUMMYFUNCTION("""COMPUTED_VALUE"""),"135.047.654-45")</f>
        <v>135.047.654-45</v>
      </c>
      <c r="D70" s="62" t="str">
        <f>IFERROR(__xludf.DUMMYFUNCTION("""COMPUTED_VALUE"""),"81 99724-7563")</f>
        <v>81 99724-7563</v>
      </c>
      <c r="E70" s="62" t="str">
        <f>IFERROR(__xludf.DUMMYFUNCTION("""COMPUTED_VALUE"""),"RECIFE")</f>
        <v>RECIFE</v>
      </c>
      <c r="F70" s="62" t="str">
        <f>IFERROR(__xludf.DUMMYFUNCTION("""COMPUTED_VALUE"""),"COOPERADO ")</f>
        <v>COOPERADO </v>
      </c>
    </row>
    <row r="71">
      <c r="A71" s="62" t="str">
        <f>IFERROR(__xludf.DUMMYFUNCTION("""COMPUTED_VALUE"""),"LÍGIA SAMATHA FERREIRA")</f>
        <v>LÍGIA SAMATHA FERREIRA</v>
      </c>
      <c r="B71" s="62" t="str">
        <f>IFERROR(__xludf.DUMMYFUNCTION("""COMPUTED_VALUE"""),"CUIDADORA")</f>
        <v>CUIDADORA</v>
      </c>
      <c r="C71" s="62" t="str">
        <f>IFERROR(__xludf.DUMMYFUNCTION("""COMPUTED_VALUE"""),"703.865.924-38")</f>
        <v>703.865.924-38</v>
      </c>
      <c r="D71" s="62" t="str">
        <f>IFERROR(__xludf.DUMMYFUNCTION("""COMPUTED_VALUE"""),"81 99338-9824")</f>
        <v>81 99338-9824</v>
      </c>
      <c r="E71" s="62" t="str">
        <f>IFERROR(__xludf.DUMMYFUNCTION("""COMPUTED_VALUE"""),"RECIFE")</f>
        <v>RECIFE</v>
      </c>
      <c r="F71" s="62" t="str">
        <f>IFERROR(__xludf.DUMMYFUNCTION("""COMPUTED_VALUE"""),"COOPERADO ")</f>
        <v>COOPERADO </v>
      </c>
    </row>
    <row r="72">
      <c r="A72" s="62" t="str">
        <f>IFERROR(__xludf.DUMMYFUNCTION("""COMPUTED_VALUE"""),"Liliane Batista da Silva")</f>
        <v>Liliane Batista da Silva</v>
      </c>
      <c r="B72" s="62" t="str">
        <f>IFERROR(__xludf.DUMMYFUNCTION("""COMPUTED_VALUE"""),"TÉC. ENF.")</f>
        <v>TÉC. ENF.</v>
      </c>
      <c r="C72" s="62" t="str">
        <f>IFERROR(__xludf.DUMMYFUNCTION("""COMPUTED_VALUE"""),"702.960.124-67")</f>
        <v>702.960.124-67</v>
      </c>
      <c r="D72" s="62" t="str">
        <f>IFERROR(__xludf.DUMMYFUNCTION("""COMPUTED_VALUE"""),"81 98675-9768")</f>
        <v>81 98675-9768</v>
      </c>
      <c r="E72" s="62" t="str">
        <f>IFERROR(__xludf.DUMMYFUNCTION("""COMPUTED_VALUE"""),"RECIFE")</f>
        <v>RECIFE</v>
      </c>
      <c r="F72" s="62" t="str">
        <f>IFERROR(__xludf.DUMMYFUNCTION("""COMPUTED_VALUE"""),"COOPERADO ")</f>
        <v>COOPERADO </v>
      </c>
    </row>
    <row r="73">
      <c r="A73" s="62" t="str">
        <f>IFERROR(__xludf.DUMMYFUNCTION("""COMPUTED_VALUE"""),"LINDIANE LOURENÇO")</f>
        <v>LINDIANE LOURENÇO</v>
      </c>
      <c r="B73" s="62" t="str">
        <f>IFERROR(__xludf.DUMMYFUNCTION("""COMPUTED_VALUE"""),"CUIDADORA")</f>
        <v>CUIDADORA</v>
      </c>
      <c r="C73" s="62" t="str">
        <f>IFERROR(__xludf.DUMMYFUNCTION("""COMPUTED_VALUE"""),"079.321.584-60")</f>
        <v>079.321.584-60</v>
      </c>
      <c r="D73" s="62" t="str">
        <f>IFERROR(__xludf.DUMMYFUNCTION("""COMPUTED_VALUE"""),"81 98948-2990")</f>
        <v>81 98948-2990</v>
      </c>
      <c r="E73" s="62" t="str">
        <f>IFERROR(__xludf.DUMMYFUNCTION("""COMPUTED_VALUE"""),"RECIFE")</f>
        <v>RECIFE</v>
      </c>
      <c r="F73" s="62" t="str">
        <f>IFERROR(__xludf.DUMMYFUNCTION("""COMPUTED_VALUE"""),"COOPERADO ")</f>
        <v>COOPERADO </v>
      </c>
    </row>
    <row r="74">
      <c r="A74" s="62" t="str">
        <f>IFERROR(__xludf.DUMMYFUNCTION("""COMPUTED_VALUE"""),"Luana Cordeiro da Silva")</f>
        <v>Luana Cordeiro da Silva</v>
      </c>
      <c r="B74" s="62" t="str">
        <f>IFERROR(__xludf.DUMMYFUNCTION("""COMPUTED_VALUE"""),"TÉC. ENF.")</f>
        <v>TÉC. ENF.</v>
      </c>
      <c r="C74" s="62" t="str">
        <f>IFERROR(__xludf.DUMMYFUNCTION("""COMPUTED_VALUE"""),"051.535.364-75")</f>
        <v>051.535.364-75</v>
      </c>
      <c r="D74" s="62" t="str">
        <f>IFERROR(__xludf.DUMMYFUNCTION("""COMPUTED_VALUE"""),"81 98119-2200")</f>
        <v>81 98119-2200</v>
      </c>
      <c r="E74" s="62" t="str">
        <f>IFERROR(__xludf.DUMMYFUNCTION("""COMPUTED_VALUE"""),"RECIFE")</f>
        <v>RECIFE</v>
      </c>
      <c r="F74" s="62" t="str">
        <f>IFERROR(__xludf.DUMMYFUNCTION("""COMPUTED_VALUE"""),"COOPERADO ")</f>
        <v>COOPERADO </v>
      </c>
    </row>
    <row r="75">
      <c r="A75" s="62" t="str">
        <f>IFERROR(__xludf.DUMMYFUNCTION("""COMPUTED_VALUE"""),"Luana Kayne de Assis Monteiro")</f>
        <v>Luana Kayne de Assis Monteiro</v>
      </c>
      <c r="B75" s="62" t="str">
        <f>IFERROR(__xludf.DUMMYFUNCTION("""COMPUTED_VALUE"""),"TÉC. ENF.")</f>
        <v>TÉC. ENF.</v>
      </c>
      <c r="C75" s="62" t="str">
        <f>IFERROR(__xludf.DUMMYFUNCTION("""COMPUTED_VALUE"""),"715.693.684-06")</f>
        <v>715.693.684-06</v>
      </c>
      <c r="D75" s="62" t="str">
        <f>IFERROR(__xludf.DUMMYFUNCTION("""COMPUTED_VALUE"""),"81 99338-4534")</f>
        <v>81 99338-4534</v>
      </c>
      <c r="E75" s="62" t="str">
        <f>IFERROR(__xludf.DUMMYFUNCTION("""COMPUTED_VALUE"""),"RECIFE")</f>
        <v>RECIFE</v>
      </c>
      <c r="F75" s="62" t="str">
        <f>IFERROR(__xludf.DUMMYFUNCTION("""COMPUTED_VALUE"""),"COOPERADO ")</f>
        <v>COOPERADO </v>
      </c>
    </row>
    <row r="76">
      <c r="A76" s="62" t="str">
        <f>IFERROR(__xludf.DUMMYFUNCTION("""COMPUTED_VALUE"""),"Lucicleide Maria da Silva")</f>
        <v>Lucicleide Maria da Silva</v>
      </c>
      <c r="B76" s="62" t="str">
        <f>IFERROR(__xludf.DUMMYFUNCTION("""COMPUTED_VALUE"""),"Enfermeiro(a)")</f>
        <v>Enfermeiro(a)</v>
      </c>
      <c r="C76" s="62" t="str">
        <f>IFERROR(__xludf.DUMMYFUNCTION("""COMPUTED_VALUE"""),"080.411.504-46")</f>
        <v>080.411.504-46</v>
      </c>
      <c r="D76" s="62" t="str">
        <f>IFERROR(__xludf.DUMMYFUNCTION("""COMPUTED_VALUE"""),"81 99208-4799")</f>
        <v>81 99208-4799</v>
      </c>
      <c r="E76" s="62" t="str">
        <f>IFERROR(__xludf.DUMMYFUNCTION("""COMPUTED_VALUE"""),"RECIFE")</f>
        <v>RECIFE</v>
      </c>
      <c r="F76" s="62" t="str">
        <f>IFERROR(__xludf.DUMMYFUNCTION("""COMPUTED_VALUE"""),"COOPERADO ")</f>
        <v>COOPERADO </v>
      </c>
    </row>
    <row r="77">
      <c r="A77" s="62" t="str">
        <f>IFERROR(__xludf.DUMMYFUNCTION("""COMPUTED_VALUE"""),"LUZIMAR MARIA DA SILVA")</f>
        <v>LUZIMAR MARIA DA SILVA</v>
      </c>
      <c r="B77" s="62" t="str">
        <f>IFERROR(__xludf.DUMMYFUNCTION("""COMPUTED_VALUE"""),"CUIDADORA")</f>
        <v>CUIDADORA</v>
      </c>
      <c r="C77" s="62" t="str">
        <f>IFERROR(__xludf.DUMMYFUNCTION("""COMPUTED_VALUE"""),"034.837.284-14")</f>
        <v>034.837.284-14</v>
      </c>
      <c r="D77" s="62" t="str">
        <f>IFERROR(__xludf.DUMMYFUNCTION("""COMPUTED_VALUE"""),"81 98923-4517")</f>
        <v>81 98923-4517</v>
      </c>
      <c r="E77" s="62" t="str">
        <f>IFERROR(__xludf.DUMMYFUNCTION("""COMPUTED_VALUE"""),"RECIFE")</f>
        <v>RECIFE</v>
      </c>
      <c r="F77" s="62" t="str">
        <f>IFERROR(__xludf.DUMMYFUNCTION("""COMPUTED_VALUE"""),"COOPERADO ")</f>
        <v>COOPERADO </v>
      </c>
    </row>
    <row r="78">
      <c r="A78" s="62" t="str">
        <f>IFERROR(__xludf.DUMMYFUNCTION("""COMPUTED_VALUE"""),"Manoel de Nóbrega G. da Silva")</f>
        <v>Manoel de Nóbrega G. da Silva</v>
      </c>
      <c r="B78" s="62" t="str">
        <f>IFERROR(__xludf.DUMMYFUNCTION("""COMPUTED_VALUE"""),"TÉC. ENF.")</f>
        <v>TÉC. ENF.</v>
      </c>
      <c r="C78" s="62" t="str">
        <f>IFERROR(__xludf.DUMMYFUNCTION("""COMPUTED_VALUE"""),"887.329.594-00")</f>
        <v>887.329.594-00</v>
      </c>
      <c r="D78" s="62" t="str">
        <f>IFERROR(__xludf.DUMMYFUNCTION("""COMPUTED_VALUE"""),"81 99178-9983")</f>
        <v>81 99178-9983</v>
      </c>
      <c r="E78" s="62" t="str">
        <f>IFERROR(__xludf.DUMMYFUNCTION("""COMPUTED_VALUE"""),"RECIFE")</f>
        <v>RECIFE</v>
      </c>
      <c r="F78" s="62" t="str">
        <f>IFERROR(__xludf.DUMMYFUNCTION("""COMPUTED_VALUE"""),"COOPERADO ")</f>
        <v>COOPERADO </v>
      </c>
    </row>
    <row r="79">
      <c r="A79" s="62" t="str">
        <f>IFERROR(__xludf.DUMMYFUNCTION("""COMPUTED_VALUE"""),"Marcela Fosenca da Silva")</f>
        <v>Marcela Fosenca da Silva</v>
      </c>
      <c r="B79" s="62" t="str">
        <f>IFERROR(__xludf.DUMMYFUNCTION("""COMPUTED_VALUE"""),"Enfermeiro(a)")</f>
        <v>Enfermeiro(a)</v>
      </c>
      <c r="C79" s="62" t="str">
        <f>IFERROR(__xludf.DUMMYFUNCTION("""COMPUTED_VALUE"""),"711.673.224-10")</f>
        <v>711.673.224-10</v>
      </c>
      <c r="D79" s="62" t="str">
        <f>IFERROR(__xludf.DUMMYFUNCTION("""COMPUTED_VALUE"""),"81 98794-2904")</f>
        <v>81 98794-2904</v>
      </c>
      <c r="E79" s="62" t="str">
        <f>IFERROR(__xludf.DUMMYFUNCTION("""COMPUTED_VALUE"""),"RECIFE")</f>
        <v>RECIFE</v>
      </c>
      <c r="F79" s="62" t="str">
        <f>IFERROR(__xludf.DUMMYFUNCTION("""COMPUTED_VALUE"""),"COOPERADO ")</f>
        <v>COOPERADO </v>
      </c>
    </row>
    <row r="80">
      <c r="A80" s="62" t="str">
        <f>IFERROR(__xludf.DUMMYFUNCTION("""COMPUTED_VALUE"""),"Maria Cristina Viegas Ferreira")</f>
        <v>Maria Cristina Viegas Ferreira</v>
      </c>
      <c r="B80" s="62" t="str">
        <f>IFERROR(__xludf.DUMMYFUNCTION("""COMPUTED_VALUE"""),"TÉC. ENF.")</f>
        <v>TÉC. ENF.</v>
      </c>
      <c r="C80" s="62" t="str">
        <f>IFERROR(__xludf.DUMMYFUNCTION("""COMPUTED_VALUE"""),"068.463.124-55")</f>
        <v>068.463.124-55</v>
      </c>
      <c r="D80" s="62" t="str">
        <f>IFERROR(__xludf.DUMMYFUNCTION("""COMPUTED_VALUE"""),"81 98813-8416")</f>
        <v>81 98813-8416</v>
      </c>
      <c r="E80" s="62" t="str">
        <f>IFERROR(__xludf.DUMMYFUNCTION("""COMPUTED_VALUE"""),"RECIFE")</f>
        <v>RECIFE</v>
      </c>
      <c r="F80" s="62" t="str">
        <f>IFERROR(__xludf.DUMMYFUNCTION("""COMPUTED_VALUE"""),"COOPERADO ")</f>
        <v>COOPERADO </v>
      </c>
    </row>
    <row r="81">
      <c r="A81" s="62" t="str">
        <f>IFERROR(__xludf.DUMMYFUNCTION("""COMPUTED_VALUE"""),"Maria da Conceição B. de Farias")</f>
        <v>Maria da Conceição B. de Farias</v>
      </c>
      <c r="B81" s="62" t="str">
        <f>IFERROR(__xludf.DUMMYFUNCTION("""COMPUTED_VALUE"""),"TÉC. ENF.")</f>
        <v>TÉC. ENF.</v>
      </c>
      <c r="C81" s="62" t="str">
        <f>IFERROR(__xludf.DUMMYFUNCTION("""COMPUTED_VALUE"""),"702.599.024-89")</f>
        <v>702.599.024-89</v>
      </c>
      <c r="D81" s="62" t="str">
        <f>IFERROR(__xludf.DUMMYFUNCTION("""COMPUTED_VALUE"""),"81 99291-3084")</f>
        <v>81 99291-3084</v>
      </c>
      <c r="E81" s="62" t="str">
        <f>IFERROR(__xludf.DUMMYFUNCTION("""COMPUTED_VALUE"""),"RECIFE")</f>
        <v>RECIFE</v>
      </c>
      <c r="F81" s="62" t="str">
        <f>IFERROR(__xludf.DUMMYFUNCTION("""COMPUTED_VALUE"""),"COOPERADO ")</f>
        <v>COOPERADO </v>
      </c>
    </row>
    <row r="82">
      <c r="A82" s="62" t="str">
        <f>IFERROR(__xludf.DUMMYFUNCTION("""COMPUTED_VALUE"""),"MARIA DE LOURDES VALCIRA ")</f>
        <v>MARIA DE LOURDES VALCIRA </v>
      </c>
      <c r="B82" s="62" t="str">
        <f>IFERROR(__xludf.DUMMYFUNCTION("""COMPUTED_VALUE"""),"CUIDADORA")</f>
        <v>CUIDADORA</v>
      </c>
      <c r="C82" s="62" t="str">
        <f>IFERROR(__xludf.DUMMYFUNCTION("""COMPUTED_VALUE"""),"028.857.824-47")</f>
        <v>028.857.824-47</v>
      </c>
      <c r="D82" s="62" t="str">
        <f>IFERROR(__xludf.DUMMYFUNCTION("""COMPUTED_VALUE"""),"81 99738-8321")</f>
        <v>81 99738-8321</v>
      </c>
      <c r="E82" s="62" t="str">
        <f>IFERROR(__xludf.DUMMYFUNCTION("""COMPUTED_VALUE"""),"RECIFE")</f>
        <v>RECIFE</v>
      </c>
      <c r="F82" s="62" t="str">
        <f>IFERROR(__xludf.DUMMYFUNCTION("""COMPUTED_VALUE"""),"COOPERADO ")</f>
        <v>COOPERADO </v>
      </c>
    </row>
    <row r="83">
      <c r="A83" s="62" t="str">
        <f>IFERROR(__xludf.DUMMYFUNCTION("""COMPUTED_VALUE"""),"Maria Genira dos Santos")</f>
        <v>Maria Genira dos Santos</v>
      </c>
      <c r="B83" s="62" t="str">
        <f>IFERROR(__xludf.DUMMYFUNCTION("""COMPUTED_VALUE"""),"TÉC. ENF.")</f>
        <v>TÉC. ENF.</v>
      </c>
      <c r="C83" s="62" t="str">
        <f>IFERROR(__xludf.DUMMYFUNCTION("""COMPUTED_VALUE"""),"081.221.867-18")</f>
        <v>081.221.867-18</v>
      </c>
      <c r="D83" s="62" t="str">
        <f>IFERROR(__xludf.DUMMYFUNCTION("""COMPUTED_VALUE"""),"81 98539-8123")</f>
        <v>81 98539-8123</v>
      </c>
      <c r="E83" s="62" t="str">
        <f>IFERROR(__xludf.DUMMYFUNCTION("""COMPUTED_VALUE"""),"RECIFE")</f>
        <v>RECIFE</v>
      </c>
      <c r="F83" s="62" t="str">
        <f>IFERROR(__xludf.DUMMYFUNCTION("""COMPUTED_VALUE"""),"COOPERADO ")</f>
        <v>COOPERADO </v>
      </c>
    </row>
    <row r="84">
      <c r="A84" s="62" t="str">
        <f>IFERROR(__xludf.DUMMYFUNCTION("""COMPUTED_VALUE"""),"MARIA ROSINEIDE DA SILVA")</f>
        <v>MARIA ROSINEIDE DA SILVA</v>
      </c>
      <c r="B84" s="62" t="str">
        <f>IFERROR(__xludf.DUMMYFUNCTION("""COMPUTED_VALUE"""),"CUIDADORA")</f>
        <v>CUIDADORA</v>
      </c>
      <c r="C84" s="62" t="str">
        <f>IFERROR(__xludf.DUMMYFUNCTION("""COMPUTED_VALUE"""),"117.617.164-09")</f>
        <v>117.617.164-09</v>
      </c>
      <c r="D84" s="62" t="str">
        <f>IFERROR(__xludf.DUMMYFUNCTION("""COMPUTED_VALUE"""),"81 99521-0761")</f>
        <v>81 99521-0761</v>
      </c>
      <c r="E84" s="62" t="str">
        <f>IFERROR(__xludf.DUMMYFUNCTION("""COMPUTED_VALUE"""),"RECIFE")</f>
        <v>RECIFE</v>
      </c>
      <c r="F84" s="62" t="str">
        <f>IFERROR(__xludf.DUMMYFUNCTION("""COMPUTED_VALUE"""),"COOPERADO ")</f>
        <v>COOPERADO </v>
      </c>
    </row>
    <row r="85">
      <c r="A85" s="62" t="str">
        <f>IFERROR(__xludf.DUMMYFUNCTION("""COMPUTED_VALUE"""),"Mariana Gabriel da Silva")</f>
        <v>Mariana Gabriel da Silva</v>
      </c>
      <c r="B85" s="62" t="str">
        <f>IFERROR(__xludf.DUMMYFUNCTION("""COMPUTED_VALUE"""),"TÉC. ENF.")</f>
        <v>TÉC. ENF.</v>
      </c>
      <c r="C85" s="62" t="str">
        <f>IFERROR(__xludf.DUMMYFUNCTION("""COMPUTED_VALUE"""),"014.100.844-00")</f>
        <v>014.100.844-00</v>
      </c>
      <c r="D85" s="62" t="str">
        <f>IFERROR(__xludf.DUMMYFUNCTION("""COMPUTED_VALUE"""),"81 99683-0242")</f>
        <v>81 99683-0242</v>
      </c>
      <c r="E85" s="62" t="str">
        <f>IFERROR(__xludf.DUMMYFUNCTION("""COMPUTED_VALUE"""),"RECIFE")</f>
        <v>RECIFE</v>
      </c>
      <c r="F85" s="62" t="str">
        <f>IFERROR(__xludf.DUMMYFUNCTION("""COMPUTED_VALUE"""),"COOPERADO ")</f>
        <v>COOPERADO </v>
      </c>
    </row>
    <row r="86">
      <c r="A86" s="62" t="str">
        <f>IFERROR(__xludf.DUMMYFUNCTION("""COMPUTED_VALUE"""),"MARIANE CAROLINE DE SANTANA")</f>
        <v>MARIANE CAROLINE DE SANTANA</v>
      </c>
      <c r="B86" s="62" t="str">
        <f>IFERROR(__xludf.DUMMYFUNCTION("""COMPUTED_VALUE"""),"CUIDADORA")</f>
        <v>CUIDADORA</v>
      </c>
      <c r="C86" s="62" t="str">
        <f>IFERROR(__xludf.DUMMYFUNCTION("""COMPUTED_VALUE"""),"324.712.488-88")</f>
        <v>324.712.488-88</v>
      </c>
      <c r="D86" s="62" t="str">
        <f>IFERROR(__xludf.DUMMYFUNCTION("""COMPUTED_VALUE"""),"81 99790-5434")</f>
        <v>81 99790-5434</v>
      </c>
      <c r="E86" s="62" t="str">
        <f>IFERROR(__xludf.DUMMYFUNCTION("""COMPUTED_VALUE"""),"RECIFE")</f>
        <v>RECIFE</v>
      </c>
      <c r="F86" s="62" t="str">
        <f>IFERROR(__xludf.DUMMYFUNCTION("""COMPUTED_VALUE"""),"COOPERADO ")</f>
        <v>COOPERADO </v>
      </c>
    </row>
    <row r="87">
      <c r="A87" s="62" t="str">
        <f>IFERROR(__xludf.DUMMYFUNCTION("""COMPUTED_VALUE"""),"MATHEUS DOMINGOS DE LIMA")</f>
        <v>MATHEUS DOMINGOS DE LIMA</v>
      </c>
      <c r="B87" s="62" t="str">
        <f>IFERROR(__xludf.DUMMYFUNCTION("""COMPUTED_VALUE"""),"TÉC. RADIOLOGIA")</f>
        <v>TÉC. RADIOLOGIA</v>
      </c>
      <c r="C87" s="62" t="str">
        <f>IFERROR(__xludf.DUMMYFUNCTION("""COMPUTED_VALUE"""),"143.984.594-80")</f>
        <v>143.984.594-80</v>
      </c>
      <c r="D87" s="62" t="str">
        <f>IFERROR(__xludf.DUMMYFUNCTION("""COMPUTED_VALUE"""),"81 99505-3283")</f>
        <v>81 99505-3283</v>
      </c>
      <c r="E87" s="62" t="str">
        <f>IFERROR(__xludf.DUMMYFUNCTION("""COMPUTED_VALUE"""),"RECIFE")</f>
        <v>RECIFE</v>
      </c>
      <c r="F87" s="62" t="str">
        <f>IFERROR(__xludf.DUMMYFUNCTION("""COMPUTED_VALUE"""),"COOPERADO ")</f>
        <v>COOPERADO </v>
      </c>
    </row>
    <row r="88">
      <c r="A88" s="62" t="str">
        <f>IFERROR(__xludf.DUMMYFUNCTION("""COMPUTED_VALUE"""),"Mayare Kamille da Silva Cavral")</f>
        <v>Mayare Kamille da Silva Cavral</v>
      </c>
      <c r="B88" s="62" t="str">
        <f>IFERROR(__xludf.DUMMYFUNCTION("""COMPUTED_VALUE"""),"TÉC. ENF.")</f>
        <v>TÉC. ENF.</v>
      </c>
      <c r="C88" s="62" t="str">
        <f>IFERROR(__xludf.DUMMYFUNCTION("""COMPUTED_VALUE"""),"103.229.854-55")</f>
        <v>103.229.854-55</v>
      </c>
      <c r="D88" s="62" t="str">
        <f>IFERROR(__xludf.DUMMYFUNCTION("""COMPUTED_VALUE"""),"87 99152-0071")</f>
        <v>87 99152-0071</v>
      </c>
      <c r="E88" s="62" t="str">
        <f>IFERROR(__xludf.DUMMYFUNCTION("""COMPUTED_VALUE"""),"RECIFE")</f>
        <v>RECIFE</v>
      </c>
      <c r="F88" s="62" t="str">
        <f>IFERROR(__xludf.DUMMYFUNCTION("""COMPUTED_VALUE"""),"COOPERADO ")</f>
        <v>COOPERADO </v>
      </c>
    </row>
    <row r="89">
      <c r="A89" s="62" t="str">
        <f>IFERROR(__xludf.DUMMYFUNCTION("""COMPUTED_VALUE"""),"Mércia Maria Lima de Araujo")</f>
        <v>Mércia Maria Lima de Araujo</v>
      </c>
      <c r="B89" s="62" t="str">
        <f>IFERROR(__xludf.DUMMYFUNCTION("""COMPUTED_VALUE"""),"TÉC. ENF.")</f>
        <v>TÉC. ENF.</v>
      </c>
      <c r="C89" s="62" t="str">
        <f>IFERROR(__xludf.DUMMYFUNCTION("""COMPUTED_VALUE"""),"611.758.384-20")</f>
        <v>611.758.384-20</v>
      </c>
      <c r="D89" s="62" t="str">
        <f>IFERROR(__xludf.DUMMYFUNCTION("""COMPUTED_VALUE"""),"81 98677-6963")</f>
        <v>81 98677-6963</v>
      </c>
      <c r="E89" s="62" t="str">
        <f>IFERROR(__xludf.DUMMYFUNCTION("""COMPUTED_VALUE"""),"RECIFE")</f>
        <v>RECIFE</v>
      </c>
      <c r="F89" s="62" t="str">
        <f>IFERROR(__xludf.DUMMYFUNCTION("""COMPUTED_VALUE"""),"COOPERADO ")</f>
        <v>COOPERADO </v>
      </c>
    </row>
    <row r="90">
      <c r="A90" s="62" t="str">
        <f>IFERROR(__xludf.DUMMYFUNCTION("""COMPUTED_VALUE"""),"MICAELA CORREIA RODRIGUES")</f>
        <v>MICAELA CORREIA RODRIGUES</v>
      </c>
      <c r="B90" s="62" t="str">
        <f>IFERROR(__xludf.DUMMYFUNCTION("""COMPUTED_VALUE"""),"CUIDADORA")</f>
        <v>CUIDADORA</v>
      </c>
      <c r="C90" s="62" t="str">
        <f>IFERROR(__xludf.DUMMYFUNCTION("""COMPUTED_VALUE"""),"079.321.534-09")</f>
        <v>079.321.534-09</v>
      </c>
      <c r="D90" s="62" t="str">
        <f>IFERROR(__xludf.DUMMYFUNCTION("""COMPUTED_VALUE"""),"81 99449-6495")</f>
        <v>81 99449-6495</v>
      </c>
      <c r="E90" s="62" t="str">
        <f>IFERROR(__xludf.DUMMYFUNCTION("""COMPUTED_VALUE"""),"RECIFE")</f>
        <v>RECIFE</v>
      </c>
      <c r="F90" s="62" t="str">
        <f>IFERROR(__xludf.DUMMYFUNCTION("""COMPUTED_VALUE"""),"COOPERADO ")</f>
        <v>COOPERADO </v>
      </c>
    </row>
    <row r="91">
      <c r="A91" s="62" t="str">
        <f>IFERROR(__xludf.DUMMYFUNCTION("""COMPUTED_VALUE"""),"MICHELE GOMES DA SILVA")</f>
        <v>MICHELE GOMES DA SILVA</v>
      </c>
      <c r="B91" s="62" t="str">
        <f>IFERROR(__xludf.DUMMYFUNCTION("""COMPUTED_VALUE"""),"CUIDADORA")</f>
        <v>CUIDADORA</v>
      </c>
      <c r="C91" s="62" t="str">
        <f>IFERROR(__xludf.DUMMYFUNCTION("""COMPUTED_VALUE"""),"113.132.604-01")</f>
        <v>113.132.604-01</v>
      </c>
      <c r="D91" s="62" t="str">
        <f>IFERROR(__xludf.DUMMYFUNCTION("""COMPUTED_VALUE"""),"81 99711-2204")</f>
        <v>81 99711-2204</v>
      </c>
      <c r="E91" s="62" t="str">
        <f>IFERROR(__xludf.DUMMYFUNCTION("""COMPUTED_VALUE"""),"RECIFE")</f>
        <v>RECIFE</v>
      </c>
      <c r="F91" s="62" t="str">
        <f>IFERROR(__xludf.DUMMYFUNCTION("""COMPUTED_VALUE"""),"COOPERADO ")</f>
        <v>COOPERADO </v>
      </c>
    </row>
    <row r="92">
      <c r="A92" s="62" t="str">
        <f>IFERROR(__xludf.DUMMYFUNCTION("""COMPUTED_VALUE"""),"Mikaele Helena de Santana")</f>
        <v>Mikaele Helena de Santana</v>
      </c>
      <c r="B92" s="62" t="str">
        <f>IFERROR(__xludf.DUMMYFUNCTION("""COMPUTED_VALUE"""),"TÉC. ENF.")</f>
        <v>TÉC. ENF.</v>
      </c>
      <c r="C92" s="62" t="str">
        <f>IFERROR(__xludf.DUMMYFUNCTION("""COMPUTED_VALUE"""),"702.610.434-98")</f>
        <v>702.610.434-98</v>
      </c>
      <c r="D92" s="62" t="str">
        <f>IFERROR(__xludf.DUMMYFUNCTION("""COMPUTED_VALUE""")," 81 99772-6106")</f>
        <v> 81 99772-6106</v>
      </c>
      <c r="E92" s="62" t="str">
        <f>IFERROR(__xludf.DUMMYFUNCTION("""COMPUTED_VALUE"""),"RECIFE")</f>
        <v>RECIFE</v>
      </c>
      <c r="F92" s="62" t="str">
        <f>IFERROR(__xludf.DUMMYFUNCTION("""COMPUTED_VALUE"""),"COOPERADO ")</f>
        <v>COOPERADO </v>
      </c>
    </row>
    <row r="93">
      <c r="A93" s="62" t="str">
        <f>IFERROR(__xludf.DUMMYFUNCTION("""COMPUTED_VALUE"""),"Mikaellen Thuany")</f>
        <v>Mikaellen Thuany</v>
      </c>
      <c r="B93" s="62" t="str">
        <f>IFERROR(__xludf.DUMMYFUNCTION("""COMPUTED_VALUE"""),"Enfermeiro(a)")</f>
        <v>Enfermeiro(a)</v>
      </c>
      <c r="C93" s="62" t="str">
        <f>IFERROR(__xludf.DUMMYFUNCTION("""COMPUTED_VALUE"""),"704.184.234-74")</f>
        <v>704.184.234-74</v>
      </c>
      <c r="D93" s="62" t="str">
        <f>IFERROR(__xludf.DUMMYFUNCTION("""COMPUTED_VALUE""")," 81 99396-8150")</f>
        <v> 81 99396-8150</v>
      </c>
      <c r="E93" s="62" t="str">
        <f>IFERROR(__xludf.DUMMYFUNCTION("""COMPUTED_VALUE"""),"RECIFE")</f>
        <v>RECIFE</v>
      </c>
      <c r="F93" s="62" t="str">
        <f>IFERROR(__xludf.DUMMYFUNCTION("""COMPUTED_VALUE"""),"COOPERADO ")</f>
        <v>COOPERADO </v>
      </c>
    </row>
    <row r="94">
      <c r="A94" s="62" t="str">
        <f>IFERROR(__xludf.DUMMYFUNCTION("""COMPUTED_VALUE"""),"Mirian Aparecida dos Santos")</f>
        <v>Mirian Aparecida dos Santos</v>
      </c>
      <c r="B94" s="62" t="str">
        <f>IFERROR(__xludf.DUMMYFUNCTION("""COMPUTED_VALUE"""),"TÉC. ENF.")</f>
        <v>TÉC. ENF.</v>
      </c>
      <c r="C94" s="62" t="str">
        <f>IFERROR(__xludf.DUMMYFUNCTION("""COMPUTED_VALUE"""),"143.110.774-32")</f>
        <v>143.110.774-32</v>
      </c>
      <c r="D94" s="62" t="str">
        <f>IFERROR(__xludf.DUMMYFUNCTION("""COMPUTED_VALUE"""),"81 98851-5306")</f>
        <v>81 98851-5306</v>
      </c>
      <c r="E94" s="62" t="str">
        <f>IFERROR(__xludf.DUMMYFUNCTION("""COMPUTED_VALUE"""),"RECIFE")</f>
        <v>RECIFE</v>
      </c>
      <c r="F94" s="62" t="str">
        <f>IFERROR(__xludf.DUMMYFUNCTION("""COMPUTED_VALUE"""),"COOPERADO ")</f>
        <v>COOPERADO </v>
      </c>
    </row>
    <row r="95">
      <c r="A95" s="62" t="str">
        <f>IFERROR(__xludf.DUMMYFUNCTION("""COMPUTED_VALUE"""),"MIRIAN MARIA DOS SANTOS")</f>
        <v>MIRIAN MARIA DOS SANTOS</v>
      </c>
      <c r="B95" s="62" t="str">
        <f>IFERROR(__xludf.DUMMYFUNCTION("""COMPUTED_VALUE"""),"CUIDADORA")</f>
        <v>CUIDADORA</v>
      </c>
      <c r="C95" s="62" t="str">
        <f>IFERROR(__xludf.DUMMYFUNCTION("""COMPUTED_VALUE"""),"763.771.564-72")</f>
        <v>763.771.564-72</v>
      </c>
      <c r="D95" s="62" t="str">
        <f>IFERROR(__xludf.DUMMYFUNCTION("""COMPUTED_VALUE"""),"81 99690-2695")</f>
        <v>81 99690-2695</v>
      </c>
      <c r="E95" s="62" t="str">
        <f>IFERROR(__xludf.DUMMYFUNCTION("""COMPUTED_VALUE"""),"RECIFE")</f>
        <v>RECIFE</v>
      </c>
      <c r="F95" s="62" t="str">
        <f>IFERROR(__xludf.DUMMYFUNCTION("""COMPUTED_VALUE"""),"COOPERADO ")</f>
        <v>COOPERADO </v>
      </c>
    </row>
    <row r="96">
      <c r="A96" s="62" t="str">
        <f>IFERROR(__xludf.DUMMYFUNCTION("""COMPUTED_VALUE"""),"MONICA ANDREA DA SILVA")</f>
        <v>MONICA ANDREA DA SILVA</v>
      </c>
      <c r="B96" s="62" t="str">
        <f>IFERROR(__xludf.DUMMYFUNCTION("""COMPUTED_VALUE"""),"CUIDADORA")</f>
        <v>CUIDADORA</v>
      </c>
      <c r="C96" s="62" t="str">
        <f>IFERROR(__xludf.DUMMYFUNCTION("""COMPUTED_VALUE"""),"834.961.064-68")</f>
        <v>834.961.064-68</v>
      </c>
      <c r="D96" s="62" t="str">
        <f>IFERROR(__xludf.DUMMYFUNCTION("""COMPUTED_VALUE"""),"81 99259-3765")</f>
        <v>81 99259-3765</v>
      </c>
      <c r="E96" s="62" t="str">
        <f>IFERROR(__xludf.DUMMYFUNCTION("""COMPUTED_VALUE"""),"RECIFE")</f>
        <v>RECIFE</v>
      </c>
      <c r="F96" s="62" t="str">
        <f>IFERROR(__xludf.DUMMYFUNCTION("""COMPUTED_VALUE"""),"COOPERADO ")</f>
        <v>COOPERADO </v>
      </c>
    </row>
    <row r="97">
      <c r="A97" s="62" t="str">
        <f>IFERROR(__xludf.DUMMYFUNCTION("""COMPUTED_VALUE"""),"MÔNICA DE SÁ DA SILVA")</f>
        <v>MÔNICA DE SÁ DA SILVA</v>
      </c>
      <c r="B97" s="62" t="str">
        <f>IFERROR(__xludf.DUMMYFUNCTION("""COMPUTED_VALUE"""),"CUIDADORA")</f>
        <v>CUIDADORA</v>
      </c>
      <c r="C97" s="62" t="str">
        <f>IFERROR(__xludf.DUMMYFUNCTION("""COMPUTED_VALUE"""),"068.623.114-76")</f>
        <v>068.623.114-76</v>
      </c>
      <c r="D97" s="62" t="str">
        <f>IFERROR(__xludf.DUMMYFUNCTION("""COMPUTED_VALUE"""),"81 99745-3212")</f>
        <v>81 99745-3212</v>
      </c>
      <c r="E97" s="62" t="str">
        <f>IFERROR(__xludf.DUMMYFUNCTION("""COMPUTED_VALUE"""),"RECIFE")</f>
        <v>RECIFE</v>
      </c>
      <c r="F97" s="62" t="str">
        <f>IFERROR(__xludf.DUMMYFUNCTION("""COMPUTED_VALUE"""),"COOPERADO ")</f>
        <v>COOPERADO </v>
      </c>
    </row>
    <row r="98">
      <c r="A98" s="62" t="str">
        <f>IFERROR(__xludf.DUMMYFUNCTION("""COMPUTED_VALUE"""),"Monique Maria da Silva")</f>
        <v>Monique Maria da Silva</v>
      </c>
      <c r="B98" s="62" t="str">
        <f>IFERROR(__xludf.DUMMYFUNCTION("""COMPUTED_VALUE"""),"TÉC. ENF.")</f>
        <v>TÉC. ENF.</v>
      </c>
      <c r="C98" s="62" t="str">
        <f>IFERROR(__xludf.DUMMYFUNCTION("""COMPUTED_VALUE"""),"103.965.064-37")</f>
        <v>103.965.064-37</v>
      </c>
      <c r="D98" s="62" t="str">
        <f>IFERROR(__xludf.DUMMYFUNCTION("""COMPUTED_VALUE"""),"81 99864-6348")</f>
        <v>81 99864-6348</v>
      </c>
      <c r="E98" s="62" t="str">
        <f>IFERROR(__xludf.DUMMYFUNCTION("""COMPUTED_VALUE"""),"RECIFE")</f>
        <v>RECIFE</v>
      </c>
      <c r="F98" s="62" t="str">
        <f>IFERROR(__xludf.DUMMYFUNCTION("""COMPUTED_VALUE"""),"COOPERADO ")</f>
        <v>COOPERADO </v>
      </c>
    </row>
    <row r="99">
      <c r="A99" s="62" t="str">
        <f>IFERROR(__xludf.DUMMYFUNCTION("""COMPUTED_VALUE"""),"MYLLENNE RAYANNE SILVA")</f>
        <v>MYLLENNE RAYANNE SILVA</v>
      </c>
      <c r="B99" s="62" t="str">
        <f>IFERROR(__xludf.DUMMYFUNCTION("""COMPUTED_VALUE"""),"CUIDADORA")</f>
        <v>CUIDADORA</v>
      </c>
      <c r="C99" s="62" t="str">
        <f>IFERROR(__xludf.DUMMYFUNCTION("""COMPUTED_VALUE"""),"104.187.454-55")</f>
        <v>104.187.454-55</v>
      </c>
      <c r="D99" s="62" t="str">
        <f>IFERROR(__xludf.DUMMYFUNCTION("""COMPUTED_VALUE"""),"87 98102-4610")</f>
        <v>87 98102-4610</v>
      </c>
      <c r="E99" s="62" t="str">
        <f>IFERROR(__xludf.DUMMYFUNCTION("""COMPUTED_VALUE"""),"RECIFE")</f>
        <v>RECIFE</v>
      </c>
      <c r="F99" s="62" t="str">
        <f>IFERROR(__xludf.DUMMYFUNCTION("""COMPUTED_VALUE"""),"COOPERADO ")</f>
        <v>COOPERADO </v>
      </c>
    </row>
    <row r="100">
      <c r="A100" s="62" t="str">
        <f>IFERROR(__xludf.DUMMYFUNCTION("""COMPUTED_VALUE"""),"NATÁLIA ANGELINA DOS SANTOS ")</f>
        <v>NATÁLIA ANGELINA DOS SANTOS </v>
      </c>
      <c r="B100" s="62" t="str">
        <f>IFERROR(__xludf.DUMMYFUNCTION("""COMPUTED_VALUE"""),"CUIDADORA")</f>
        <v>CUIDADORA</v>
      </c>
      <c r="C100" s="62" t="str">
        <f>IFERROR(__xludf.DUMMYFUNCTION("""COMPUTED_VALUE"""),"939.102.235-91")</f>
        <v>939.102.235-91</v>
      </c>
      <c r="D100" s="62" t="str">
        <f>IFERROR(__xludf.DUMMYFUNCTION("""COMPUTED_VALUE"""),"81 99521-8948")</f>
        <v>81 99521-8948</v>
      </c>
      <c r="E100" s="62" t="str">
        <f>IFERROR(__xludf.DUMMYFUNCTION("""COMPUTED_VALUE"""),"RECIFE")</f>
        <v>RECIFE</v>
      </c>
      <c r="F100" s="62" t="str">
        <f>IFERROR(__xludf.DUMMYFUNCTION("""COMPUTED_VALUE"""),"COOPERADO ")</f>
        <v>COOPERADO </v>
      </c>
    </row>
    <row r="101">
      <c r="A101" s="62" t="str">
        <f>IFERROR(__xludf.DUMMYFUNCTION("""COMPUTED_VALUE"""),"Nitichely M. V. de Cardoso")</f>
        <v>Nitichely M. V. de Cardoso</v>
      </c>
      <c r="B101" s="62" t="str">
        <f>IFERROR(__xludf.DUMMYFUNCTION("""COMPUTED_VALUE"""),"TÉC. ENF.")</f>
        <v>TÉC. ENF.</v>
      </c>
      <c r="C101" s="62" t="str">
        <f>IFERROR(__xludf.DUMMYFUNCTION("""COMPUTED_VALUE"""),"090.631.954-43")</f>
        <v>090.631.954-43</v>
      </c>
      <c r="D101" s="62" t="str">
        <f>IFERROR(__xludf.DUMMYFUNCTION("""COMPUTED_VALUE"""),"81 98534-0221")</f>
        <v>81 98534-0221</v>
      </c>
      <c r="E101" s="62" t="str">
        <f>IFERROR(__xludf.DUMMYFUNCTION("""COMPUTED_VALUE"""),"RECIFE")</f>
        <v>RECIFE</v>
      </c>
      <c r="F101" s="62" t="str">
        <f>IFERROR(__xludf.DUMMYFUNCTION("""COMPUTED_VALUE"""),"COOPERADO ")</f>
        <v>COOPERADO </v>
      </c>
    </row>
    <row r="102">
      <c r="A102" s="62" t="str">
        <f>IFERROR(__xludf.DUMMYFUNCTION("""COMPUTED_VALUE"""),"Nitichely Montarroyos Valença de Carvalho ")</f>
        <v>Nitichely Montarroyos Valença de Carvalho </v>
      </c>
      <c r="B102" s="62" t="str">
        <f>IFERROR(__xludf.DUMMYFUNCTION("""COMPUTED_VALUE"""),"TÉC. ENF.")</f>
        <v>TÉC. ENF.</v>
      </c>
      <c r="C102" s="62" t="str">
        <f>IFERROR(__xludf.DUMMYFUNCTION("""COMPUTED_VALUE"""),"090.631.954-43")</f>
        <v>090.631.954-43</v>
      </c>
      <c r="D102" s="62" t="str">
        <f>IFERROR(__xludf.DUMMYFUNCTION("""COMPUTED_VALUE"""),"81 98534-0221")</f>
        <v>81 98534-0221</v>
      </c>
      <c r="E102" s="62" t="str">
        <f>IFERROR(__xludf.DUMMYFUNCTION("""COMPUTED_VALUE"""),"RECIFE")</f>
        <v>RECIFE</v>
      </c>
      <c r="F102" s="62" t="str">
        <f>IFERROR(__xludf.DUMMYFUNCTION("""COMPUTED_VALUE"""),"COOPERADO ")</f>
        <v>COOPERADO </v>
      </c>
    </row>
    <row r="103">
      <c r="A103" s="62" t="str">
        <f>IFERROR(__xludf.DUMMYFUNCTION("""COMPUTED_VALUE"""),"PATRÍCIA JOSEFA DA SILVA")</f>
        <v>PATRÍCIA JOSEFA DA SILVA</v>
      </c>
      <c r="B103" s="62" t="str">
        <f>IFERROR(__xludf.DUMMYFUNCTION("""COMPUTED_VALUE"""),"CUIDADORA")</f>
        <v>CUIDADORA</v>
      </c>
      <c r="C103" s="62" t="str">
        <f>IFERROR(__xludf.DUMMYFUNCTION("""COMPUTED_VALUE"""),"080.857.474-48")</f>
        <v>080.857.474-48</v>
      </c>
      <c r="D103" s="62" t="str">
        <f>IFERROR(__xludf.DUMMYFUNCTION("""COMPUTED_VALUE"""),"81 99410-8915")</f>
        <v>81 99410-8915</v>
      </c>
      <c r="E103" s="62" t="str">
        <f>IFERROR(__xludf.DUMMYFUNCTION("""COMPUTED_VALUE"""),"RECIFE")</f>
        <v>RECIFE</v>
      </c>
      <c r="F103" s="62" t="str">
        <f>IFERROR(__xludf.DUMMYFUNCTION("""COMPUTED_VALUE"""),"COOPERADO ")</f>
        <v>COOPERADO </v>
      </c>
    </row>
    <row r="104">
      <c r="A104" s="62" t="str">
        <f>IFERROR(__xludf.DUMMYFUNCTION("""COMPUTED_VALUE"""),"PATRICIA MARIA ")</f>
        <v>PATRICIA MARIA </v>
      </c>
      <c r="B104" s="62" t="str">
        <f>IFERROR(__xludf.DUMMYFUNCTION("""COMPUTED_VALUE"""),"CUIDADORA")</f>
        <v>CUIDADORA</v>
      </c>
      <c r="C104" s="62" t="str">
        <f>IFERROR(__xludf.DUMMYFUNCTION("""COMPUTED_VALUE"""),"051.040.144-95")</f>
        <v>051.040.144-95</v>
      </c>
      <c r="D104" s="62" t="str">
        <f>IFERROR(__xludf.DUMMYFUNCTION("""COMPUTED_VALUE"""),"81 98607-0226")</f>
        <v>81 98607-0226</v>
      </c>
      <c r="E104" s="62" t="str">
        <f>IFERROR(__xludf.DUMMYFUNCTION("""COMPUTED_VALUE"""),"RECIFE")</f>
        <v>RECIFE</v>
      </c>
      <c r="F104" s="62" t="str">
        <f>IFERROR(__xludf.DUMMYFUNCTION("""COMPUTED_VALUE"""),"COOPERADO ")</f>
        <v>COOPERADO </v>
      </c>
    </row>
    <row r="105">
      <c r="A105" s="62" t="str">
        <f>IFERROR(__xludf.DUMMYFUNCTION("""COMPUTED_VALUE"""),"Priscila Ferreira Mendes Matias")</f>
        <v>Priscila Ferreira Mendes Matias</v>
      </c>
      <c r="B105" s="62" t="str">
        <f>IFERROR(__xludf.DUMMYFUNCTION("""COMPUTED_VALUE"""),"TÉC. ENF.")</f>
        <v>TÉC. ENF.</v>
      </c>
      <c r="C105" s="62" t="str">
        <f>IFERROR(__xludf.DUMMYFUNCTION("""COMPUTED_VALUE"""),"091.836.904-50")</f>
        <v>091.836.904-50</v>
      </c>
      <c r="D105" s="62" t="str">
        <f>IFERROR(__xludf.DUMMYFUNCTION("""COMPUTED_VALUE"""),"81 98602-7954")</f>
        <v>81 98602-7954</v>
      </c>
      <c r="E105" s="62" t="str">
        <f>IFERROR(__xludf.DUMMYFUNCTION("""COMPUTED_VALUE"""),"RECIFE")</f>
        <v>RECIFE</v>
      </c>
      <c r="F105" s="62" t="str">
        <f>IFERROR(__xludf.DUMMYFUNCTION("""COMPUTED_VALUE"""),"COOPERADO ")</f>
        <v>COOPERADO </v>
      </c>
    </row>
    <row r="106">
      <c r="A106" s="62" t="str">
        <f>IFERROR(__xludf.DUMMYFUNCTION("""COMPUTED_VALUE"""),"Priscilla de Souza Santos Silva")</f>
        <v>Priscilla de Souza Santos Silva</v>
      </c>
      <c r="B106" s="62" t="str">
        <f>IFERROR(__xludf.DUMMYFUNCTION("""COMPUTED_VALUE"""),"Téc. Enf.")</f>
        <v>Téc. Enf.</v>
      </c>
      <c r="C106" s="62" t="str">
        <f>IFERROR(__xludf.DUMMYFUNCTION("""COMPUTED_VALUE"""),"714.273.294-60")</f>
        <v>714.273.294-60</v>
      </c>
      <c r="D106" s="62" t="str">
        <f>IFERROR(__xludf.DUMMYFUNCTION("""COMPUTED_VALUE"""),"81 99189-4995")</f>
        <v>81 99189-4995</v>
      </c>
      <c r="E106" s="62" t="str">
        <f>IFERROR(__xludf.DUMMYFUNCTION("""COMPUTED_VALUE"""),"RECIFE")</f>
        <v>RECIFE</v>
      </c>
      <c r="F106" s="62" t="str">
        <f>IFERROR(__xludf.DUMMYFUNCTION("""COMPUTED_VALUE"""),"COOPERADO ")</f>
        <v>COOPERADO </v>
      </c>
    </row>
    <row r="107">
      <c r="A107" s="62" t="str">
        <f>IFERROR(__xludf.DUMMYFUNCTION("""COMPUTED_VALUE"""),"Rafaela Lúcia Santos da Silva")</f>
        <v>Rafaela Lúcia Santos da Silva</v>
      </c>
      <c r="B107" s="62" t="str">
        <f>IFERROR(__xludf.DUMMYFUNCTION("""COMPUTED_VALUE"""),"Enfermeiro(a)")</f>
        <v>Enfermeiro(a)</v>
      </c>
      <c r="C107" s="62" t="str">
        <f>IFERROR(__xludf.DUMMYFUNCTION("""COMPUTED_VALUE"""),"711.810.564-38")</f>
        <v>711.810.564-38</v>
      </c>
      <c r="D107" s="62" t="str">
        <f>IFERROR(__xludf.DUMMYFUNCTION("""COMPUTED_VALUE"""),"81 98358-1491")</f>
        <v>81 98358-1491</v>
      </c>
      <c r="E107" s="62" t="str">
        <f>IFERROR(__xludf.DUMMYFUNCTION("""COMPUTED_VALUE"""),"RECIFE")</f>
        <v>RECIFE</v>
      </c>
      <c r="F107" s="62" t="str">
        <f>IFERROR(__xludf.DUMMYFUNCTION("""COMPUTED_VALUE"""),"COOPERADO ")</f>
        <v>COOPERADO </v>
      </c>
    </row>
    <row r="108">
      <c r="A108" s="62" t="str">
        <f>IFERROR(__xludf.DUMMYFUNCTION("""COMPUTED_VALUE"""),"RAYANE CÂNDIDO CRUZ ")</f>
        <v>RAYANE CÂNDIDO CRUZ </v>
      </c>
      <c r="B108" s="62" t="str">
        <f>IFERROR(__xludf.DUMMYFUNCTION("""COMPUTED_VALUE"""),"CUIDADORA")</f>
        <v>CUIDADORA</v>
      </c>
      <c r="C108" s="62" t="str">
        <f>IFERROR(__xludf.DUMMYFUNCTION("""COMPUTED_VALUE"""),"119.705.654-89")</f>
        <v>119.705.654-89</v>
      </c>
      <c r="D108" s="62" t="str">
        <f>IFERROR(__xludf.DUMMYFUNCTION("""COMPUTED_VALUE"""),"81 99311-6561")</f>
        <v>81 99311-6561</v>
      </c>
      <c r="E108" s="62" t="str">
        <f>IFERROR(__xludf.DUMMYFUNCTION("""COMPUTED_VALUE"""),"RECIFE")</f>
        <v>RECIFE</v>
      </c>
      <c r="F108" s="62" t="str">
        <f>IFERROR(__xludf.DUMMYFUNCTION("""COMPUTED_VALUE"""),"COOPERADO ")</f>
        <v>COOPERADO </v>
      </c>
    </row>
    <row r="109">
      <c r="A109" s="62" t="str">
        <f>IFERROR(__xludf.DUMMYFUNCTION("""COMPUTED_VALUE"""),"Rebeca Costa da Silva")</f>
        <v>Rebeca Costa da Silva</v>
      </c>
      <c r="B109" s="62" t="str">
        <f>IFERROR(__xludf.DUMMYFUNCTION("""COMPUTED_VALUE"""),"TÉC. ENF.")</f>
        <v>TÉC. ENF.</v>
      </c>
      <c r="C109" s="62" t="str">
        <f>IFERROR(__xludf.DUMMYFUNCTION("""COMPUTED_VALUE"""),"091.349.844-02")</f>
        <v>091.349.844-02</v>
      </c>
      <c r="D109" s="62" t="str">
        <f>IFERROR(__xludf.DUMMYFUNCTION("""COMPUTED_VALUE"""),"81 99488-0358")</f>
        <v>81 99488-0358</v>
      </c>
      <c r="E109" s="62" t="str">
        <f>IFERROR(__xludf.DUMMYFUNCTION("""COMPUTED_VALUE"""),"RECIFE")</f>
        <v>RECIFE</v>
      </c>
      <c r="F109" s="62" t="str">
        <f>IFERROR(__xludf.DUMMYFUNCTION("""COMPUTED_VALUE"""),"COOPERADO ")</f>
        <v>COOPERADO </v>
      </c>
    </row>
    <row r="110">
      <c r="A110" s="62" t="str">
        <f>IFERROR(__xludf.DUMMYFUNCTION("""COMPUTED_VALUE"""),"RENATA MILENA FERREIRA ")</f>
        <v>RENATA MILENA FERREIRA </v>
      </c>
      <c r="B110" s="62" t="str">
        <f>IFERROR(__xludf.DUMMYFUNCTION("""COMPUTED_VALUE"""),"CUIDADORA")</f>
        <v>CUIDADORA</v>
      </c>
      <c r="C110" s="62" t="str">
        <f>IFERROR(__xludf.DUMMYFUNCTION("""COMPUTED_VALUE"""),"102.626.204-64")</f>
        <v>102.626.204-64</v>
      </c>
      <c r="D110" s="62" t="str">
        <f>IFERROR(__xludf.DUMMYFUNCTION("""COMPUTED_VALUE"""),"81 98319-1617")</f>
        <v>81 98319-1617</v>
      </c>
      <c r="E110" s="62" t="str">
        <f>IFERROR(__xludf.DUMMYFUNCTION("""COMPUTED_VALUE"""),"RECIFE")</f>
        <v>RECIFE</v>
      </c>
      <c r="F110" s="62" t="str">
        <f>IFERROR(__xludf.DUMMYFUNCTION("""COMPUTED_VALUE"""),"COOPERADO ")</f>
        <v>COOPERADO </v>
      </c>
    </row>
    <row r="111">
      <c r="A111" s="62" t="str">
        <f>IFERROR(__xludf.DUMMYFUNCTION("""COMPUTED_VALUE"""),"Rita de Kassia C. da Silva")</f>
        <v>Rita de Kassia C. da Silva</v>
      </c>
      <c r="B111" s="62" t="str">
        <f>IFERROR(__xludf.DUMMYFUNCTION("""COMPUTED_VALUE"""),"TÉC. ENF.")</f>
        <v>TÉC. ENF.</v>
      </c>
      <c r="C111" s="62" t="str">
        <f>IFERROR(__xludf.DUMMYFUNCTION("""COMPUTED_VALUE"""),"091.209.604-76")</f>
        <v>091.209.604-76</v>
      </c>
      <c r="D111" s="62" t="str">
        <f>IFERROR(__xludf.DUMMYFUNCTION("""COMPUTED_VALUE"""),"81 98538-4377")</f>
        <v>81 98538-4377</v>
      </c>
      <c r="E111" s="62" t="str">
        <f>IFERROR(__xludf.DUMMYFUNCTION("""COMPUTED_VALUE"""),"RECIFE")</f>
        <v>RECIFE</v>
      </c>
      <c r="F111" s="62" t="str">
        <f>IFERROR(__xludf.DUMMYFUNCTION("""COMPUTED_VALUE"""),"COOPERADO ")</f>
        <v>COOPERADO </v>
      </c>
    </row>
    <row r="112">
      <c r="A112" s="62" t="str">
        <f>IFERROR(__xludf.DUMMYFUNCTION("""COMPUTED_VALUE"""),"Rivaldo Ramos de Lima")</f>
        <v>Rivaldo Ramos de Lima</v>
      </c>
      <c r="B112" s="62" t="str">
        <f>IFERROR(__xludf.DUMMYFUNCTION("""COMPUTED_VALUE"""),"TÉC. ENF.")</f>
        <v>TÉC. ENF.</v>
      </c>
      <c r="C112" s="62" t="str">
        <f>IFERROR(__xludf.DUMMYFUNCTION("""COMPUTED_VALUE"""),"102.810.914-80")</f>
        <v>102.810.914-80</v>
      </c>
      <c r="D112" s="62" t="str">
        <f>IFERROR(__xludf.DUMMYFUNCTION("""COMPUTED_VALUE"""),"81 99752-2173")</f>
        <v>81 99752-2173</v>
      </c>
      <c r="E112" s="62" t="str">
        <f>IFERROR(__xludf.DUMMYFUNCTION("""COMPUTED_VALUE"""),"RECIFE")</f>
        <v>RECIFE</v>
      </c>
      <c r="F112" s="62" t="str">
        <f>IFERROR(__xludf.DUMMYFUNCTION("""COMPUTED_VALUE"""),"COOPERADO ")</f>
        <v>COOPERADO </v>
      </c>
    </row>
    <row r="113">
      <c r="A113" s="62" t="str">
        <f>IFERROR(__xludf.DUMMYFUNCTION("""COMPUTED_VALUE"""),"Roberta Maria da Silva")</f>
        <v>Roberta Maria da Silva</v>
      </c>
      <c r="B113" s="62" t="str">
        <f>IFERROR(__xludf.DUMMYFUNCTION("""COMPUTED_VALUE"""),"TÉC. ENF.")</f>
        <v>TÉC. ENF.</v>
      </c>
      <c r="C113" s="62" t="str">
        <f>IFERROR(__xludf.DUMMYFUNCTION("""COMPUTED_VALUE"""),"095.898.584-73")</f>
        <v>095.898.584-73</v>
      </c>
      <c r="D113" s="62" t="str">
        <f>IFERROR(__xludf.DUMMYFUNCTION("""COMPUTED_VALUE""")," 81 99352-1443")</f>
        <v> 81 99352-1443</v>
      </c>
      <c r="E113" s="62" t="str">
        <f>IFERROR(__xludf.DUMMYFUNCTION("""COMPUTED_VALUE"""),"RECIFE")</f>
        <v>RECIFE</v>
      </c>
      <c r="F113" s="62" t="str">
        <f>IFERROR(__xludf.DUMMYFUNCTION("""COMPUTED_VALUE"""),"COOPERADO ")</f>
        <v>COOPERADO </v>
      </c>
    </row>
    <row r="114">
      <c r="A114" s="62" t="str">
        <f>IFERROR(__xludf.DUMMYFUNCTION("""COMPUTED_VALUE"""),"ROSANA SILVA LINS DE ALMEIDA")</f>
        <v>ROSANA SILVA LINS DE ALMEIDA</v>
      </c>
      <c r="B114" s="62" t="str">
        <f>IFERROR(__xludf.DUMMYFUNCTION("""COMPUTED_VALUE"""),"CUIDADORA")</f>
        <v>CUIDADORA</v>
      </c>
      <c r="C114" s="62" t="str">
        <f>IFERROR(__xludf.DUMMYFUNCTION("""COMPUTED_VALUE"""),"708.054.904-34")</f>
        <v>708.054.904-34</v>
      </c>
      <c r="D114" s="62" t="str">
        <f>IFERROR(__xludf.DUMMYFUNCTION("""COMPUTED_VALUE"""),"81 98234-3451")</f>
        <v>81 98234-3451</v>
      </c>
      <c r="E114" s="62" t="str">
        <f>IFERROR(__xludf.DUMMYFUNCTION("""COMPUTED_VALUE"""),"RECIFE")</f>
        <v>RECIFE</v>
      </c>
      <c r="F114" s="62" t="str">
        <f>IFERROR(__xludf.DUMMYFUNCTION("""COMPUTED_VALUE"""),"COOPERADO ")</f>
        <v>COOPERADO </v>
      </c>
    </row>
    <row r="115">
      <c r="A115" s="62" t="str">
        <f>IFERROR(__xludf.DUMMYFUNCTION("""COMPUTED_VALUE"""),"ROSEANE FIRMINO DA SILVA SANTOS")</f>
        <v>ROSEANE FIRMINO DA SILVA SANTOS</v>
      </c>
      <c r="B115" s="62" t="str">
        <f>IFERROR(__xludf.DUMMYFUNCTION("""COMPUTED_VALUE"""),"TÉC. ENF.")</f>
        <v>TÉC. ENF.</v>
      </c>
      <c r="C115" s="62" t="str">
        <f>IFERROR(__xludf.DUMMYFUNCTION("""COMPUTED_VALUE"""),"895.583.594-91")</f>
        <v>895.583.594-91</v>
      </c>
      <c r="D115" s="62" t="str">
        <f>IFERROR(__xludf.DUMMYFUNCTION("""COMPUTED_VALUE"""),"81 99513-2283")</f>
        <v>81 99513-2283</v>
      </c>
      <c r="E115" s="62" t="str">
        <f>IFERROR(__xludf.DUMMYFUNCTION("""COMPUTED_VALUE"""),"RECIFE")</f>
        <v>RECIFE</v>
      </c>
      <c r="F115" s="62" t="str">
        <f>IFERROR(__xludf.DUMMYFUNCTION("""COMPUTED_VALUE"""),"COOPERADO ")</f>
        <v>COOPERADO </v>
      </c>
    </row>
    <row r="116">
      <c r="A116" s="62" t="str">
        <f>IFERROR(__xludf.DUMMYFUNCTION("""COMPUTED_VALUE"""),"Roseli Cristina Nascimento Carvalho")</f>
        <v>Roseli Cristina Nascimento Carvalho</v>
      </c>
      <c r="B116" s="62" t="str">
        <f>IFERROR(__xludf.DUMMYFUNCTION("""COMPUTED_VALUE"""),"TÉC. ENF.")</f>
        <v>TÉC. ENF.</v>
      </c>
      <c r="C116" s="62" t="str">
        <f>IFERROR(__xludf.DUMMYFUNCTION("""COMPUTED_VALUE"""),"055.045.714-30")</f>
        <v>055.045.714-30</v>
      </c>
      <c r="D116" s="62" t="str">
        <f>IFERROR(__xludf.DUMMYFUNCTION("""COMPUTED_VALUE"""),"81 97330-1976")</f>
        <v>81 97330-1976</v>
      </c>
      <c r="E116" s="62" t="str">
        <f>IFERROR(__xludf.DUMMYFUNCTION("""COMPUTED_VALUE"""),"RECIFE")</f>
        <v>RECIFE</v>
      </c>
      <c r="F116" s="62" t="str">
        <f>IFERROR(__xludf.DUMMYFUNCTION("""COMPUTED_VALUE"""),"COOPERADO ")</f>
        <v>COOPERADO </v>
      </c>
    </row>
    <row r="117">
      <c r="A117" s="62" t="str">
        <f>IFERROR(__xludf.DUMMYFUNCTION("""COMPUTED_VALUE"""),"ROSEMEIRE DE FÁTIMA GOMES COSTA")</f>
        <v>ROSEMEIRE DE FÁTIMA GOMES COSTA</v>
      </c>
      <c r="B117" s="62" t="str">
        <f>IFERROR(__xludf.DUMMYFUNCTION("""COMPUTED_VALUE"""),"TÉC. RADIOLOGIA")</f>
        <v>TÉC. RADIOLOGIA</v>
      </c>
      <c r="C117" s="62" t="str">
        <f>IFERROR(__xludf.DUMMYFUNCTION("""COMPUTED_VALUE"""),"787.312.594-72")</f>
        <v>787.312.594-72</v>
      </c>
      <c r="D117" s="62" t="str">
        <f>IFERROR(__xludf.DUMMYFUNCTION("""COMPUTED_VALUE"""),"81 98229-4186")</f>
        <v>81 98229-4186</v>
      </c>
      <c r="E117" s="62" t="str">
        <f>IFERROR(__xludf.DUMMYFUNCTION("""COMPUTED_VALUE"""),"RECIFE")</f>
        <v>RECIFE</v>
      </c>
      <c r="F117" s="62" t="str">
        <f>IFERROR(__xludf.DUMMYFUNCTION("""COMPUTED_VALUE"""),"COOPERADO ")</f>
        <v>COOPERADO </v>
      </c>
    </row>
    <row r="118">
      <c r="A118" s="62" t="str">
        <f>IFERROR(__xludf.DUMMYFUNCTION("""COMPUTED_VALUE"""),"Rosiane Maria do Nascimento Bandeira")</f>
        <v>Rosiane Maria do Nascimento Bandeira</v>
      </c>
      <c r="B118" s="62" t="str">
        <f>IFERROR(__xludf.DUMMYFUNCTION("""COMPUTED_VALUE"""),"TÉC. ENF.")</f>
        <v>TÉC. ENF.</v>
      </c>
      <c r="C118" s="62" t="str">
        <f>IFERROR(__xludf.DUMMYFUNCTION("""COMPUTED_VALUE"""),"042.499.854-82")</f>
        <v>042.499.854-82</v>
      </c>
      <c r="D118" s="62" t="str">
        <f>IFERROR(__xludf.DUMMYFUNCTION("""COMPUTED_VALUE"""),"81 98439-3491")</f>
        <v>81 98439-3491</v>
      </c>
      <c r="E118" s="62" t="str">
        <f>IFERROR(__xludf.DUMMYFUNCTION("""COMPUTED_VALUE"""),"RECIFE")</f>
        <v>RECIFE</v>
      </c>
      <c r="F118" s="62" t="str">
        <f>IFERROR(__xludf.DUMMYFUNCTION("""COMPUTED_VALUE"""),"COOPERADO ")</f>
        <v>COOPERADO </v>
      </c>
    </row>
    <row r="119">
      <c r="A119" s="62" t="str">
        <f>IFERROR(__xludf.DUMMYFUNCTION("""COMPUTED_VALUE"""),"ROSILDA MARIA DE LUNA")</f>
        <v>ROSILDA MARIA DE LUNA</v>
      </c>
      <c r="B119" s="62" t="str">
        <f>IFERROR(__xludf.DUMMYFUNCTION("""COMPUTED_VALUE"""),"TÉC. RADIOLOGIA")</f>
        <v>TÉC. RADIOLOGIA</v>
      </c>
      <c r="C119" s="62" t="str">
        <f>IFERROR(__xludf.DUMMYFUNCTION("""COMPUTED_VALUE"""),"020.347.754-57")</f>
        <v>020.347.754-57</v>
      </c>
      <c r="D119" s="62" t="str">
        <f>IFERROR(__xludf.DUMMYFUNCTION("""COMPUTED_VALUE"""),"81 99658-4394")</f>
        <v>81 99658-4394</v>
      </c>
      <c r="E119" s="62" t="str">
        <f>IFERROR(__xludf.DUMMYFUNCTION("""COMPUTED_VALUE"""),"RECIFE")</f>
        <v>RECIFE</v>
      </c>
      <c r="F119" s="62" t="str">
        <f>IFERROR(__xludf.DUMMYFUNCTION("""COMPUTED_VALUE"""),"COOPERADO ")</f>
        <v>COOPERADO </v>
      </c>
    </row>
    <row r="120">
      <c r="A120" s="62" t="str">
        <f>IFERROR(__xludf.DUMMYFUNCTION("""COMPUTED_VALUE"""),"ROZANA MARIA DO NASCIMENTO ")</f>
        <v>ROZANA MARIA DO NASCIMENTO </v>
      </c>
      <c r="B120" s="62" t="str">
        <f>IFERROR(__xludf.DUMMYFUNCTION("""COMPUTED_VALUE"""),"CUIDADORA")</f>
        <v>CUIDADORA</v>
      </c>
      <c r="C120" s="62" t="str">
        <f>IFERROR(__xludf.DUMMYFUNCTION("""COMPUTED_VALUE"""),"039.911.674-50")</f>
        <v>039.911.674-50</v>
      </c>
      <c r="D120" s="62" t="str">
        <f>IFERROR(__xludf.DUMMYFUNCTION("""COMPUTED_VALUE""")," 81 98610-1808")</f>
        <v> 81 98610-1808</v>
      </c>
      <c r="E120" s="62" t="str">
        <f>IFERROR(__xludf.DUMMYFUNCTION("""COMPUTED_VALUE"""),"RECIFE")</f>
        <v>RECIFE</v>
      </c>
      <c r="F120" s="62" t="str">
        <f>IFERROR(__xludf.DUMMYFUNCTION("""COMPUTED_VALUE"""),"COOPERADO ")</f>
        <v>COOPERADO </v>
      </c>
    </row>
    <row r="121">
      <c r="A121" s="62" t="str">
        <f>IFERROR(__xludf.DUMMYFUNCTION("""COMPUTED_VALUE"""),"Rozilma Bezerra da Silva")</f>
        <v>Rozilma Bezerra da Silva</v>
      </c>
      <c r="B121" s="62" t="str">
        <f>IFERROR(__xludf.DUMMYFUNCTION("""COMPUTED_VALUE"""),"TÉC. ENF.")</f>
        <v>TÉC. ENF.</v>
      </c>
      <c r="C121" s="62" t="str">
        <f>IFERROR(__xludf.DUMMYFUNCTION("""COMPUTED_VALUE"""),"056.771.374-13")</f>
        <v>056.771.374-13</v>
      </c>
      <c r="D121" s="62" t="str">
        <f>IFERROR(__xludf.DUMMYFUNCTION("""COMPUTED_VALUE"""),"81 99650-5281")</f>
        <v>81 99650-5281</v>
      </c>
      <c r="E121" s="62" t="str">
        <f>IFERROR(__xludf.DUMMYFUNCTION("""COMPUTED_VALUE"""),"RECIFE")</f>
        <v>RECIFE</v>
      </c>
      <c r="F121" s="62" t="str">
        <f>IFERROR(__xludf.DUMMYFUNCTION("""COMPUTED_VALUE"""),"COOPERADO ")</f>
        <v>COOPERADO </v>
      </c>
    </row>
    <row r="122">
      <c r="A122" s="62" t="str">
        <f>IFERROR(__xludf.DUMMYFUNCTION("""COMPUTED_VALUE"""),"SANDRINE JULIANY P. DA SILVA")</f>
        <v>SANDRINE JULIANY P. DA SILVA</v>
      </c>
      <c r="B122" s="62" t="str">
        <f>IFERROR(__xludf.DUMMYFUNCTION("""COMPUTED_VALUE"""),"TÉC. RADIOLOGIA")</f>
        <v>TÉC. RADIOLOGIA</v>
      </c>
      <c r="C122" s="62" t="str">
        <f>IFERROR(__xludf.DUMMYFUNCTION("""COMPUTED_VALUE"""),"092.703.434-48")</f>
        <v>092.703.434-48</v>
      </c>
      <c r="D122" s="62" t="str">
        <f>IFERROR(__xludf.DUMMYFUNCTION("""COMPUTED_VALUE"""),"81 98622-3360")</f>
        <v>81 98622-3360</v>
      </c>
      <c r="E122" s="62" t="str">
        <f>IFERROR(__xludf.DUMMYFUNCTION("""COMPUTED_VALUE"""),"RECIFE")</f>
        <v>RECIFE</v>
      </c>
      <c r="F122" s="62" t="str">
        <f>IFERROR(__xludf.DUMMYFUNCTION("""COMPUTED_VALUE"""),"COOPERADO ")</f>
        <v>COOPERADO </v>
      </c>
    </row>
    <row r="123">
      <c r="A123" s="62" t="str">
        <f>IFERROR(__xludf.DUMMYFUNCTION("""COMPUTED_VALUE"""),"SHEYLA CESÁRIO DE SOUZA")</f>
        <v>SHEYLA CESÁRIO DE SOUZA</v>
      </c>
      <c r="B123" s="62" t="str">
        <f>IFERROR(__xludf.DUMMYFUNCTION("""COMPUTED_VALUE"""),"CUIDADORA")</f>
        <v>CUIDADORA</v>
      </c>
      <c r="C123" s="62" t="str">
        <f>IFERROR(__xludf.DUMMYFUNCTION("""COMPUTED_VALUE"""),"093.376.084-13")</f>
        <v>093.376.084-13</v>
      </c>
      <c r="D123" s="62" t="str">
        <f>IFERROR(__xludf.DUMMYFUNCTION("""COMPUTED_VALUE"""),"81 99748-2177")</f>
        <v>81 99748-2177</v>
      </c>
      <c r="E123" s="62" t="str">
        <f>IFERROR(__xludf.DUMMYFUNCTION("""COMPUTED_VALUE"""),"RECIFE")</f>
        <v>RECIFE</v>
      </c>
      <c r="F123" s="62" t="str">
        <f>IFERROR(__xludf.DUMMYFUNCTION("""COMPUTED_VALUE"""),"COOPERADO ")</f>
        <v>COOPERADO </v>
      </c>
    </row>
    <row r="124">
      <c r="A124" s="62" t="str">
        <f>IFERROR(__xludf.DUMMYFUNCTION("""COMPUTED_VALUE"""),"SHIRLEIDE GOMES DA SILVA")</f>
        <v>SHIRLEIDE GOMES DA SILVA</v>
      </c>
      <c r="B124" s="62" t="str">
        <f>IFERROR(__xludf.DUMMYFUNCTION("""COMPUTED_VALUE"""),"CUIDADORA")</f>
        <v>CUIDADORA</v>
      </c>
      <c r="C124" s="62" t="str">
        <f>IFERROR(__xludf.DUMMYFUNCTION("""COMPUTED_VALUE"""),"066.378.494-80")</f>
        <v>066.378.494-80</v>
      </c>
      <c r="D124" s="62" t="str">
        <f>IFERROR(__xludf.DUMMYFUNCTION("""COMPUTED_VALUE"""),"81 99334-6471")</f>
        <v>81 99334-6471</v>
      </c>
      <c r="E124" s="62" t="str">
        <f>IFERROR(__xludf.DUMMYFUNCTION("""COMPUTED_VALUE"""),"RECIFE")</f>
        <v>RECIFE</v>
      </c>
      <c r="F124" s="62" t="str">
        <f>IFERROR(__xludf.DUMMYFUNCTION("""COMPUTED_VALUE"""),"COOPERADO ")</f>
        <v>COOPERADO </v>
      </c>
    </row>
    <row r="125">
      <c r="A125" s="62" t="str">
        <f>IFERROR(__xludf.DUMMYFUNCTION("""COMPUTED_VALUE"""),"Shirleide Miquiles do Nascimento")</f>
        <v>Shirleide Miquiles do Nascimento</v>
      </c>
      <c r="B125" s="62" t="str">
        <f>IFERROR(__xludf.DUMMYFUNCTION("""COMPUTED_VALUE"""),"TÉC. ENF.")</f>
        <v>TÉC. ENF.</v>
      </c>
      <c r="C125" s="62" t="str">
        <f>IFERROR(__xludf.DUMMYFUNCTION("""COMPUTED_VALUE"""),"022.582.404-33")</f>
        <v>022.582.404-33</v>
      </c>
      <c r="D125" s="62" t="str">
        <f>IFERROR(__xludf.DUMMYFUNCTION("""COMPUTED_VALUE"""),"81 98659-4848")</f>
        <v>81 98659-4848</v>
      </c>
      <c r="E125" s="62" t="str">
        <f>IFERROR(__xludf.DUMMYFUNCTION("""COMPUTED_VALUE"""),"RECIFE")</f>
        <v>RECIFE</v>
      </c>
      <c r="F125" s="62" t="str">
        <f>IFERROR(__xludf.DUMMYFUNCTION("""COMPUTED_VALUE"""),"COOPERADO ")</f>
        <v>COOPERADO </v>
      </c>
    </row>
    <row r="126">
      <c r="A126" s="62" t="str">
        <f>IFERROR(__xludf.DUMMYFUNCTION("""COMPUTED_VALUE"""),"Silvia Letícia Araújo dos Santos Silva")</f>
        <v>Silvia Letícia Araújo dos Santos Silva</v>
      </c>
      <c r="B126" s="62" t="str">
        <f>IFERROR(__xludf.DUMMYFUNCTION("""COMPUTED_VALUE"""),"TÉC. ENF.")</f>
        <v>TÉC. ENF.</v>
      </c>
      <c r="C126" s="62" t="str">
        <f>IFERROR(__xludf.DUMMYFUNCTION("""COMPUTED_VALUE"""),"899.669.104-68")</f>
        <v>899.669.104-68</v>
      </c>
      <c r="D126" s="62" t="str">
        <f>IFERROR(__xludf.DUMMYFUNCTION("""COMPUTED_VALUE"""),"81 99661-5340")</f>
        <v>81 99661-5340</v>
      </c>
      <c r="E126" s="62" t="str">
        <f>IFERROR(__xludf.DUMMYFUNCTION("""COMPUTED_VALUE"""),"RECIFE")</f>
        <v>RECIFE</v>
      </c>
      <c r="F126" s="62" t="str">
        <f>IFERROR(__xludf.DUMMYFUNCTION("""COMPUTED_VALUE"""),"COOPERADO ")</f>
        <v>COOPERADO </v>
      </c>
    </row>
    <row r="127">
      <c r="A127" s="62" t="str">
        <f>IFERROR(__xludf.DUMMYFUNCTION("""COMPUTED_VALUE"""),"Sueides do Prado Correia")</f>
        <v>Sueides do Prado Correia</v>
      </c>
      <c r="B127" s="62" t="str">
        <f>IFERROR(__xludf.DUMMYFUNCTION("""COMPUTED_VALUE"""),"TÉC. ENF.")</f>
        <v>TÉC. ENF.</v>
      </c>
      <c r="C127" s="62" t="str">
        <f>IFERROR(__xludf.DUMMYFUNCTION("""COMPUTED_VALUE"""),"100.342.654-90")</f>
        <v>100.342.654-90</v>
      </c>
      <c r="D127" s="62" t="str">
        <f>IFERROR(__xludf.DUMMYFUNCTION("""COMPUTED_VALUE""")," 81 97913-6111")</f>
        <v> 81 97913-6111</v>
      </c>
      <c r="E127" s="62" t="str">
        <f>IFERROR(__xludf.DUMMYFUNCTION("""COMPUTED_VALUE"""),"RECIFE")</f>
        <v>RECIFE</v>
      </c>
      <c r="F127" s="62" t="str">
        <f>IFERROR(__xludf.DUMMYFUNCTION("""COMPUTED_VALUE"""),"COOPERADO ")</f>
        <v>COOPERADO </v>
      </c>
    </row>
    <row r="128">
      <c r="A128" s="62" t="str">
        <f>IFERROR(__xludf.DUMMYFUNCTION("""COMPUTED_VALUE"""),"Suelem Belo Bezerra")</f>
        <v>Suelem Belo Bezerra</v>
      </c>
      <c r="B128" s="62" t="str">
        <f>IFERROR(__xludf.DUMMYFUNCTION("""COMPUTED_VALUE"""),"TÉC. ENF.")</f>
        <v>TÉC. ENF.</v>
      </c>
      <c r="C128" s="62" t="str">
        <f>IFERROR(__xludf.DUMMYFUNCTION("""COMPUTED_VALUE"""),"071.599.904-47")</f>
        <v>071.599.904-47</v>
      </c>
      <c r="D128" s="62" t="str">
        <f>IFERROR(__xludf.DUMMYFUNCTION("""COMPUTED_VALUE""")," 81 98601-4454")</f>
        <v> 81 98601-4454</v>
      </c>
      <c r="E128" s="62" t="str">
        <f>IFERROR(__xludf.DUMMYFUNCTION("""COMPUTED_VALUE"""),"RECIFE")</f>
        <v>RECIFE</v>
      </c>
      <c r="F128" s="62" t="str">
        <f>IFERROR(__xludf.DUMMYFUNCTION("""COMPUTED_VALUE"""),"COOPERADO ")</f>
        <v>COOPERADO </v>
      </c>
    </row>
    <row r="129">
      <c r="A129" s="62" t="str">
        <f>IFERROR(__xludf.DUMMYFUNCTION("""COMPUTED_VALUE"""),"SUELI FRANCISCA DE LIMA")</f>
        <v>SUELI FRANCISCA DE LIMA</v>
      </c>
      <c r="B129" s="62" t="str">
        <f>IFERROR(__xludf.DUMMYFUNCTION("""COMPUTED_VALUE"""),"CUIDADORA")</f>
        <v>CUIDADORA</v>
      </c>
      <c r="C129" s="62" t="str">
        <f>IFERROR(__xludf.DUMMYFUNCTION("""COMPUTED_VALUE"""),"011.502.174-48")</f>
        <v>011.502.174-48</v>
      </c>
      <c r="D129" s="62" t="str">
        <f>IFERROR(__xludf.DUMMYFUNCTION("""COMPUTED_VALUE""")," 81 99169-7248")</f>
        <v> 81 99169-7248</v>
      </c>
      <c r="E129" s="62" t="str">
        <f>IFERROR(__xludf.DUMMYFUNCTION("""COMPUTED_VALUE"""),"RECIFE")</f>
        <v>RECIFE</v>
      </c>
      <c r="F129" s="62" t="str">
        <f>IFERROR(__xludf.DUMMYFUNCTION("""COMPUTED_VALUE"""),"COOPERADO ")</f>
        <v>COOPERADO </v>
      </c>
    </row>
    <row r="130">
      <c r="A130" s="62" t="str">
        <f>IFERROR(__xludf.DUMMYFUNCTION("""COMPUTED_VALUE"""),"SUELY DE ALMEIDA SOARES COUTO")</f>
        <v>SUELY DE ALMEIDA SOARES COUTO</v>
      </c>
      <c r="B130" s="62" t="str">
        <f>IFERROR(__xludf.DUMMYFUNCTION("""COMPUTED_VALUE"""),"CUIDADORA")</f>
        <v>CUIDADORA</v>
      </c>
      <c r="C130" s="62" t="str">
        <f>IFERROR(__xludf.DUMMYFUNCTION("""COMPUTED_VALUE"""),"478.447.364-53")</f>
        <v>478.447.364-53</v>
      </c>
      <c r="D130" s="62" t="str">
        <f>IFERROR(__xludf.DUMMYFUNCTION("""COMPUTED_VALUE""")," 81 98723-4247")</f>
        <v> 81 98723-4247</v>
      </c>
      <c r="E130" s="62" t="str">
        <f>IFERROR(__xludf.DUMMYFUNCTION("""COMPUTED_VALUE"""),"RECIFE")</f>
        <v>RECIFE</v>
      </c>
      <c r="F130" s="62" t="str">
        <f>IFERROR(__xludf.DUMMYFUNCTION("""COMPUTED_VALUE"""),"COOPERADO ")</f>
        <v>COOPERADO </v>
      </c>
    </row>
    <row r="131">
      <c r="A131" s="62" t="str">
        <f>IFERROR(__xludf.DUMMYFUNCTION("""COMPUTED_VALUE"""),"SUENE DE ALMEIDA SILVA")</f>
        <v>SUENE DE ALMEIDA SILVA</v>
      </c>
      <c r="B131" s="62" t="str">
        <f>IFERROR(__xludf.DUMMYFUNCTION("""COMPUTED_VALUE"""),"CUIDADORA")</f>
        <v>CUIDADORA</v>
      </c>
      <c r="C131" s="62" t="str">
        <f>IFERROR(__xludf.DUMMYFUNCTION("""COMPUTED_VALUE"""),"100.610.714-20")</f>
        <v>100.610.714-20</v>
      </c>
      <c r="D131" s="62" t="str">
        <f>IFERROR(__xludf.DUMMYFUNCTION("""COMPUTED_VALUE"""),"81 98829-3752")</f>
        <v>81 98829-3752</v>
      </c>
      <c r="E131" s="62" t="str">
        <f>IFERROR(__xludf.DUMMYFUNCTION("""COMPUTED_VALUE"""),"RECIFE")</f>
        <v>RECIFE</v>
      </c>
      <c r="F131" s="62" t="str">
        <f>IFERROR(__xludf.DUMMYFUNCTION("""COMPUTED_VALUE"""),"COOPERADO ")</f>
        <v>COOPERADO </v>
      </c>
    </row>
    <row r="132">
      <c r="A132" s="62" t="str">
        <f>IFERROR(__xludf.DUMMYFUNCTION("""COMPUTED_VALUE"""),"Taciane Peixoto de Souza Melo")</f>
        <v>Taciane Peixoto de Souza Melo</v>
      </c>
      <c r="B132" s="62" t="str">
        <f>IFERROR(__xludf.DUMMYFUNCTION("""COMPUTED_VALUE"""),"TÉC. ENF.")</f>
        <v>TÉC. ENF.</v>
      </c>
      <c r="C132" s="62" t="str">
        <f>IFERROR(__xludf.DUMMYFUNCTION("""COMPUTED_VALUE"""),"059.632.364-60")</f>
        <v>059.632.364-60</v>
      </c>
      <c r="D132" s="62" t="str">
        <f>IFERROR(__xludf.DUMMYFUNCTION("""COMPUTED_VALUE"""),"81 98570-5705")</f>
        <v>81 98570-5705</v>
      </c>
      <c r="E132" s="62" t="str">
        <f>IFERROR(__xludf.DUMMYFUNCTION("""COMPUTED_VALUE"""),"RECIFE")</f>
        <v>RECIFE</v>
      </c>
      <c r="F132" s="62" t="str">
        <f>IFERROR(__xludf.DUMMYFUNCTION("""COMPUTED_VALUE"""),"COOPERADO ")</f>
        <v>COOPERADO </v>
      </c>
    </row>
    <row r="133">
      <c r="A133" s="62" t="str">
        <f>IFERROR(__xludf.DUMMYFUNCTION("""COMPUTED_VALUE"""),"Tanísia Andrade Silva")</f>
        <v>Tanísia Andrade Silva</v>
      </c>
      <c r="B133" s="62" t="str">
        <f>IFERROR(__xludf.DUMMYFUNCTION("""COMPUTED_VALUE"""),"Enfermeiro(a)")</f>
        <v>Enfermeiro(a)</v>
      </c>
      <c r="C133" s="62" t="str">
        <f>IFERROR(__xludf.DUMMYFUNCTION("""COMPUTED_VALUE"""),"041.530.784-84")</f>
        <v>041.530.784-84</v>
      </c>
      <c r="D133" s="62" t="str">
        <f>IFERROR(__xludf.DUMMYFUNCTION("""COMPUTED_VALUE"""),"81 99694-0588")</f>
        <v>81 99694-0588</v>
      </c>
      <c r="E133" s="62" t="str">
        <f>IFERROR(__xludf.DUMMYFUNCTION("""COMPUTED_VALUE"""),"RECIFE")</f>
        <v>RECIFE</v>
      </c>
      <c r="F133" s="62" t="str">
        <f>IFERROR(__xludf.DUMMYFUNCTION("""COMPUTED_VALUE"""),"COOPERADO ")</f>
        <v>COOPERADO </v>
      </c>
    </row>
    <row r="134">
      <c r="A134" s="62" t="str">
        <f>IFERROR(__xludf.DUMMYFUNCTION("""COMPUTED_VALUE"""),"Terezinha do Menino Jesus")</f>
        <v>Terezinha do Menino Jesus</v>
      </c>
      <c r="B134" s="62" t="str">
        <f>IFERROR(__xludf.DUMMYFUNCTION("""COMPUTED_VALUE"""),"TÉC. ENF.")</f>
        <v>TÉC. ENF.</v>
      </c>
      <c r="C134" s="62" t="str">
        <f>IFERROR(__xludf.DUMMYFUNCTION("""COMPUTED_VALUE"""),"129.356.244-08")</f>
        <v>129.356.244-08</v>
      </c>
      <c r="D134" s="62" t="str">
        <f>IFERROR(__xludf.DUMMYFUNCTION("""COMPUTED_VALUE"""),"81 99165-7079")</f>
        <v>81 99165-7079</v>
      </c>
      <c r="E134" s="62" t="str">
        <f>IFERROR(__xludf.DUMMYFUNCTION("""COMPUTED_VALUE"""),"RECIFE")</f>
        <v>RECIFE</v>
      </c>
      <c r="F134" s="62" t="str">
        <f>IFERROR(__xludf.DUMMYFUNCTION("""COMPUTED_VALUE"""),"COOPERADO ")</f>
        <v>COOPERADO </v>
      </c>
    </row>
    <row r="135">
      <c r="A135" s="62" t="str">
        <f>IFERROR(__xludf.DUMMYFUNCTION("""COMPUTED_VALUE"""),"Valdirene Silva dos Santos")</f>
        <v>Valdirene Silva dos Santos</v>
      </c>
      <c r="B135" s="62" t="str">
        <f>IFERROR(__xludf.DUMMYFUNCTION("""COMPUTED_VALUE"""),"TÉC. ENF.")</f>
        <v>TÉC. ENF.</v>
      </c>
      <c r="C135" s="62" t="str">
        <f>IFERROR(__xludf.DUMMYFUNCTION("""COMPUTED_VALUE"""),"025.171.314-81")</f>
        <v>025.171.314-81</v>
      </c>
      <c r="D135" s="62" t="str">
        <f>IFERROR(__xludf.DUMMYFUNCTION("""COMPUTED_VALUE"""),"81 99902-2348")</f>
        <v>81 99902-2348</v>
      </c>
      <c r="E135" s="62" t="str">
        <f>IFERROR(__xludf.DUMMYFUNCTION("""COMPUTED_VALUE"""),"RECIFE")</f>
        <v>RECIFE</v>
      </c>
      <c r="F135" s="62" t="str">
        <f>IFERROR(__xludf.DUMMYFUNCTION("""COMPUTED_VALUE"""),"COOPERADO ")</f>
        <v>COOPERADO </v>
      </c>
    </row>
    <row r="136">
      <c r="A136" s="62" t="str">
        <f>IFERROR(__xludf.DUMMYFUNCTION("""COMPUTED_VALUE"""),"Vandercreuza Pessoa Pontes")</f>
        <v>Vandercreuza Pessoa Pontes</v>
      </c>
      <c r="B136" s="62" t="str">
        <f>IFERROR(__xludf.DUMMYFUNCTION("""COMPUTED_VALUE"""),"TÉC. ENF.")</f>
        <v>TÉC. ENF.</v>
      </c>
      <c r="C136" s="62" t="str">
        <f>IFERROR(__xludf.DUMMYFUNCTION("""COMPUTED_VALUE"""),"013.832.604-51")</f>
        <v>013.832.604-51</v>
      </c>
      <c r="D136" s="62" t="str">
        <f>IFERROR(__xludf.DUMMYFUNCTION("""COMPUTED_VALUE"""),"81 98469-6363")</f>
        <v>81 98469-6363</v>
      </c>
      <c r="E136" s="62" t="str">
        <f>IFERROR(__xludf.DUMMYFUNCTION("""COMPUTED_VALUE"""),"RECIFE")</f>
        <v>RECIFE</v>
      </c>
      <c r="F136" s="62" t="str">
        <f>IFERROR(__xludf.DUMMYFUNCTION("""COMPUTED_VALUE"""),"COOPERADO ")</f>
        <v>COOPERADO </v>
      </c>
    </row>
    <row r="137">
      <c r="A137" s="62" t="str">
        <f>IFERROR(__xludf.DUMMYFUNCTION("""COMPUTED_VALUE"""),"VANESSA LUCIA SIQUEIRA DE OLIVEIRA ")</f>
        <v>VANESSA LUCIA SIQUEIRA DE OLIVEIRA </v>
      </c>
      <c r="B137" s="62" t="str">
        <f>IFERROR(__xludf.DUMMYFUNCTION("""COMPUTED_VALUE"""),"TÉC. RADIOLOGIA")</f>
        <v>TÉC. RADIOLOGIA</v>
      </c>
      <c r="C137" s="62" t="str">
        <f>IFERROR(__xludf.DUMMYFUNCTION("""COMPUTED_VALUE"""),"067.597.364-35")</f>
        <v>067.597.364-35</v>
      </c>
      <c r="D137" s="62" t="str">
        <f>IFERROR(__xludf.DUMMYFUNCTION("""COMPUTED_VALUE"""),"81 98574-2805")</f>
        <v>81 98574-2805</v>
      </c>
      <c r="E137" s="62" t="str">
        <f>IFERROR(__xludf.DUMMYFUNCTION("""COMPUTED_VALUE"""),"RECIFE")</f>
        <v>RECIFE</v>
      </c>
      <c r="F137" s="62" t="str">
        <f>IFERROR(__xludf.DUMMYFUNCTION("""COMPUTED_VALUE"""),"COOPERADO ")</f>
        <v>COOPERADO </v>
      </c>
    </row>
    <row r="138">
      <c r="A138" s="62" t="str">
        <f>IFERROR(__xludf.DUMMYFUNCTION("""COMPUTED_VALUE"""),"Vera Lúcia dos Santos Oliveira")</f>
        <v>Vera Lúcia dos Santos Oliveira</v>
      </c>
      <c r="B138" s="62" t="str">
        <f>IFERROR(__xludf.DUMMYFUNCTION("""COMPUTED_VALUE"""),"TÉC. ENF.")</f>
        <v>TÉC. ENF.</v>
      </c>
      <c r="C138" s="62" t="str">
        <f>IFERROR(__xludf.DUMMYFUNCTION("""COMPUTED_VALUE"""),"065.207.814-10")</f>
        <v>065.207.814-10</v>
      </c>
      <c r="D138" s="62" t="str">
        <f>IFERROR(__xludf.DUMMYFUNCTION("""COMPUTED_VALUE""")," 81 98887-6502")</f>
        <v> 81 98887-6502</v>
      </c>
      <c r="E138" s="62" t="str">
        <f>IFERROR(__xludf.DUMMYFUNCTION("""COMPUTED_VALUE"""),"RECIFE")</f>
        <v>RECIFE</v>
      </c>
      <c r="F138" s="62" t="str">
        <f>IFERROR(__xludf.DUMMYFUNCTION("""COMPUTED_VALUE"""),"COOPERADO ")</f>
        <v>COOPERADO </v>
      </c>
    </row>
    <row r="139">
      <c r="A139" s="62" t="str">
        <f>IFERROR(__xludf.DUMMYFUNCTION("""COMPUTED_VALUE"""),"Vinicius Henrique da Silva")</f>
        <v>Vinicius Henrique da Silva</v>
      </c>
      <c r="B139" s="62" t="str">
        <f>IFERROR(__xludf.DUMMYFUNCTION("""COMPUTED_VALUE"""),"TÉC. ENF.")</f>
        <v>TÉC. ENF.</v>
      </c>
      <c r="C139" s="62" t="str">
        <f>IFERROR(__xludf.DUMMYFUNCTION("""COMPUTED_VALUE"""),"168.981.674-05")</f>
        <v>168.981.674-05</v>
      </c>
      <c r="D139" s="62" t="str">
        <f>IFERROR(__xludf.DUMMYFUNCTION("""COMPUTED_VALUE"""),"81 99348-2239")</f>
        <v>81 99348-2239</v>
      </c>
      <c r="E139" s="62" t="str">
        <f>IFERROR(__xludf.DUMMYFUNCTION("""COMPUTED_VALUE"""),"RECIFE")</f>
        <v>RECIFE</v>
      </c>
      <c r="F139" s="62" t="str">
        <f>IFERROR(__xludf.DUMMYFUNCTION("""COMPUTED_VALUE"""),"COOPERADO ")</f>
        <v>COOPERADO </v>
      </c>
    </row>
    <row r="140">
      <c r="A140" s="62" t="str">
        <f>IFERROR(__xludf.DUMMYFUNCTION("""COMPUTED_VALUE"""),"Zilda Pereira da Silva")</f>
        <v>Zilda Pereira da Silva</v>
      </c>
      <c r="B140" s="62" t="str">
        <f>IFERROR(__xludf.DUMMYFUNCTION("""COMPUTED_VALUE"""),"TÉC. ENF.")</f>
        <v>TÉC. ENF.</v>
      </c>
      <c r="C140" s="62" t="str">
        <f>IFERROR(__xludf.DUMMYFUNCTION("""COMPUTED_VALUE"""),"085.620.094-82")</f>
        <v>085.620.094-82</v>
      </c>
      <c r="D140" s="62" t="str">
        <f>IFERROR(__xludf.DUMMYFUNCTION("""COMPUTED_VALUE"""),"81 99342-3664")</f>
        <v>81 99342-3664</v>
      </c>
      <c r="E140" s="62" t="str">
        <f>IFERROR(__xludf.DUMMYFUNCTION("""COMPUTED_VALUE"""),"RECIFE")</f>
        <v>RECIFE</v>
      </c>
      <c r="F140" s="62" t="str">
        <f>IFERROR(__xludf.DUMMYFUNCTION("""COMPUTED_VALUE"""),"COOPERADO ")</f>
        <v>COOPERADO </v>
      </c>
    </row>
    <row r="141">
      <c r="A141" s="62" t="str">
        <f>IFERROR(__xludf.DUMMYFUNCTION("""COMPUTED_VALUE"""),"ADEILDA ALVES GALVÃO SILVA")</f>
        <v>ADEILDA ALVES GALVÃO SILVA</v>
      </c>
      <c r="B141" s="62" t="str">
        <f>IFERROR(__xludf.DUMMYFUNCTION("""COMPUTED_VALUE"""),"TÉC.ENFERMAGEM")</f>
        <v>TÉC.ENFERMAGEM</v>
      </c>
      <c r="C141" s="62" t="str">
        <f>IFERROR(__xludf.DUMMYFUNCTION("""COMPUTED_VALUE"""),"084.738.414-41")</f>
        <v>084.738.414-41</v>
      </c>
      <c r="D141" s="62" t="str">
        <f>IFERROR(__xludf.DUMMYFUNCTION("""COMPUTED_VALUE""")," 81 99803-0469")</f>
        <v> 81 99803-0469</v>
      </c>
      <c r="E141" s="62" t="str">
        <f>IFERROR(__xludf.DUMMYFUNCTION("""COMPUTED_VALUE"""),"CARUARU")</f>
        <v>CARUARU</v>
      </c>
      <c r="F141" s="62" t="str">
        <f>IFERROR(__xludf.DUMMYFUNCTION("""COMPUTED_VALUE"""),"COOPERADO")</f>
        <v>COOPERADO</v>
      </c>
    </row>
    <row r="142">
      <c r="A142" s="62" t="str">
        <f>IFERROR(__xludf.DUMMYFUNCTION("""COMPUTED_VALUE"""),"ADEILDO JOSE DOS SANTOS")</f>
        <v>ADEILDO JOSE DOS SANTOS</v>
      </c>
      <c r="B142" s="62" t="str">
        <f>IFERROR(__xludf.DUMMYFUNCTION("""COMPUTED_VALUE"""),"TÉC.ENFERMAGEM")</f>
        <v>TÉC.ENFERMAGEM</v>
      </c>
      <c r="C142" s="62" t="str">
        <f>IFERROR(__xludf.DUMMYFUNCTION("""COMPUTED_VALUE"""),"038.037.094-82")</f>
        <v>038.037.094-82</v>
      </c>
      <c r="D142" s="62" t="str">
        <f>IFERROR(__xludf.DUMMYFUNCTION("""COMPUTED_VALUE"""),"81 99917-0261")</f>
        <v>81 99917-0261</v>
      </c>
      <c r="E142" s="62" t="str">
        <f>IFERROR(__xludf.DUMMYFUNCTION("""COMPUTED_VALUE"""),"CARUARU")</f>
        <v>CARUARU</v>
      </c>
      <c r="F142" s="62" t="str">
        <f>IFERROR(__xludf.DUMMYFUNCTION("""COMPUTED_VALUE"""),"COOPERADO")</f>
        <v>COOPERADO</v>
      </c>
    </row>
    <row r="143">
      <c r="A143" s="62" t="str">
        <f>IFERROR(__xludf.DUMMYFUNCTION("""COMPUTED_VALUE"""),"Adila Cristina S. De Souza")</f>
        <v>Adila Cristina S. De Souza</v>
      </c>
      <c r="B143" s="62" t="str">
        <f>IFERROR(__xludf.DUMMYFUNCTION("""COMPUTED_VALUE"""),"Téc. Enf.")</f>
        <v>Téc. Enf.</v>
      </c>
      <c r="C143" s="62" t="str">
        <f>IFERROR(__xludf.DUMMYFUNCTION("""COMPUTED_VALUE"""),"009.317.034-33")</f>
        <v>009.317.034-33</v>
      </c>
      <c r="D143" s="62" t="str">
        <f>IFERROR(__xludf.DUMMYFUNCTION("""COMPUTED_VALUE"""),"81 99207-3703")</f>
        <v>81 99207-3703</v>
      </c>
      <c r="E143" s="62" t="str">
        <f>IFERROR(__xludf.DUMMYFUNCTION("""COMPUTED_VALUE"""),"CARUARU")</f>
        <v>CARUARU</v>
      </c>
      <c r="F143" s="62" t="str">
        <f>IFERROR(__xludf.DUMMYFUNCTION("""COMPUTED_VALUE"""),"COOPERADO")</f>
        <v>COOPERADO</v>
      </c>
    </row>
    <row r="144">
      <c r="A144" s="62" t="str">
        <f>IFERROR(__xludf.DUMMYFUNCTION("""COMPUTED_VALUE"""),"Adriana Cavalcanti De Barros")</f>
        <v>Adriana Cavalcanti De Barros</v>
      </c>
      <c r="B144" s="62" t="str">
        <f>IFERROR(__xludf.DUMMYFUNCTION("""COMPUTED_VALUE"""),"Téc. Enf.")</f>
        <v>Téc. Enf.</v>
      </c>
      <c r="C144" s="62" t="str">
        <f>IFERROR(__xludf.DUMMYFUNCTION("""COMPUTED_VALUE"""),"944.140.414-49")</f>
        <v>944.140.414-49</v>
      </c>
      <c r="D144" s="62" t="str">
        <f>IFERROR(__xludf.DUMMYFUNCTION("""COMPUTED_VALUE"""),"81 99897-9759")</f>
        <v>81 99897-9759</v>
      </c>
      <c r="E144" s="62" t="str">
        <f>IFERROR(__xludf.DUMMYFUNCTION("""COMPUTED_VALUE"""),"CARUARU")</f>
        <v>CARUARU</v>
      </c>
      <c r="F144" s="62" t="str">
        <f>IFERROR(__xludf.DUMMYFUNCTION("""COMPUTED_VALUE"""),"COOPERADO")</f>
        <v>COOPERADO</v>
      </c>
    </row>
    <row r="145">
      <c r="A145" s="62" t="str">
        <f>IFERROR(__xludf.DUMMYFUNCTION("""COMPUTED_VALUE"""),"ADRIANA MARIA DO N. DOS SANTOS")</f>
        <v>ADRIANA MARIA DO N. DOS SANTOS</v>
      </c>
      <c r="B145" s="62" t="str">
        <f>IFERROR(__xludf.DUMMYFUNCTION("""COMPUTED_VALUE"""),"TÉC.ENFERMAGEM")</f>
        <v>TÉC.ENFERMAGEM</v>
      </c>
      <c r="C145" s="62" t="str">
        <f>IFERROR(__xludf.DUMMYFUNCTION("""COMPUTED_VALUE"""),"038.044.834-37")</f>
        <v>038.044.834-37</v>
      </c>
      <c r="D145" s="62" t="str">
        <f>IFERROR(__xludf.DUMMYFUNCTION("""COMPUTED_VALUE""")," 81 97304-5262")</f>
        <v> 81 97304-5262</v>
      </c>
      <c r="E145" s="62" t="str">
        <f>IFERROR(__xludf.DUMMYFUNCTION("""COMPUTED_VALUE"""),"CARUARU")</f>
        <v>CARUARU</v>
      </c>
      <c r="F145" s="62" t="str">
        <f>IFERROR(__xludf.DUMMYFUNCTION("""COMPUTED_VALUE"""),"COOPERADO")</f>
        <v>COOPERADO</v>
      </c>
    </row>
    <row r="146">
      <c r="A146" s="62" t="str">
        <f>IFERROR(__xludf.DUMMYFUNCTION("""COMPUTED_VALUE"""),"ADRIANA NASCIMENTO AMORIM ")</f>
        <v>ADRIANA NASCIMENTO AMORIM </v>
      </c>
      <c r="B146" s="62" t="str">
        <f>IFERROR(__xludf.DUMMYFUNCTION("""COMPUTED_VALUE"""),"TÉC. RADIOLOGIA ")</f>
        <v>TÉC. RADIOLOGIA </v>
      </c>
      <c r="C146" s="62" t="str">
        <f>IFERROR(__xludf.DUMMYFUNCTION("""COMPUTED_VALUE"""),"107.882.924-12")</f>
        <v>107.882.924-12</v>
      </c>
      <c r="D146" s="62" t="str">
        <f>IFERROR(__xludf.DUMMYFUNCTION("""COMPUTED_VALUE"""),"81 99304-4216")</f>
        <v>81 99304-4216</v>
      </c>
      <c r="E146" s="62" t="str">
        <f>IFERROR(__xludf.DUMMYFUNCTION("""COMPUTED_VALUE"""),"CARUARU")</f>
        <v>CARUARU</v>
      </c>
      <c r="F146" s="62" t="str">
        <f>IFERROR(__xludf.DUMMYFUNCTION("""COMPUTED_VALUE"""),"COOPERADO")</f>
        <v>COOPERADO</v>
      </c>
    </row>
    <row r="147">
      <c r="A147" s="62" t="str">
        <f>IFERROR(__xludf.DUMMYFUNCTION("""COMPUTED_VALUE"""),"ADRIANA TORQUATO SILVA ")</f>
        <v>ADRIANA TORQUATO SILVA </v>
      </c>
      <c r="B147" s="62" t="str">
        <f>IFERROR(__xludf.DUMMYFUNCTION("""COMPUTED_VALUE"""),"TÉC. RADIOLOGIA ")</f>
        <v>TÉC. RADIOLOGIA </v>
      </c>
      <c r="C147" s="62" t="str">
        <f>IFERROR(__xludf.DUMMYFUNCTION("""COMPUTED_VALUE"""),"081.338.124-02")</f>
        <v>081.338.124-02</v>
      </c>
      <c r="D147" s="62" t="str">
        <f>IFERROR(__xludf.DUMMYFUNCTION("""COMPUTED_VALUE""")," 81 99325-1716")</f>
        <v> 81 99325-1716</v>
      </c>
      <c r="E147" s="62" t="str">
        <f>IFERROR(__xludf.DUMMYFUNCTION("""COMPUTED_VALUE"""),"CARUARU")</f>
        <v>CARUARU</v>
      </c>
      <c r="F147" s="62" t="str">
        <f>IFERROR(__xludf.DUMMYFUNCTION("""COMPUTED_VALUE"""),"COOPERADO")</f>
        <v>COOPERADO</v>
      </c>
    </row>
    <row r="148">
      <c r="A148" s="62" t="str">
        <f>IFERROR(__xludf.DUMMYFUNCTION("""COMPUTED_VALUE"""),"ADRIANO ALVES DA SILVA")</f>
        <v>ADRIANO ALVES DA SILVA</v>
      </c>
      <c r="B148" s="62" t="str">
        <f>IFERROR(__xludf.DUMMYFUNCTION("""COMPUTED_VALUE"""),"AUX. DE HIGIENIZAÇÃO")</f>
        <v>AUX. DE HIGIENIZAÇÃO</v>
      </c>
      <c r="C148" s="62" t="str">
        <f>IFERROR(__xludf.DUMMYFUNCTION("""COMPUTED_VALUE"""),"036.149.904-35")</f>
        <v>036.149.904-35</v>
      </c>
      <c r="D148" s="62" t="str">
        <f>IFERROR(__xludf.DUMMYFUNCTION("""COMPUTED_VALUE"""),"81 99960-8453")</f>
        <v>81 99960-8453</v>
      </c>
      <c r="E148" s="62" t="str">
        <f>IFERROR(__xludf.DUMMYFUNCTION("""COMPUTED_VALUE"""),"CARUARU")</f>
        <v>CARUARU</v>
      </c>
      <c r="F148" s="62" t="str">
        <f>IFERROR(__xludf.DUMMYFUNCTION("""COMPUTED_VALUE"""),"COOPERADO")</f>
        <v>COOPERADO</v>
      </c>
    </row>
    <row r="149">
      <c r="A149" s="62" t="str">
        <f>IFERROR(__xludf.DUMMYFUNCTION("""COMPUTED_VALUE"""),"Adrielly Mary Da Silva")</f>
        <v>Adrielly Mary Da Silva</v>
      </c>
      <c r="B149" s="62" t="str">
        <f>IFERROR(__xludf.DUMMYFUNCTION("""COMPUTED_VALUE"""),"Téc. Enf.")</f>
        <v>Téc. Enf.</v>
      </c>
      <c r="C149" s="62" t="str">
        <f>IFERROR(__xludf.DUMMYFUNCTION("""COMPUTED_VALUE"""),"108.651.164-66")</f>
        <v>108.651.164-66</v>
      </c>
      <c r="D149" s="62" t="str">
        <f>IFERROR(__xludf.DUMMYFUNCTION("""COMPUTED_VALUE"""),"81 98102-9924")</f>
        <v>81 98102-9924</v>
      </c>
      <c r="E149" s="62" t="str">
        <f>IFERROR(__xludf.DUMMYFUNCTION("""COMPUTED_VALUE"""),"CARUARU")</f>
        <v>CARUARU</v>
      </c>
      <c r="F149" s="62" t="str">
        <f>IFERROR(__xludf.DUMMYFUNCTION("""COMPUTED_VALUE"""),"COOPERADO")</f>
        <v>COOPERADO</v>
      </c>
    </row>
    <row r="150">
      <c r="A150" s="62" t="str">
        <f>IFERROR(__xludf.DUMMYFUNCTION("""COMPUTED_VALUE"""),"ADRIELY KLAYNE LOPES DA SILVA")</f>
        <v>ADRIELY KLAYNE LOPES DA SILVA</v>
      </c>
      <c r="B150" s="62" t="str">
        <f>IFERROR(__xludf.DUMMYFUNCTION("""COMPUTED_VALUE"""),"TÉC.ENFERMAGEM")</f>
        <v>TÉC.ENFERMAGEM</v>
      </c>
      <c r="C150" s="62" t="str">
        <f>IFERROR(__xludf.DUMMYFUNCTION("""COMPUTED_VALUE"""),"121.606.574-84")</f>
        <v>121.606.574-84</v>
      </c>
      <c r="D150" s="62" t="str">
        <f>IFERROR(__xludf.DUMMYFUNCTION("""COMPUTED_VALUE"""),"81 99547-0740")</f>
        <v>81 99547-0740</v>
      </c>
      <c r="E150" s="62" t="str">
        <f>IFERROR(__xludf.DUMMYFUNCTION("""COMPUTED_VALUE"""),"CARUARU")</f>
        <v>CARUARU</v>
      </c>
      <c r="F150" s="62" t="str">
        <f>IFERROR(__xludf.DUMMYFUNCTION("""COMPUTED_VALUE"""),"COOPERADO")</f>
        <v>COOPERADO</v>
      </c>
    </row>
    <row r="151">
      <c r="A151" s="62" t="str">
        <f>IFERROR(__xludf.DUMMYFUNCTION("""COMPUTED_VALUE"""),"AEDJA MARIA DA SILVA")</f>
        <v>AEDJA MARIA DA SILVA</v>
      </c>
      <c r="B151" s="62" t="str">
        <f>IFERROR(__xludf.DUMMYFUNCTION("""COMPUTED_VALUE"""),"TÉC. ENF")</f>
        <v>TÉC. ENF</v>
      </c>
      <c r="C151" s="62" t="str">
        <f>IFERROR(__xludf.DUMMYFUNCTION("""COMPUTED_VALUE"""),"051.930.864-62")</f>
        <v>051.930.864-62</v>
      </c>
      <c r="D151" s="62" t="str">
        <f>IFERROR(__xludf.DUMMYFUNCTION("""COMPUTED_VALUE"""),"81 97320-1708")</f>
        <v>81 97320-1708</v>
      </c>
      <c r="E151" s="62" t="str">
        <f>IFERROR(__xludf.DUMMYFUNCTION("""COMPUTED_VALUE"""),"CARUARU")</f>
        <v>CARUARU</v>
      </c>
      <c r="F151" s="62" t="str">
        <f>IFERROR(__xludf.DUMMYFUNCTION("""COMPUTED_VALUE"""),"COOPERADO")</f>
        <v>COOPERADO</v>
      </c>
    </row>
    <row r="152">
      <c r="A152" s="62" t="str">
        <f>IFERROR(__xludf.DUMMYFUNCTION("""COMPUTED_VALUE"""),"AILSON JOSÉ DE CARVALHO")</f>
        <v>AILSON JOSÉ DE CARVALHO</v>
      </c>
      <c r="B152" s="62" t="str">
        <f>IFERROR(__xludf.DUMMYFUNCTION("""COMPUTED_VALUE"""),"PORTEIRO")</f>
        <v>PORTEIRO</v>
      </c>
      <c r="C152" s="62" t="str">
        <f>IFERROR(__xludf.DUMMYFUNCTION("""COMPUTED_VALUE"""),"133.069.314-03")</f>
        <v>133.069.314-03</v>
      </c>
      <c r="D152" s="62" t="str">
        <f>IFERROR(__xludf.DUMMYFUNCTION("""COMPUTED_VALUE"""),"81 99683-9218")</f>
        <v>81 99683-9218</v>
      </c>
      <c r="E152" s="62" t="str">
        <f>IFERROR(__xludf.DUMMYFUNCTION("""COMPUTED_VALUE"""),"CARUARU")</f>
        <v>CARUARU</v>
      </c>
      <c r="F152" s="62" t="str">
        <f>IFERROR(__xludf.DUMMYFUNCTION("""COMPUTED_VALUE"""),"COOPERADO")</f>
        <v>COOPERADO</v>
      </c>
    </row>
    <row r="153">
      <c r="A153" s="62" t="str">
        <f>IFERROR(__xludf.DUMMYFUNCTION("""COMPUTED_VALUE"""),"ALBERT HENRIQUE DA SILVA BEZERRA")</f>
        <v>ALBERT HENRIQUE DA SILVA BEZERRA</v>
      </c>
      <c r="B153" s="62" t="str">
        <f>IFERROR(__xludf.DUMMYFUNCTION("""COMPUTED_VALUE"""),"AUXILIAR DE FARMÁCIA")</f>
        <v>AUXILIAR DE FARMÁCIA</v>
      </c>
      <c r="C153" s="62" t="str">
        <f>IFERROR(__xludf.DUMMYFUNCTION("""COMPUTED_VALUE"""),"110.615.524-62")</f>
        <v>110.615.524-62</v>
      </c>
      <c r="D153" s="62" t="str">
        <f>IFERROR(__xludf.DUMMYFUNCTION("""COMPUTED_VALUE"""),"81 99426-1620")</f>
        <v>81 99426-1620</v>
      </c>
      <c r="E153" s="62" t="str">
        <f>IFERROR(__xludf.DUMMYFUNCTION("""COMPUTED_VALUE"""),"CARUARU")</f>
        <v>CARUARU</v>
      </c>
      <c r="F153" s="62" t="str">
        <f>IFERROR(__xludf.DUMMYFUNCTION("""COMPUTED_VALUE"""),"COOPERADO")</f>
        <v>COOPERADO</v>
      </c>
    </row>
    <row r="154">
      <c r="A154" s="62" t="str">
        <f>IFERROR(__xludf.DUMMYFUNCTION("""COMPUTED_VALUE"""),"ALBERTINA MARIA FERRERIA")</f>
        <v>ALBERTINA MARIA FERRERIA</v>
      </c>
      <c r="B154" s="62" t="str">
        <f>IFERROR(__xludf.DUMMYFUNCTION("""COMPUTED_VALUE"""),"AUX. DE HIGIENIZAÇÃO")</f>
        <v>AUX. DE HIGIENIZAÇÃO</v>
      </c>
      <c r="C154" s="62" t="str">
        <f>IFERROR(__xludf.DUMMYFUNCTION("""COMPUTED_VALUE"""),"012.571.804-79")</f>
        <v>012.571.804-79</v>
      </c>
      <c r="D154" s="62" t="str">
        <f>IFERROR(__xludf.DUMMYFUNCTION("""COMPUTED_VALUE"""),"81 99269-7286")</f>
        <v>81 99269-7286</v>
      </c>
      <c r="E154" s="62" t="str">
        <f>IFERROR(__xludf.DUMMYFUNCTION("""COMPUTED_VALUE"""),"CARUARU")</f>
        <v>CARUARU</v>
      </c>
      <c r="F154" s="62" t="str">
        <f>IFERROR(__xludf.DUMMYFUNCTION("""COMPUTED_VALUE"""),"COOPERADO")</f>
        <v>COOPERADO</v>
      </c>
    </row>
    <row r="155">
      <c r="A155" s="62" t="str">
        <f>IFERROR(__xludf.DUMMYFUNCTION("""COMPUTED_VALUE"""),"Alcione De Albuquerque Andrade")</f>
        <v>Alcione De Albuquerque Andrade</v>
      </c>
      <c r="B155" s="62" t="str">
        <f>IFERROR(__xludf.DUMMYFUNCTION("""COMPUTED_VALUE"""),"Téc. Enf.")</f>
        <v>Téc. Enf.</v>
      </c>
      <c r="C155" s="62" t="str">
        <f>IFERROR(__xludf.DUMMYFUNCTION("""COMPUTED_VALUE"""),"024.504.854-57")</f>
        <v>024.504.854-57</v>
      </c>
      <c r="D155" s="62" t="str">
        <f>IFERROR(__xludf.DUMMYFUNCTION("""COMPUTED_VALUE"""),"81 99484-8967")</f>
        <v>81 99484-8967</v>
      </c>
      <c r="E155" s="62" t="str">
        <f>IFERROR(__xludf.DUMMYFUNCTION("""COMPUTED_VALUE"""),"CARUARU")</f>
        <v>CARUARU</v>
      </c>
      <c r="F155" s="62" t="str">
        <f>IFERROR(__xludf.DUMMYFUNCTION("""COMPUTED_VALUE"""),"COOPERADO")</f>
        <v>COOPERADO</v>
      </c>
    </row>
    <row r="156">
      <c r="A156" s="62" t="str">
        <f>IFERROR(__xludf.DUMMYFUNCTION("""COMPUTED_VALUE"""),"ALESSANDRA FREITAS DE CARVALHO FRANCO")</f>
        <v>ALESSANDRA FREITAS DE CARVALHO FRANCO</v>
      </c>
      <c r="B156" s="62" t="str">
        <f>IFERROR(__xludf.DUMMYFUNCTION("""COMPUTED_VALUE"""),"ENFERMEIRA")</f>
        <v>ENFERMEIRA</v>
      </c>
      <c r="C156" s="62" t="str">
        <f>IFERROR(__xludf.DUMMYFUNCTION("""COMPUTED_VALUE"""),"097.429.474-81")</f>
        <v>097.429.474-81</v>
      </c>
      <c r="D156" s="62" t="str">
        <f>IFERROR(__xludf.DUMMYFUNCTION("""COMPUTED_VALUE"""),"81 99665-2907")</f>
        <v>81 99665-2907</v>
      </c>
      <c r="E156" s="62" t="str">
        <f>IFERROR(__xludf.DUMMYFUNCTION("""COMPUTED_VALUE"""),"CARUARU")</f>
        <v>CARUARU</v>
      </c>
      <c r="F156" s="62" t="str">
        <f>IFERROR(__xludf.DUMMYFUNCTION("""COMPUTED_VALUE"""),"COOPERADO")</f>
        <v>COOPERADO</v>
      </c>
    </row>
    <row r="157">
      <c r="A157" s="62" t="str">
        <f>IFERROR(__xludf.DUMMYFUNCTION("""COMPUTED_VALUE"""),"ALESSANDRA SILVA NOGUEIRA")</f>
        <v>ALESSANDRA SILVA NOGUEIRA</v>
      </c>
      <c r="B157" s="62" t="str">
        <f>IFERROR(__xludf.DUMMYFUNCTION("""COMPUTED_VALUE"""),"TÉC.ENFERMAGEM")</f>
        <v>TÉC.ENFERMAGEM</v>
      </c>
      <c r="C157" s="62" t="str">
        <f>IFERROR(__xludf.DUMMYFUNCTION("""COMPUTED_VALUE"""),"075.155.484-79")</f>
        <v>075.155.484-79</v>
      </c>
      <c r="D157" s="62" t="str">
        <f>IFERROR(__xludf.DUMMYFUNCTION("""COMPUTED_VALUE"""),"81 98107-3880")</f>
        <v>81 98107-3880</v>
      </c>
      <c r="E157" s="62" t="str">
        <f>IFERROR(__xludf.DUMMYFUNCTION("""COMPUTED_VALUE"""),"CARUARU")</f>
        <v>CARUARU</v>
      </c>
      <c r="F157" s="62" t="str">
        <f>IFERROR(__xludf.DUMMYFUNCTION("""COMPUTED_VALUE"""),"COOPERADO")</f>
        <v>COOPERADO</v>
      </c>
    </row>
    <row r="158">
      <c r="A158" s="62" t="str">
        <f>IFERROR(__xludf.DUMMYFUNCTION("""COMPUTED_VALUE"""),"ALINE EDINA SILVA RODRIGUES")</f>
        <v>ALINE EDINA SILVA RODRIGUES</v>
      </c>
      <c r="B158" s="62" t="str">
        <f>IFERROR(__xludf.DUMMYFUNCTION("""COMPUTED_VALUE"""),"AUX DE HIGIENIZAÇÃO")</f>
        <v>AUX DE HIGIENIZAÇÃO</v>
      </c>
      <c r="C158" s="62" t="str">
        <f>IFERROR(__xludf.DUMMYFUNCTION("""COMPUTED_VALUE"""),"094.340.054-69")</f>
        <v>094.340.054-69</v>
      </c>
      <c r="D158" s="62" t="str">
        <f>IFERROR(__xludf.DUMMYFUNCTION("""COMPUTED_VALUE"""),"81 8970-3672")</f>
        <v>81 8970-3672</v>
      </c>
      <c r="E158" s="62" t="str">
        <f>IFERROR(__xludf.DUMMYFUNCTION("""COMPUTED_VALUE"""),"CARUARU")</f>
        <v>CARUARU</v>
      </c>
      <c r="F158" s="62" t="str">
        <f>IFERROR(__xludf.DUMMYFUNCTION("""COMPUTED_VALUE"""),"COOPERADO")</f>
        <v>COOPERADO</v>
      </c>
    </row>
    <row r="159">
      <c r="A159" s="62" t="str">
        <f>IFERROR(__xludf.DUMMYFUNCTION("""COMPUTED_VALUE"""),"ALINE MAYARA DA SILVA OLIVEIRA")</f>
        <v>ALINE MAYARA DA SILVA OLIVEIRA</v>
      </c>
      <c r="B159" s="62" t="str">
        <f>IFERROR(__xludf.DUMMYFUNCTION("""COMPUTED_VALUE"""),"AUX. DE FARMÁCIA")</f>
        <v>AUX. DE FARMÁCIA</v>
      </c>
      <c r="C159" s="62" t="str">
        <f>IFERROR(__xludf.DUMMYFUNCTION("""COMPUTED_VALUE"""),"116.511.154-35")</f>
        <v>116.511.154-35</v>
      </c>
      <c r="D159" s="62" t="str">
        <f>IFERROR(__xludf.DUMMYFUNCTION("""COMPUTED_VALUE"""),"81 9666-5570")</f>
        <v>81 9666-5570</v>
      </c>
      <c r="E159" s="62" t="str">
        <f>IFERROR(__xludf.DUMMYFUNCTION("""COMPUTED_VALUE"""),"CARUARU")</f>
        <v>CARUARU</v>
      </c>
      <c r="F159" s="62" t="str">
        <f>IFERROR(__xludf.DUMMYFUNCTION("""COMPUTED_VALUE"""),"COOPERADO")</f>
        <v>COOPERADO</v>
      </c>
    </row>
    <row r="160">
      <c r="A160" s="62" t="str">
        <f>IFERROR(__xludf.DUMMYFUNCTION("""COMPUTED_VALUE"""),"ALINE RAYANE AUGUSTINHO DA SILVA")</f>
        <v>ALINE RAYANE AUGUSTINHO DA SILVA</v>
      </c>
      <c r="B160" s="62" t="str">
        <f>IFERROR(__xludf.DUMMYFUNCTION("""COMPUTED_VALUE"""),"ASSISTENTE ADMINISTRATIVO")</f>
        <v>ASSISTENTE ADMINISTRATIVO</v>
      </c>
      <c r="C160" s="62" t="str">
        <f>IFERROR(__xludf.DUMMYFUNCTION("""COMPUTED_VALUE"""),"706.179.554-92")</f>
        <v>706.179.554-92</v>
      </c>
      <c r="D160" s="62" t="str">
        <f>IFERROR(__xludf.DUMMYFUNCTION("""COMPUTED_VALUE"""),"81 9238-5840")</f>
        <v>81 9238-5840</v>
      </c>
      <c r="E160" s="62" t="str">
        <f>IFERROR(__xludf.DUMMYFUNCTION("""COMPUTED_VALUE"""),"CARUARU")</f>
        <v>CARUARU</v>
      </c>
      <c r="F160" s="62" t="str">
        <f>IFERROR(__xludf.DUMMYFUNCTION("""COMPUTED_VALUE"""),"COOPERADO")</f>
        <v>COOPERADO</v>
      </c>
    </row>
    <row r="161">
      <c r="A161" s="62" t="str">
        <f>IFERROR(__xludf.DUMMYFUNCTION("""COMPUTED_VALUE"""),"Alisson Joaquim de Jesus Silva")</f>
        <v>Alisson Joaquim de Jesus Silva</v>
      </c>
      <c r="B161" s="62" t="str">
        <f>IFERROR(__xludf.DUMMYFUNCTION("""COMPUTED_VALUE"""),"Auxiliar de manutenção")</f>
        <v>Auxiliar de manutenção</v>
      </c>
      <c r="C161" s="62" t="str">
        <f>IFERROR(__xludf.DUMMYFUNCTION("""COMPUTED_VALUE"""),"085.778.244-46")</f>
        <v>085.778.244-46</v>
      </c>
      <c r="D161" s="62" t="str">
        <f>IFERROR(__xludf.DUMMYFUNCTION("""COMPUTED_VALUE"""),"81 9460-0846")</f>
        <v>81 9460-0846</v>
      </c>
      <c r="E161" s="62" t="str">
        <f>IFERROR(__xludf.DUMMYFUNCTION("""COMPUTED_VALUE"""),"CARUARU")</f>
        <v>CARUARU</v>
      </c>
      <c r="F161" s="62" t="str">
        <f>IFERROR(__xludf.DUMMYFUNCTION("""COMPUTED_VALUE"""),"COOPERADO")</f>
        <v>COOPERADO</v>
      </c>
    </row>
    <row r="162">
      <c r="A162" s="62" t="str">
        <f>IFERROR(__xludf.DUMMYFUNCTION("""COMPUTED_VALUE"""),"ALLAN GABRIEL DE LIRA COSTA")</f>
        <v>ALLAN GABRIEL DE LIRA COSTA</v>
      </c>
      <c r="B162" s="62" t="str">
        <f>IFERROR(__xludf.DUMMYFUNCTION("""COMPUTED_VALUE"""),"AUXILIAR DE FARMÁCIA")</f>
        <v>AUXILIAR DE FARMÁCIA</v>
      </c>
      <c r="C162" s="62" t="str">
        <f>IFERROR(__xludf.DUMMYFUNCTION("""COMPUTED_VALUE"""),"151.062.864-92")</f>
        <v>151.062.864-92</v>
      </c>
      <c r="D162" s="62" t="str">
        <f>IFERROR(__xludf.DUMMYFUNCTION("""COMPUTED_VALUE"""),"81 8132-3316")</f>
        <v>81 8132-3316</v>
      </c>
      <c r="E162" s="62" t="str">
        <f>IFERROR(__xludf.DUMMYFUNCTION("""COMPUTED_VALUE"""),"CARUARU")</f>
        <v>CARUARU</v>
      </c>
      <c r="F162" s="62" t="str">
        <f>IFERROR(__xludf.DUMMYFUNCTION("""COMPUTED_VALUE"""),"COOPERADO")</f>
        <v>COOPERADO</v>
      </c>
    </row>
    <row r="163">
      <c r="A163" s="62" t="str">
        <f>IFERROR(__xludf.DUMMYFUNCTION("""COMPUTED_VALUE"""),"Allef Filipe da Silva")</f>
        <v>Allef Filipe da Silva</v>
      </c>
      <c r="B163" s="62" t="str">
        <f>IFERROR(__xludf.DUMMYFUNCTION("""COMPUTED_VALUE"""),"Auxiliar de manutenção")</f>
        <v>Auxiliar de manutenção</v>
      </c>
      <c r="C163" s="62" t="str">
        <f>IFERROR(__xludf.DUMMYFUNCTION("""COMPUTED_VALUE"""),"108.967.994-76")</f>
        <v>108.967.994-76</v>
      </c>
      <c r="D163" s="62" t="str">
        <f>IFERROR(__xludf.DUMMYFUNCTION("""COMPUTED_VALUE"""),"81 9188-1326")</f>
        <v>81 9188-1326</v>
      </c>
      <c r="E163" s="62" t="str">
        <f>IFERROR(__xludf.DUMMYFUNCTION("""COMPUTED_VALUE"""),"CARUARU")</f>
        <v>CARUARU</v>
      </c>
      <c r="F163" s="62" t="str">
        <f>IFERROR(__xludf.DUMMYFUNCTION("""COMPUTED_VALUE"""),"COOPERADO")</f>
        <v>COOPERADO</v>
      </c>
    </row>
    <row r="164">
      <c r="A164" s="62" t="str">
        <f>IFERROR(__xludf.DUMMYFUNCTION("""COMPUTED_VALUE"""),"ALYSSON BRUNO DE BARROS")</f>
        <v>ALYSSON BRUNO DE BARROS</v>
      </c>
      <c r="B164" s="62" t="str">
        <f>IFERROR(__xludf.DUMMYFUNCTION("""COMPUTED_VALUE"""),"ASSISTENTE ADMINISTRATIVO")</f>
        <v>ASSISTENTE ADMINISTRATIVO</v>
      </c>
      <c r="C164" s="62" t="str">
        <f>IFERROR(__xludf.DUMMYFUNCTION("""COMPUTED_VALUE"""),"136.775.534-40")</f>
        <v>136.775.534-40</v>
      </c>
      <c r="D164" s="62" t="str">
        <f>IFERROR(__xludf.DUMMYFUNCTION("""COMPUTED_VALUE"""),"81 9481-4463")</f>
        <v>81 9481-4463</v>
      </c>
      <c r="E164" s="62" t="str">
        <f>IFERROR(__xludf.DUMMYFUNCTION("""COMPUTED_VALUE"""),"CARUARU")</f>
        <v>CARUARU</v>
      </c>
      <c r="F164" s="62" t="str">
        <f>IFERROR(__xludf.DUMMYFUNCTION("""COMPUTED_VALUE"""),"COOPERADO")</f>
        <v>COOPERADO</v>
      </c>
    </row>
    <row r="165">
      <c r="A165" s="62" t="str">
        <f>IFERROR(__xludf.DUMMYFUNCTION("""COMPUTED_VALUE"""),"AMANDA FERREIRA  RODRIGUES")</f>
        <v>AMANDA FERREIRA  RODRIGUES</v>
      </c>
      <c r="B165" s="62" t="str">
        <f>IFERROR(__xludf.DUMMYFUNCTION("""COMPUTED_VALUE"""),"TÉC. ENF. ")</f>
        <v>TÉC. ENF. </v>
      </c>
      <c r="C165" s="62" t="str">
        <f>IFERROR(__xludf.DUMMYFUNCTION("""COMPUTED_VALUE"""),"116.399.296-81")</f>
        <v>116.399.296-81</v>
      </c>
      <c r="D165" s="62" t="str">
        <f>IFERROR(__xludf.DUMMYFUNCTION("""COMPUTED_VALUE"""),"81 9950-2911")</f>
        <v>81 9950-2911</v>
      </c>
      <c r="E165" s="62" t="str">
        <f>IFERROR(__xludf.DUMMYFUNCTION("""COMPUTED_VALUE"""),"CARUARU")</f>
        <v>CARUARU</v>
      </c>
      <c r="F165" s="62" t="str">
        <f>IFERROR(__xludf.DUMMYFUNCTION("""COMPUTED_VALUE"""),"COOPERADO")</f>
        <v>COOPERADO</v>
      </c>
    </row>
    <row r="166">
      <c r="A166" s="62" t="str">
        <f>IFERROR(__xludf.DUMMYFUNCTION("""COMPUTED_VALUE"""),"AMANDA PRISICILA")</f>
        <v>AMANDA PRISICILA</v>
      </c>
      <c r="B166" s="62" t="str">
        <f>IFERROR(__xludf.DUMMYFUNCTION("""COMPUTED_VALUE"""),"TÉC. ENF")</f>
        <v>TÉC. ENF</v>
      </c>
      <c r="C166" s="62" t="str">
        <f>IFERROR(__xludf.DUMMYFUNCTION("""COMPUTED_VALUE"""),"074.512.274-48")</f>
        <v>074.512.274-48</v>
      </c>
      <c r="D166" s="62" t="str">
        <f>IFERROR(__xludf.DUMMYFUNCTION("""COMPUTED_VALUE"""),"81 9852-1870")</f>
        <v>81 9852-1870</v>
      </c>
      <c r="E166" s="62" t="str">
        <f>IFERROR(__xludf.DUMMYFUNCTION("""COMPUTED_VALUE"""),"CARUARU")</f>
        <v>CARUARU</v>
      </c>
      <c r="F166" s="62" t="str">
        <f>IFERROR(__xludf.DUMMYFUNCTION("""COMPUTED_VALUE"""),"COOPERADO")</f>
        <v>COOPERADO</v>
      </c>
    </row>
    <row r="167">
      <c r="A167" s="62" t="str">
        <f>IFERROR(__xludf.DUMMYFUNCTION("""COMPUTED_VALUE"""),"ANA CLAUDIA DA SILVA")</f>
        <v>ANA CLAUDIA DA SILVA</v>
      </c>
      <c r="B167" s="62" t="str">
        <f>IFERROR(__xludf.DUMMYFUNCTION("""COMPUTED_VALUE"""),"TÉC. ENF. ")</f>
        <v>TÉC. ENF. </v>
      </c>
      <c r="C167" s="62" t="str">
        <f>IFERROR(__xludf.DUMMYFUNCTION("""COMPUTED_VALUE"""),"048.099.314-98")</f>
        <v>048.099.314-98</v>
      </c>
      <c r="D167" s="62" t="str">
        <f>IFERROR(__xludf.DUMMYFUNCTION("""COMPUTED_VALUE"""),"81 9794-8626")</f>
        <v>81 9794-8626</v>
      </c>
      <c r="E167" s="62" t="str">
        <f>IFERROR(__xludf.DUMMYFUNCTION("""COMPUTED_VALUE"""),"CARUARU")</f>
        <v>CARUARU</v>
      </c>
      <c r="F167" s="62" t="str">
        <f>IFERROR(__xludf.DUMMYFUNCTION("""COMPUTED_VALUE"""),"COOPERADO")</f>
        <v>COOPERADO</v>
      </c>
    </row>
    <row r="168">
      <c r="A168" s="62" t="str">
        <f>IFERROR(__xludf.DUMMYFUNCTION("""COMPUTED_VALUE"""),"ANA CRISTINA DA SILVA")</f>
        <v>ANA CRISTINA DA SILVA</v>
      </c>
      <c r="B168" s="62" t="str">
        <f>IFERROR(__xludf.DUMMYFUNCTION("""COMPUTED_VALUE"""),"TÉC. ENF.")</f>
        <v>TÉC. ENF.</v>
      </c>
      <c r="C168" s="62" t="str">
        <f>IFERROR(__xludf.DUMMYFUNCTION("""COMPUTED_VALUE"""),"051.771.964-96")</f>
        <v>051.771.964-96</v>
      </c>
      <c r="D168" s="62" t="str">
        <f>IFERROR(__xludf.DUMMYFUNCTION("""COMPUTED_VALUE"""),"81 8137-1589")</f>
        <v>81 8137-1589</v>
      </c>
      <c r="E168" s="62" t="str">
        <f>IFERROR(__xludf.DUMMYFUNCTION("""COMPUTED_VALUE"""),"CARUARU")</f>
        <v>CARUARU</v>
      </c>
      <c r="F168" s="62" t="str">
        <f>IFERROR(__xludf.DUMMYFUNCTION("""COMPUTED_VALUE"""),"COOPERADO")</f>
        <v>COOPERADO</v>
      </c>
    </row>
    <row r="169">
      <c r="A169" s="62" t="str">
        <f>IFERROR(__xludf.DUMMYFUNCTION("""COMPUTED_VALUE"""),"ANA LUCIA DE MELO SILVA")</f>
        <v>ANA LUCIA DE MELO SILVA</v>
      </c>
      <c r="B169" s="62" t="str">
        <f>IFERROR(__xludf.DUMMYFUNCTION("""COMPUTED_VALUE"""),"ASSISTENTE ADMINISTRATIVO")</f>
        <v>ASSISTENTE ADMINISTRATIVO</v>
      </c>
      <c r="C169" s="62" t="str">
        <f>IFERROR(__xludf.DUMMYFUNCTION("""COMPUTED_VALUE"""),"044.173.174-02")</f>
        <v>044.173.174-02</v>
      </c>
      <c r="D169" s="62" t="str">
        <f>IFERROR(__xludf.DUMMYFUNCTION("""COMPUTED_VALUE"""),"8199750-3415")</f>
        <v>8199750-3415</v>
      </c>
      <c r="E169" s="62" t="str">
        <f>IFERROR(__xludf.DUMMYFUNCTION("""COMPUTED_VALUE"""),"CARUARU")</f>
        <v>CARUARU</v>
      </c>
      <c r="F169" s="62" t="str">
        <f>IFERROR(__xludf.DUMMYFUNCTION("""COMPUTED_VALUE"""),"COOPERADO")</f>
        <v>COOPERADO</v>
      </c>
    </row>
    <row r="170">
      <c r="A170" s="62" t="str">
        <f>IFERROR(__xludf.DUMMYFUNCTION("""COMPUTED_VALUE"""),"ANA LUIZA SANTOS")</f>
        <v>ANA LUIZA SANTOS</v>
      </c>
      <c r="B170" s="62" t="str">
        <f>IFERROR(__xludf.DUMMYFUNCTION("""COMPUTED_VALUE"""),"TÉC. RADIOLOGIA ")</f>
        <v>TÉC. RADIOLOGIA </v>
      </c>
      <c r="C170" s="62" t="str">
        <f>IFERROR(__xludf.DUMMYFUNCTION("""COMPUTED_VALUE"""),"101.632.454-52")</f>
        <v>101.632.454-52</v>
      </c>
      <c r="D170" s="62" t="str">
        <f>IFERROR(__xludf.DUMMYFUNCTION("""COMPUTED_VALUE""")," 81 9315-1228")</f>
        <v> 81 9315-1228</v>
      </c>
      <c r="E170" s="62" t="str">
        <f>IFERROR(__xludf.DUMMYFUNCTION("""COMPUTED_VALUE"""),"CARUARU")</f>
        <v>CARUARU</v>
      </c>
      <c r="F170" s="62" t="str">
        <f>IFERROR(__xludf.DUMMYFUNCTION("""COMPUTED_VALUE"""),"COOPERADO")</f>
        <v>COOPERADO</v>
      </c>
    </row>
    <row r="171">
      <c r="A171" s="62" t="str">
        <f>IFERROR(__xludf.DUMMYFUNCTION("""COMPUTED_VALUE"""),"ANA MARCIA DE OLIVEIRA")</f>
        <v>ANA MARCIA DE OLIVEIRA</v>
      </c>
      <c r="B171" s="62" t="str">
        <f>IFERROR(__xludf.DUMMYFUNCTION("""COMPUTED_VALUE"""),"AUX DE HIGIENIZAÇÃO")</f>
        <v>AUX DE HIGIENIZAÇÃO</v>
      </c>
      <c r="C171" s="62" t="str">
        <f>IFERROR(__xludf.DUMMYFUNCTION("""COMPUTED_VALUE"""),"068.342.514-56")</f>
        <v>068.342.514-56</v>
      </c>
      <c r="D171" s="62" t="str">
        <f>IFERROR(__xludf.DUMMYFUNCTION("""COMPUTED_VALUE"""),"81 9291-7496")</f>
        <v>81 9291-7496</v>
      </c>
      <c r="E171" s="62" t="str">
        <f>IFERROR(__xludf.DUMMYFUNCTION("""COMPUTED_VALUE"""),"CARUARU")</f>
        <v>CARUARU</v>
      </c>
      <c r="F171" s="62" t="str">
        <f>IFERROR(__xludf.DUMMYFUNCTION("""COMPUTED_VALUE"""),"COOPERADO")</f>
        <v>COOPERADO</v>
      </c>
    </row>
    <row r="172">
      <c r="A172" s="62" t="str">
        <f>IFERROR(__xludf.DUMMYFUNCTION("""COMPUTED_VALUE"""),"ANA PATRICIA DE MENEZES")</f>
        <v>ANA PATRICIA DE MENEZES</v>
      </c>
      <c r="B172" s="62" t="str">
        <f>IFERROR(__xludf.DUMMYFUNCTION("""COMPUTED_VALUE"""),"AUXILIAR DE FARMÁCIA")</f>
        <v>AUXILIAR DE FARMÁCIA</v>
      </c>
      <c r="C172" s="62" t="str">
        <f>IFERROR(__xludf.DUMMYFUNCTION("""COMPUTED_VALUE"""),"702.387.304-09")</f>
        <v>702.387.304-09</v>
      </c>
      <c r="D172" s="62" t="str">
        <f>IFERROR(__xludf.DUMMYFUNCTION("""COMPUTED_VALUE"""),"81 8296-6530")</f>
        <v>81 8296-6530</v>
      </c>
      <c r="E172" s="62" t="str">
        <f>IFERROR(__xludf.DUMMYFUNCTION("""COMPUTED_VALUE"""),"CARUARU")</f>
        <v>CARUARU</v>
      </c>
      <c r="F172" s="62" t="str">
        <f>IFERROR(__xludf.DUMMYFUNCTION("""COMPUTED_VALUE"""),"COOPERADO")</f>
        <v>COOPERADO</v>
      </c>
    </row>
    <row r="173">
      <c r="A173" s="62" t="str">
        <f>IFERROR(__xludf.DUMMYFUNCTION("""COMPUTED_VALUE"""),"ANA PAULA ALVES DA SILVA")</f>
        <v>ANA PAULA ALVES DA SILVA</v>
      </c>
      <c r="B173" s="62" t="str">
        <f>IFERROR(__xludf.DUMMYFUNCTION("""COMPUTED_VALUE"""),"TÉC.ENFERMAGEM")</f>
        <v>TÉC.ENFERMAGEM</v>
      </c>
      <c r="C173" s="62" t="str">
        <f>IFERROR(__xludf.DUMMYFUNCTION("""COMPUTED_VALUE"""),"106.493.474-98")</f>
        <v>106.493.474-98</v>
      </c>
      <c r="D173" s="62" t="str">
        <f>IFERROR(__xludf.DUMMYFUNCTION("""COMPUTED_VALUE"""),"81 7329-2041")</f>
        <v>81 7329-2041</v>
      </c>
      <c r="E173" s="62" t="str">
        <f>IFERROR(__xludf.DUMMYFUNCTION("""COMPUTED_VALUE"""),"CARUARU")</f>
        <v>CARUARU</v>
      </c>
      <c r="F173" s="62" t="str">
        <f>IFERROR(__xludf.DUMMYFUNCTION("""COMPUTED_VALUE"""),"COOPERADO")</f>
        <v>COOPERADO</v>
      </c>
    </row>
    <row r="174">
      <c r="A174" s="62" t="str">
        <f>IFERROR(__xludf.DUMMYFUNCTION("""COMPUTED_VALUE"""),"ANA PAULA ANDRADE DOS SANTOS")</f>
        <v>ANA PAULA ANDRADE DOS SANTOS</v>
      </c>
      <c r="B174" s="62" t="str">
        <f>IFERROR(__xludf.DUMMYFUNCTION("""COMPUTED_VALUE"""),"AUX. DE FARMÁCIA")</f>
        <v>AUX. DE FARMÁCIA</v>
      </c>
      <c r="C174" s="62" t="str">
        <f>IFERROR(__xludf.DUMMYFUNCTION("""COMPUTED_VALUE"""),"066.375.014-84")</f>
        <v>066.375.014-84</v>
      </c>
      <c r="D174" s="62" t="str">
        <f>IFERROR(__xludf.DUMMYFUNCTION("""COMPUTED_VALUE"""),"81 9378-6674")</f>
        <v>81 9378-6674</v>
      </c>
      <c r="E174" s="62" t="str">
        <f>IFERROR(__xludf.DUMMYFUNCTION("""COMPUTED_VALUE"""),"CARUARU")</f>
        <v>CARUARU</v>
      </c>
      <c r="F174" s="62" t="str">
        <f>IFERROR(__xludf.DUMMYFUNCTION("""COMPUTED_VALUE"""),"COOPERADO")</f>
        <v>COOPERADO</v>
      </c>
    </row>
    <row r="175">
      <c r="A175" s="62" t="str">
        <f>IFERROR(__xludf.DUMMYFUNCTION("""COMPUTED_VALUE"""),"ANA PAULA DA SILVA")</f>
        <v>ANA PAULA DA SILVA</v>
      </c>
      <c r="B175" s="62" t="str">
        <f>IFERROR(__xludf.DUMMYFUNCTION("""COMPUTED_VALUE"""),"TÉC.ENFERMAGEM")</f>
        <v>TÉC.ENFERMAGEM</v>
      </c>
      <c r="C175" s="62" t="str">
        <f>IFERROR(__xludf.DUMMYFUNCTION("""COMPUTED_VALUE"""),"039.662.004-30")</f>
        <v>039.662.004-30</v>
      </c>
      <c r="D175" s="62" t="str">
        <f>IFERROR(__xludf.DUMMYFUNCTION("""COMPUTED_VALUE"""),"81 7401-7272")</f>
        <v>81 7401-7272</v>
      </c>
      <c r="E175" s="62" t="str">
        <f>IFERROR(__xludf.DUMMYFUNCTION("""COMPUTED_VALUE"""),"CARUARU")</f>
        <v>CARUARU</v>
      </c>
      <c r="F175" s="62" t="str">
        <f>IFERROR(__xludf.DUMMYFUNCTION("""COMPUTED_VALUE"""),"COOPERADO")</f>
        <v>COOPERADO</v>
      </c>
    </row>
    <row r="176">
      <c r="A176" s="62" t="str">
        <f>IFERROR(__xludf.DUMMYFUNCTION("""COMPUTED_VALUE"""),"ANA PAULA MARQUES")</f>
        <v>ANA PAULA MARQUES</v>
      </c>
      <c r="B176" s="62" t="str">
        <f>IFERROR(__xludf.DUMMYFUNCTION("""COMPUTED_VALUE"""),"AUX. DE HIGIENIZAÇÃO")</f>
        <v>AUX. DE HIGIENIZAÇÃO</v>
      </c>
      <c r="C176" s="62" t="str">
        <f>IFERROR(__xludf.DUMMYFUNCTION("""COMPUTED_VALUE"""),"113.142.334-83")</f>
        <v>113.142.334-83</v>
      </c>
      <c r="D176" s="62" t="str">
        <f>IFERROR(__xludf.DUMMYFUNCTION("""COMPUTED_VALUE"""),"8199145-3943")</f>
        <v>8199145-3943</v>
      </c>
      <c r="E176" s="62" t="str">
        <f>IFERROR(__xludf.DUMMYFUNCTION("""COMPUTED_VALUE"""),"CARUARU")</f>
        <v>CARUARU</v>
      </c>
      <c r="F176" s="62" t="str">
        <f>IFERROR(__xludf.DUMMYFUNCTION("""COMPUTED_VALUE"""),"COOPERADO")</f>
        <v>COOPERADO</v>
      </c>
    </row>
    <row r="177">
      <c r="A177" s="62" t="str">
        <f>IFERROR(__xludf.DUMMYFUNCTION("""COMPUTED_VALUE"""),"ANA PAULA VIDAL DE ARAUJO")</f>
        <v>ANA PAULA VIDAL DE ARAUJO</v>
      </c>
      <c r="B177" s="62" t="str">
        <f>IFERROR(__xludf.DUMMYFUNCTION("""COMPUTED_VALUE"""),"COZINHEIRA")</f>
        <v>COZINHEIRA</v>
      </c>
      <c r="C177" s="62" t="str">
        <f>IFERROR(__xludf.DUMMYFUNCTION("""COMPUTED_VALUE"""),"085.736.694-70")</f>
        <v>085.736.694-70</v>
      </c>
      <c r="D177" s="62" t="str">
        <f>IFERROR(__xludf.DUMMYFUNCTION("""COMPUTED_VALUE"""),"81 9421-5439")</f>
        <v>81 9421-5439</v>
      </c>
      <c r="E177" s="62" t="str">
        <f>IFERROR(__xludf.DUMMYFUNCTION("""COMPUTED_VALUE"""),"CARUARU")</f>
        <v>CARUARU</v>
      </c>
      <c r="F177" s="62" t="str">
        <f>IFERROR(__xludf.DUMMYFUNCTION("""COMPUTED_VALUE"""),"COOPERADO")</f>
        <v>COOPERADO</v>
      </c>
    </row>
    <row r="178">
      <c r="A178" s="62" t="str">
        <f>IFERROR(__xludf.DUMMYFUNCTION("""COMPUTED_VALUE"""),"ANDERSON RICARDO RIBEIRO")</f>
        <v>ANDERSON RICARDO RIBEIRO</v>
      </c>
      <c r="B178" s="62" t="str">
        <f>IFERROR(__xludf.DUMMYFUNCTION("""COMPUTED_VALUE"""),"AUX. DE FARMÁCIA")</f>
        <v>AUX. DE FARMÁCIA</v>
      </c>
      <c r="C178" s="62" t="str">
        <f>IFERROR(__xludf.DUMMYFUNCTION("""COMPUTED_VALUE"""),"064.782.584-56")</f>
        <v>064.782.584-56</v>
      </c>
      <c r="D178" s="62" t="str">
        <f>IFERROR(__xludf.DUMMYFUNCTION("""COMPUTED_VALUE"""),"81 8938-7740")</f>
        <v>81 8938-7740</v>
      </c>
      <c r="E178" s="62" t="str">
        <f>IFERROR(__xludf.DUMMYFUNCTION("""COMPUTED_VALUE"""),"CARUARU")</f>
        <v>CARUARU</v>
      </c>
      <c r="F178" s="62" t="str">
        <f>IFERROR(__xludf.DUMMYFUNCTION("""COMPUTED_VALUE"""),"COOPERADO")</f>
        <v>COOPERADO</v>
      </c>
    </row>
    <row r="179">
      <c r="A179" s="62" t="str">
        <f>IFERROR(__xludf.DUMMYFUNCTION("""COMPUTED_VALUE"""),"ANDREA CARLA DE SOUZA")</f>
        <v>ANDREA CARLA DE SOUZA</v>
      </c>
      <c r="B179" s="62" t="str">
        <f>IFERROR(__xludf.DUMMYFUNCTION("""COMPUTED_VALUE"""),"FARMACÊUTICA")</f>
        <v>FARMACÊUTICA</v>
      </c>
      <c r="C179" s="62" t="str">
        <f>IFERROR(__xludf.DUMMYFUNCTION("""COMPUTED_VALUE"""),"105.217.214-82")</f>
        <v>105.217.214-82</v>
      </c>
      <c r="D179" s="62" t="str">
        <f>IFERROR(__xludf.DUMMYFUNCTION("""COMPUTED_VALUE"""),"81 9267-5227")</f>
        <v>81 9267-5227</v>
      </c>
      <c r="E179" s="62" t="str">
        <f>IFERROR(__xludf.DUMMYFUNCTION("""COMPUTED_VALUE"""),"CARUARU")</f>
        <v>CARUARU</v>
      </c>
      <c r="F179" s="62" t="str">
        <f>IFERROR(__xludf.DUMMYFUNCTION("""COMPUTED_VALUE"""),"COOPERADO")</f>
        <v>COOPERADO</v>
      </c>
    </row>
    <row r="180">
      <c r="A180" s="62" t="str">
        <f>IFERROR(__xludf.DUMMYFUNCTION("""COMPUTED_VALUE"""),"Andrea Karla Silva Nascimento")</f>
        <v>Andrea Karla Silva Nascimento</v>
      </c>
      <c r="B180" s="62" t="str">
        <f>IFERROR(__xludf.DUMMYFUNCTION("""COMPUTED_VALUE"""),"Camareiro(a)")</f>
        <v>Camareiro(a)</v>
      </c>
      <c r="C180" s="62" t="str">
        <f>IFERROR(__xludf.DUMMYFUNCTION("""COMPUTED_VALUE"""),"041.923.014-90")</f>
        <v>041.923.014-90</v>
      </c>
      <c r="D180" s="62" t="str">
        <f>IFERROR(__xludf.DUMMYFUNCTION("""COMPUTED_VALUE"""),"81 9494-8586")</f>
        <v>81 9494-8586</v>
      </c>
      <c r="E180" s="62" t="str">
        <f>IFERROR(__xludf.DUMMYFUNCTION("""COMPUTED_VALUE"""),"CARUARU")</f>
        <v>CARUARU</v>
      </c>
      <c r="F180" s="62" t="str">
        <f>IFERROR(__xludf.DUMMYFUNCTION("""COMPUTED_VALUE"""),"COOPERADO")</f>
        <v>COOPERADO</v>
      </c>
    </row>
    <row r="181">
      <c r="A181" s="62" t="str">
        <f>IFERROR(__xludf.DUMMYFUNCTION("""COMPUTED_VALUE"""),"ANDREIA DOS SANTOS ANDRADE")</f>
        <v>ANDREIA DOS SANTOS ANDRADE</v>
      </c>
      <c r="B181" s="62" t="str">
        <f>IFERROR(__xludf.DUMMYFUNCTION("""COMPUTED_VALUE"""),"TÉC. ENF.")</f>
        <v>TÉC. ENF.</v>
      </c>
      <c r="C181" s="62" t="str">
        <f>IFERROR(__xludf.DUMMYFUNCTION("""COMPUTED_VALUE"""),"666.687.434-04")</f>
        <v>666.687.434-04</v>
      </c>
      <c r="D181" s="62" t="str">
        <f>IFERROR(__xludf.DUMMYFUNCTION("""COMPUTED_VALUE"""),"81 9391-7543")</f>
        <v>81 9391-7543</v>
      </c>
      <c r="E181" s="62" t="str">
        <f>IFERROR(__xludf.DUMMYFUNCTION("""COMPUTED_VALUE"""),"CARUARU")</f>
        <v>CARUARU</v>
      </c>
      <c r="F181" s="62" t="str">
        <f>IFERROR(__xludf.DUMMYFUNCTION("""COMPUTED_VALUE"""),"COOPERADO")</f>
        <v>COOPERADO</v>
      </c>
    </row>
    <row r="182">
      <c r="A182" s="62" t="str">
        <f>IFERROR(__xludf.DUMMYFUNCTION("""COMPUTED_VALUE"""),"ANDREINA MARIA A. DA SILVA")</f>
        <v>ANDREINA MARIA A. DA SILVA</v>
      </c>
      <c r="B182" s="62" t="str">
        <f>IFERROR(__xludf.DUMMYFUNCTION("""COMPUTED_VALUE"""),"TÉC.ENFERMAGEM")</f>
        <v>TÉC.ENFERMAGEM</v>
      </c>
      <c r="C182" s="62" t="str">
        <f>IFERROR(__xludf.DUMMYFUNCTION("""COMPUTED_VALUE"""),"145.430.034-54")</f>
        <v>145.430.034-54</v>
      </c>
      <c r="D182" s="62" t="str">
        <f>IFERROR(__xludf.DUMMYFUNCTION("""COMPUTED_VALUE"""),"81 9364-1879")</f>
        <v>81 9364-1879</v>
      </c>
      <c r="E182" s="62" t="str">
        <f>IFERROR(__xludf.DUMMYFUNCTION("""COMPUTED_VALUE"""),"CARUARU")</f>
        <v>CARUARU</v>
      </c>
      <c r="F182" s="62" t="str">
        <f>IFERROR(__xludf.DUMMYFUNCTION("""COMPUTED_VALUE"""),"COOPERADO")</f>
        <v>COOPERADO</v>
      </c>
    </row>
    <row r="183">
      <c r="A183" s="62" t="str">
        <f>IFERROR(__xludf.DUMMYFUNCTION("""COMPUTED_VALUE"""),"ANDREZA DA SILVA COSTA")</f>
        <v>ANDREZA DA SILVA COSTA</v>
      </c>
      <c r="B183" s="62" t="str">
        <f>IFERROR(__xludf.DUMMYFUNCTION("""COMPUTED_VALUE"""),"AUX DE HIGIENIZAÇÃO")</f>
        <v>AUX DE HIGIENIZAÇÃO</v>
      </c>
      <c r="C183" s="62" t="str">
        <f>IFERROR(__xludf.DUMMYFUNCTION("""COMPUTED_VALUE"""),"710.772.524-63")</f>
        <v>710.772.524-63</v>
      </c>
      <c r="D183" s="62" t="str">
        <f>IFERROR(__xludf.DUMMYFUNCTION("""COMPUTED_VALUE"""),"81 8927-7023")</f>
        <v>81 8927-7023</v>
      </c>
      <c r="E183" s="62" t="str">
        <f>IFERROR(__xludf.DUMMYFUNCTION("""COMPUTED_VALUE"""),"CARUARU")</f>
        <v>CARUARU</v>
      </c>
      <c r="F183" s="62" t="str">
        <f>IFERROR(__xludf.DUMMYFUNCTION("""COMPUTED_VALUE"""),"COOPERADO")</f>
        <v>COOPERADO</v>
      </c>
    </row>
    <row r="184">
      <c r="A184" s="62" t="str">
        <f>IFERROR(__xludf.DUMMYFUNCTION("""COMPUTED_VALUE"""),"ANDREZA MONTEIRO DA SILVA")</f>
        <v>ANDREZA MONTEIRO DA SILVA</v>
      </c>
      <c r="B184" s="62" t="str">
        <f>IFERROR(__xludf.DUMMYFUNCTION("""COMPUTED_VALUE"""),"AUX DE HIGIENIZAÇÃO")</f>
        <v>AUX DE HIGIENIZAÇÃO</v>
      </c>
      <c r="C184" s="62" t="str">
        <f>IFERROR(__xludf.DUMMYFUNCTION("""COMPUTED_VALUE"""),"715.551.424-19")</f>
        <v>715.551.424-19</v>
      </c>
      <c r="D184" s="62" t="str">
        <f>IFERROR(__xludf.DUMMYFUNCTION("""COMPUTED_VALUE"""),"81 9407-5482")</f>
        <v>81 9407-5482</v>
      </c>
      <c r="E184" s="62" t="str">
        <f>IFERROR(__xludf.DUMMYFUNCTION("""COMPUTED_VALUE"""),"CARUARU")</f>
        <v>CARUARU</v>
      </c>
      <c r="F184" s="62" t="str">
        <f>IFERROR(__xludf.DUMMYFUNCTION("""COMPUTED_VALUE"""),"COOPERADO")</f>
        <v>COOPERADO</v>
      </c>
    </row>
    <row r="185">
      <c r="A185" s="62" t="str">
        <f>IFERROR(__xludf.DUMMYFUNCTION("""COMPUTED_VALUE"""),"ANDREZA RAYANE DE ANDRADE")</f>
        <v>ANDREZA RAYANE DE ANDRADE</v>
      </c>
      <c r="B185" s="62" t="str">
        <f>IFERROR(__xludf.DUMMYFUNCTION("""COMPUTED_VALUE"""),"TÉC. ENF. ")</f>
        <v>TÉC. ENF. </v>
      </c>
      <c r="C185" s="62" t="str">
        <f>IFERROR(__xludf.DUMMYFUNCTION("""COMPUTED_VALUE"""),"113.226.254-25")</f>
        <v>113.226.254-25</v>
      </c>
      <c r="D185" s="62" t="str">
        <f>IFERROR(__xludf.DUMMYFUNCTION("""COMPUTED_VALUE"""),"8199510-0607")</f>
        <v>8199510-0607</v>
      </c>
      <c r="E185" s="62" t="str">
        <f>IFERROR(__xludf.DUMMYFUNCTION("""COMPUTED_VALUE"""),"CARUARU")</f>
        <v>CARUARU</v>
      </c>
      <c r="F185" s="62" t="str">
        <f>IFERROR(__xludf.DUMMYFUNCTION("""COMPUTED_VALUE"""),"COOPERADO")</f>
        <v>COOPERADO</v>
      </c>
    </row>
    <row r="186">
      <c r="A186" s="62" t="str">
        <f>IFERROR(__xludf.DUMMYFUNCTION("""COMPUTED_VALUE"""),"Angela Correia Da Silva Mariano")</f>
        <v>Angela Correia Da Silva Mariano</v>
      </c>
      <c r="B186" s="62" t="str">
        <f>IFERROR(__xludf.DUMMYFUNCTION("""COMPUTED_VALUE"""),"Téc. Enf.")</f>
        <v>Téc. Enf.</v>
      </c>
      <c r="C186" s="62" t="str">
        <f>IFERROR(__xludf.DUMMYFUNCTION("""COMPUTED_VALUE"""),"488.442.684-34")</f>
        <v>488.442.684-34</v>
      </c>
      <c r="D186" s="62" t="str">
        <f>IFERROR(__xludf.DUMMYFUNCTION("""COMPUTED_VALUE"""),"81 9483-3188")</f>
        <v>81 9483-3188</v>
      </c>
      <c r="E186" s="62" t="str">
        <f>IFERROR(__xludf.DUMMYFUNCTION("""COMPUTED_VALUE"""),"CARUARU")</f>
        <v>CARUARU</v>
      </c>
      <c r="F186" s="62" t="str">
        <f>IFERROR(__xludf.DUMMYFUNCTION("""COMPUTED_VALUE"""),"COOPERADO")</f>
        <v>COOPERADO</v>
      </c>
    </row>
    <row r="187">
      <c r="A187" s="62" t="str">
        <f>IFERROR(__xludf.DUMMYFUNCTION("""COMPUTED_VALUE"""),"ANGELA CRISTINA PAULINA FERREIRA ACIOLI")</f>
        <v>ANGELA CRISTINA PAULINA FERREIRA ACIOLI</v>
      </c>
      <c r="B187" s="62" t="str">
        <f>IFERROR(__xludf.DUMMYFUNCTION("""COMPUTED_VALUE"""),"TÉC.ENFERMAGEM")</f>
        <v>TÉC.ENFERMAGEM</v>
      </c>
      <c r="C187" s="62" t="str">
        <f>IFERROR(__xludf.DUMMYFUNCTION("""COMPUTED_VALUE"""),"754.764.954-87")</f>
        <v>754.764.954-87</v>
      </c>
      <c r="D187" s="62" t="str">
        <f>IFERROR(__xludf.DUMMYFUNCTION("""COMPUTED_VALUE""")," 81 8565-6270")</f>
        <v> 81 8565-6270</v>
      </c>
      <c r="E187" s="62" t="str">
        <f>IFERROR(__xludf.DUMMYFUNCTION("""COMPUTED_VALUE"""),"CARUARU")</f>
        <v>CARUARU</v>
      </c>
      <c r="F187" s="62" t="str">
        <f>IFERROR(__xludf.DUMMYFUNCTION("""COMPUTED_VALUE"""),"COOPERADO")</f>
        <v>COOPERADO</v>
      </c>
    </row>
    <row r="188">
      <c r="A188" s="62" t="str">
        <f>IFERROR(__xludf.DUMMYFUNCTION("""COMPUTED_VALUE"""),"ANGELA VALÉRIA")</f>
        <v>ANGELA VALÉRIA</v>
      </c>
      <c r="B188" s="62" t="str">
        <f>IFERROR(__xludf.DUMMYFUNCTION("""COMPUTED_VALUE"""),"AUX. DE FARMÁCIA")</f>
        <v>AUX. DE FARMÁCIA</v>
      </c>
      <c r="C188" s="62" t="str">
        <f>IFERROR(__xludf.DUMMYFUNCTION("""COMPUTED_VALUE"""),"122.726.844-08")</f>
        <v>122.726.844-08</v>
      </c>
      <c r="D188" s="62" t="str">
        <f>IFERROR(__xludf.DUMMYFUNCTION("""COMPUTED_VALUE"""),"81 7339-7460")</f>
        <v>81 7339-7460</v>
      </c>
      <c r="E188" s="62" t="str">
        <f>IFERROR(__xludf.DUMMYFUNCTION("""COMPUTED_VALUE"""),"CARUARU")</f>
        <v>CARUARU</v>
      </c>
      <c r="F188" s="62" t="str">
        <f>IFERROR(__xludf.DUMMYFUNCTION("""COMPUTED_VALUE"""),"COOPERADO")</f>
        <v>COOPERADO</v>
      </c>
    </row>
    <row r="189">
      <c r="A189" s="62" t="str">
        <f>IFERROR(__xludf.DUMMYFUNCTION("""COMPUTED_VALUE"""),"ANGELICA MELO DE FREITAS")</f>
        <v>ANGELICA MELO DE FREITAS</v>
      </c>
      <c r="B189" s="62" t="str">
        <f>IFERROR(__xludf.DUMMYFUNCTION("""COMPUTED_VALUE"""),"TÉC. ENF.")</f>
        <v>TÉC. ENF.</v>
      </c>
      <c r="C189" s="62" t="str">
        <f>IFERROR(__xludf.DUMMYFUNCTION("""COMPUTED_VALUE"""),"447.455.508-20")</f>
        <v>447.455.508-20</v>
      </c>
      <c r="D189" s="62" t="str">
        <f>IFERROR(__xludf.DUMMYFUNCTION("""COMPUTED_VALUE"""),"81 8977-8350")</f>
        <v>81 8977-8350</v>
      </c>
      <c r="E189" s="62" t="str">
        <f>IFERROR(__xludf.DUMMYFUNCTION("""COMPUTED_VALUE"""),"CARUARU")</f>
        <v>CARUARU</v>
      </c>
      <c r="F189" s="62" t="str">
        <f>IFERROR(__xludf.DUMMYFUNCTION("""COMPUTED_VALUE"""),"COOPERADO")</f>
        <v>COOPERADO</v>
      </c>
    </row>
    <row r="190">
      <c r="A190" s="62" t="str">
        <f>IFERROR(__xludf.DUMMYFUNCTION("""COMPUTED_VALUE"""),"ANGELICA MONTEIRO DA SILVA")</f>
        <v>ANGELICA MONTEIRO DA SILVA</v>
      </c>
      <c r="B190" s="62" t="str">
        <f>IFERROR(__xludf.DUMMYFUNCTION("""COMPUTED_VALUE"""),"TÉC. ENF.")</f>
        <v>TÉC. ENF.</v>
      </c>
      <c r="C190" s="62" t="str">
        <f>IFERROR(__xludf.DUMMYFUNCTION("""COMPUTED_VALUE"""),"109.868.444-38")</f>
        <v>109.868.444-38</v>
      </c>
      <c r="D190" s="62" t="str">
        <f>IFERROR(__xludf.DUMMYFUNCTION("""COMPUTED_VALUE"""),"81 9321-2769")</f>
        <v>81 9321-2769</v>
      </c>
      <c r="E190" s="62" t="str">
        <f>IFERROR(__xludf.DUMMYFUNCTION("""COMPUTED_VALUE"""),"CARUARU")</f>
        <v>CARUARU</v>
      </c>
      <c r="F190" s="62" t="str">
        <f>IFERROR(__xludf.DUMMYFUNCTION("""COMPUTED_VALUE"""),"COOPERADO")</f>
        <v>COOPERADO</v>
      </c>
    </row>
    <row r="191">
      <c r="A191" s="62" t="str">
        <f>IFERROR(__xludf.DUMMYFUNCTION("""COMPUTED_VALUE"""),"ANGELITA DE BRITO SOBRINHO")</f>
        <v>ANGELITA DE BRITO SOBRINHO</v>
      </c>
      <c r="B191" s="62" t="str">
        <f>IFERROR(__xludf.DUMMYFUNCTION("""COMPUTED_VALUE"""),"TÉC. ENF.")</f>
        <v>TÉC. ENF.</v>
      </c>
      <c r="C191" s="62" t="str">
        <f>IFERROR(__xludf.DUMMYFUNCTION("""COMPUTED_VALUE"""),"867.885.314-04")</f>
        <v>867.885.314-04</v>
      </c>
      <c r="D191" s="62" t="str">
        <f>IFERROR(__xludf.DUMMYFUNCTION("""COMPUTED_VALUE"""),"87 9992-5882")</f>
        <v>87 9992-5882</v>
      </c>
      <c r="E191" s="62" t="str">
        <f>IFERROR(__xludf.DUMMYFUNCTION("""COMPUTED_VALUE"""),"CARUARU")</f>
        <v>CARUARU</v>
      </c>
      <c r="F191" s="62" t="str">
        <f>IFERROR(__xludf.DUMMYFUNCTION("""COMPUTED_VALUE"""),"COOPERADO")</f>
        <v>COOPERADO</v>
      </c>
    </row>
    <row r="192">
      <c r="A192" s="62" t="str">
        <f>IFERROR(__xludf.DUMMYFUNCTION("""COMPUTED_VALUE"""),"ANIEDJA HELENA DA SILVA SOARES")</f>
        <v>ANIEDJA HELENA DA SILVA SOARES</v>
      </c>
      <c r="B192" s="62" t="str">
        <f>IFERROR(__xludf.DUMMYFUNCTION("""COMPUTED_VALUE"""),"COPEIRA")</f>
        <v>COPEIRA</v>
      </c>
      <c r="C192" s="62" t="str">
        <f>IFERROR(__xludf.DUMMYFUNCTION("""COMPUTED_VALUE"""),"078.830.044-09")</f>
        <v>078.830.044-09</v>
      </c>
      <c r="D192" s="62" t="str">
        <f>IFERROR(__xludf.DUMMYFUNCTION("""COMPUTED_VALUE"""),"81 9754-1572")</f>
        <v>81 9754-1572</v>
      </c>
      <c r="E192" s="62" t="str">
        <f>IFERROR(__xludf.DUMMYFUNCTION("""COMPUTED_VALUE"""),"CARUARU")</f>
        <v>CARUARU</v>
      </c>
      <c r="F192" s="62" t="str">
        <f>IFERROR(__xludf.DUMMYFUNCTION("""COMPUTED_VALUE"""),"COOPERADO")</f>
        <v>COOPERADO</v>
      </c>
    </row>
    <row r="193">
      <c r="A193" s="62" t="str">
        <f>IFERROR(__xludf.DUMMYFUNCTION("""COMPUTED_VALUE"""),"ANNA CAROLINA MELO LEITE DE PESSOA")</f>
        <v>ANNA CAROLINA MELO LEITE DE PESSOA</v>
      </c>
      <c r="B193" s="62" t="str">
        <f>IFERROR(__xludf.DUMMYFUNCTION("""COMPUTED_VALUE"""),"TÉC. ENF.")</f>
        <v>TÉC. ENF.</v>
      </c>
      <c r="C193" s="62" t="str">
        <f>IFERROR(__xludf.DUMMYFUNCTION("""COMPUTED_VALUE"""),"142.134.114-00")</f>
        <v>142.134.114-00</v>
      </c>
      <c r="D193" s="62" t="str">
        <f>IFERROR(__xludf.DUMMYFUNCTION("""COMPUTED_VALUE"""),"81 9432-8717")</f>
        <v>81 9432-8717</v>
      </c>
      <c r="E193" s="62" t="str">
        <f>IFERROR(__xludf.DUMMYFUNCTION("""COMPUTED_VALUE"""),"CARUARU")</f>
        <v>CARUARU</v>
      </c>
      <c r="F193" s="62" t="str">
        <f>IFERROR(__xludf.DUMMYFUNCTION("""COMPUTED_VALUE"""),"COOPERADO")</f>
        <v>COOPERADO</v>
      </c>
    </row>
    <row r="194">
      <c r="A194" s="62" t="str">
        <f>IFERROR(__xludf.DUMMYFUNCTION("""COMPUTED_VALUE"""),"ANNA JULIA DA SILVA PEDROSA")</f>
        <v>ANNA JULIA DA SILVA PEDROSA</v>
      </c>
      <c r="B194" s="62" t="str">
        <f>IFERROR(__xludf.DUMMYFUNCTION("""COMPUTED_VALUE"""),"RECEPCIONISTA")</f>
        <v>RECEPCIONISTA</v>
      </c>
      <c r="C194" s="62" t="str">
        <f>IFERROR(__xludf.DUMMYFUNCTION("""COMPUTED_VALUE"""),"114.706.434-21")</f>
        <v>114.706.434-21</v>
      </c>
      <c r="D194" s="62" t="str">
        <f>IFERROR(__xludf.DUMMYFUNCTION("""COMPUTED_VALUE"""),"81 9134-5000")</f>
        <v>81 9134-5000</v>
      </c>
      <c r="E194" s="62" t="str">
        <f>IFERROR(__xludf.DUMMYFUNCTION("""COMPUTED_VALUE"""),"CARUARU")</f>
        <v>CARUARU</v>
      </c>
      <c r="F194" s="62" t="str">
        <f>IFERROR(__xludf.DUMMYFUNCTION("""COMPUTED_VALUE"""),"COOPERADO")</f>
        <v>COOPERADO</v>
      </c>
    </row>
    <row r="195">
      <c r="A195" s="62" t="str">
        <f>IFERROR(__xludf.DUMMYFUNCTION("""COMPUTED_VALUE"""),"ANTONIO MORAIS VILANOVA")</f>
        <v>ANTONIO MORAIS VILANOVA</v>
      </c>
      <c r="B195" s="62" t="str">
        <f>IFERROR(__xludf.DUMMYFUNCTION("""COMPUTED_VALUE"""),"TÉC.ENFERMAGEM")</f>
        <v>TÉC.ENFERMAGEM</v>
      </c>
      <c r="C195" s="62" t="str">
        <f>IFERROR(__xludf.DUMMYFUNCTION("""COMPUTED_VALUE"""),"530.143.914-68")</f>
        <v>530.143.914-68</v>
      </c>
      <c r="D195" s="62" t="str">
        <f>IFERROR(__xludf.DUMMYFUNCTION("""COMPUTED_VALUE"""),"81 9143-1074")</f>
        <v>81 9143-1074</v>
      </c>
      <c r="E195" s="62" t="str">
        <f>IFERROR(__xludf.DUMMYFUNCTION("""COMPUTED_VALUE"""),"CARUARU")</f>
        <v>CARUARU</v>
      </c>
      <c r="F195" s="62" t="str">
        <f>IFERROR(__xludf.DUMMYFUNCTION("""COMPUTED_VALUE"""),"COOPERADO")</f>
        <v>COOPERADO</v>
      </c>
    </row>
    <row r="196">
      <c r="A196" s="62" t="str">
        <f>IFERROR(__xludf.DUMMYFUNCTION("""COMPUTED_VALUE"""),"ANTONIO VICTOR RIBEIRO DE SOUZA SILVA")</f>
        <v>ANTONIO VICTOR RIBEIRO DE SOUZA SILVA</v>
      </c>
      <c r="B196" s="62" t="str">
        <f>IFERROR(__xludf.DUMMYFUNCTION("""COMPUTED_VALUE"""),"AUX. DE FARMÁCIA")</f>
        <v>AUX. DE FARMÁCIA</v>
      </c>
      <c r="C196" s="62" t="str">
        <f>IFERROR(__xludf.DUMMYFUNCTION("""COMPUTED_VALUE"""),"113.135.944-58")</f>
        <v>113.135.944-58</v>
      </c>
      <c r="D196" s="62" t="str">
        <f>IFERROR(__xludf.DUMMYFUNCTION("""COMPUTED_VALUE"""),"81 9756-3727")</f>
        <v>81 9756-3727</v>
      </c>
      <c r="E196" s="62" t="str">
        <f>IFERROR(__xludf.DUMMYFUNCTION("""COMPUTED_VALUE"""),"CARUARU")</f>
        <v>CARUARU</v>
      </c>
      <c r="F196" s="62" t="str">
        <f>IFERROR(__xludf.DUMMYFUNCTION("""COMPUTED_VALUE"""),"COOPERADO")</f>
        <v>COOPERADO</v>
      </c>
    </row>
    <row r="197">
      <c r="A197" s="62" t="str">
        <f>IFERROR(__xludf.DUMMYFUNCTION("""COMPUTED_VALUE"""),"ARLANY BATISTA BENTO")</f>
        <v>ARLANY BATISTA BENTO</v>
      </c>
      <c r="B197" s="62" t="str">
        <f>IFERROR(__xludf.DUMMYFUNCTION("""COMPUTED_VALUE"""),"TÉC. ENF.")</f>
        <v>TÉC. ENF.</v>
      </c>
      <c r="C197" s="62" t="str">
        <f>IFERROR(__xludf.DUMMYFUNCTION("""COMPUTED_VALUE"""),"123.433.914-59")</f>
        <v>123.433.914-59</v>
      </c>
      <c r="D197" s="62" t="str">
        <f>IFERROR(__xludf.DUMMYFUNCTION("""COMPUTED_VALUE"""),"87 9157-1598")</f>
        <v>87 9157-1598</v>
      </c>
      <c r="E197" s="62" t="str">
        <f>IFERROR(__xludf.DUMMYFUNCTION("""COMPUTED_VALUE"""),"CARUARU")</f>
        <v>CARUARU</v>
      </c>
      <c r="F197" s="62" t="str">
        <f>IFERROR(__xludf.DUMMYFUNCTION("""COMPUTED_VALUE"""),"COOPERADO")</f>
        <v>COOPERADO</v>
      </c>
    </row>
    <row r="198">
      <c r="A198" s="62" t="str">
        <f>IFERROR(__xludf.DUMMYFUNCTION("""COMPUTED_VALUE"""),"ARTEMISIO JOSE DA SILVA FILHO")</f>
        <v>ARTEMISIO JOSE DA SILVA FILHO</v>
      </c>
      <c r="B198" s="62" t="str">
        <f>IFERROR(__xludf.DUMMYFUNCTION("""COMPUTED_VALUE"""),"ASSISTENTE ADMINISTRATIVO")</f>
        <v>ASSISTENTE ADMINISTRATIVO</v>
      </c>
      <c r="C198" s="62" t="str">
        <f>IFERROR(__xludf.DUMMYFUNCTION("""COMPUTED_VALUE"""),"707.885.934-04")</f>
        <v>707.885.934-04</v>
      </c>
      <c r="D198" s="62" t="str">
        <f>IFERROR(__xludf.DUMMYFUNCTION("""COMPUTED_VALUE"""),"81 9967-7432")</f>
        <v>81 9967-7432</v>
      </c>
      <c r="E198" s="62" t="str">
        <f>IFERROR(__xludf.DUMMYFUNCTION("""COMPUTED_VALUE"""),"CARUARU")</f>
        <v>CARUARU</v>
      </c>
      <c r="F198" s="62" t="str">
        <f>IFERROR(__xludf.DUMMYFUNCTION("""COMPUTED_VALUE"""),"COOPERADO")</f>
        <v>COOPERADO</v>
      </c>
    </row>
    <row r="199">
      <c r="A199" s="62" t="str">
        <f>IFERROR(__xludf.DUMMYFUNCTION("""COMPUTED_VALUE"""),"ARTHUR VICTOR C. DE FARIAS")</f>
        <v>ARTHUR VICTOR C. DE FARIAS</v>
      </c>
      <c r="B199" s="62" t="str">
        <f>IFERROR(__xludf.DUMMYFUNCTION("""COMPUTED_VALUE"""),"ENFERMEIRO (A)")</f>
        <v>ENFERMEIRO (A)</v>
      </c>
      <c r="C199" s="62" t="str">
        <f>IFERROR(__xludf.DUMMYFUNCTION("""COMPUTED_VALUE"""),"117.174.854-05")</f>
        <v>117.174.854-05</v>
      </c>
      <c r="D199" s="62" t="str">
        <f>IFERROR(__xludf.DUMMYFUNCTION("""COMPUTED_VALUE"""),"81 9596-0001")</f>
        <v>81 9596-0001</v>
      </c>
      <c r="E199" s="62" t="str">
        <f>IFERROR(__xludf.DUMMYFUNCTION("""COMPUTED_VALUE"""),"CARUARU")</f>
        <v>CARUARU</v>
      </c>
      <c r="F199" s="62" t="str">
        <f>IFERROR(__xludf.DUMMYFUNCTION("""COMPUTED_VALUE"""),"COOPERADO")</f>
        <v>COOPERADO</v>
      </c>
    </row>
    <row r="200">
      <c r="A200" s="62" t="str">
        <f>IFERROR(__xludf.DUMMYFUNCTION("""COMPUTED_VALUE"""),"ARYANE LIRA DE CARVALHO PRADO")</f>
        <v>ARYANE LIRA DE CARVALHO PRADO</v>
      </c>
      <c r="B200" s="62" t="str">
        <f>IFERROR(__xludf.DUMMYFUNCTION("""COMPUTED_VALUE"""),"RECEPCIONISTA")</f>
        <v>RECEPCIONISTA</v>
      </c>
      <c r="C200" s="62" t="str">
        <f>IFERROR(__xludf.DUMMYFUNCTION("""COMPUTED_VALUE"""),"003.078.952-46")</f>
        <v>003.078.952-46</v>
      </c>
      <c r="D200" s="62" t="str">
        <f>IFERROR(__xludf.DUMMYFUNCTION("""COMPUTED_VALUE"""),"81 9558-5872")</f>
        <v>81 9558-5872</v>
      </c>
      <c r="E200" s="62" t="str">
        <f>IFERROR(__xludf.DUMMYFUNCTION("""COMPUTED_VALUE"""),"CARUARU")</f>
        <v>CARUARU</v>
      </c>
      <c r="F200" s="62" t="str">
        <f>IFERROR(__xludf.DUMMYFUNCTION("""COMPUTED_VALUE"""),"COOPERADO")</f>
        <v>COOPERADO</v>
      </c>
    </row>
    <row r="201">
      <c r="A201" s="62" t="str">
        <f>IFERROR(__xludf.DUMMYFUNCTION("""COMPUTED_VALUE"""),"AUDERY ALMEIDA PIRES")</f>
        <v>AUDERY ALMEIDA PIRES</v>
      </c>
      <c r="B201" s="62" t="str">
        <f>IFERROR(__xludf.DUMMYFUNCTION("""COMPUTED_VALUE"""),"AUX DE HIGIENIZAÇÃO")</f>
        <v>AUX DE HIGIENIZAÇÃO</v>
      </c>
      <c r="C201" s="62" t="str">
        <f>IFERROR(__xludf.DUMMYFUNCTION("""COMPUTED_VALUE"""),"166.926.504-88")</f>
        <v>166.926.504-88</v>
      </c>
      <c r="D201" s="62" t="str">
        <f>IFERROR(__xludf.DUMMYFUNCTION("""COMPUTED_VALUE""")," 83 9627-0755")</f>
        <v> 83 9627-0755</v>
      </c>
      <c r="E201" s="62" t="str">
        <f>IFERROR(__xludf.DUMMYFUNCTION("""COMPUTED_VALUE"""),"CARUARU")</f>
        <v>CARUARU</v>
      </c>
      <c r="F201" s="62" t="str">
        <f>IFERROR(__xludf.DUMMYFUNCTION("""COMPUTED_VALUE"""),"COOPERADO")</f>
        <v>COOPERADO</v>
      </c>
    </row>
    <row r="202">
      <c r="A202" s="62" t="str">
        <f>IFERROR(__xludf.DUMMYFUNCTION("""COMPUTED_VALUE"""),"AUDICÉLIA LUZINEIDE BRAZILEIRO")</f>
        <v>AUDICÉLIA LUZINEIDE BRAZILEIRO</v>
      </c>
      <c r="B202" s="62" t="str">
        <f>IFERROR(__xludf.DUMMYFUNCTION("""COMPUTED_VALUE"""),"TÉC. ENF.")</f>
        <v>TÉC. ENF.</v>
      </c>
      <c r="C202" s="62" t="str">
        <f>IFERROR(__xludf.DUMMYFUNCTION("""COMPUTED_VALUE"""),"143.641.974-32")</f>
        <v>143.641.974-32</v>
      </c>
      <c r="D202" s="62" t="str">
        <f>IFERROR(__xludf.DUMMYFUNCTION("""COMPUTED_VALUE"""),"81 9652-3621")</f>
        <v>81 9652-3621</v>
      </c>
      <c r="E202" s="62" t="str">
        <f>IFERROR(__xludf.DUMMYFUNCTION("""COMPUTED_VALUE"""),"CARUARU")</f>
        <v>CARUARU</v>
      </c>
      <c r="F202" s="62" t="str">
        <f>IFERROR(__xludf.DUMMYFUNCTION("""COMPUTED_VALUE"""),"COOPERADO")</f>
        <v>COOPERADO</v>
      </c>
    </row>
    <row r="203">
      <c r="A203" s="62" t="str">
        <f>IFERROR(__xludf.DUMMYFUNCTION("""COMPUTED_VALUE"""),"Aurea Maria De Oliveira Silva")</f>
        <v>Aurea Maria De Oliveira Silva</v>
      </c>
      <c r="B203" s="62" t="str">
        <f>IFERROR(__xludf.DUMMYFUNCTION("""COMPUTED_VALUE"""),"Téc. Enf.")</f>
        <v>Téc. Enf.</v>
      </c>
      <c r="C203" s="62" t="str">
        <f>IFERROR(__xludf.DUMMYFUNCTION("""COMPUTED_VALUE"""),"038.593.784-90")</f>
        <v>038.593.784-90</v>
      </c>
      <c r="D203" s="62" t="str">
        <f>IFERROR(__xludf.DUMMYFUNCTION("""COMPUTED_VALUE"""),"81 9853-1174")</f>
        <v>81 9853-1174</v>
      </c>
      <c r="E203" s="62" t="str">
        <f>IFERROR(__xludf.DUMMYFUNCTION("""COMPUTED_VALUE"""),"CARUARU")</f>
        <v>CARUARU</v>
      </c>
      <c r="F203" s="62" t="str">
        <f>IFERROR(__xludf.DUMMYFUNCTION("""COMPUTED_VALUE"""),"COOPERADO")</f>
        <v>COOPERADO</v>
      </c>
    </row>
    <row r="204">
      <c r="A204" s="62" t="str">
        <f>IFERROR(__xludf.DUMMYFUNCTION("""COMPUTED_VALUE"""),"Bartyra Fernanda Silva Pereira")</f>
        <v>Bartyra Fernanda Silva Pereira</v>
      </c>
      <c r="B204" s="62" t="str">
        <f>IFERROR(__xludf.DUMMYFUNCTION("""COMPUTED_VALUE"""),"Auxiliar de Higienização")</f>
        <v>Auxiliar de Higienização</v>
      </c>
      <c r="C204" s="62" t="str">
        <f>IFERROR(__xludf.DUMMYFUNCTION("""COMPUTED_VALUE"""),"050.866.264-80")</f>
        <v>050.866.264-80</v>
      </c>
      <c r="D204" s="62" t="str">
        <f>IFERROR(__xludf.DUMMYFUNCTION("""COMPUTED_VALUE"""),"81 8981-4980")</f>
        <v>81 8981-4980</v>
      </c>
      <c r="E204" s="62" t="str">
        <f>IFERROR(__xludf.DUMMYFUNCTION("""COMPUTED_VALUE"""),"CARUARU")</f>
        <v>CARUARU</v>
      </c>
      <c r="F204" s="62" t="str">
        <f>IFERROR(__xludf.DUMMYFUNCTION("""COMPUTED_VALUE"""),"COOPERADO")</f>
        <v>COOPERADO</v>
      </c>
    </row>
    <row r="205">
      <c r="A205" s="62" t="str">
        <f>IFERROR(__xludf.DUMMYFUNCTION("""COMPUTED_VALUE"""),"BEATRIZ MARQUES DE OLIVEIRA")</f>
        <v>BEATRIZ MARQUES DE OLIVEIRA</v>
      </c>
      <c r="B205" s="62" t="str">
        <f>IFERROR(__xludf.DUMMYFUNCTION("""COMPUTED_VALUE"""),"TÉC.ENFERMAGEM")</f>
        <v>TÉC.ENFERMAGEM</v>
      </c>
      <c r="C205" s="62" t="str">
        <f>IFERROR(__xludf.DUMMYFUNCTION("""COMPUTED_VALUE"""),"712.086.34-24")</f>
        <v>712.086.34-24</v>
      </c>
      <c r="D205" s="62" t="str">
        <f>IFERROR(__xludf.DUMMYFUNCTION("""COMPUTED_VALUE"""),"81 9159-9721")</f>
        <v>81 9159-9721</v>
      </c>
      <c r="E205" s="62" t="str">
        <f>IFERROR(__xludf.DUMMYFUNCTION("""COMPUTED_VALUE"""),"CARUARU")</f>
        <v>CARUARU</v>
      </c>
      <c r="F205" s="62" t="str">
        <f>IFERROR(__xludf.DUMMYFUNCTION("""COMPUTED_VALUE"""),"COOPERADO")</f>
        <v>COOPERADO</v>
      </c>
    </row>
    <row r="206">
      <c r="A206" s="62" t="str">
        <f>IFERROR(__xludf.DUMMYFUNCTION("""COMPUTED_VALUE"""),"BRUNA GAMA DOS SANTOS")</f>
        <v>BRUNA GAMA DOS SANTOS</v>
      </c>
      <c r="B206" s="62" t="str">
        <f>IFERROR(__xludf.DUMMYFUNCTION("""COMPUTED_VALUE"""),"ENFERMEIRO (A)")</f>
        <v>ENFERMEIRO (A)</v>
      </c>
      <c r="C206" s="62" t="str">
        <f>IFERROR(__xludf.DUMMYFUNCTION("""COMPUTED_VALUE"""),"115.212.714-45")</f>
        <v>115.212.714-45</v>
      </c>
      <c r="D206" s="62" t="str">
        <f>IFERROR(__xludf.DUMMYFUNCTION("""COMPUTED_VALUE"""),"81 8234-2223")</f>
        <v>81 8234-2223</v>
      </c>
      <c r="E206" s="62" t="str">
        <f>IFERROR(__xludf.DUMMYFUNCTION("""COMPUTED_VALUE"""),"CARUARU")</f>
        <v>CARUARU</v>
      </c>
      <c r="F206" s="62" t="str">
        <f>IFERROR(__xludf.DUMMYFUNCTION("""COMPUTED_VALUE"""),"COOPERADO")</f>
        <v>COOPERADO</v>
      </c>
    </row>
    <row r="207">
      <c r="A207" s="62" t="str">
        <f>IFERROR(__xludf.DUMMYFUNCTION("""COMPUTED_VALUE"""),"CAIO ROBERTO LIMA DE OLIVEIRA RAMOS")</f>
        <v>CAIO ROBERTO LIMA DE OLIVEIRA RAMOS</v>
      </c>
      <c r="B207" s="62" t="str">
        <f>IFERROR(__xludf.DUMMYFUNCTION("""COMPUTED_VALUE"""),"ASSISTENTE ADMINISTRATIVO")</f>
        <v>ASSISTENTE ADMINISTRATIVO</v>
      </c>
      <c r="C207" s="62" t="str">
        <f>IFERROR(__xludf.DUMMYFUNCTION("""COMPUTED_VALUE"""),"083.234.044-88")</f>
        <v>083.234.044-88</v>
      </c>
      <c r="D207" s="62" t="str">
        <f>IFERROR(__xludf.DUMMYFUNCTION("""COMPUTED_VALUE"""),"81 7334-4954")</f>
        <v>81 7334-4954</v>
      </c>
      <c r="E207" s="62" t="str">
        <f>IFERROR(__xludf.DUMMYFUNCTION("""COMPUTED_VALUE"""),"CARUARU")</f>
        <v>CARUARU</v>
      </c>
      <c r="F207" s="62" t="str">
        <f>IFERROR(__xludf.DUMMYFUNCTION("""COMPUTED_VALUE"""),"COOPERADO")</f>
        <v>COOPERADO</v>
      </c>
    </row>
    <row r="208">
      <c r="A208" s="62" t="str">
        <f>IFERROR(__xludf.DUMMYFUNCTION("""COMPUTED_VALUE"""),"CALINE MILENE A. SANTOS")</f>
        <v>CALINE MILENE A. SANTOS</v>
      </c>
      <c r="B208" s="62" t="str">
        <f>IFERROR(__xludf.DUMMYFUNCTION("""COMPUTED_VALUE"""),"Flebotomista")</f>
        <v>Flebotomista</v>
      </c>
      <c r="C208" s="62" t="str">
        <f>IFERROR(__xludf.DUMMYFUNCTION("""COMPUTED_VALUE"""),"130.542.654-12")</f>
        <v>130.542.654-12</v>
      </c>
      <c r="D208" s="62" t="str">
        <f>IFERROR(__xludf.DUMMYFUNCTION("""COMPUTED_VALUE"""),"81 9426-2903")</f>
        <v>81 9426-2903</v>
      </c>
      <c r="E208" s="62" t="str">
        <f>IFERROR(__xludf.DUMMYFUNCTION("""COMPUTED_VALUE"""),"CARUARU")</f>
        <v>CARUARU</v>
      </c>
      <c r="F208" s="62" t="str">
        <f>IFERROR(__xludf.DUMMYFUNCTION("""COMPUTED_VALUE"""),"COOPERADO")</f>
        <v>COOPERADO</v>
      </c>
    </row>
    <row r="209">
      <c r="A209" s="62" t="str">
        <f>IFERROR(__xludf.DUMMYFUNCTION("""COMPUTED_VALUE"""),"CAMILA CAROLINE S. DA SILVA")</f>
        <v>CAMILA CAROLINE S. DA SILVA</v>
      </c>
      <c r="B209" s="62" t="str">
        <f>IFERROR(__xludf.DUMMYFUNCTION("""COMPUTED_VALUE"""),"Téc. Enfermagem")</f>
        <v>Téc. Enfermagem</v>
      </c>
      <c r="C209" s="62" t="str">
        <f>IFERROR(__xludf.DUMMYFUNCTION("""COMPUTED_VALUE"""),"707.579.694-10")</f>
        <v>707.579.694-10</v>
      </c>
      <c r="D209" s="62" t="str">
        <f>IFERROR(__xludf.DUMMYFUNCTION("""COMPUTED_VALUE"""),"81 8996-0633")</f>
        <v>81 8996-0633</v>
      </c>
      <c r="E209" s="62" t="str">
        <f>IFERROR(__xludf.DUMMYFUNCTION("""COMPUTED_VALUE"""),"CARUARU")</f>
        <v>CARUARU</v>
      </c>
      <c r="F209" s="62" t="str">
        <f>IFERROR(__xludf.DUMMYFUNCTION("""COMPUTED_VALUE"""),"COOPERADO")</f>
        <v>COOPERADO</v>
      </c>
    </row>
    <row r="210">
      <c r="A210" s="62" t="str">
        <f>IFERROR(__xludf.DUMMYFUNCTION("""COMPUTED_VALUE"""),"CAMILA FERREIRA DE LIMA SILVA")</f>
        <v>CAMILA FERREIRA DE LIMA SILVA</v>
      </c>
      <c r="B210" s="62" t="str">
        <f>IFERROR(__xludf.DUMMYFUNCTION("""COMPUTED_VALUE"""),"AUXILIAR DE FARMÁCIA")</f>
        <v>AUXILIAR DE FARMÁCIA</v>
      </c>
      <c r="C210" s="62" t="str">
        <f>IFERROR(__xludf.DUMMYFUNCTION("""COMPUTED_VALUE"""),"135.818.444-51")</f>
        <v>135.818.444-51</v>
      </c>
      <c r="D210" s="62" t="str">
        <f>IFERROR(__xludf.DUMMYFUNCTION("""COMPUTED_VALUE"""),"81 9517-3629")</f>
        <v>81 9517-3629</v>
      </c>
      <c r="E210" s="62" t="str">
        <f>IFERROR(__xludf.DUMMYFUNCTION("""COMPUTED_VALUE"""),"CARUARU")</f>
        <v>CARUARU</v>
      </c>
      <c r="F210" s="62" t="str">
        <f>IFERROR(__xludf.DUMMYFUNCTION("""COMPUTED_VALUE"""),"COOPERADO")</f>
        <v>COOPERADO</v>
      </c>
    </row>
    <row r="211">
      <c r="A211" s="62" t="str">
        <f>IFERROR(__xludf.DUMMYFUNCTION("""COMPUTED_VALUE"""),"CAMILA KARLA DA SILVA")</f>
        <v>CAMILA KARLA DA SILVA</v>
      </c>
      <c r="B211" s="62" t="str">
        <f>IFERROR(__xludf.DUMMYFUNCTION("""COMPUTED_VALUE"""),"AUX. DE HIGIENIZAÇÃO")</f>
        <v>AUX. DE HIGIENIZAÇÃO</v>
      </c>
      <c r="C211" s="62" t="str">
        <f>IFERROR(__xludf.DUMMYFUNCTION("""COMPUTED_VALUE"""),"161.089.464-23")</f>
        <v>161.089.464-23</v>
      </c>
      <c r="D211" s="62" t="str">
        <f>IFERROR(__xludf.DUMMYFUNCTION("""COMPUTED_VALUE"""),"8199144-2199")</f>
        <v>8199144-2199</v>
      </c>
      <c r="E211" s="62" t="str">
        <f>IFERROR(__xludf.DUMMYFUNCTION("""COMPUTED_VALUE"""),"CARUARU")</f>
        <v>CARUARU</v>
      </c>
      <c r="F211" s="62" t="str">
        <f>IFERROR(__xludf.DUMMYFUNCTION("""COMPUTED_VALUE"""),"COOPERADO")</f>
        <v>COOPERADO</v>
      </c>
    </row>
    <row r="212">
      <c r="A212" s="62" t="str">
        <f>IFERROR(__xludf.DUMMYFUNCTION("""COMPUTED_VALUE"""),"Camila T. M Vasconcelos")</f>
        <v>Camila T. M Vasconcelos</v>
      </c>
      <c r="B212" s="62" t="str">
        <f>IFERROR(__xludf.DUMMYFUNCTION("""COMPUTED_VALUE"""),"Enfermeiro(a)")</f>
        <v>Enfermeiro(a)</v>
      </c>
      <c r="C212" s="62" t="str">
        <f>IFERROR(__xludf.DUMMYFUNCTION("""COMPUTED_VALUE"""),"100.302.814-40")</f>
        <v>100.302.814-40</v>
      </c>
      <c r="D212" s="62" t="str">
        <f>IFERROR(__xludf.DUMMYFUNCTION("""COMPUTED_VALUE"""),"81 9472-2954")</f>
        <v>81 9472-2954</v>
      </c>
      <c r="E212" s="62" t="str">
        <f>IFERROR(__xludf.DUMMYFUNCTION("""COMPUTED_VALUE"""),"CARUARU")</f>
        <v>CARUARU</v>
      </c>
      <c r="F212" s="62" t="str">
        <f>IFERROR(__xludf.DUMMYFUNCTION("""COMPUTED_VALUE"""),"COOPERADO")</f>
        <v>COOPERADO</v>
      </c>
    </row>
    <row r="213">
      <c r="A213" s="62" t="str">
        <f>IFERROR(__xludf.DUMMYFUNCTION("""COMPUTED_VALUE"""),"CARINA MARIA DA SILVA")</f>
        <v>CARINA MARIA DA SILVA</v>
      </c>
      <c r="B213" s="62" t="str">
        <f>IFERROR(__xludf.DUMMYFUNCTION("""COMPUTED_VALUE"""),"TÉC.ENFERMAGEM")</f>
        <v>TÉC.ENFERMAGEM</v>
      </c>
      <c r="C213" s="62" t="str">
        <f>IFERROR(__xludf.DUMMYFUNCTION("""COMPUTED_VALUE"""),"344.387.178-09")</f>
        <v>344.387.178-09</v>
      </c>
      <c r="D213" s="62" t="str">
        <f>IFERROR(__xludf.DUMMYFUNCTION("""COMPUTED_VALUE"""),"81 9783-0544")</f>
        <v>81 9783-0544</v>
      </c>
      <c r="E213" s="62" t="str">
        <f>IFERROR(__xludf.DUMMYFUNCTION("""COMPUTED_VALUE"""),"CARUARU")</f>
        <v>CARUARU</v>
      </c>
      <c r="F213" s="62" t="str">
        <f>IFERROR(__xludf.DUMMYFUNCTION("""COMPUTED_VALUE"""),"COOPERADO")</f>
        <v>COOPERADO</v>
      </c>
    </row>
    <row r="214">
      <c r="A214" s="62" t="str">
        <f>IFERROR(__xludf.DUMMYFUNCTION("""COMPUTED_VALUE"""),"Carlos Fernando O. L. dos Santos")</f>
        <v>Carlos Fernando O. L. dos Santos</v>
      </c>
      <c r="B214" s="62" t="str">
        <f>IFERROR(__xludf.DUMMYFUNCTION("""COMPUTED_VALUE"""),"Téc. Enf.")</f>
        <v>Téc. Enf.</v>
      </c>
      <c r="C214" s="62" t="str">
        <f>IFERROR(__xludf.DUMMYFUNCTION("""COMPUTED_VALUE"""),"046.518.744-79")</f>
        <v>046.518.744-79</v>
      </c>
      <c r="D214" s="62" t="str">
        <f>IFERROR(__xludf.DUMMYFUNCTION("""COMPUTED_VALUE"""),"81 8907-9543")</f>
        <v>81 8907-9543</v>
      </c>
      <c r="E214" s="62" t="str">
        <f>IFERROR(__xludf.DUMMYFUNCTION("""COMPUTED_VALUE"""),"CARUARU")</f>
        <v>CARUARU</v>
      </c>
      <c r="F214" s="62" t="str">
        <f>IFERROR(__xludf.DUMMYFUNCTION("""COMPUTED_VALUE"""),"COOPERADO")</f>
        <v>COOPERADO</v>
      </c>
    </row>
    <row r="215">
      <c r="A215" s="62" t="str">
        <f>IFERROR(__xludf.DUMMYFUNCTION("""COMPUTED_VALUE"""),"Carolina Alves Celestino Nascimento ")</f>
        <v>Carolina Alves Celestino Nascimento </v>
      </c>
      <c r="B215" s="62" t="str">
        <f>IFERROR(__xludf.DUMMYFUNCTION("""COMPUTED_VALUE"""),"Téc. Enf.")</f>
        <v>Téc. Enf.</v>
      </c>
      <c r="C215" s="62" t="str">
        <f>IFERROR(__xludf.DUMMYFUNCTION("""COMPUTED_VALUE"""),"117.931.904-45")</f>
        <v>117.931.904-45</v>
      </c>
      <c r="D215" s="62" t="str">
        <f>IFERROR(__xludf.DUMMYFUNCTION("""COMPUTED_VALUE"""),"81 9612-4445")</f>
        <v>81 9612-4445</v>
      </c>
      <c r="E215" s="62" t="str">
        <f>IFERROR(__xludf.DUMMYFUNCTION("""COMPUTED_VALUE"""),"CARUARU")</f>
        <v>CARUARU</v>
      </c>
      <c r="F215" s="62" t="str">
        <f>IFERROR(__xludf.DUMMYFUNCTION("""COMPUTED_VALUE"""),"COOPERADO")</f>
        <v>COOPERADO</v>
      </c>
    </row>
    <row r="216">
      <c r="A216" s="62" t="str">
        <f>IFERROR(__xludf.DUMMYFUNCTION("""COMPUTED_VALUE"""),"CATIA KARINN  MONTEIRO DE OLIVEIRA")</f>
        <v>CATIA KARINN  MONTEIRO DE OLIVEIRA</v>
      </c>
      <c r="B216" s="62" t="str">
        <f>IFERROR(__xludf.DUMMYFUNCTION("""COMPUTED_VALUE"""),"ENFERMEIRO (A)")</f>
        <v>ENFERMEIRO (A)</v>
      </c>
      <c r="C216" s="62" t="str">
        <f>IFERROR(__xludf.DUMMYFUNCTION("""COMPUTED_VALUE"""),"070.100.274-39")</f>
        <v>070.100.274-39</v>
      </c>
      <c r="D216" s="62" t="str">
        <f>IFERROR(__xludf.DUMMYFUNCTION("""COMPUTED_VALUE"""),"81 9754-5200")</f>
        <v>81 9754-5200</v>
      </c>
      <c r="E216" s="62" t="str">
        <f>IFERROR(__xludf.DUMMYFUNCTION("""COMPUTED_VALUE"""),"CARUARU")</f>
        <v>CARUARU</v>
      </c>
      <c r="F216" s="62" t="str">
        <f>IFERROR(__xludf.DUMMYFUNCTION("""COMPUTED_VALUE"""),"COOPERADO")</f>
        <v>COOPERADO</v>
      </c>
    </row>
    <row r="217">
      <c r="A217" s="62" t="str">
        <f>IFERROR(__xludf.DUMMYFUNCTION("""COMPUTED_VALUE"""),"CÍCERA MARIA DE SOUZA")</f>
        <v>CÍCERA MARIA DE SOUZA</v>
      </c>
      <c r="B217" s="62" t="str">
        <f>IFERROR(__xludf.DUMMYFUNCTION("""COMPUTED_VALUE"""),"AUX. DE HIGIENIZAÇÃO")</f>
        <v>AUX. DE HIGIENIZAÇÃO</v>
      </c>
      <c r="C217" s="62" t="str">
        <f>IFERROR(__xludf.DUMMYFUNCTION("""COMPUTED_VALUE"""),"078.561.544-03")</f>
        <v>078.561.544-03</v>
      </c>
      <c r="D217" s="62" t="str">
        <f>IFERROR(__xludf.DUMMYFUNCTION("""COMPUTED_VALUE"""),"81 9943-8342")</f>
        <v>81 9943-8342</v>
      </c>
      <c r="E217" s="62" t="str">
        <f>IFERROR(__xludf.DUMMYFUNCTION("""COMPUTED_VALUE"""),"CARUARU")</f>
        <v>CARUARU</v>
      </c>
      <c r="F217" s="62" t="str">
        <f>IFERROR(__xludf.DUMMYFUNCTION("""COMPUTED_VALUE"""),"COOPERADO")</f>
        <v>COOPERADO</v>
      </c>
    </row>
    <row r="218">
      <c r="A218" s="62" t="str">
        <f>IFERROR(__xludf.DUMMYFUNCTION("""COMPUTED_VALUE"""),"CICERO GEOVANNI GUEDES DE LIMA")</f>
        <v>CICERO GEOVANNI GUEDES DE LIMA</v>
      </c>
      <c r="B218" s="62" t="str">
        <f>IFERROR(__xludf.DUMMYFUNCTION("""COMPUTED_VALUE"""),"AUX DE HIGIENIZAÇÃO")</f>
        <v>AUX DE HIGIENIZAÇÃO</v>
      </c>
      <c r="C218" s="62" t="str">
        <f>IFERROR(__xludf.DUMMYFUNCTION("""COMPUTED_VALUE"""),"394.140.862-34")</f>
        <v>394.140.862-34</v>
      </c>
      <c r="D218" s="62" t="str">
        <f>IFERROR(__xludf.DUMMYFUNCTION("""COMPUTED_VALUE"""),"81 9304-3784")</f>
        <v>81 9304-3784</v>
      </c>
      <c r="E218" s="62" t="str">
        <f>IFERROR(__xludf.DUMMYFUNCTION("""COMPUTED_VALUE"""),"CARUARU")</f>
        <v>CARUARU</v>
      </c>
      <c r="F218" s="62" t="str">
        <f>IFERROR(__xludf.DUMMYFUNCTION("""COMPUTED_VALUE"""),"COOPERADO")</f>
        <v>COOPERADO</v>
      </c>
    </row>
    <row r="219">
      <c r="A219" s="62" t="str">
        <f>IFERROR(__xludf.DUMMYFUNCTION("""COMPUTED_VALUE"""),"CICERO JACKSON F DA SILVA")</f>
        <v>CICERO JACKSON F DA SILVA</v>
      </c>
      <c r="B219" s="62" t="str">
        <f>IFERROR(__xludf.DUMMYFUNCTION("""COMPUTED_VALUE"""),"AUX DE HIGIENIZAÇÃO")</f>
        <v>AUX DE HIGIENIZAÇÃO</v>
      </c>
      <c r="C219" s="62" t="str">
        <f>IFERROR(__xludf.DUMMYFUNCTION("""COMPUTED_VALUE"""),"046.922.04-79")</f>
        <v>046.922.04-79</v>
      </c>
      <c r="D219" s="62" t="str">
        <f>IFERROR(__xludf.DUMMYFUNCTION("""COMPUTED_VALUE"""),"81 9156-0853")</f>
        <v>81 9156-0853</v>
      </c>
      <c r="E219" s="62" t="str">
        <f>IFERROR(__xludf.DUMMYFUNCTION("""COMPUTED_VALUE"""),"CARUARU")</f>
        <v>CARUARU</v>
      </c>
      <c r="F219" s="62" t="str">
        <f>IFERROR(__xludf.DUMMYFUNCTION("""COMPUTED_VALUE"""),"COOPERADO")</f>
        <v>COOPERADO</v>
      </c>
    </row>
    <row r="220">
      <c r="A220" s="62" t="str">
        <f>IFERROR(__xludf.DUMMYFUNCTION("""COMPUTED_VALUE"""),"CICERO JOSÉ BEZERRA")</f>
        <v>CICERO JOSÉ BEZERRA</v>
      </c>
      <c r="B220" s="62" t="str">
        <f>IFERROR(__xludf.DUMMYFUNCTION("""COMPUTED_VALUE"""),"PORTEIRO")</f>
        <v>PORTEIRO</v>
      </c>
      <c r="C220" s="62" t="str">
        <f>IFERROR(__xludf.DUMMYFUNCTION("""COMPUTED_VALUE"""),"391.000.814-34")</f>
        <v>391.000.814-34</v>
      </c>
      <c r="D220" s="62" t="str">
        <f>IFERROR(__xludf.DUMMYFUNCTION("""COMPUTED_VALUE"""),"81 8517-6417")</f>
        <v>81 8517-6417</v>
      </c>
      <c r="E220" s="62" t="str">
        <f>IFERROR(__xludf.DUMMYFUNCTION("""COMPUTED_VALUE"""),"CARUARU")</f>
        <v>CARUARU</v>
      </c>
      <c r="F220" s="62" t="str">
        <f>IFERROR(__xludf.DUMMYFUNCTION("""COMPUTED_VALUE"""),"COOPERADO")</f>
        <v>COOPERADO</v>
      </c>
    </row>
    <row r="221">
      <c r="A221" s="62" t="str">
        <f>IFERROR(__xludf.DUMMYFUNCTION("""COMPUTED_VALUE"""),"CINTIA DO EGITO GOMES")</f>
        <v>CINTIA DO EGITO GOMES</v>
      </c>
      <c r="B221" s="62" t="str">
        <f>IFERROR(__xludf.DUMMYFUNCTION("""COMPUTED_VALUE"""),"TÉC. ENF.")</f>
        <v>TÉC. ENF.</v>
      </c>
      <c r="C221" s="62" t="str">
        <f>IFERROR(__xludf.DUMMYFUNCTION("""COMPUTED_VALUE"""),"065.587.934-07")</f>
        <v>065.587.934-07</v>
      </c>
      <c r="D221" s="62" t="str">
        <f>IFERROR(__xludf.DUMMYFUNCTION("""COMPUTED_VALUE"""),"87 8816-1006")</f>
        <v>87 8816-1006</v>
      </c>
      <c r="E221" s="62" t="str">
        <f>IFERROR(__xludf.DUMMYFUNCTION("""COMPUTED_VALUE"""),"CARUARU")</f>
        <v>CARUARU</v>
      </c>
      <c r="F221" s="62" t="str">
        <f>IFERROR(__xludf.DUMMYFUNCTION("""COMPUTED_VALUE"""),"COOPERADO")</f>
        <v>COOPERADO</v>
      </c>
    </row>
    <row r="222">
      <c r="A222" s="62" t="str">
        <f>IFERROR(__xludf.DUMMYFUNCTION("""COMPUTED_VALUE"""),"CLEBERSON ALVES PEREIRA DA SILVA")</f>
        <v>CLEBERSON ALVES PEREIRA DA SILVA</v>
      </c>
      <c r="B222" s="62" t="str">
        <f>IFERROR(__xludf.DUMMYFUNCTION("""COMPUTED_VALUE"""),"TÉC.ENFERMAGEM")</f>
        <v>TÉC.ENFERMAGEM</v>
      </c>
      <c r="C222" s="62" t="str">
        <f>IFERROR(__xludf.DUMMYFUNCTION("""COMPUTED_VALUE"""),"113.795.994-07")</f>
        <v>113.795.994-07</v>
      </c>
      <c r="D222" s="62" t="str">
        <f>IFERROR(__xludf.DUMMYFUNCTION("""COMPUTED_VALUE"""),"81 9681-0197")</f>
        <v>81 9681-0197</v>
      </c>
      <c r="E222" s="62" t="str">
        <f>IFERROR(__xludf.DUMMYFUNCTION("""COMPUTED_VALUE"""),"CARUARU")</f>
        <v>CARUARU</v>
      </c>
      <c r="F222" s="62" t="str">
        <f>IFERROR(__xludf.DUMMYFUNCTION("""COMPUTED_VALUE"""),"COOPERADO")</f>
        <v>COOPERADO</v>
      </c>
    </row>
    <row r="223">
      <c r="A223" s="62" t="str">
        <f>IFERROR(__xludf.DUMMYFUNCTION("""COMPUTED_VALUE"""),"CLECIANA ANDRADE")</f>
        <v>CLECIANA ANDRADE</v>
      </c>
      <c r="B223" s="62" t="str">
        <f>IFERROR(__xludf.DUMMYFUNCTION("""COMPUTED_VALUE"""),"TÉC.ENFERMAGEM")</f>
        <v>TÉC.ENFERMAGEM</v>
      </c>
      <c r="C223" s="62" t="str">
        <f>IFERROR(__xludf.DUMMYFUNCTION("""COMPUTED_VALUE"""),"091.696.204-07")</f>
        <v>091.696.204-07</v>
      </c>
      <c r="D223" s="62" t="str">
        <f>IFERROR(__xludf.DUMMYFUNCTION("""COMPUTED_VALUE"""),"81 9305-0190")</f>
        <v>81 9305-0190</v>
      </c>
      <c r="E223" s="62" t="str">
        <f>IFERROR(__xludf.DUMMYFUNCTION("""COMPUTED_VALUE"""),"CARUARU")</f>
        <v>CARUARU</v>
      </c>
      <c r="F223" s="62" t="str">
        <f>IFERROR(__xludf.DUMMYFUNCTION("""COMPUTED_VALUE"""),"COOPERADO")</f>
        <v>COOPERADO</v>
      </c>
    </row>
    <row r="224">
      <c r="A224" s="62" t="str">
        <f>IFERROR(__xludf.DUMMYFUNCTION("""COMPUTED_VALUE"""),"Clenia Maria De Paula")</f>
        <v>Clenia Maria De Paula</v>
      </c>
      <c r="B224" s="62" t="str">
        <f>IFERROR(__xludf.DUMMYFUNCTION("""COMPUTED_VALUE"""),"Téc. Enf.")</f>
        <v>Téc. Enf.</v>
      </c>
      <c r="C224" s="62" t="str">
        <f>IFERROR(__xludf.DUMMYFUNCTION("""COMPUTED_VALUE"""),"085.843.804-69")</f>
        <v>085.843.804-69</v>
      </c>
      <c r="D224" s="62" t="str">
        <f>IFERROR(__xludf.DUMMYFUNCTION("""COMPUTED_VALUE"""),"82 9179-5076")</f>
        <v>82 9179-5076</v>
      </c>
      <c r="E224" s="62" t="str">
        <f>IFERROR(__xludf.DUMMYFUNCTION("""COMPUTED_VALUE"""),"CARUARU")</f>
        <v>CARUARU</v>
      </c>
      <c r="F224" s="62" t="str">
        <f>IFERROR(__xludf.DUMMYFUNCTION("""COMPUTED_VALUE"""),"COOPERADO")</f>
        <v>COOPERADO</v>
      </c>
    </row>
    <row r="225">
      <c r="A225" s="62" t="str">
        <f>IFERROR(__xludf.DUMMYFUNCTION("""COMPUTED_VALUE"""),"CRISLAINE MARIA DOS SANTOS OLIVEIRA")</f>
        <v>CRISLAINE MARIA DOS SANTOS OLIVEIRA</v>
      </c>
      <c r="B225" s="62" t="str">
        <f>IFERROR(__xludf.DUMMYFUNCTION("""COMPUTED_VALUE"""),"TÉC.ENFERMAGEM")</f>
        <v>TÉC.ENFERMAGEM</v>
      </c>
      <c r="C225" s="62" t="str">
        <f>IFERROR(__xludf.DUMMYFUNCTION("""COMPUTED_VALUE"""),"107.098.844-86")</f>
        <v>107.098.844-86</v>
      </c>
      <c r="D225" s="62" t="str">
        <f>IFERROR(__xludf.DUMMYFUNCTION("""COMPUTED_VALUE"""),"81 7906-7498")</f>
        <v>81 7906-7498</v>
      </c>
      <c r="E225" s="62" t="str">
        <f>IFERROR(__xludf.DUMMYFUNCTION("""COMPUTED_VALUE"""),"CARUARU")</f>
        <v>CARUARU</v>
      </c>
      <c r="F225" s="62" t="str">
        <f>IFERROR(__xludf.DUMMYFUNCTION("""COMPUTED_VALUE"""),"COOPERADO")</f>
        <v>COOPERADO</v>
      </c>
    </row>
    <row r="226">
      <c r="A226" s="62" t="str">
        <f>IFERROR(__xludf.DUMMYFUNCTION("""COMPUTED_VALUE"""),"CHRYSTHINA TEIXEIRA PACHECO")</f>
        <v>CHRYSTHINA TEIXEIRA PACHECO</v>
      </c>
      <c r="B226" s="62" t="str">
        <f>IFERROR(__xludf.DUMMYFUNCTION("""COMPUTED_VALUE"""),"TÉC. ENF. ")</f>
        <v>TÉC. ENF. </v>
      </c>
      <c r="C226" s="62" t="str">
        <f>IFERROR(__xludf.DUMMYFUNCTION("""COMPUTED_VALUE"""),"057.967.304-95")</f>
        <v>057.967.304-95</v>
      </c>
      <c r="D226" s="62" t="str">
        <f>IFERROR(__xludf.DUMMYFUNCTION("""COMPUTED_VALUE"""),"8199481-7586")</f>
        <v>8199481-7586</v>
      </c>
      <c r="E226" s="62" t="str">
        <f>IFERROR(__xludf.DUMMYFUNCTION("""COMPUTED_VALUE"""),"CARUARU")</f>
        <v>CARUARU</v>
      </c>
      <c r="F226" s="62" t="str">
        <f>IFERROR(__xludf.DUMMYFUNCTION("""COMPUTED_VALUE"""),"COOPERADO")</f>
        <v>COOPERADO</v>
      </c>
    </row>
    <row r="227">
      <c r="A227" s="62" t="str">
        <f>IFERROR(__xludf.DUMMYFUNCTION("""COMPUTED_VALUE"""),"CRISTINA DA SILVA")</f>
        <v>CRISTINA DA SILVA</v>
      </c>
      <c r="B227" s="62" t="str">
        <f>IFERROR(__xludf.DUMMYFUNCTION("""COMPUTED_VALUE"""),"AUXILIAR DE FARMÁCIA")</f>
        <v>AUXILIAR DE FARMÁCIA</v>
      </c>
      <c r="C227" s="62" t="str">
        <f>IFERROR(__xludf.DUMMYFUNCTION("""COMPUTED_VALUE"""),"076.247.804-70")</f>
        <v>076.247.804-70</v>
      </c>
      <c r="D227" s="62" t="str">
        <f>IFERROR(__xludf.DUMMYFUNCTION("""COMPUTED_VALUE"""),"81 9359-0844")</f>
        <v>81 9359-0844</v>
      </c>
      <c r="E227" s="62" t="str">
        <f>IFERROR(__xludf.DUMMYFUNCTION("""COMPUTED_VALUE"""),"CARUARU")</f>
        <v>CARUARU</v>
      </c>
      <c r="F227" s="62" t="str">
        <f>IFERROR(__xludf.DUMMYFUNCTION("""COMPUTED_VALUE"""),"COOPERADO")</f>
        <v>COOPERADO</v>
      </c>
    </row>
    <row r="228">
      <c r="A228" s="62" t="str">
        <f>IFERROR(__xludf.DUMMYFUNCTION("""COMPUTED_VALUE"""),"DAMIANA LINDINALVA DA SILVA LIMA ")</f>
        <v>DAMIANA LINDINALVA DA SILVA LIMA </v>
      </c>
      <c r="B228" s="62" t="str">
        <f>IFERROR(__xludf.DUMMYFUNCTION("""COMPUTED_VALUE"""),"TÉC. ENF")</f>
        <v>TÉC. ENF</v>
      </c>
      <c r="C228" s="62" t="str">
        <f>IFERROR(__xludf.DUMMYFUNCTION("""COMPUTED_VALUE"""),"114.370.124-00")</f>
        <v>114.370.124-00</v>
      </c>
      <c r="D228" s="62" t="str">
        <f>IFERROR(__xludf.DUMMYFUNCTION("""COMPUTED_VALUE"""),"81 7321-3958")</f>
        <v>81 7321-3958</v>
      </c>
      <c r="E228" s="62" t="str">
        <f>IFERROR(__xludf.DUMMYFUNCTION("""COMPUTED_VALUE"""),"CARUARU")</f>
        <v>CARUARU</v>
      </c>
      <c r="F228" s="62" t="str">
        <f>IFERROR(__xludf.DUMMYFUNCTION("""COMPUTED_VALUE"""),"COOPERADO")</f>
        <v>COOPERADO</v>
      </c>
    </row>
    <row r="229">
      <c r="A229" s="62" t="str">
        <f>IFERROR(__xludf.DUMMYFUNCTION("""COMPUTED_VALUE"""),"DAMIANA VENTURA SOUZA ALVES")</f>
        <v>DAMIANA VENTURA SOUZA ALVES</v>
      </c>
      <c r="B229" s="62" t="str">
        <f>IFERROR(__xludf.DUMMYFUNCTION("""COMPUTED_VALUE"""),"COZINHEIRA")</f>
        <v>COZINHEIRA</v>
      </c>
      <c r="C229" s="62" t="str">
        <f>IFERROR(__xludf.DUMMYFUNCTION("""COMPUTED_VALUE"""),"044.173.854-08")</f>
        <v>044.173.854-08</v>
      </c>
      <c r="D229" s="62" t="str">
        <f>IFERROR(__xludf.DUMMYFUNCTION("""COMPUTED_VALUE"""),"81 9737-6901")</f>
        <v>81 9737-6901</v>
      </c>
      <c r="E229" s="62" t="str">
        <f>IFERROR(__xludf.DUMMYFUNCTION("""COMPUTED_VALUE"""),"CARUARU")</f>
        <v>CARUARU</v>
      </c>
      <c r="F229" s="62" t="str">
        <f>IFERROR(__xludf.DUMMYFUNCTION("""COMPUTED_VALUE"""),"COOPERADO")</f>
        <v>COOPERADO</v>
      </c>
    </row>
    <row r="230">
      <c r="A230" s="62" t="str">
        <f>IFERROR(__xludf.DUMMYFUNCTION("""COMPUTED_VALUE"""),"DANIELA BARROS NERES")</f>
        <v>DANIELA BARROS NERES</v>
      </c>
      <c r="B230" s="62" t="str">
        <f>IFERROR(__xludf.DUMMYFUNCTION("""COMPUTED_VALUE"""),"AUXILIAR DE COZINHA")</f>
        <v>AUXILIAR DE COZINHA</v>
      </c>
      <c r="C230" s="62" t="str">
        <f>IFERROR(__xludf.DUMMYFUNCTION("""COMPUTED_VALUE"""),"024.038.242-08")</f>
        <v>024.038.242-08</v>
      </c>
      <c r="D230" s="62" t="str">
        <f>IFERROR(__xludf.DUMMYFUNCTION("""COMPUTED_VALUE"""),"81 8837-7066")</f>
        <v>81 8837-7066</v>
      </c>
      <c r="E230" s="62" t="str">
        <f>IFERROR(__xludf.DUMMYFUNCTION("""COMPUTED_VALUE"""),"CARUARU")</f>
        <v>CARUARU</v>
      </c>
      <c r="F230" s="62" t="str">
        <f>IFERROR(__xludf.DUMMYFUNCTION("""COMPUTED_VALUE"""),"COOPERADO")</f>
        <v>COOPERADO</v>
      </c>
    </row>
    <row r="231">
      <c r="A231" s="62" t="str">
        <f>IFERROR(__xludf.DUMMYFUNCTION("""COMPUTED_VALUE"""),"DANIELA CAROLINA DE OLIVEIRA COSTA")</f>
        <v>DANIELA CAROLINA DE OLIVEIRA COSTA</v>
      </c>
      <c r="B231" s="62" t="str">
        <f>IFERROR(__xludf.DUMMYFUNCTION("""COMPUTED_VALUE"""),"ENFERMEIRO (A)")</f>
        <v>ENFERMEIRO (A)</v>
      </c>
      <c r="C231" s="62" t="str">
        <f>IFERROR(__xludf.DUMMYFUNCTION("""COMPUTED_VALUE"""),"082.767.004-46")</f>
        <v>082.767.004-46</v>
      </c>
      <c r="D231" s="62" t="str">
        <f>IFERROR(__xludf.DUMMYFUNCTION("""COMPUTED_VALUE"""),"81 8571-3708")</f>
        <v>81 8571-3708</v>
      </c>
      <c r="E231" s="62" t="str">
        <f>IFERROR(__xludf.DUMMYFUNCTION("""COMPUTED_VALUE"""),"CARUARU")</f>
        <v>CARUARU</v>
      </c>
      <c r="F231" s="62" t="str">
        <f>IFERROR(__xludf.DUMMYFUNCTION("""COMPUTED_VALUE"""),"COOPERADO")</f>
        <v>COOPERADO</v>
      </c>
    </row>
    <row r="232">
      <c r="A232" s="62" t="str">
        <f>IFERROR(__xludf.DUMMYFUNCTION("""COMPUTED_VALUE"""),"DANIELA PATRICIA DA SILVA")</f>
        <v>DANIELA PATRICIA DA SILVA</v>
      </c>
      <c r="B232" s="62" t="str">
        <f>IFERROR(__xludf.DUMMYFUNCTION("""COMPUTED_VALUE"""),"TÉC.ENFERMAGEM")</f>
        <v>TÉC.ENFERMAGEM</v>
      </c>
      <c r="C232" s="62" t="str">
        <f>IFERROR(__xludf.DUMMYFUNCTION("""COMPUTED_VALUE"""),"026.605.454-49")</f>
        <v>026.605.454-49</v>
      </c>
      <c r="D232" s="62" t="str">
        <f>IFERROR(__xludf.DUMMYFUNCTION("""COMPUTED_VALUE"""),"81 8513-8832")</f>
        <v>81 8513-8832</v>
      </c>
      <c r="E232" s="62" t="str">
        <f>IFERROR(__xludf.DUMMYFUNCTION("""COMPUTED_VALUE"""),"CARUARU")</f>
        <v>CARUARU</v>
      </c>
      <c r="F232" s="62" t="str">
        <f>IFERROR(__xludf.DUMMYFUNCTION("""COMPUTED_VALUE"""),"COOPERADO")</f>
        <v>COOPERADO</v>
      </c>
    </row>
    <row r="233">
      <c r="A233" s="62" t="str">
        <f>IFERROR(__xludf.DUMMYFUNCTION("""COMPUTED_VALUE"""),"Daniela Priscila da Silva")</f>
        <v>Daniela Priscila da Silva</v>
      </c>
      <c r="B233" s="62" t="str">
        <f>IFERROR(__xludf.DUMMYFUNCTION("""COMPUTED_VALUE"""),"Téc. Enf.")</f>
        <v>Téc. Enf.</v>
      </c>
      <c r="C233" s="62" t="str">
        <f>IFERROR(__xludf.DUMMYFUNCTION("""COMPUTED_VALUE"""),"130.639.504-67")</f>
        <v>130.639.504-67</v>
      </c>
      <c r="D233" s="62" t="str">
        <f>IFERROR(__xludf.DUMMYFUNCTION("""COMPUTED_VALUE"""),"81 8912-6932")</f>
        <v>81 8912-6932</v>
      </c>
      <c r="E233" s="62" t="str">
        <f>IFERROR(__xludf.DUMMYFUNCTION("""COMPUTED_VALUE"""),"CARUARU")</f>
        <v>CARUARU</v>
      </c>
      <c r="F233" s="62" t="str">
        <f>IFERROR(__xludf.DUMMYFUNCTION("""COMPUTED_VALUE"""),"COOPERADO")</f>
        <v>COOPERADO</v>
      </c>
    </row>
    <row r="234">
      <c r="A234" s="62" t="str">
        <f>IFERROR(__xludf.DUMMYFUNCTION("""COMPUTED_VALUE"""),"Daniele Bezerra de Lemos")</f>
        <v>Daniele Bezerra de Lemos</v>
      </c>
      <c r="B234" s="62" t="str">
        <f>IFERROR(__xludf.DUMMYFUNCTION("""COMPUTED_VALUE"""),"Téc. Enf.")</f>
        <v>Téc. Enf.</v>
      </c>
      <c r="C234" s="62" t="str">
        <f>IFERROR(__xludf.DUMMYFUNCTION("""COMPUTED_VALUE"""),"112.937.984-10")</f>
        <v>112.937.984-10</v>
      </c>
      <c r="D234" s="62" t="str">
        <f>IFERROR(__xludf.DUMMYFUNCTION("""COMPUTED_VALUE"""),"81 9284-9252")</f>
        <v>81 9284-9252</v>
      </c>
      <c r="E234" s="62" t="str">
        <f>IFERROR(__xludf.DUMMYFUNCTION("""COMPUTED_VALUE"""),"CARUARU")</f>
        <v>CARUARU</v>
      </c>
      <c r="F234" s="62" t="str">
        <f>IFERROR(__xludf.DUMMYFUNCTION("""COMPUTED_VALUE"""),"COOPERADO")</f>
        <v>COOPERADO</v>
      </c>
    </row>
    <row r="235">
      <c r="A235" s="62" t="str">
        <f>IFERROR(__xludf.DUMMYFUNCTION("""COMPUTED_VALUE"""),"DANILO ALVES DOS SANTOS LIMA")</f>
        <v>DANILO ALVES DOS SANTOS LIMA</v>
      </c>
      <c r="B235" s="62" t="str">
        <f>IFERROR(__xludf.DUMMYFUNCTION("""COMPUTED_VALUE"""),"TÉC.ENFERMAGEM")</f>
        <v>TÉC.ENFERMAGEM</v>
      </c>
      <c r="C235" s="62" t="str">
        <f>IFERROR(__xludf.DUMMYFUNCTION("""COMPUTED_VALUE"""),"709.650.924-02")</f>
        <v>709.650.924-02</v>
      </c>
      <c r="D235" s="62" t="str">
        <f>IFERROR(__xludf.DUMMYFUNCTION("""COMPUTED_VALUE"""),"81 8600-4043")</f>
        <v>81 8600-4043</v>
      </c>
      <c r="E235" s="62" t="str">
        <f>IFERROR(__xludf.DUMMYFUNCTION("""COMPUTED_VALUE"""),"CARUARU")</f>
        <v>CARUARU</v>
      </c>
      <c r="F235" s="62" t="str">
        <f>IFERROR(__xludf.DUMMYFUNCTION("""COMPUTED_VALUE"""),"COOPERADO")</f>
        <v>COOPERADO</v>
      </c>
    </row>
    <row r="236">
      <c r="A236" s="62" t="str">
        <f>IFERROR(__xludf.DUMMYFUNCTION("""COMPUTED_VALUE"""),"DANYLLE ESTEPHANE DA SILVA")</f>
        <v>DANYLLE ESTEPHANE DA SILVA</v>
      </c>
      <c r="B236" s="62" t="str">
        <f>IFERROR(__xludf.DUMMYFUNCTION("""COMPUTED_VALUE"""),"TÉC.ENFERMAGEM")</f>
        <v>TÉC.ENFERMAGEM</v>
      </c>
      <c r="C236" s="62" t="str">
        <f>IFERROR(__xludf.DUMMYFUNCTION("""COMPUTED_VALUE"""),"105.516.344-13")</f>
        <v>105.516.344-13</v>
      </c>
      <c r="D236" s="62" t="str">
        <f>IFERROR(__xludf.DUMMYFUNCTION("""COMPUTED_VALUE"""),"81 9766-7772")</f>
        <v>81 9766-7772</v>
      </c>
      <c r="E236" s="62" t="str">
        <f>IFERROR(__xludf.DUMMYFUNCTION("""COMPUTED_VALUE"""),"CARUARU")</f>
        <v>CARUARU</v>
      </c>
      <c r="F236" s="62" t="str">
        <f>IFERROR(__xludf.DUMMYFUNCTION("""COMPUTED_VALUE"""),"COOPERADO")</f>
        <v>COOPERADO</v>
      </c>
    </row>
    <row r="237">
      <c r="A237" s="62" t="str">
        <f>IFERROR(__xludf.DUMMYFUNCTION("""COMPUTED_VALUE"""),"DARLANY MARIA DE SANTANA")</f>
        <v>DARLANY MARIA DE SANTANA</v>
      </c>
      <c r="B237" s="62" t="str">
        <f>IFERROR(__xludf.DUMMYFUNCTION("""COMPUTED_VALUE"""),"TÉC.ENFERMAGEM")</f>
        <v>TÉC.ENFERMAGEM</v>
      </c>
      <c r="C237" s="62" t="str">
        <f>IFERROR(__xludf.DUMMYFUNCTION("""COMPUTED_VALUE"""),"090.035.154-33")</f>
        <v>090.035.154-33</v>
      </c>
      <c r="D237" s="62" t="str">
        <f>IFERROR(__xludf.DUMMYFUNCTION("""COMPUTED_VALUE"""),"81 9883-0451")</f>
        <v>81 9883-0451</v>
      </c>
      <c r="E237" s="62" t="str">
        <f>IFERROR(__xludf.DUMMYFUNCTION("""COMPUTED_VALUE"""),"CARUARU")</f>
        <v>CARUARU</v>
      </c>
      <c r="F237" s="62" t="str">
        <f>IFERROR(__xludf.DUMMYFUNCTION("""COMPUTED_VALUE"""),"COOPERADO")</f>
        <v>COOPERADO</v>
      </c>
    </row>
    <row r="238">
      <c r="A238" s="62" t="str">
        <f>IFERROR(__xludf.DUMMYFUNCTION("""COMPUTED_VALUE"""),"Darlene Glória Santos Alves")</f>
        <v>Darlene Glória Santos Alves</v>
      </c>
      <c r="B238" s="62" t="str">
        <f>IFERROR(__xludf.DUMMYFUNCTION("""COMPUTED_VALUE"""),"Farmacêutico(a)")</f>
        <v>Farmacêutico(a)</v>
      </c>
      <c r="C238" s="62" t="str">
        <f>IFERROR(__xludf.DUMMYFUNCTION("""COMPUTED_VALUE"""),"103.158.524-96")</f>
        <v>103.158.524-96</v>
      </c>
      <c r="D238" s="62" t="str">
        <f>IFERROR(__xludf.DUMMYFUNCTION("""COMPUTED_VALUE"""),"81 9559-9285")</f>
        <v>81 9559-9285</v>
      </c>
      <c r="E238" s="62" t="str">
        <f>IFERROR(__xludf.DUMMYFUNCTION("""COMPUTED_VALUE"""),"CARUARU")</f>
        <v>CARUARU</v>
      </c>
      <c r="F238" s="62" t="str">
        <f>IFERROR(__xludf.DUMMYFUNCTION("""COMPUTED_VALUE"""),"COOPERADO")</f>
        <v>COOPERADO</v>
      </c>
    </row>
    <row r="239">
      <c r="A239" s="62" t="str">
        <f>IFERROR(__xludf.DUMMYFUNCTION("""COMPUTED_VALUE"""),"DAVID SOUZA SILVA")</f>
        <v>DAVID SOUZA SILVA</v>
      </c>
      <c r="B239" s="62" t="str">
        <f>IFERROR(__xludf.DUMMYFUNCTION("""COMPUTED_VALUE"""),"TÉC.ENFERMAGEM")</f>
        <v>TÉC.ENFERMAGEM</v>
      </c>
      <c r="C239" s="62" t="str">
        <f>IFERROR(__xludf.DUMMYFUNCTION("""COMPUTED_VALUE"""),"107.999.464-51")</f>
        <v>107.999.464-51</v>
      </c>
      <c r="D239" s="62" t="str">
        <f>IFERROR(__xludf.DUMMYFUNCTION("""COMPUTED_VALUE"""),"81 9141-9417")</f>
        <v>81 9141-9417</v>
      </c>
      <c r="E239" s="62" t="str">
        <f>IFERROR(__xludf.DUMMYFUNCTION("""COMPUTED_VALUE"""),"CARUARU")</f>
        <v>CARUARU</v>
      </c>
      <c r="F239" s="62" t="str">
        <f>IFERROR(__xludf.DUMMYFUNCTION("""COMPUTED_VALUE"""),"COOPERADO")</f>
        <v>COOPERADO</v>
      </c>
    </row>
    <row r="240">
      <c r="A240" s="62" t="str">
        <f>IFERROR(__xludf.DUMMYFUNCTION("""COMPUTED_VALUE"""),"DAVILLA FERNANDES SOTERO")</f>
        <v>DAVILLA FERNANDES SOTERO</v>
      </c>
      <c r="B240" s="62" t="str">
        <f>IFERROR(__xludf.DUMMYFUNCTION("""COMPUTED_VALUE"""),"ASSISTENTE ADMINISTRATIVO")</f>
        <v>ASSISTENTE ADMINISTRATIVO</v>
      </c>
      <c r="C240" s="62" t="str">
        <f>IFERROR(__xludf.DUMMYFUNCTION("""COMPUTED_VALUE"""),"027.263.752-19")</f>
        <v>027.263.752-19</v>
      </c>
      <c r="D240" s="62" t="str">
        <f>IFERROR(__xludf.DUMMYFUNCTION("""COMPUTED_VALUE""")," 94 8199-3646")</f>
        <v> 94 8199-3646</v>
      </c>
      <c r="E240" s="62" t="str">
        <f>IFERROR(__xludf.DUMMYFUNCTION("""COMPUTED_VALUE"""),"CARUARU")</f>
        <v>CARUARU</v>
      </c>
      <c r="F240" s="62" t="str">
        <f>IFERROR(__xludf.DUMMYFUNCTION("""COMPUTED_VALUE"""),"COOPERADO")</f>
        <v>COOPERADO</v>
      </c>
    </row>
    <row r="241">
      <c r="A241" s="62" t="str">
        <f>IFERROR(__xludf.DUMMYFUNCTION("""COMPUTED_VALUE"""),"DAYVID FILIPY DE SOUZA SILVA")</f>
        <v>DAYVID FILIPY DE SOUZA SILVA</v>
      </c>
      <c r="B241" s="62" t="str">
        <f>IFERROR(__xludf.DUMMYFUNCTION("""COMPUTED_VALUE"""),"ENFERMEIRO (A)")</f>
        <v>ENFERMEIRO (A)</v>
      </c>
      <c r="C241" s="62" t="str">
        <f>IFERROR(__xludf.DUMMYFUNCTION("""COMPUTED_VALUE"""),"122.247.854-45")</f>
        <v>122.247.854-45</v>
      </c>
      <c r="D241" s="62" t="str">
        <f>IFERROR(__xludf.DUMMYFUNCTION("""COMPUTED_VALUE"""),"81 9455-3749")</f>
        <v>81 9455-3749</v>
      </c>
      <c r="E241" s="62" t="str">
        <f>IFERROR(__xludf.DUMMYFUNCTION("""COMPUTED_VALUE"""),"CARUARU")</f>
        <v>CARUARU</v>
      </c>
      <c r="F241" s="62" t="str">
        <f>IFERROR(__xludf.DUMMYFUNCTION("""COMPUTED_VALUE"""),"COOPERADO")</f>
        <v>COOPERADO</v>
      </c>
    </row>
    <row r="242">
      <c r="A242" s="62" t="str">
        <f>IFERROR(__xludf.DUMMYFUNCTION("""COMPUTED_VALUE"""),"DEIVITH BRUNO MOURA DE PAULA ")</f>
        <v>DEIVITH BRUNO MOURA DE PAULA </v>
      </c>
      <c r="B242" s="62" t="str">
        <f>IFERROR(__xludf.DUMMYFUNCTION("""COMPUTED_VALUE"""),"TÉC. RADIOLOGIA ")</f>
        <v>TÉC. RADIOLOGIA </v>
      </c>
      <c r="C242" s="62" t="str">
        <f>IFERROR(__xludf.DUMMYFUNCTION("""COMPUTED_VALUE"""),"068.147.154-90")</f>
        <v>068.147.154-90</v>
      </c>
      <c r="D242" s="62" t="str">
        <f>IFERROR(__xludf.DUMMYFUNCTION("""COMPUTED_VALUE"""),"81 9162-8620")</f>
        <v>81 9162-8620</v>
      </c>
      <c r="E242" s="62" t="str">
        <f>IFERROR(__xludf.DUMMYFUNCTION("""COMPUTED_VALUE"""),"CARUARU")</f>
        <v>CARUARU</v>
      </c>
      <c r="F242" s="62" t="str">
        <f>IFERROR(__xludf.DUMMYFUNCTION("""COMPUTED_VALUE"""),"COOPERADO")</f>
        <v>COOPERADO</v>
      </c>
    </row>
    <row r="243">
      <c r="A243" s="62" t="str">
        <f>IFERROR(__xludf.DUMMYFUNCTION("""COMPUTED_VALUE"""),"DIANA MARIA DA SILVA PORTELA")</f>
        <v>DIANA MARIA DA SILVA PORTELA</v>
      </c>
      <c r="B243" s="62" t="str">
        <f>IFERROR(__xludf.DUMMYFUNCTION("""COMPUTED_VALUE"""),"TÉC. ENF.")</f>
        <v>TÉC. ENF.</v>
      </c>
      <c r="C243" s="62" t="str">
        <f>IFERROR(__xludf.DUMMYFUNCTION("""COMPUTED_VALUE"""),"112.647.384-71")</f>
        <v>112.647.384-71</v>
      </c>
      <c r="D243" s="62" t="str">
        <f>IFERROR(__xludf.DUMMYFUNCTION("""COMPUTED_VALUE"""),"81 8963-5254")</f>
        <v>81 8963-5254</v>
      </c>
      <c r="E243" s="62" t="str">
        <f>IFERROR(__xludf.DUMMYFUNCTION("""COMPUTED_VALUE"""),"CARUARU")</f>
        <v>CARUARU</v>
      </c>
      <c r="F243" s="62" t="str">
        <f>IFERROR(__xludf.DUMMYFUNCTION("""COMPUTED_VALUE"""),"COOPERADO")</f>
        <v>COOPERADO</v>
      </c>
    </row>
    <row r="244">
      <c r="A244" s="62" t="str">
        <f>IFERROR(__xludf.DUMMYFUNCTION("""COMPUTED_VALUE"""),"DIEGO JOSE DA SILVA")</f>
        <v>DIEGO JOSE DA SILVA</v>
      </c>
      <c r="B244" s="62" t="str">
        <f>IFERROR(__xludf.DUMMYFUNCTION("""COMPUTED_VALUE"""),"PORTEIRO")</f>
        <v>PORTEIRO</v>
      </c>
      <c r="C244" s="62" t="str">
        <f>IFERROR(__xludf.DUMMYFUNCTION("""COMPUTED_VALUE"""),"104.720.694-38")</f>
        <v>104.720.694-38</v>
      </c>
      <c r="D244" s="62" t="str">
        <f>IFERROR(__xludf.DUMMYFUNCTION("""COMPUTED_VALUE"""),"81 9160-9908")</f>
        <v>81 9160-9908</v>
      </c>
      <c r="E244" s="62" t="str">
        <f>IFERROR(__xludf.DUMMYFUNCTION("""COMPUTED_VALUE"""),"CARUARU")</f>
        <v>CARUARU</v>
      </c>
      <c r="F244" s="62" t="str">
        <f>IFERROR(__xludf.DUMMYFUNCTION("""COMPUTED_VALUE"""),"COOPERADO")</f>
        <v>COOPERADO</v>
      </c>
    </row>
    <row r="245">
      <c r="A245" s="62" t="str">
        <f>IFERROR(__xludf.DUMMYFUNCTION("""COMPUTED_VALUE"""),"DIOGO LUIZ DE MELO")</f>
        <v>DIOGO LUIZ DE MELO</v>
      </c>
      <c r="B245" s="62" t="str">
        <f>IFERROR(__xludf.DUMMYFUNCTION("""COMPUTED_VALUE"""),"AUX. DE FARMÁCIA")</f>
        <v>AUX. DE FARMÁCIA</v>
      </c>
      <c r="C245" s="62" t="str">
        <f>IFERROR(__xludf.DUMMYFUNCTION("""COMPUTED_VALUE"""),"095.140.024-07")</f>
        <v>095.140.024-07</v>
      </c>
      <c r="D245" s="62" t="str">
        <f>IFERROR(__xludf.DUMMYFUNCTION("""COMPUTED_VALUE"""),"81 9962-3868")</f>
        <v>81 9962-3868</v>
      </c>
      <c r="E245" s="62" t="str">
        <f>IFERROR(__xludf.DUMMYFUNCTION("""COMPUTED_VALUE"""),"CARUARU")</f>
        <v>CARUARU</v>
      </c>
      <c r="F245" s="62" t="str">
        <f>IFERROR(__xludf.DUMMYFUNCTION("""COMPUTED_VALUE"""),"COOPERADO")</f>
        <v>COOPERADO</v>
      </c>
    </row>
    <row r="246">
      <c r="A246" s="62" t="str">
        <f>IFERROR(__xludf.DUMMYFUNCTION("""COMPUTED_VALUE"""),"DORIVANIA MARIA DE JESUS SILVA")</f>
        <v>DORIVANIA MARIA DE JESUS SILVA</v>
      </c>
      <c r="B246" s="62" t="str">
        <f>IFERROR(__xludf.DUMMYFUNCTION("""COMPUTED_VALUE"""),"AUX. DE FARMÁCIA")</f>
        <v>AUX. DE FARMÁCIA</v>
      </c>
      <c r="C246" s="62" t="str">
        <f>IFERROR(__xludf.DUMMYFUNCTION("""COMPUTED_VALUE"""),"128.144.124-42")</f>
        <v>128.144.124-42</v>
      </c>
      <c r="D246" s="62" t="str">
        <f>IFERROR(__xludf.DUMMYFUNCTION("""COMPUTED_VALUE"""),"81 9252-5627")</f>
        <v>81 9252-5627</v>
      </c>
      <c r="E246" s="62" t="str">
        <f>IFERROR(__xludf.DUMMYFUNCTION("""COMPUTED_VALUE"""),"CARUARU")</f>
        <v>CARUARU</v>
      </c>
      <c r="F246" s="62" t="str">
        <f>IFERROR(__xludf.DUMMYFUNCTION("""COMPUTED_VALUE"""),"COOPERADO")</f>
        <v>COOPERADO</v>
      </c>
    </row>
    <row r="247">
      <c r="A247" s="62" t="str">
        <f>IFERROR(__xludf.DUMMYFUNCTION("""COMPUTED_VALUE"""),"DOUGLAS CARLOS DA SILVA")</f>
        <v>DOUGLAS CARLOS DA SILVA</v>
      </c>
      <c r="B247" s="62" t="str">
        <f>IFERROR(__xludf.DUMMYFUNCTION("""COMPUTED_VALUE"""),"AUX. DE HIGIENIZAÇÃO")</f>
        <v>AUX. DE HIGIENIZAÇÃO</v>
      </c>
      <c r="C247" s="62" t="str">
        <f>IFERROR(__xludf.DUMMYFUNCTION("""COMPUTED_VALUE"""),"070.792.314-00")</f>
        <v>070.792.314-00</v>
      </c>
      <c r="D247" s="62" t="str">
        <f>IFERROR(__xludf.DUMMYFUNCTION("""COMPUTED_VALUE"""),"81 9415-2597")</f>
        <v>81 9415-2597</v>
      </c>
      <c r="E247" s="62" t="str">
        <f>IFERROR(__xludf.DUMMYFUNCTION("""COMPUTED_VALUE"""),"CARUARU")</f>
        <v>CARUARU</v>
      </c>
      <c r="F247" s="62" t="str">
        <f>IFERROR(__xludf.DUMMYFUNCTION("""COMPUTED_VALUE"""),"COOPERADO")</f>
        <v>COOPERADO</v>
      </c>
    </row>
    <row r="248">
      <c r="A248" s="62" t="str">
        <f>IFERROR(__xludf.DUMMYFUNCTION("""COMPUTED_VALUE"""),"EDILMA MARIA DA SILVA")</f>
        <v>EDILMA MARIA DA SILVA</v>
      </c>
      <c r="B248" s="62" t="str">
        <f>IFERROR(__xludf.DUMMYFUNCTION("""COMPUTED_VALUE"""),"TÉC.ENFERMAGEM")</f>
        <v>TÉC.ENFERMAGEM</v>
      </c>
      <c r="C248" s="62" t="str">
        <f>IFERROR(__xludf.DUMMYFUNCTION("""COMPUTED_VALUE"""),"037.056.914-81")</f>
        <v>037.056.914-81</v>
      </c>
      <c r="D248" s="62" t="str">
        <f>IFERROR(__xludf.DUMMYFUNCTION("""COMPUTED_VALUE"""),"81 9755-6972")</f>
        <v>81 9755-6972</v>
      </c>
      <c r="E248" s="62" t="str">
        <f>IFERROR(__xludf.DUMMYFUNCTION("""COMPUTED_VALUE"""),"CARUARU")</f>
        <v>CARUARU</v>
      </c>
      <c r="F248" s="62" t="str">
        <f>IFERROR(__xludf.DUMMYFUNCTION("""COMPUTED_VALUE"""),"COOPERADO")</f>
        <v>COOPERADO</v>
      </c>
    </row>
    <row r="249">
      <c r="A249" s="62" t="str">
        <f>IFERROR(__xludf.DUMMYFUNCTION("""COMPUTED_VALUE"""),"Edilma Matias dos Santos")</f>
        <v>Edilma Matias dos Santos</v>
      </c>
      <c r="B249" s="62" t="str">
        <f>IFERROR(__xludf.DUMMYFUNCTION("""COMPUTED_VALUE"""),"Auxiliar de Higienização")</f>
        <v>Auxiliar de Higienização</v>
      </c>
      <c r="C249" s="62" t="str">
        <f>IFERROR(__xludf.DUMMYFUNCTION("""COMPUTED_VALUE"""),"081.147.524-76")</f>
        <v>081.147.524-76</v>
      </c>
      <c r="D249" s="62" t="str">
        <f>IFERROR(__xludf.DUMMYFUNCTION("""COMPUTED_VALUE"""),"81 9430-6571")</f>
        <v>81 9430-6571</v>
      </c>
      <c r="E249" s="62" t="str">
        <f>IFERROR(__xludf.DUMMYFUNCTION("""COMPUTED_VALUE"""),"CARUARU")</f>
        <v>CARUARU</v>
      </c>
      <c r="F249" s="62" t="str">
        <f>IFERROR(__xludf.DUMMYFUNCTION("""COMPUTED_VALUE"""),"COOPERADO")</f>
        <v>COOPERADO</v>
      </c>
    </row>
    <row r="250">
      <c r="A250" s="62" t="str">
        <f>IFERROR(__xludf.DUMMYFUNCTION("""COMPUTED_VALUE"""),"EDILSON DO NASCIMENTO ALVES")</f>
        <v>EDILSON DO NASCIMENTO ALVES</v>
      </c>
      <c r="B250" s="62" t="str">
        <f>IFERROR(__xludf.DUMMYFUNCTION("""COMPUTED_VALUE"""),"AUX. DE FARMÁCIA")</f>
        <v>AUX. DE FARMÁCIA</v>
      </c>
      <c r="C250" s="62" t="str">
        <f>IFERROR(__xludf.DUMMYFUNCTION("""COMPUTED_VALUE"""),"071.929.384-75")</f>
        <v>071.929.384-75</v>
      </c>
      <c r="D250" s="62" t="str">
        <f>IFERROR(__xludf.DUMMYFUNCTION("""COMPUTED_VALUE""")," 81 9665-9081")</f>
        <v> 81 9665-9081</v>
      </c>
      <c r="E250" s="62" t="str">
        <f>IFERROR(__xludf.DUMMYFUNCTION("""COMPUTED_VALUE"""),"CARUARU")</f>
        <v>CARUARU</v>
      </c>
      <c r="F250" s="62" t="str">
        <f>IFERROR(__xludf.DUMMYFUNCTION("""COMPUTED_VALUE"""),"COOPERADO")</f>
        <v>COOPERADO</v>
      </c>
    </row>
    <row r="251">
      <c r="A251" s="62" t="str">
        <f>IFERROR(__xludf.DUMMYFUNCTION("""COMPUTED_VALUE"""),"EDILUCIA MICHELE F. OLIVEIRA")</f>
        <v>EDILUCIA MICHELE F. OLIVEIRA</v>
      </c>
      <c r="B251" s="62" t="str">
        <f>IFERROR(__xludf.DUMMYFUNCTION("""COMPUTED_VALUE"""),"AUX. COZINHA")</f>
        <v>AUX. COZINHA</v>
      </c>
      <c r="C251" s="62" t="str">
        <f>IFERROR(__xludf.DUMMYFUNCTION("""COMPUTED_VALUE"""),"223.539.368-30")</f>
        <v>223.539.368-30</v>
      </c>
      <c r="D251" s="62" t="str">
        <f>IFERROR(__xludf.DUMMYFUNCTION("""COMPUTED_VALUE"""),"81979032447")</f>
        <v>81979032447</v>
      </c>
      <c r="E251" s="62" t="str">
        <f>IFERROR(__xludf.DUMMYFUNCTION("""COMPUTED_VALUE"""),"CARUARU")</f>
        <v>CARUARU</v>
      </c>
      <c r="F251" s="62" t="str">
        <f>IFERROR(__xludf.DUMMYFUNCTION("""COMPUTED_VALUE"""),"COOPERADO")</f>
        <v>COOPERADO</v>
      </c>
    </row>
    <row r="252">
      <c r="A252" s="62" t="str">
        <f>IFERROR(__xludf.DUMMYFUNCTION("""COMPUTED_VALUE"""),"EDSON FERNANDES DE JESUS JR")</f>
        <v>EDSON FERNANDES DE JESUS JR</v>
      </c>
      <c r="B252" s="62" t="str">
        <f>IFERROR(__xludf.DUMMYFUNCTION("""COMPUTED_VALUE"""),"AUX DE HIGIENIZAÇÃO")</f>
        <v>AUX DE HIGIENIZAÇÃO</v>
      </c>
      <c r="C252" s="62" t="str">
        <f>IFERROR(__xludf.DUMMYFUNCTION("""COMPUTED_VALUE"""),"082.801.864-26")</f>
        <v>082.801.864-26</v>
      </c>
      <c r="D252" s="62" t="str">
        <f>IFERROR(__xludf.DUMMYFUNCTION("""COMPUTED_VALUE"""),"81 7321-1487")</f>
        <v>81 7321-1487</v>
      </c>
      <c r="E252" s="62" t="str">
        <f>IFERROR(__xludf.DUMMYFUNCTION("""COMPUTED_VALUE"""),"CARUARU")</f>
        <v>CARUARU</v>
      </c>
      <c r="F252" s="62" t="str">
        <f>IFERROR(__xludf.DUMMYFUNCTION("""COMPUTED_VALUE"""),"COOPERADO")</f>
        <v>COOPERADO</v>
      </c>
    </row>
    <row r="253">
      <c r="A253" s="62" t="str">
        <f>IFERROR(__xludf.DUMMYFUNCTION("""COMPUTED_VALUE"""),"EDSON JAIR CRUZ DUARDAE")</f>
        <v>EDSON JAIR CRUZ DUARDAE</v>
      </c>
      <c r="B253" s="62" t="str">
        <f>IFERROR(__xludf.DUMMYFUNCTION("""COMPUTED_VALUE"""),"TÉCNICO DE T.I")</f>
        <v>TÉCNICO DE T.I</v>
      </c>
      <c r="C253" s="62" t="str">
        <f>IFERROR(__xludf.DUMMYFUNCTION("""COMPUTED_VALUE"""),"052.357.304-96")</f>
        <v>052.357.304-96</v>
      </c>
      <c r="D253" s="62" t="str">
        <f>IFERROR(__xludf.DUMMYFUNCTION("""COMPUTED_VALUE"""),"81 8231-4624")</f>
        <v>81 8231-4624</v>
      </c>
      <c r="E253" s="62" t="str">
        <f>IFERROR(__xludf.DUMMYFUNCTION("""COMPUTED_VALUE"""),"CARUARU")</f>
        <v>CARUARU</v>
      </c>
      <c r="F253" s="62" t="str">
        <f>IFERROR(__xludf.DUMMYFUNCTION("""COMPUTED_VALUE"""),"COOPERADO")</f>
        <v>COOPERADO</v>
      </c>
    </row>
    <row r="254">
      <c r="A254" s="62" t="str">
        <f>IFERROR(__xludf.DUMMYFUNCTION("""COMPUTED_VALUE"""),"EDUARDO AGUSTINHO DOS SANTOS")</f>
        <v>EDUARDO AGUSTINHO DOS SANTOS</v>
      </c>
      <c r="B254" s="62" t="str">
        <f>IFERROR(__xludf.DUMMYFUNCTION("""COMPUTED_VALUE"""),"AUX DE HIGIENIZAÇÃO")</f>
        <v>AUX DE HIGIENIZAÇÃO</v>
      </c>
      <c r="C254" s="62" t="str">
        <f>IFERROR(__xludf.DUMMYFUNCTION("""COMPUTED_VALUE"""),"115.283.994-20")</f>
        <v>115.283.994-20</v>
      </c>
      <c r="D254" s="62" t="str">
        <f>IFERROR(__xludf.DUMMYFUNCTION("""COMPUTED_VALUE"""),"81 8458-5939")</f>
        <v>81 8458-5939</v>
      </c>
      <c r="E254" s="62" t="str">
        <f>IFERROR(__xludf.DUMMYFUNCTION("""COMPUTED_VALUE"""),"CARUARU")</f>
        <v>CARUARU</v>
      </c>
      <c r="F254" s="62" t="str">
        <f>IFERROR(__xludf.DUMMYFUNCTION("""COMPUTED_VALUE"""),"COOPERADO")</f>
        <v>COOPERADO</v>
      </c>
    </row>
    <row r="255">
      <c r="A255" s="62" t="str">
        <f>IFERROR(__xludf.DUMMYFUNCTION("""COMPUTED_VALUE"""),"EDUARDO DE PADUA S. BARBOSA")</f>
        <v>EDUARDO DE PADUA S. BARBOSA</v>
      </c>
      <c r="B255" s="62" t="str">
        <f>IFERROR(__xludf.DUMMYFUNCTION("""COMPUTED_VALUE"""),"ENFERMEIRO (A)")</f>
        <v>ENFERMEIRO (A)</v>
      </c>
      <c r="C255" s="62" t="str">
        <f>IFERROR(__xludf.DUMMYFUNCTION("""COMPUTED_VALUE"""),"104.372.284-01")</f>
        <v>104.372.284-01</v>
      </c>
      <c r="D255" s="62" t="str">
        <f>IFERROR(__xludf.DUMMYFUNCTION("""COMPUTED_VALUE"""),"81 8398-8552")</f>
        <v>81 8398-8552</v>
      </c>
      <c r="E255" s="62" t="str">
        <f>IFERROR(__xludf.DUMMYFUNCTION("""COMPUTED_VALUE"""),"CARUARU")</f>
        <v>CARUARU</v>
      </c>
      <c r="F255" s="62" t="str">
        <f>IFERROR(__xludf.DUMMYFUNCTION("""COMPUTED_VALUE"""),"COOPERADO")</f>
        <v>COOPERADO</v>
      </c>
    </row>
    <row r="256">
      <c r="A256" s="62" t="str">
        <f>IFERROR(__xludf.DUMMYFUNCTION("""COMPUTED_VALUE"""),"EDUARDO JOSÉ DA SILVA")</f>
        <v>EDUARDO JOSÉ DA SILVA</v>
      </c>
      <c r="B256" s="62" t="str">
        <f>IFERROR(__xludf.DUMMYFUNCTION("""COMPUTED_VALUE"""),"ENFERMEIRO (A)")</f>
        <v>ENFERMEIRO (A)</v>
      </c>
      <c r="C256" s="62" t="str">
        <f>IFERROR(__xludf.DUMMYFUNCTION("""COMPUTED_VALUE"""),"137.146.304-22")</f>
        <v>137.146.304-22</v>
      </c>
      <c r="D256" s="62" t="str">
        <f>IFERROR(__xludf.DUMMYFUNCTION("""COMPUTED_VALUE"""),"81 9622-0062")</f>
        <v>81 9622-0062</v>
      </c>
      <c r="E256" s="62" t="str">
        <f>IFERROR(__xludf.DUMMYFUNCTION("""COMPUTED_VALUE"""),"CARUARU")</f>
        <v>CARUARU</v>
      </c>
      <c r="F256" s="62" t="str">
        <f>IFERROR(__xludf.DUMMYFUNCTION("""COMPUTED_VALUE"""),"COOPERADO")</f>
        <v>COOPERADO</v>
      </c>
    </row>
    <row r="257">
      <c r="A257" s="62" t="str">
        <f>IFERROR(__xludf.DUMMYFUNCTION("""COMPUTED_VALUE"""),"EDUARDO LIMA DE OLIVEIRA")</f>
        <v>EDUARDO LIMA DE OLIVEIRA</v>
      </c>
      <c r="B257" s="62" t="str">
        <f>IFERROR(__xludf.DUMMYFUNCTION("""COMPUTED_VALUE"""),"AUXILIAR DE FARMÁCIA")</f>
        <v>AUXILIAR DE FARMÁCIA</v>
      </c>
      <c r="C257" s="62" t="str">
        <f>IFERROR(__xludf.DUMMYFUNCTION("""COMPUTED_VALUE"""),"056.904.674-21")</f>
        <v>056.904.674-21</v>
      </c>
      <c r="D257" s="62" t="str">
        <f>IFERROR(__xludf.DUMMYFUNCTION("""COMPUTED_VALUE"""),"81 9941-7979")</f>
        <v>81 9941-7979</v>
      </c>
      <c r="E257" s="62" t="str">
        <f>IFERROR(__xludf.DUMMYFUNCTION("""COMPUTED_VALUE"""),"CARUARU")</f>
        <v>CARUARU</v>
      </c>
      <c r="F257" s="62" t="str">
        <f>IFERROR(__xludf.DUMMYFUNCTION("""COMPUTED_VALUE"""),"COOPERADO")</f>
        <v>COOPERADO</v>
      </c>
    </row>
    <row r="258">
      <c r="A258" s="62" t="str">
        <f>IFERROR(__xludf.DUMMYFUNCTION("""COMPUTED_VALUE"""),"EDUARDO MANOEL ALVES DA SILVA")</f>
        <v>EDUARDO MANOEL ALVES DA SILVA</v>
      </c>
      <c r="B258" s="62" t="str">
        <f>IFERROR(__xludf.DUMMYFUNCTION("""COMPUTED_VALUE"""),"TÉC. ENF. ")</f>
        <v>TÉC. ENF. </v>
      </c>
      <c r="C258" s="62" t="str">
        <f>IFERROR(__xludf.DUMMYFUNCTION("""COMPUTED_VALUE"""),"096.441.844-40")</f>
        <v>096.441.844-40</v>
      </c>
      <c r="D258" s="62" t="str">
        <f>IFERROR(__xludf.DUMMYFUNCTION("""COMPUTED_VALUE"""),"81 9750-4685")</f>
        <v>81 9750-4685</v>
      </c>
      <c r="E258" s="62" t="str">
        <f>IFERROR(__xludf.DUMMYFUNCTION("""COMPUTED_VALUE"""),"CARUARU")</f>
        <v>CARUARU</v>
      </c>
      <c r="F258" s="62" t="str">
        <f>IFERROR(__xludf.DUMMYFUNCTION("""COMPUTED_VALUE"""),"COOPERADO")</f>
        <v>COOPERADO</v>
      </c>
    </row>
    <row r="259">
      <c r="A259" s="62" t="str">
        <f>IFERROR(__xludf.DUMMYFUNCTION("""COMPUTED_VALUE"""),"EDNALDO FERREIRA DE LIMA")</f>
        <v>EDNALDO FERREIRA DE LIMA</v>
      </c>
      <c r="B259" s="62" t="str">
        <f>IFERROR(__xludf.DUMMYFUNCTION("""COMPUTED_VALUE"""),"Higienização")</f>
        <v>Higienização</v>
      </c>
      <c r="C259" s="62" t="str">
        <f>IFERROR(__xludf.DUMMYFUNCTION("""COMPUTED_VALUE"""),"679.815.467-21")</f>
        <v>679.815.467-21</v>
      </c>
      <c r="D259" s="62" t="str">
        <f>IFERROR(__xludf.DUMMYFUNCTION("""COMPUTED_VALUE"""),"6798154-6721")</f>
        <v>6798154-6721</v>
      </c>
      <c r="E259" s="62" t="str">
        <f>IFERROR(__xludf.DUMMYFUNCTION("""COMPUTED_VALUE"""),"CARUARU")</f>
        <v>CARUARU</v>
      </c>
      <c r="F259" s="62" t="str">
        <f>IFERROR(__xludf.DUMMYFUNCTION("""COMPUTED_VALUE"""),"COOPERADO")</f>
        <v>COOPERADO</v>
      </c>
    </row>
    <row r="260">
      <c r="A260" s="62" t="str">
        <f>IFERROR(__xludf.DUMMYFUNCTION("""COMPUTED_VALUE"""),"EDVANEIDE FERREIRA DA SILVA")</f>
        <v>EDVANEIDE FERREIRA DA SILVA</v>
      </c>
      <c r="B260" s="62" t="str">
        <f>IFERROR(__xludf.DUMMYFUNCTION("""COMPUTED_VALUE"""),"COPEIRA")</f>
        <v>COPEIRA</v>
      </c>
      <c r="C260" s="62" t="str">
        <f>IFERROR(__xludf.DUMMYFUNCTION("""COMPUTED_VALUE"""),"095.458.814-29")</f>
        <v>095.458.814-29</v>
      </c>
      <c r="D260" s="62" t="str">
        <f>IFERROR(__xludf.DUMMYFUNCTION("""COMPUTED_VALUE"""),"81 9448-2423")</f>
        <v>81 9448-2423</v>
      </c>
      <c r="E260" s="62" t="str">
        <f>IFERROR(__xludf.DUMMYFUNCTION("""COMPUTED_VALUE"""),"CARUARU")</f>
        <v>CARUARU</v>
      </c>
      <c r="F260" s="62" t="str">
        <f>IFERROR(__xludf.DUMMYFUNCTION("""COMPUTED_VALUE"""),"COOPERADO")</f>
        <v>COOPERADO</v>
      </c>
    </row>
    <row r="261">
      <c r="A261" s="62" t="str">
        <f>IFERROR(__xludf.DUMMYFUNCTION("""COMPUTED_VALUE"""),"EDVANIA GOMES DA SILVA")</f>
        <v>EDVANIA GOMES DA SILVA</v>
      </c>
      <c r="B261" s="62" t="str">
        <f>IFERROR(__xludf.DUMMYFUNCTION("""COMPUTED_VALUE"""),"TÉC.ENFERMAGEM")</f>
        <v>TÉC.ENFERMAGEM</v>
      </c>
      <c r="C261" s="62" t="str">
        <f>IFERROR(__xludf.DUMMYFUNCTION("""COMPUTED_VALUE"""),"055.547.584-01")</f>
        <v>055.547.584-01</v>
      </c>
      <c r="D261" s="62" t="str">
        <f>IFERROR(__xludf.DUMMYFUNCTION("""COMPUTED_VALUE"""),"81 9194-6556")</f>
        <v>81 9194-6556</v>
      </c>
      <c r="E261" s="62" t="str">
        <f>IFERROR(__xludf.DUMMYFUNCTION("""COMPUTED_VALUE"""),"CARUARU")</f>
        <v>CARUARU</v>
      </c>
      <c r="F261" s="62" t="str">
        <f>IFERROR(__xludf.DUMMYFUNCTION("""COMPUTED_VALUE"""),"COOPERADO")</f>
        <v>COOPERADO</v>
      </c>
    </row>
    <row r="262">
      <c r="A262" s="62" t="str">
        <f>IFERROR(__xludf.DUMMYFUNCTION("""COMPUTED_VALUE"""),"EDVANIA RENATO DE LIMA")</f>
        <v>EDVANIA RENATO DE LIMA</v>
      </c>
      <c r="B262" s="62" t="str">
        <f>IFERROR(__xludf.DUMMYFUNCTION("""COMPUTED_VALUE"""),"TÉC.ENFERMAGEM")</f>
        <v>TÉC.ENFERMAGEM</v>
      </c>
      <c r="C262" s="62" t="str">
        <f>IFERROR(__xludf.DUMMYFUNCTION("""COMPUTED_VALUE"""),"094.398.874-86")</f>
        <v>094.398.874-86</v>
      </c>
      <c r="D262" s="62" t="str">
        <f>IFERROR(__xludf.DUMMYFUNCTION("""COMPUTED_VALUE"""),"81 9968-7106")</f>
        <v>81 9968-7106</v>
      </c>
      <c r="E262" s="62" t="str">
        <f>IFERROR(__xludf.DUMMYFUNCTION("""COMPUTED_VALUE"""),"CARUARU")</f>
        <v>CARUARU</v>
      </c>
      <c r="F262" s="62" t="str">
        <f>IFERROR(__xludf.DUMMYFUNCTION("""COMPUTED_VALUE"""),"COOPERADO")</f>
        <v>COOPERADO</v>
      </c>
    </row>
    <row r="263">
      <c r="A263" s="62" t="str">
        <f>IFERROR(__xludf.DUMMYFUNCTION("""COMPUTED_VALUE"""),"ELAINY SILVA PEREIRA")</f>
        <v>ELAINY SILVA PEREIRA</v>
      </c>
      <c r="B263" s="62" t="str">
        <f>IFERROR(__xludf.DUMMYFUNCTION("""COMPUTED_VALUE"""),"COPEIRA")</f>
        <v>COPEIRA</v>
      </c>
      <c r="C263" s="62" t="str">
        <f>IFERROR(__xludf.DUMMYFUNCTION("""COMPUTED_VALUE"""),"051.670.874-06")</f>
        <v>051.670.874-06</v>
      </c>
      <c r="D263" s="62" t="str">
        <f>IFERROR(__xludf.DUMMYFUNCTION("""COMPUTED_VALUE"""),"81 9295-8646")</f>
        <v>81 9295-8646</v>
      </c>
      <c r="E263" s="62" t="str">
        <f>IFERROR(__xludf.DUMMYFUNCTION("""COMPUTED_VALUE"""),"CARUARU")</f>
        <v>CARUARU</v>
      </c>
      <c r="F263" s="62" t="str">
        <f>IFERROR(__xludf.DUMMYFUNCTION("""COMPUTED_VALUE"""),"COOPERADO")</f>
        <v>COOPERADO</v>
      </c>
    </row>
    <row r="264">
      <c r="A264" s="62" t="str">
        <f>IFERROR(__xludf.DUMMYFUNCTION("""COMPUTED_VALUE"""),"ELAYNE CRISTIANE NASCIMENTO MELO")</f>
        <v>ELAYNE CRISTIANE NASCIMENTO MELO</v>
      </c>
      <c r="B264" s="62" t="str">
        <f>IFERROR(__xludf.DUMMYFUNCTION("""COMPUTED_VALUE"""),"TÉC.ENFERMAGEM")</f>
        <v>TÉC.ENFERMAGEM</v>
      </c>
      <c r="C264" s="62" t="str">
        <f>IFERROR(__xludf.DUMMYFUNCTION("""COMPUTED_VALUE"""),"059.125.434-47")</f>
        <v>059.125.434-47</v>
      </c>
      <c r="D264" s="62" t="str">
        <f>IFERROR(__xludf.DUMMYFUNCTION("""COMPUTED_VALUE"""),"81 7338-0770")</f>
        <v>81 7338-0770</v>
      </c>
      <c r="E264" s="62" t="str">
        <f>IFERROR(__xludf.DUMMYFUNCTION("""COMPUTED_VALUE"""),"CARUARU")</f>
        <v>CARUARU</v>
      </c>
      <c r="F264" s="62" t="str">
        <f>IFERROR(__xludf.DUMMYFUNCTION("""COMPUTED_VALUE"""),"COOPERADO")</f>
        <v>COOPERADO</v>
      </c>
    </row>
    <row r="265">
      <c r="A265" s="62" t="str">
        <f>IFERROR(__xludf.DUMMYFUNCTION("""COMPUTED_VALUE"""),"ELENICE JOSEFA DA SILVA")</f>
        <v>ELENICE JOSEFA DA SILVA</v>
      </c>
      <c r="B265" s="62" t="str">
        <f>IFERROR(__xludf.DUMMYFUNCTION("""COMPUTED_VALUE"""),"AUX. DE HIGIENIZAÇÃO")</f>
        <v>AUX. DE HIGIENIZAÇÃO</v>
      </c>
      <c r="C265" s="62" t="str">
        <f>IFERROR(__xludf.DUMMYFUNCTION("""COMPUTED_VALUE"""),"122.859.264-05")</f>
        <v>122.859.264-05</v>
      </c>
      <c r="D265" s="62" t="str">
        <f>IFERROR(__xludf.DUMMYFUNCTION("""COMPUTED_VALUE"""),"81 8980-3427")</f>
        <v>81 8980-3427</v>
      </c>
      <c r="E265" s="62" t="str">
        <f>IFERROR(__xludf.DUMMYFUNCTION("""COMPUTED_VALUE"""),"CARUARU")</f>
        <v>CARUARU</v>
      </c>
      <c r="F265" s="62" t="str">
        <f>IFERROR(__xludf.DUMMYFUNCTION("""COMPUTED_VALUE"""),"COOPERADO")</f>
        <v>COOPERADO</v>
      </c>
    </row>
    <row r="266">
      <c r="A266" s="62" t="str">
        <f>IFERROR(__xludf.DUMMYFUNCTION("""COMPUTED_VALUE"""),"Elian Maria da Silva Alves")</f>
        <v>Elian Maria da Silva Alves</v>
      </c>
      <c r="B266" s="62" t="str">
        <f>IFERROR(__xludf.DUMMYFUNCTION("""COMPUTED_VALUE"""),"Auxiliar de Higienização")</f>
        <v>Auxiliar de Higienização</v>
      </c>
      <c r="C266" s="62" t="str">
        <f>IFERROR(__xludf.DUMMYFUNCTION("""COMPUTED_VALUE"""),"139.510.814-57")</f>
        <v>139.510.814-57</v>
      </c>
      <c r="D266" s="62" t="str">
        <f>IFERROR(__xludf.DUMMYFUNCTION("""COMPUTED_VALUE""")," 81 9879-0597")</f>
        <v> 81 9879-0597</v>
      </c>
      <c r="E266" s="62" t="str">
        <f>IFERROR(__xludf.DUMMYFUNCTION("""COMPUTED_VALUE"""),"CARUARU")</f>
        <v>CARUARU</v>
      </c>
      <c r="F266" s="62" t="str">
        <f>IFERROR(__xludf.DUMMYFUNCTION("""COMPUTED_VALUE"""),"COOPERADO")</f>
        <v>COOPERADO</v>
      </c>
    </row>
    <row r="267">
      <c r="A267" s="62" t="str">
        <f>IFERROR(__xludf.DUMMYFUNCTION("""COMPUTED_VALUE"""),"ELIANE DA SILVA SANTOS")</f>
        <v>ELIANE DA SILVA SANTOS</v>
      </c>
      <c r="B267" s="62" t="str">
        <f>IFERROR(__xludf.DUMMYFUNCTION("""COMPUTED_VALUE"""),"TÉC.ENFERMAGEM")</f>
        <v>TÉC.ENFERMAGEM</v>
      </c>
      <c r="C267" s="62" t="str">
        <f>IFERROR(__xludf.DUMMYFUNCTION("""COMPUTED_VALUE"""),"124.063.244-43")</f>
        <v>124.063.244-43</v>
      </c>
      <c r="D267" s="62" t="str">
        <f>IFERROR(__xludf.DUMMYFUNCTION("""COMPUTED_VALUE"""),"81 9785-6109")</f>
        <v>81 9785-6109</v>
      </c>
      <c r="E267" s="62" t="str">
        <f>IFERROR(__xludf.DUMMYFUNCTION("""COMPUTED_VALUE"""),"CARUARU")</f>
        <v>CARUARU</v>
      </c>
      <c r="F267" s="62" t="str">
        <f>IFERROR(__xludf.DUMMYFUNCTION("""COMPUTED_VALUE"""),"COOPERADO")</f>
        <v>COOPERADO</v>
      </c>
    </row>
    <row r="268">
      <c r="A268" s="62" t="str">
        <f>IFERROR(__xludf.DUMMYFUNCTION("""COMPUTED_VALUE"""),"ELIANE MARIA DA SILVA")</f>
        <v>ELIANE MARIA DA SILVA</v>
      </c>
      <c r="B268" s="62" t="str">
        <f>IFERROR(__xludf.DUMMYFUNCTION("""COMPUTED_VALUE"""),"AUXILIAR DE COZINHA")</f>
        <v>AUXILIAR DE COZINHA</v>
      </c>
      <c r="C268" s="62" t="str">
        <f>IFERROR(__xludf.DUMMYFUNCTION("""COMPUTED_VALUE"""),"082.386.484-76")</f>
        <v>082.386.484-76</v>
      </c>
      <c r="D268" s="62" t="str">
        <f>IFERROR(__xludf.DUMMYFUNCTION("""COMPUTED_VALUE""")," 81 9155-7730")</f>
        <v> 81 9155-7730</v>
      </c>
      <c r="E268" s="62" t="str">
        <f>IFERROR(__xludf.DUMMYFUNCTION("""COMPUTED_VALUE"""),"CARUARU")</f>
        <v>CARUARU</v>
      </c>
      <c r="F268" s="62" t="str">
        <f>IFERROR(__xludf.DUMMYFUNCTION("""COMPUTED_VALUE"""),"COOPERADO")</f>
        <v>COOPERADO</v>
      </c>
    </row>
    <row r="269">
      <c r="A269" s="62" t="str">
        <f>IFERROR(__xludf.DUMMYFUNCTION("""COMPUTED_VALUE"""),"ELIANE SILVA DE NARCISO")</f>
        <v>ELIANE SILVA DE NARCISO</v>
      </c>
      <c r="B269" s="62" t="str">
        <f>IFERROR(__xludf.DUMMYFUNCTION("""COMPUTED_VALUE"""),"TÉC.ENFERMAGEM")</f>
        <v>TÉC.ENFERMAGEM</v>
      </c>
      <c r="C269" s="62" t="str">
        <f>IFERROR(__xludf.DUMMYFUNCTION("""COMPUTED_VALUE"""),"701.832.384-35")</f>
        <v>701.832.384-35</v>
      </c>
      <c r="D269" s="62" t="str">
        <f>IFERROR(__xludf.DUMMYFUNCTION("""COMPUTED_VALUE"""),"81 9412-4836")</f>
        <v>81 9412-4836</v>
      </c>
      <c r="E269" s="62" t="str">
        <f>IFERROR(__xludf.DUMMYFUNCTION("""COMPUTED_VALUE"""),"CARUARU")</f>
        <v>CARUARU</v>
      </c>
      <c r="F269" s="62" t="str">
        <f>IFERROR(__xludf.DUMMYFUNCTION("""COMPUTED_VALUE"""),"COOPERADO")</f>
        <v>COOPERADO</v>
      </c>
    </row>
    <row r="270">
      <c r="A270" s="62" t="str">
        <f>IFERROR(__xludf.DUMMYFUNCTION("""COMPUTED_VALUE"""),"ELIANEIDE RODRIGUES QUEIROZ")</f>
        <v>ELIANEIDE RODRIGUES QUEIROZ</v>
      </c>
      <c r="B270" s="62" t="str">
        <f>IFERROR(__xludf.DUMMYFUNCTION("""COMPUTED_VALUE"""),"AUX. DE ROUPARIA")</f>
        <v>AUX. DE ROUPARIA</v>
      </c>
      <c r="C270" s="62" t="str">
        <f>IFERROR(__xludf.DUMMYFUNCTION("""COMPUTED_VALUE"""),"011.869.534-70")</f>
        <v>011.869.534-70</v>
      </c>
      <c r="D270" s="62" t="str">
        <f>IFERROR(__xludf.DUMMYFUNCTION("""COMPUTED_VALUE"""),"81 9491-1897")</f>
        <v>81 9491-1897</v>
      </c>
      <c r="E270" s="62" t="str">
        <f>IFERROR(__xludf.DUMMYFUNCTION("""COMPUTED_VALUE"""),"CARUARU")</f>
        <v>CARUARU</v>
      </c>
      <c r="F270" s="62" t="str">
        <f>IFERROR(__xludf.DUMMYFUNCTION("""COMPUTED_VALUE"""),"COOPERADO")</f>
        <v>COOPERADO</v>
      </c>
    </row>
    <row r="271">
      <c r="A271" s="62" t="str">
        <f>IFERROR(__xludf.DUMMYFUNCTION("""COMPUTED_VALUE"""),"ELISABETE VIRGINIA DOS SANTOS")</f>
        <v>ELISABETE VIRGINIA DOS SANTOS</v>
      </c>
      <c r="B271" s="62" t="str">
        <f>IFERROR(__xludf.DUMMYFUNCTION("""COMPUTED_VALUE"""),"TÉC.ENFERMAGEM")</f>
        <v>TÉC.ENFERMAGEM</v>
      </c>
      <c r="C271" s="62" t="str">
        <f>IFERROR(__xludf.DUMMYFUNCTION("""COMPUTED_VALUE"""),"667.842.554-53")</f>
        <v>667.842.554-53</v>
      </c>
      <c r="D271" s="62" t="str">
        <f>IFERROR(__xludf.DUMMYFUNCTION("""COMPUTED_VALUE"""),"81 7113-7516")</f>
        <v>81 7113-7516</v>
      </c>
      <c r="E271" s="62" t="str">
        <f>IFERROR(__xludf.DUMMYFUNCTION("""COMPUTED_VALUE"""),"CARUARU")</f>
        <v>CARUARU</v>
      </c>
      <c r="F271" s="62" t="str">
        <f>IFERROR(__xludf.DUMMYFUNCTION("""COMPUTED_VALUE"""),"COOPERADO")</f>
        <v>COOPERADO</v>
      </c>
    </row>
    <row r="272">
      <c r="A272" s="62" t="str">
        <f>IFERROR(__xludf.DUMMYFUNCTION("""COMPUTED_VALUE"""),"ELISANGELA ALVES DE ARAUJO")</f>
        <v>ELISANGELA ALVES DE ARAUJO</v>
      </c>
      <c r="B272" s="62" t="str">
        <f>IFERROR(__xludf.DUMMYFUNCTION("""COMPUTED_VALUE"""),"TÉC.ENFERMAGEM")</f>
        <v>TÉC.ENFERMAGEM</v>
      </c>
      <c r="C272" s="62" t="str">
        <f>IFERROR(__xludf.DUMMYFUNCTION("""COMPUTED_VALUE"""),"178.386.328-54")</f>
        <v>178.386.328-54</v>
      </c>
      <c r="D272" s="62" t="str">
        <f>IFERROR(__xludf.DUMMYFUNCTION("""COMPUTED_VALUE"""),"81 9944-3890")</f>
        <v>81 9944-3890</v>
      </c>
      <c r="E272" s="62" t="str">
        <f>IFERROR(__xludf.DUMMYFUNCTION("""COMPUTED_VALUE"""),"CARUARU")</f>
        <v>CARUARU</v>
      </c>
      <c r="F272" s="62" t="str">
        <f>IFERROR(__xludf.DUMMYFUNCTION("""COMPUTED_VALUE"""),"COOPERADO")</f>
        <v>COOPERADO</v>
      </c>
    </row>
    <row r="273">
      <c r="A273" s="62" t="str">
        <f>IFERROR(__xludf.DUMMYFUNCTION("""COMPUTED_VALUE"""),"ELISANGELA MARIA DA SILVA")</f>
        <v>ELISANGELA MARIA DA SILVA</v>
      </c>
      <c r="B273" s="62" t="str">
        <f>IFERROR(__xludf.DUMMYFUNCTION("""COMPUTED_VALUE"""),"TÉC. ENF")</f>
        <v>TÉC. ENF</v>
      </c>
      <c r="C273" s="62" t="str">
        <f>IFERROR(__xludf.DUMMYFUNCTION("""COMPUTED_VALUE"""),"811.286.144-72")</f>
        <v>811.286.144-72</v>
      </c>
      <c r="D273" s="62" t="str">
        <f>IFERROR(__xludf.DUMMYFUNCTION("""COMPUTED_VALUE"""),"81 9217-4808")</f>
        <v>81 9217-4808</v>
      </c>
      <c r="E273" s="62" t="str">
        <f>IFERROR(__xludf.DUMMYFUNCTION("""COMPUTED_VALUE"""),"CARUARU")</f>
        <v>CARUARU</v>
      </c>
      <c r="F273" s="62" t="str">
        <f>IFERROR(__xludf.DUMMYFUNCTION("""COMPUTED_VALUE"""),"COOPERADO")</f>
        <v>COOPERADO</v>
      </c>
    </row>
    <row r="274">
      <c r="A274" s="62" t="str">
        <f>IFERROR(__xludf.DUMMYFUNCTION("""COMPUTED_VALUE"""),"ELIYVELTON JUNIOR SOBRAL SILVA")</f>
        <v>ELIYVELTON JUNIOR SOBRAL SILVA</v>
      </c>
      <c r="B274" s="62" t="str">
        <f>IFERROR(__xludf.DUMMYFUNCTION("""COMPUTED_VALUE"""),"AUXILIAR DE FARMÁCIA")</f>
        <v>AUXILIAR DE FARMÁCIA</v>
      </c>
      <c r="C274" s="62" t="str">
        <f>IFERROR(__xludf.DUMMYFUNCTION("""COMPUTED_VALUE"""),"121.415.924-96")</f>
        <v>121.415.924-96</v>
      </c>
      <c r="D274" s="62" t="str">
        <f>IFERROR(__xludf.DUMMYFUNCTION("""COMPUTED_VALUE"""),"81 9542-3755")</f>
        <v>81 9542-3755</v>
      </c>
      <c r="E274" s="62" t="str">
        <f>IFERROR(__xludf.DUMMYFUNCTION("""COMPUTED_VALUE"""),"CARUARU")</f>
        <v>CARUARU</v>
      </c>
      <c r="F274" s="62" t="str">
        <f>IFERROR(__xludf.DUMMYFUNCTION("""COMPUTED_VALUE"""),"COOPERADO")</f>
        <v>COOPERADO</v>
      </c>
    </row>
    <row r="275">
      <c r="A275" s="62" t="str">
        <f>IFERROR(__xludf.DUMMYFUNCTION("""COMPUTED_VALUE"""),"ELIZANGELA MESSIAS DA SILVA LIMA")</f>
        <v>ELIZANGELA MESSIAS DA SILVA LIMA</v>
      </c>
      <c r="B275" s="62" t="str">
        <f>IFERROR(__xludf.DUMMYFUNCTION("""COMPUTED_VALUE"""),"AUXILIAR DE COZINHA")</f>
        <v>AUXILIAR DE COZINHA</v>
      </c>
      <c r="C275" s="62" t="str">
        <f>IFERROR(__xludf.DUMMYFUNCTION("""COMPUTED_VALUE"""),"058.905.714-60")</f>
        <v>058.905.714-60</v>
      </c>
      <c r="D275" s="62" t="str">
        <f>IFERROR(__xludf.DUMMYFUNCTION("""COMPUTED_VALUE"""),"81 8562-3852")</f>
        <v>81 8562-3852</v>
      </c>
      <c r="E275" s="62" t="str">
        <f>IFERROR(__xludf.DUMMYFUNCTION("""COMPUTED_VALUE"""),"CARUARU")</f>
        <v>CARUARU</v>
      </c>
      <c r="F275" s="62" t="str">
        <f>IFERROR(__xludf.DUMMYFUNCTION("""COMPUTED_VALUE"""),"COOPERADO")</f>
        <v>COOPERADO</v>
      </c>
    </row>
    <row r="276">
      <c r="A276" s="62" t="str">
        <f>IFERROR(__xludf.DUMMYFUNCTION("""COMPUTED_VALUE"""),"Elizia Viviane Monteiro S.")</f>
        <v>Elizia Viviane Monteiro S.</v>
      </c>
      <c r="B276" s="62" t="str">
        <f>IFERROR(__xludf.DUMMYFUNCTION("""COMPUTED_VALUE"""),"Téc. Enf.")</f>
        <v>Téc. Enf.</v>
      </c>
      <c r="C276" s="62" t="str">
        <f>IFERROR(__xludf.DUMMYFUNCTION("""COMPUTED_VALUE"""),"080.505.884-24")</f>
        <v>080.505.884-24</v>
      </c>
      <c r="D276" s="62" t="str">
        <f>IFERROR(__xludf.DUMMYFUNCTION("""COMPUTED_VALUE"""),"81 9 9152-3350")</f>
        <v>81 9 9152-3350</v>
      </c>
      <c r="E276" s="62" t="str">
        <f>IFERROR(__xludf.DUMMYFUNCTION("""COMPUTED_VALUE"""),"CARUARU")</f>
        <v>CARUARU</v>
      </c>
      <c r="F276" s="62" t="str">
        <f>IFERROR(__xludf.DUMMYFUNCTION("""COMPUTED_VALUE"""),"COOPERADO")</f>
        <v>COOPERADO</v>
      </c>
    </row>
    <row r="277">
      <c r="A277" s="62" t="str">
        <f>IFERROR(__xludf.DUMMYFUNCTION("""COMPUTED_VALUE"""),"ELLEN TAYNARA SANTOS")</f>
        <v>ELLEN TAYNARA SANTOS</v>
      </c>
      <c r="B277" s="62" t="str">
        <f>IFERROR(__xludf.DUMMYFUNCTION("""COMPUTED_VALUE"""),"ENFERMEIRO (A)")</f>
        <v>ENFERMEIRO (A)</v>
      </c>
      <c r="C277" s="62" t="str">
        <f>IFERROR(__xludf.DUMMYFUNCTION("""COMPUTED_VALUE"""),"130.262.554-32")</f>
        <v>130.262.554-32</v>
      </c>
      <c r="D277" s="62" t="str">
        <f>IFERROR(__xludf.DUMMYFUNCTION("""COMPUTED_VALUE"""),"81 9165-2956")</f>
        <v>81 9165-2956</v>
      </c>
      <c r="E277" s="62" t="str">
        <f>IFERROR(__xludf.DUMMYFUNCTION("""COMPUTED_VALUE"""),"CARUARU")</f>
        <v>CARUARU</v>
      </c>
      <c r="F277" s="62" t="str">
        <f>IFERROR(__xludf.DUMMYFUNCTION("""COMPUTED_VALUE"""),"COOPERADO")</f>
        <v>COOPERADO</v>
      </c>
    </row>
    <row r="278">
      <c r="A278" s="62" t="str">
        <f>IFERROR(__xludf.DUMMYFUNCTION("""COMPUTED_VALUE"""),"EMANUELE NAYRA DA SILVA SANTOS")</f>
        <v>EMANUELE NAYRA DA SILVA SANTOS</v>
      </c>
      <c r="B278" s="62" t="str">
        <f>IFERROR(__xludf.DUMMYFUNCTION("""COMPUTED_VALUE"""),"TÉC. ENF.")</f>
        <v>TÉC. ENF.</v>
      </c>
      <c r="C278" s="62" t="str">
        <f>IFERROR(__xludf.DUMMYFUNCTION("""COMPUTED_VALUE"""),"703.988.894-73")</f>
        <v>703.988.894-73</v>
      </c>
      <c r="D278" s="62" t="str">
        <f>IFERROR(__xludf.DUMMYFUNCTION("""COMPUTED_VALUE"""),"81 9859-0942")</f>
        <v>81 9859-0942</v>
      </c>
      <c r="E278" s="62" t="str">
        <f>IFERROR(__xludf.DUMMYFUNCTION("""COMPUTED_VALUE"""),"CARUARU")</f>
        <v>CARUARU</v>
      </c>
      <c r="F278" s="62" t="str">
        <f>IFERROR(__xludf.DUMMYFUNCTION("""COMPUTED_VALUE"""),"COOPERADO")</f>
        <v>COOPERADO</v>
      </c>
    </row>
    <row r="279">
      <c r="A279" s="62" t="str">
        <f>IFERROR(__xludf.DUMMYFUNCTION("""COMPUTED_VALUE"""),"EMERSON MATEUS SILVA BENTO")</f>
        <v>EMERSON MATEUS SILVA BENTO</v>
      </c>
      <c r="B279" s="62" t="str">
        <f>IFERROR(__xludf.DUMMYFUNCTION("""COMPUTED_VALUE"""),"AUX. DE HIGIENIZAÇÃO")</f>
        <v>AUX. DE HIGIENIZAÇÃO</v>
      </c>
      <c r="C279" s="62" t="str">
        <f>IFERROR(__xludf.DUMMYFUNCTION("""COMPUTED_VALUE"""),"126.899.284-42")</f>
        <v>126.899.284-42</v>
      </c>
      <c r="D279" s="62" t="str">
        <f>IFERROR(__xludf.DUMMYFUNCTION("""COMPUTED_VALUE"""),"81 9924-3046")</f>
        <v>81 9924-3046</v>
      </c>
      <c r="E279" s="62" t="str">
        <f>IFERROR(__xludf.DUMMYFUNCTION("""COMPUTED_VALUE"""),"CARUARU")</f>
        <v>CARUARU</v>
      </c>
      <c r="F279" s="62" t="str">
        <f>IFERROR(__xludf.DUMMYFUNCTION("""COMPUTED_VALUE"""),"COOPERADO")</f>
        <v>COOPERADO</v>
      </c>
    </row>
    <row r="280">
      <c r="A280" s="62" t="str">
        <f>IFERROR(__xludf.DUMMYFUNCTION("""COMPUTED_VALUE"""),"EMERSON VIEIRA BEZERRA")</f>
        <v>EMERSON VIEIRA BEZERRA</v>
      </c>
      <c r="B280" s="62" t="str">
        <f>IFERROR(__xludf.DUMMYFUNCTION("""COMPUTED_VALUE"""),"AUX DE HIGIENIZAÇÃO")</f>
        <v>AUX DE HIGIENIZAÇÃO</v>
      </c>
      <c r="C280" s="62" t="str">
        <f>IFERROR(__xludf.DUMMYFUNCTION("""COMPUTED_VALUE"""),"098.104.494-88")</f>
        <v>098.104.494-88</v>
      </c>
      <c r="D280" s="62" t="str">
        <f>IFERROR(__xludf.DUMMYFUNCTION("""COMPUTED_VALUE"""),"81 9141-7583")</f>
        <v>81 9141-7583</v>
      </c>
      <c r="E280" s="62" t="str">
        <f>IFERROR(__xludf.DUMMYFUNCTION("""COMPUTED_VALUE"""),"CARUARU")</f>
        <v>CARUARU</v>
      </c>
      <c r="F280" s="62" t="str">
        <f>IFERROR(__xludf.DUMMYFUNCTION("""COMPUTED_VALUE"""),"COOPERADO")</f>
        <v>COOPERADO</v>
      </c>
    </row>
    <row r="281">
      <c r="A281" s="62" t="str">
        <f>IFERROR(__xludf.DUMMYFUNCTION("""COMPUTED_VALUE"""),"EMILY MERCIA LIMA SILVA")</f>
        <v>EMILY MERCIA LIMA SILVA</v>
      </c>
      <c r="B281" s="62" t="str">
        <f>IFERROR(__xludf.DUMMYFUNCTION("""COMPUTED_VALUE"""),"AUX. DE FARMÁCIA")</f>
        <v>AUX. DE FARMÁCIA</v>
      </c>
      <c r="C281" s="62" t="str">
        <f>IFERROR(__xludf.DUMMYFUNCTION("""COMPUTED_VALUE"""),"116.394.974-47")</f>
        <v>116.394.974-47</v>
      </c>
      <c r="D281" s="62" t="str">
        <f>IFERROR(__xludf.DUMMYFUNCTION("""COMPUTED_VALUE"""),"81 9850-9013")</f>
        <v>81 9850-9013</v>
      </c>
      <c r="E281" s="62" t="str">
        <f>IFERROR(__xludf.DUMMYFUNCTION("""COMPUTED_VALUE"""),"CARUARU")</f>
        <v>CARUARU</v>
      </c>
      <c r="F281" s="62" t="str">
        <f>IFERROR(__xludf.DUMMYFUNCTION("""COMPUTED_VALUE"""),"COOPERADO")</f>
        <v>COOPERADO</v>
      </c>
    </row>
    <row r="282">
      <c r="A282" s="62" t="str">
        <f>IFERROR(__xludf.DUMMYFUNCTION("""COMPUTED_VALUE"""),"Emirley S. De Aguiar")</f>
        <v>Emirley S. De Aguiar</v>
      </c>
      <c r="B282" s="62" t="str">
        <f>IFERROR(__xludf.DUMMYFUNCTION("""COMPUTED_VALUE"""),"Téc. Enf.")</f>
        <v>Téc. Enf.</v>
      </c>
      <c r="C282" s="62" t="str">
        <f>IFERROR(__xludf.DUMMYFUNCTION("""COMPUTED_VALUE"""),"073.254.164-66")</f>
        <v>073.254.164-66</v>
      </c>
      <c r="D282" s="62" t="str">
        <f>IFERROR(__xludf.DUMMYFUNCTION("""COMPUTED_VALUE"""),"81 9974-6961")</f>
        <v>81 9974-6961</v>
      </c>
      <c r="E282" s="62" t="str">
        <f>IFERROR(__xludf.DUMMYFUNCTION("""COMPUTED_VALUE"""),"CARUARU")</f>
        <v>CARUARU</v>
      </c>
      <c r="F282" s="62" t="str">
        <f>IFERROR(__xludf.DUMMYFUNCTION("""COMPUTED_VALUE"""),"COOPERADO")</f>
        <v>COOPERADO</v>
      </c>
    </row>
    <row r="283">
      <c r="A283" s="62" t="str">
        <f>IFERROR(__xludf.DUMMYFUNCTION("""COMPUTED_VALUE"""),"EMYLLI SAMMYLI DA SILVA")</f>
        <v>EMYLLI SAMMYLI DA SILVA</v>
      </c>
      <c r="B283" s="62" t="str">
        <f>IFERROR(__xludf.DUMMYFUNCTION("""COMPUTED_VALUE"""),"AUXILIAR DE FARMÁCIA")</f>
        <v>AUXILIAR DE FARMÁCIA</v>
      </c>
      <c r="C283" s="62" t="str">
        <f>IFERROR(__xludf.DUMMYFUNCTION("""COMPUTED_VALUE"""),"130.962.714-29")</f>
        <v>130.962.714-29</v>
      </c>
      <c r="D283" s="62" t="str">
        <f>IFERROR(__xludf.DUMMYFUNCTION("""COMPUTED_VALUE"""),"81 9111-1966")</f>
        <v>81 9111-1966</v>
      </c>
      <c r="E283" s="62" t="str">
        <f>IFERROR(__xludf.DUMMYFUNCTION("""COMPUTED_VALUE"""),"CARUARU")</f>
        <v>CARUARU</v>
      </c>
      <c r="F283" s="62" t="str">
        <f>IFERROR(__xludf.DUMMYFUNCTION("""COMPUTED_VALUE"""),"COOPERADO")</f>
        <v>COOPERADO</v>
      </c>
    </row>
    <row r="284">
      <c r="A284" s="62" t="str">
        <f>IFERROR(__xludf.DUMMYFUNCTION("""COMPUTED_VALUE"""),"ERICA TATIANE SILVA")</f>
        <v>ERICA TATIANE SILVA</v>
      </c>
      <c r="B284" s="62" t="str">
        <f>IFERROR(__xludf.DUMMYFUNCTION("""COMPUTED_VALUE"""),"TÉC.ENFERMAGEM")</f>
        <v>TÉC.ENFERMAGEM</v>
      </c>
      <c r="C284" s="62" t="str">
        <f>IFERROR(__xludf.DUMMYFUNCTION("""COMPUTED_VALUE"""),"094.652.164-61")</f>
        <v>094.652.164-61</v>
      </c>
      <c r="D284" s="62" t="str">
        <f>IFERROR(__xludf.DUMMYFUNCTION("""COMPUTED_VALUE"""),"81 9846-2172")</f>
        <v>81 9846-2172</v>
      </c>
      <c r="E284" s="62" t="str">
        <f>IFERROR(__xludf.DUMMYFUNCTION("""COMPUTED_VALUE"""),"CARUARU")</f>
        <v>CARUARU</v>
      </c>
      <c r="F284" s="62" t="str">
        <f>IFERROR(__xludf.DUMMYFUNCTION("""COMPUTED_VALUE"""),"COOPERADO")</f>
        <v>COOPERADO</v>
      </c>
    </row>
    <row r="285">
      <c r="A285" s="62" t="str">
        <f>IFERROR(__xludf.DUMMYFUNCTION("""COMPUTED_VALUE"""),"ERIKA MARIA DA SILVA")</f>
        <v>ERIKA MARIA DA SILVA</v>
      </c>
      <c r="B285" s="62" t="str">
        <f>IFERROR(__xludf.DUMMYFUNCTION("""COMPUTED_VALUE"""),"TÉC.ENFERMAGEM")</f>
        <v>TÉC.ENFERMAGEM</v>
      </c>
      <c r="C285" s="62" t="str">
        <f>IFERROR(__xludf.DUMMYFUNCTION("""COMPUTED_VALUE"""),"152.469.484-39")</f>
        <v>152.469.484-39</v>
      </c>
      <c r="D285" s="62" t="str">
        <f>IFERROR(__xludf.DUMMYFUNCTION("""COMPUTED_VALUE"""),"81 7108-7823")</f>
        <v>81 7108-7823</v>
      </c>
      <c r="E285" s="62" t="str">
        <f>IFERROR(__xludf.DUMMYFUNCTION("""COMPUTED_VALUE"""),"CARUARU")</f>
        <v>CARUARU</v>
      </c>
      <c r="F285" s="62" t="str">
        <f>IFERROR(__xludf.DUMMYFUNCTION("""COMPUTED_VALUE"""),"COOPERADO")</f>
        <v>COOPERADO</v>
      </c>
    </row>
    <row r="286">
      <c r="A286" s="62" t="str">
        <f>IFERROR(__xludf.DUMMYFUNCTION("""COMPUTED_VALUE"""),"ERIKA SABINA SILVA")</f>
        <v>ERIKA SABINA SILVA</v>
      </c>
      <c r="B286" s="62" t="str">
        <f>IFERROR(__xludf.DUMMYFUNCTION("""COMPUTED_VALUE"""),"Recepcionista")</f>
        <v>Recepcionista</v>
      </c>
      <c r="C286" s="62" t="str">
        <f>IFERROR(__xludf.DUMMYFUNCTION("""COMPUTED_VALUE"""),"105.644.364-29")</f>
        <v>105.644.364-29</v>
      </c>
      <c r="D286" s="62" t="str">
        <f>IFERROR(__xludf.DUMMYFUNCTION("""COMPUTED_VALUE"""),"81 9196-5133")</f>
        <v>81 9196-5133</v>
      </c>
      <c r="E286" s="62" t="str">
        <f>IFERROR(__xludf.DUMMYFUNCTION("""COMPUTED_VALUE"""),"CARUARU")</f>
        <v>CARUARU</v>
      </c>
      <c r="F286" s="62" t="str">
        <f>IFERROR(__xludf.DUMMYFUNCTION("""COMPUTED_VALUE"""),"COOPERADO")</f>
        <v>COOPERADO</v>
      </c>
    </row>
    <row r="287">
      <c r="A287" s="62" t="str">
        <f>IFERROR(__xludf.DUMMYFUNCTION("""COMPUTED_VALUE"""),"ERIKA SIMONE GOMES DE SOUZA")</f>
        <v>ERIKA SIMONE GOMES DE SOUZA</v>
      </c>
      <c r="B287" s="62" t="str">
        <f>IFERROR(__xludf.DUMMYFUNCTION("""COMPUTED_VALUE"""),"TÉC. ENF")</f>
        <v>TÉC. ENF</v>
      </c>
      <c r="C287" s="62" t="str">
        <f>IFERROR(__xludf.DUMMYFUNCTION("""COMPUTED_VALUE"""),"048.042.374-10")</f>
        <v>048.042.374-10</v>
      </c>
      <c r="D287" s="62" t="str">
        <f>IFERROR(__xludf.DUMMYFUNCTION("""COMPUTED_VALUE"""),"8199147-395")</f>
        <v>8199147-395</v>
      </c>
      <c r="E287" s="62" t="str">
        <f>IFERROR(__xludf.DUMMYFUNCTION("""COMPUTED_VALUE"""),"CARUARU")</f>
        <v>CARUARU</v>
      </c>
      <c r="F287" s="62" t="str">
        <f>IFERROR(__xludf.DUMMYFUNCTION("""COMPUTED_VALUE"""),"COOPERADO")</f>
        <v>COOPERADO</v>
      </c>
    </row>
    <row r="288">
      <c r="A288" s="62" t="str">
        <f>IFERROR(__xludf.DUMMYFUNCTION("""COMPUTED_VALUE"""),"ERIKA VALERIA SILVA")</f>
        <v>ERIKA VALERIA SILVA</v>
      </c>
      <c r="B288" s="62" t="str">
        <f>IFERROR(__xludf.DUMMYFUNCTION("""COMPUTED_VALUE"""),"TÉC.ENFERMAGEM")</f>
        <v>TÉC.ENFERMAGEM</v>
      </c>
      <c r="C288" s="62" t="str">
        <f>IFERROR(__xludf.DUMMYFUNCTION("""COMPUTED_VALUE"""),"905.390.444-15")</f>
        <v>905.390.444-15</v>
      </c>
      <c r="D288" s="62" t="str">
        <f>IFERROR(__xludf.DUMMYFUNCTION("""COMPUTED_VALUE"""),"81 8293-1029")</f>
        <v>81 8293-1029</v>
      </c>
      <c r="E288" s="62" t="str">
        <f>IFERROR(__xludf.DUMMYFUNCTION("""COMPUTED_VALUE"""),"CARUARU")</f>
        <v>CARUARU</v>
      </c>
      <c r="F288" s="62" t="str">
        <f>IFERROR(__xludf.DUMMYFUNCTION("""COMPUTED_VALUE"""),"COOPERADO")</f>
        <v>COOPERADO</v>
      </c>
    </row>
    <row r="289">
      <c r="A289" s="62" t="str">
        <f>IFERROR(__xludf.DUMMYFUNCTION("""COMPUTED_VALUE"""),"ERIVAN LIMA DOS SANTOS ")</f>
        <v>ERIVAN LIMA DOS SANTOS </v>
      </c>
      <c r="B289" s="62" t="str">
        <f>IFERROR(__xludf.DUMMYFUNCTION("""COMPUTED_VALUE"""),"AUXILIAR DE COZINHA")</f>
        <v>AUXILIAR DE COZINHA</v>
      </c>
      <c r="C289" s="62" t="str">
        <f>IFERROR(__xludf.DUMMYFUNCTION("""COMPUTED_VALUE"""),"958.269.204-91")</f>
        <v>958.269.204-91</v>
      </c>
      <c r="D289" s="62" t="str">
        <f>IFERROR(__xludf.DUMMYFUNCTION("""COMPUTED_VALUE"""),"87 9637-1507")</f>
        <v>87 9637-1507</v>
      </c>
      <c r="E289" s="62" t="str">
        <f>IFERROR(__xludf.DUMMYFUNCTION("""COMPUTED_VALUE"""),"CARUARU")</f>
        <v>CARUARU</v>
      </c>
      <c r="F289" s="62" t="str">
        <f>IFERROR(__xludf.DUMMYFUNCTION("""COMPUTED_VALUE"""),"COOPERADO")</f>
        <v>COOPERADO</v>
      </c>
    </row>
    <row r="290">
      <c r="A290" s="62" t="str">
        <f>IFERROR(__xludf.DUMMYFUNCTION("""COMPUTED_VALUE"""),"ERIVANDA MONTEIRO DA SILVA")</f>
        <v>ERIVANDA MONTEIRO DA SILVA</v>
      </c>
      <c r="B290" s="62" t="str">
        <f>IFERROR(__xludf.DUMMYFUNCTION("""COMPUTED_VALUE"""),"TÉC. ENF")</f>
        <v>TÉC. ENF</v>
      </c>
      <c r="C290" s="62" t="str">
        <f>IFERROR(__xludf.DUMMYFUNCTION("""COMPUTED_VALUE"""),"011.533.994-90")</f>
        <v>011.533.994-90</v>
      </c>
      <c r="D290" s="62" t="str">
        <f>IFERROR(__xludf.DUMMYFUNCTION("""COMPUTED_VALUE"""),"81 9794-4457")</f>
        <v>81 9794-4457</v>
      </c>
      <c r="E290" s="62" t="str">
        <f>IFERROR(__xludf.DUMMYFUNCTION("""COMPUTED_VALUE"""),"CARUARU")</f>
        <v>CARUARU</v>
      </c>
      <c r="F290" s="62" t="str">
        <f>IFERROR(__xludf.DUMMYFUNCTION("""COMPUTED_VALUE"""),"COOPERADO")</f>
        <v>COOPERADO</v>
      </c>
    </row>
    <row r="291">
      <c r="A291" s="62" t="str">
        <f>IFERROR(__xludf.DUMMYFUNCTION("""COMPUTED_VALUE"""),"EVELLYN DE MELO")</f>
        <v>EVELLYN DE MELO</v>
      </c>
      <c r="B291" s="62" t="str">
        <f>IFERROR(__xludf.DUMMYFUNCTION("""COMPUTED_VALUE"""),"ENFERMEIRO (A)")</f>
        <v>ENFERMEIRO (A)</v>
      </c>
      <c r="C291" s="62" t="str">
        <f>IFERROR(__xludf.DUMMYFUNCTION("""COMPUTED_VALUE"""),"088.094.804-30")</f>
        <v>088.094.804-30</v>
      </c>
      <c r="D291" s="62" t="str">
        <f>IFERROR(__xludf.DUMMYFUNCTION("""COMPUTED_VALUE"""),"81 8206-7142")</f>
        <v>81 8206-7142</v>
      </c>
      <c r="E291" s="62" t="str">
        <f>IFERROR(__xludf.DUMMYFUNCTION("""COMPUTED_VALUE"""),"CARUARU")</f>
        <v>CARUARU</v>
      </c>
      <c r="F291" s="62" t="str">
        <f>IFERROR(__xludf.DUMMYFUNCTION("""COMPUTED_VALUE"""),"COOPERADO")</f>
        <v>COOPERADO</v>
      </c>
    </row>
    <row r="292">
      <c r="A292" s="62" t="str">
        <f>IFERROR(__xludf.DUMMYFUNCTION("""COMPUTED_VALUE"""),"Evely Bezerra Melo De Araújo")</f>
        <v>Evely Bezerra Melo De Araújo</v>
      </c>
      <c r="B292" s="62" t="str">
        <f>IFERROR(__xludf.DUMMYFUNCTION("""COMPUTED_VALUE"""),"Enfermeiro(a)")</f>
        <v>Enfermeiro(a)</v>
      </c>
      <c r="C292" s="62" t="str">
        <f>IFERROR(__xludf.DUMMYFUNCTION("""COMPUTED_VALUE"""),"451.976.838-13")</f>
        <v>451.976.838-13</v>
      </c>
      <c r="D292" s="62" t="str">
        <f>IFERROR(__xludf.DUMMYFUNCTION("""COMPUTED_VALUE"""),"81 9858-8961")</f>
        <v>81 9858-8961</v>
      </c>
      <c r="E292" s="62" t="str">
        <f>IFERROR(__xludf.DUMMYFUNCTION("""COMPUTED_VALUE"""),"CARUARU")</f>
        <v>CARUARU</v>
      </c>
      <c r="F292" s="62" t="str">
        <f>IFERROR(__xludf.DUMMYFUNCTION("""COMPUTED_VALUE"""),"COOPERADO")</f>
        <v>COOPERADO</v>
      </c>
    </row>
    <row r="293">
      <c r="A293" s="62" t="str">
        <f>IFERROR(__xludf.DUMMYFUNCTION("""COMPUTED_VALUE"""),"FABIANA CABRAL DA SILVA")</f>
        <v>FABIANA CABRAL DA SILVA</v>
      </c>
      <c r="B293" s="62" t="str">
        <f>IFERROR(__xludf.DUMMYFUNCTION("""COMPUTED_VALUE"""),"ENFERMEIRO (A)")</f>
        <v>ENFERMEIRO (A)</v>
      </c>
      <c r="C293" s="62" t="str">
        <f>IFERROR(__xludf.DUMMYFUNCTION("""COMPUTED_VALUE"""),"079.758.594-00")</f>
        <v>079.758.594-00</v>
      </c>
      <c r="D293" s="62" t="str">
        <f>IFERROR(__xludf.DUMMYFUNCTION("""COMPUTED_VALUE"""),"81 9831-0730")</f>
        <v>81 9831-0730</v>
      </c>
      <c r="E293" s="62" t="str">
        <f>IFERROR(__xludf.DUMMYFUNCTION("""COMPUTED_VALUE"""),"CARUARU")</f>
        <v>CARUARU</v>
      </c>
      <c r="F293" s="62" t="str">
        <f>IFERROR(__xludf.DUMMYFUNCTION("""COMPUTED_VALUE"""),"COOPERADO")</f>
        <v>COOPERADO</v>
      </c>
    </row>
    <row r="294">
      <c r="A294" s="62" t="str">
        <f>IFERROR(__xludf.DUMMYFUNCTION("""COMPUTED_VALUE"""),"FABIANA DA SILVA BARROS")</f>
        <v>FABIANA DA SILVA BARROS</v>
      </c>
      <c r="B294" s="62" t="str">
        <f>IFERROR(__xludf.DUMMYFUNCTION("""COMPUTED_VALUE"""),"AUX. DE FARMÁCIA")</f>
        <v>AUX. DE FARMÁCIA</v>
      </c>
      <c r="C294" s="62" t="str">
        <f>IFERROR(__xludf.DUMMYFUNCTION("""COMPUTED_VALUE"""),"071.689.454-83")</f>
        <v>071.689.454-83</v>
      </c>
      <c r="D294" s="62" t="str">
        <f>IFERROR(__xludf.DUMMYFUNCTION("""COMPUTED_VALUE"""),"81 9125-9198")</f>
        <v>81 9125-9198</v>
      </c>
      <c r="E294" s="62" t="str">
        <f>IFERROR(__xludf.DUMMYFUNCTION("""COMPUTED_VALUE"""),"CARUARU")</f>
        <v>CARUARU</v>
      </c>
      <c r="F294" s="62" t="str">
        <f>IFERROR(__xludf.DUMMYFUNCTION("""COMPUTED_VALUE"""),"COOPERADO")</f>
        <v>COOPERADO</v>
      </c>
    </row>
    <row r="295">
      <c r="A295" s="62" t="str">
        <f>IFERROR(__xludf.DUMMYFUNCTION("""COMPUTED_VALUE"""),"FABIANA MEDEIROS SILVA")</f>
        <v>FABIANA MEDEIROS SILVA</v>
      </c>
      <c r="B295" s="62" t="str">
        <f>IFERROR(__xludf.DUMMYFUNCTION("""COMPUTED_VALUE"""),"AUX. DE HIGIENIZAÇÃO")</f>
        <v>AUX. DE HIGIENIZAÇÃO</v>
      </c>
      <c r="C295" s="62" t="str">
        <f>IFERROR(__xludf.DUMMYFUNCTION("""COMPUTED_VALUE"""),"080.265.864-41")</f>
        <v>080.265.864-41</v>
      </c>
      <c r="D295" s="62" t="str">
        <f>IFERROR(__xludf.DUMMYFUNCTION("""COMPUTED_VALUE"""),"81 9325-3186")</f>
        <v>81 9325-3186</v>
      </c>
      <c r="E295" s="62" t="str">
        <f>IFERROR(__xludf.DUMMYFUNCTION("""COMPUTED_VALUE"""),"CARUARU")</f>
        <v>CARUARU</v>
      </c>
      <c r="F295" s="62" t="str">
        <f>IFERROR(__xludf.DUMMYFUNCTION("""COMPUTED_VALUE"""),"COOPERADO")</f>
        <v>COOPERADO</v>
      </c>
    </row>
    <row r="296">
      <c r="A296" s="62" t="str">
        <f>IFERROR(__xludf.DUMMYFUNCTION("""COMPUTED_VALUE"""),"Fabianne Marcelly Bezerra Monteiro")</f>
        <v>Fabianne Marcelly Bezerra Monteiro</v>
      </c>
      <c r="B296" s="62" t="str">
        <f>IFERROR(__xludf.DUMMYFUNCTION("""COMPUTED_VALUE"""),"Farmacêutico(a)")</f>
        <v>Farmacêutico(a)</v>
      </c>
      <c r="C296" s="62" t="str">
        <f>IFERROR(__xludf.DUMMYFUNCTION("""COMPUTED_VALUE"""),"708.392.694-80")</f>
        <v>708.392.694-80</v>
      </c>
      <c r="D296" s="62" t="str">
        <f>IFERROR(__xludf.DUMMYFUNCTION("""COMPUTED_VALUE"""),"81 9932-2670")</f>
        <v>81 9932-2670</v>
      </c>
      <c r="E296" s="62" t="str">
        <f>IFERROR(__xludf.DUMMYFUNCTION("""COMPUTED_VALUE"""),"CARUARU")</f>
        <v>CARUARU</v>
      </c>
      <c r="F296" s="62" t="str">
        <f>IFERROR(__xludf.DUMMYFUNCTION("""COMPUTED_VALUE"""),"COOPERADO")</f>
        <v>COOPERADO</v>
      </c>
    </row>
    <row r="297">
      <c r="A297" s="62" t="str">
        <f>IFERROR(__xludf.DUMMYFUNCTION("""COMPUTED_VALUE"""),"FABIANO ARCANJO VIEIRA DA SILVA")</f>
        <v>FABIANO ARCANJO VIEIRA DA SILVA</v>
      </c>
      <c r="B297" s="62" t="str">
        <f>IFERROR(__xludf.DUMMYFUNCTION("""COMPUTED_VALUE"""),"ENFERMEIRO (A)")</f>
        <v>ENFERMEIRO (A)</v>
      </c>
      <c r="C297" s="62" t="str">
        <f>IFERROR(__xludf.DUMMYFUNCTION("""COMPUTED_VALUE"""),"922.320.944-72")</f>
        <v>922.320.944-72</v>
      </c>
      <c r="D297" s="62" t="str">
        <f>IFERROR(__xludf.DUMMYFUNCTION("""COMPUTED_VALUE"""),"81 9323-0478")</f>
        <v>81 9323-0478</v>
      </c>
      <c r="E297" s="62" t="str">
        <f>IFERROR(__xludf.DUMMYFUNCTION("""COMPUTED_VALUE"""),"CARUARU")</f>
        <v>CARUARU</v>
      </c>
      <c r="F297" s="62" t="str">
        <f>IFERROR(__xludf.DUMMYFUNCTION("""COMPUTED_VALUE"""),"COOPERADO")</f>
        <v>COOPERADO</v>
      </c>
    </row>
    <row r="298">
      <c r="A298" s="62" t="str">
        <f>IFERROR(__xludf.DUMMYFUNCTION("""COMPUTED_VALUE"""),"FELIPE ANDRÉ DA SILVA")</f>
        <v>FELIPE ANDRÉ DA SILVA</v>
      </c>
      <c r="B298" s="62" t="str">
        <f>IFERROR(__xludf.DUMMYFUNCTION("""COMPUTED_VALUE"""),"AUX. DE HIGIENIZAÇÃO")</f>
        <v>AUX. DE HIGIENIZAÇÃO</v>
      </c>
      <c r="C298" s="62" t="str">
        <f>IFERROR(__xludf.DUMMYFUNCTION("""COMPUTED_VALUE"""),"048.412.654-73")</f>
        <v>048.412.654-73</v>
      </c>
      <c r="D298" s="62" t="str">
        <f>IFERROR(__xludf.DUMMYFUNCTION("""COMPUTED_VALUE"""),"81 9399-4228")</f>
        <v>81 9399-4228</v>
      </c>
      <c r="E298" s="62" t="str">
        <f>IFERROR(__xludf.DUMMYFUNCTION("""COMPUTED_VALUE"""),"CARUARU")</f>
        <v>CARUARU</v>
      </c>
      <c r="F298" s="62" t="str">
        <f>IFERROR(__xludf.DUMMYFUNCTION("""COMPUTED_VALUE"""),"COOPERADO")</f>
        <v>COOPERADO</v>
      </c>
    </row>
    <row r="299">
      <c r="A299" s="62" t="str">
        <f>IFERROR(__xludf.DUMMYFUNCTION("""COMPUTED_VALUE"""),"FERNANDA BARBOSA")</f>
        <v>FERNANDA BARBOSA</v>
      </c>
      <c r="B299" s="62" t="str">
        <f>IFERROR(__xludf.DUMMYFUNCTION("""COMPUTED_VALUE"""),"TÉC. ENF. ")</f>
        <v>TÉC. ENF. </v>
      </c>
      <c r="C299" s="62" t="str">
        <f>IFERROR(__xludf.DUMMYFUNCTION("""COMPUTED_VALUE"""),"100.587.994-00")</f>
        <v>100.587.994-00</v>
      </c>
      <c r="D299" s="62" t="str">
        <f>IFERROR(__xludf.DUMMYFUNCTION("""COMPUTED_VALUE"""),"81 9997-8691")</f>
        <v>81 9997-8691</v>
      </c>
      <c r="E299" s="62" t="str">
        <f>IFERROR(__xludf.DUMMYFUNCTION("""COMPUTED_VALUE"""),"CARUARU")</f>
        <v>CARUARU</v>
      </c>
      <c r="F299" s="62" t="str">
        <f>IFERROR(__xludf.DUMMYFUNCTION("""COMPUTED_VALUE"""),"COOPERADO")</f>
        <v>COOPERADO</v>
      </c>
    </row>
    <row r="300">
      <c r="A300" s="62" t="str">
        <f>IFERROR(__xludf.DUMMYFUNCTION("""COMPUTED_VALUE"""),"FERNANDA MARTINS")</f>
        <v>FERNANDA MARTINS</v>
      </c>
      <c r="B300" s="62" t="str">
        <f>IFERROR(__xludf.DUMMYFUNCTION("""COMPUTED_VALUE"""),"TÉC. ENF. ")</f>
        <v>TÉC. ENF. </v>
      </c>
      <c r="C300" s="62" t="str">
        <f>IFERROR(__xludf.DUMMYFUNCTION("""COMPUTED_VALUE"""),"123.131.274-27")</f>
        <v>123.131.274-27</v>
      </c>
      <c r="D300" s="62" t="str">
        <f>IFERROR(__xludf.DUMMYFUNCTION("""COMPUTED_VALUE"""),"81 9277-5440")</f>
        <v>81 9277-5440</v>
      </c>
      <c r="E300" s="62" t="str">
        <f>IFERROR(__xludf.DUMMYFUNCTION("""COMPUTED_VALUE"""),"CARUARU")</f>
        <v>CARUARU</v>
      </c>
      <c r="F300" s="62" t="str">
        <f>IFERROR(__xludf.DUMMYFUNCTION("""COMPUTED_VALUE"""),"COOPERADO")</f>
        <v>COOPERADO</v>
      </c>
    </row>
    <row r="301">
      <c r="A301" s="62" t="str">
        <f>IFERROR(__xludf.DUMMYFUNCTION("""COMPUTED_VALUE"""),"Fernando César Sobrinho Lima Fonseca da Silva")</f>
        <v>Fernando César Sobrinho Lima Fonseca da Silva</v>
      </c>
      <c r="B301" s="62" t="str">
        <f>IFERROR(__xludf.DUMMYFUNCTION("""COMPUTED_VALUE"""),"TÉC. RADIOLOGIA ")</f>
        <v>TÉC. RADIOLOGIA </v>
      </c>
      <c r="C301" s="62" t="str">
        <f>IFERROR(__xludf.DUMMYFUNCTION("""COMPUTED_VALUE"""),"107.304.074-70")</f>
        <v>107.304.074-70</v>
      </c>
      <c r="D301" s="62" t="str">
        <f>IFERROR(__xludf.DUMMYFUNCTION("""COMPUTED_VALUE"""),"8199291-4721")</f>
        <v>8199291-4721</v>
      </c>
      <c r="E301" s="62" t="str">
        <f>IFERROR(__xludf.DUMMYFUNCTION("""COMPUTED_VALUE"""),"CARUARU")</f>
        <v>CARUARU</v>
      </c>
      <c r="F301" s="62" t="str">
        <f>IFERROR(__xludf.DUMMYFUNCTION("""COMPUTED_VALUE"""),"COOPERADO")</f>
        <v>COOPERADO</v>
      </c>
    </row>
    <row r="302">
      <c r="A302" s="62" t="str">
        <f>IFERROR(__xludf.DUMMYFUNCTION("""COMPUTED_VALUE"""),"FLAVIA CRISTINA DA SILVA BORBA")</f>
        <v>FLAVIA CRISTINA DA SILVA BORBA</v>
      </c>
      <c r="B302" s="62" t="str">
        <f>IFERROR(__xludf.DUMMYFUNCTION("""COMPUTED_VALUE"""),"AUX. DE ROUPARIA")</f>
        <v>AUX. DE ROUPARIA</v>
      </c>
      <c r="C302" s="62" t="str">
        <f>IFERROR(__xludf.DUMMYFUNCTION("""COMPUTED_VALUE"""),"078.662.704-22")</f>
        <v>078.662.704-22</v>
      </c>
      <c r="D302" s="62" t="str">
        <f>IFERROR(__xludf.DUMMYFUNCTION("""COMPUTED_VALUE"""),"81 8979-2299")</f>
        <v>81 8979-2299</v>
      </c>
      <c r="E302" s="62" t="str">
        <f>IFERROR(__xludf.DUMMYFUNCTION("""COMPUTED_VALUE"""),"CARUARU")</f>
        <v>CARUARU</v>
      </c>
      <c r="F302" s="62" t="str">
        <f>IFERROR(__xludf.DUMMYFUNCTION("""COMPUTED_VALUE"""),"COOPERADO")</f>
        <v>COOPERADO</v>
      </c>
    </row>
    <row r="303">
      <c r="A303" s="62" t="str">
        <f>IFERROR(__xludf.DUMMYFUNCTION("""COMPUTED_VALUE"""),"FLORIZA BEZERRA DA SILVA")</f>
        <v>FLORIZA BEZERRA DA SILVA</v>
      </c>
      <c r="B303" s="62" t="str">
        <f>IFERROR(__xludf.DUMMYFUNCTION("""COMPUTED_VALUE"""),"AUX. DE ROUPARIA")</f>
        <v>AUX. DE ROUPARIA</v>
      </c>
      <c r="C303" s="62" t="str">
        <f>IFERROR(__xludf.DUMMYFUNCTION("""COMPUTED_VALUE"""),"821.912.044-49")</f>
        <v>821.912.044-49</v>
      </c>
      <c r="D303" s="62" t="str">
        <f>IFERROR(__xludf.DUMMYFUNCTION("""COMPUTED_VALUE"""),"8199811-5382")</f>
        <v>8199811-5382</v>
      </c>
      <c r="E303" s="62" t="str">
        <f>IFERROR(__xludf.DUMMYFUNCTION("""COMPUTED_VALUE"""),"CARUARU")</f>
        <v>CARUARU</v>
      </c>
      <c r="F303" s="62" t="str">
        <f>IFERROR(__xludf.DUMMYFUNCTION("""COMPUTED_VALUE"""),"COOPERADO")</f>
        <v>COOPERADO</v>
      </c>
    </row>
    <row r="304">
      <c r="A304" s="62" t="str">
        <f>IFERROR(__xludf.DUMMYFUNCTION("""COMPUTED_VALUE"""),"Francisca Ivanise Soares de Moura")</f>
        <v>Francisca Ivanise Soares de Moura</v>
      </c>
      <c r="B304" s="62" t="str">
        <f>IFERROR(__xludf.DUMMYFUNCTION("""COMPUTED_VALUE"""),"Copeira")</f>
        <v>Copeira</v>
      </c>
      <c r="C304" s="62" t="str">
        <f>IFERROR(__xludf.DUMMYFUNCTION("""COMPUTED_VALUE"""),"050.038.714-14")</f>
        <v>050.038.714-14</v>
      </c>
      <c r="D304" s="62" t="str">
        <f>IFERROR(__xludf.DUMMYFUNCTION("""COMPUTED_VALUE"""),"81 7339-4161")</f>
        <v>81 7339-4161</v>
      </c>
      <c r="E304" s="62" t="str">
        <f>IFERROR(__xludf.DUMMYFUNCTION("""COMPUTED_VALUE"""),"CARUARU")</f>
        <v>CARUARU</v>
      </c>
      <c r="F304" s="62" t="str">
        <f>IFERROR(__xludf.DUMMYFUNCTION("""COMPUTED_VALUE"""),"COOPERADO")</f>
        <v>COOPERADO</v>
      </c>
    </row>
    <row r="305">
      <c r="A305" s="62" t="str">
        <f>IFERROR(__xludf.DUMMYFUNCTION("""COMPUTED_VALUE"""),"FRANCIWILLIAM ANDRANDE")</f>
        <v>FRANCIWILLIAM ANDRANDE</v>
      </c>
      <c r="B305" s="62" t="str">
        <f>IFERROR(__xludf.DUMMYFUNCTION("""COMPUTED_VALUE"""),"TÉC. ENF. ")</f>
        <v>TÉC. ENF. </v>
      </c>
      <c r="C305" s="62" t="str">
        <f>IFERROR(__xludf.DUMMYFUNCTION("""COMPUTED_VALUE"""),"115.141.504-92")</f>
        <v>115.141.504-92</v>
      </c>
      <c r="D305" s="62" t="str">
        <f>IFERROR(__xludf.DUMMYFUNCTION("""COMPUTED_VALUE"""),"81 9452-2427")</f>
        <v>81 9452-2427</v>
      </c>
      <c r="E305" s="62" t="str">
        <f>IFERROR(__xludf.DUMMYFUNCTION("""COMPUTED_VALUE"""),"CARUARU")</f>
        <v>CARUARU</v>
      </c>
      <c r="F305" s="62" t="str">
        <f>IFERROR(__xludf.DUMMYFUNCTION("""COMPUTED_VALUE"""),"COOPERADO")</f>
        <v>COOPERADO</v>
      </c>
    </row>
    <row r="306">
      <c r="A306" s="62" t="str">
        <f>IFERROR(__xludf.DUMMYFUNCTION("""COMPUTED_VALUE"""),"GABRIEL DE OLIVEIRA FERREIRA")</f>
        <v>GABRIEL DE OLIVEIRA FERREIRA</v>
      </c>
      <c r="B306" s="62" t="str">
        <f>IFERROR(__xludf.DUMMYFUNCTION("""COMPUTED_VALUE"""),"AUX DE HIGIENIZAÇÃO")</f>
        <v>AUX DE HIGIENIZAÇÃO</v>
      </c>
      <c r="C306" s="62" t="str">
        <f>IFERROR(__xludf.DUMMYFUNCTION("""COMPUTED_VALUE"""),"151.861.874-02")</f>
        <v>151.861.874-02</v>
      </c>
      <c r="D306" s="62" t="str">
        <f>IFERROR(__xludf.DUMMYFUNCTION("""COMPUTED_VALUE""")," 81 9261-8429")</f>
        <v> 81 9261-8429</v>
      </c>
      <c r="E306" s="62" t="str">
        <f>IFERROR(__xludf.DUMMYFUNCTION("""COMPUTED_VALUE"""),"CARUARU")</f>
        <v>CARUARU</v>
      </c>
      <c r="F306" s="62" t="str">
        <f>IFERROR(__xludf.DUMMYFUNCTION("""COMPUTED_VALUE"""),"COOPERADO")</f>
        <v>COOPERADO</v>
      </c>
    </row>
    <row r="307">
      <c r="A307" s="62" t="str">
        <f>IFERROR(__xludf.DUMMYFUNCTION("""COMPUTED_VALUE"""),"GABRIEL MACIEL RODRIGUES")</f>
        <v>GABRIEL MACIEL RODRIGUES</v>
      </c>
      <c r="B307" s="62" t="str">
        <f>IFERROR(__xludf.DUMMYFUNCTION("""COMPUTED_VALUE"""),"MAQUEIRO")</f>
        <v>MAQUEIRO</v>
      </c>
      <c r="C307" s="62" t="str">
        <f>IFERROR(__xludf.DUMMYFUNCTION("""COMPUTED_VALUE"""),"715.095.304-28")</f>
        <v>715.095.304-28</v>
      </c>
      <c r="D307" s="62" t="str">
        <f>IFERROR(__xludf.DUMMYFUNCTION("""COMPUTED_VALUE""")," 81 8908-6650")</f>
        <v> 81 8908-6650</v>
      </c>
      <c r="E307" s="62" t="str">
        <f>IFERROR(__xludf.DUMMYFUNCTION("""COMPUTED_VALUE"""),"CARUARU")</f>
        <v>CARUARU</v>
      </c>
      <c r="F307" s="62" t="str">
        <f>IFERROR(__xludf.DUMMYFUNCTION("""COMPUTED_VALUE"""),"COOPERADO")</f>
        <v>COOPERADO</v>
      </c>
    </row>
    <row r="308">
      <c r="A308" s="62" t="str">
        <f>IFERROR(__xludf.DUMMYFUNCTION("""COMPUTED_VALUE"""),"GESSYCA VANESSA NUNES DA SILVA")</f>
        <v>GESSYCA VANESSA NUNES DA SILVA</v>
      </c>
      <c r="B308" s="62" t="str">
        <f>IFERROR(__xludf.DUMMYFUNCTION("""COMPUTED_VALUE"""),"TÉC.ENFERMAGEM")</f>
        <v>TÉC.ENFERMAGEM</v>
      </c>
      <c r="C308" s="62" t="str">
        <f>IFERROR(__xludf.DUMMYFUNCTION("""COMPUTED_VALUE"""),"089.843.634-64")</f>
        <v>089.843.634-64</v>
      </c>
      <c r="D308" s="62" t="str">
        <f>IFERROR(__xludf.DUMMYFUNCTION("""COMPUTED_VALUE"""),"81 8595-7898")</f>
        <v>81 8595-7898</v>
      </c>
      <c r="E308" s="62" t="str">
        <f>IFERROR(__xludf.DUMMYFUNCTION("""COMPUTED_VALUE"""),"CARUARU")</f>
        <v>CARUARU</v>
      </c>
      <c r="F308" s="62" t="str">
        <f>IFERROR(__xludf.DUMMYFUNCTION("""COMPUTED_VALUE"""),"COOPERADO")</f>
        <v>COOPERADO</v>
      </c>
    </row>
    <row r="309">
      <c r="A309" s="62" t="str">
        <f>IFERROR(__xludf.DUMMYFUNCTION("""COMPUTED_VALUE"""),"GISLAINE KARINE DE FRANÇA MACEDO")</f>
        <v>GISLAINE KARINE DE FRANÇA MACEDO</v>
      </c>
      <c r="B309" s="62" t="str">
        <f>IFERROR(__xludf.DUMMYFUNCTION("""COMPUTED_VALUE"""),"ASSISTENTE ADMINISTRATIVO")</f>
        <v>ASSISTENTE ADMINISTRATIVO</v>
      </c>
      <c r="C309" s="62" t="str">
        <f>IFERROR(__xludf.DUMMYFUNCTION("""COMPUTED_VALUE"""),"026.391.344-93")</f>
        <v>026.391.344-93</v>
      </c>
      <c r="D309" s="62" t="str">
        <f>IFERROR(__xludf.DUMMYFUNCTION("""COMPUTED_VALUE"""),"81 9683-6266")</f>
        <v>81 9683-6266</v>
      </c>
      <c r="E309" s="62" t="str">
        <f>IFERROR(__xludf.DUMMYFUNCTION("""COMPUTED_VALUE"""),"CARUARU")</f>
        <v>CARUARU</v>
      </c>
      <c r="F309" s="62" t="str">
        <f>IFERROR(__xludf.DUMMYFUNCTION("""COMPUTED_VALUE"""),"COOPERADO")</f>
        <v>COOPERADO</v>
      </c>
    </row>
    <row r="310">
      <c r="A310" s="62" t="str">
        <f>IFERROR(__xludf.DUMMYFUNCTION("""COMPUTED_VALUE"""),"Givailson Gilvan Da Silva")</f>
        <v>Givailson Gilvan Da Silva</v>
      </c>
      <c r="B310" s="62" t="str">
        <f>IFERROR(__xludf.DUMMYFUNCTION("""COMPUTED_VALUE"""),"Téc. Enf.")</f>
        <v>Téc. Enf.</v>
      </c>
      <c r="C310" s="62" t="str">
        <f>IFERROR(__xludf.DUMMYFUNCTION("""COMPUTED_VALUE"""),"116.761.344-92")</f>
        <v>116.761.344-92</v>
      </c>
      <c r="D310" s="62" t="str">
        <f>IFERROR(__xludf.DUMMYFUNCTION("""COMPUTED_VALUE"""),"81 9502-9004")</f>
        <v>81 9502-9004</v>
      </c>
      <c r="E310" s="62" t="str">
        <f>IFERROR(__xludf.DUMMYFUNCTION("""COMPUTED_VALUE"""),"CARUARU")</f>
        <v>CARUARU</v>
      </c>
      <c r="F310" s="62" t="str">
        <f>IFERROR(__xludf.DUMMYFUNCTION("""COMPUTED_VALUE"""),"COOPERADO")</f>
        <v>COOPERADO</v>
      </c>
    </row>
    <row r="311">
      <c r="A311" s="62" t="str">
        <f>IFERROR(__xludf.DUMMYFUNCTION("""COMPUTED_VALUE"""),"GREICE KELLY OLIVEIRA MENDES")</f>
        <v>GREICE KELLY OLIVEIRA MENDES</v>
      </c>
      <c r="B311" s="62" t="str">
        <f>IFERROR(__xludf.DUMMYFUNCTION("""COMPUTED_VALUE"""),"TÉC. ENF.")</f>
        <v>TÉC. ENF.</v>
      </c>
      <c r="C311" s="62" t="str">
        <f>IFERROR(__xludf.DUMMYFUNCTION("""COMPUTED_VALUE"""),"058.743.104-01")</f>
        <v>058.743.104-01</v>
      </c>
      <c r="D311" s="62" t="str">
        <f>IFERROR(__xludf.DUMMYFUNCTION("""COMPUTED_VALUE"""),"81 9106-3576")</f>
        <v>81 9106-3576</v>
      </c>
      <c r="E311" s="62" t="str">
        <f>IFERROR(__xludf.DUMMYFUNCTION("""COMPUTED_VALUE"""),"CARUARU")</f>
        <v>CARUARU</v>
      </c>
      <c r="F311" s="62" t="str">
        <f>IFERROR(__xludf.DUMMYFUNCTION("""COMPUTED_VALUE"""),"COOPERADO")</f>
        <v>COOPERADO</v>
      </c>
    </row>
    <row r="312">
      <c r="A312" s="62" t="str">
        <f>IFERROR(__xludf.DUMMYFUNCTION("""COMPUTED_VALUE"""),"GUSTAVO LOPES DA SILVA FERREIRA")</f>
        <v>GUSTAVO LOPES DA SILVA FERREIRA</v>
      </c>
      <c r="B312" s="62" t="str">
        <f>IFERROR(__xludf.DUMMYFUNCTION("""COMPUTED_VALUE"""),"AUXILIAR DE FARMÁCIA")</f>
        <v>AUXILIAR DE FARMÁCIA</v>
      </c>
      <c r="C312" s="62" t="str">
        <f>IFERROR(__xludf.DUMMYFUNCTION("""COMPUTED_VALUE"""),"110.013.674-64")</f>
        <v>110.013.674-64</v>
      </c>
      <c r="D312" s="62" t="str">
        <f>IFERROR(__xludf.DUMMYFUNCTION("""COMPUTED_VALUE"""),"81 9167-7484")</f>
        <v>81 9167-7484</v>
      </c>
      <c r="E312" s="62" t="str">
        <f>IFERROR(__xludf.DUMMYFUNCTION("""COMPUTED_VALUE"""),"CARUARU")</f>
        <v>CARUARU</v>
      </c>
      <c r="F312" s="62" t="str">
        <f>IFERROR(__xludf.DUMMYFUNCTION("""COMPUTED_VALUE"""),"COOPERADO")</f>
        <v>COOPERADO</v>
      </c>
    </row>
    <row r="313">
      <c r="A313" s="62" t="str">
        <f>IFERROR(__xludf.DUMMYFUNCTION("""COMPUTED_VALUE"""),"GUSTAVO MEDEIROS")</f>
        <v>GUSTAVO MEDEIROS</v>
      </c>
      <c r="B313" s="62" t="str">
        <f>IFERROR(__xludf.DUMMYFUNCTION("""COMPUTED_VALUE"""),"PORTEIRO")</f>
        <v>PORTEIRO</v>
      </c>
      <c r="C313" s="62" t="str">
        <f>IFERROR(__xludf.DUMMYFUNCTION("""COMPUTED_VALUE"""),"146.753.684-92")</f>
        <v>146.753.684-92</v>
      </c>
      <c r="D313" s="62" t="str">
        <f>IFERROR(__xludf.DUMMYFUNCTION("""COMPUTED_VALUE"""),"81 9258-1100")</f>
        <v>81 9258-1100</v>
      </c>
      <c r="E313" s="62" t="str">
        <f>IFERROR(__xludf.DUMMYFUNCTION("""COMPUTED_VALUE"""),"CARUARU")</f>
        <v>CARUARU</v>
      </c>
      <c r="F313" s="62" t="str">
        <f>IFERROR(__xludf.DUMMYFUNCTION("""COMPUTED_VALUE"""),"COOPERADO")</f>
        <v>COOPERADO</v>
      </c>
    </row>
    <row r="314">
      <c r="A314" s="62" t="str">
        <f>IFERROR(__xludf.DUMMYFUNCTION("""COMPUTED_VALUE"""),"GUSTAVO VIANA DE LIMA")</f>
        <v>GUSTAVO VIANA DE LIMA</v>
      </c>
      <c r="B314" s="62" t="str">
        <f>IFERROR(__xludf.DUMMYFUNCTION("""COMPUTED_VALUE"""),"Enfermeiro(a)")</f>
        <v>Enfermeiro(a)</v>
      </c>
      <c r="C314" s="62" t="str">
        <f>IFERROR(__xludf.DUMMYFUNCTION("""COMPUTED_VALUE"""),"050.489.864-74")</f>
        <v>050.489.864-74</v>
      </c>
      <c r="D314" s="62" t="str">
        <f>IFERROR(__xludf.DUMMYFUNCTION("""COMPUTED_VALUE"""),"8198104-1140")</f>
        <v>8198104-1140</v>
      </c>
      <c r="E314" s="62" t="str">
        <f>IFERROR(__xludf.DUMMYFUNCTION("""COMPUTED_VALUE"""),"CARUARU")</f>
        <v>CARUARU</v>
      </c>
      <c r="F314" s="62" t="str">
        <f>IFERROR(__xludf.DUMMYFUNCTION("""COMPUTED_VALUE"""),"COOPERADO")</f>
        <v>COOPERADO</v>
      </c>
    </row>
    <row r="315">
      <c r="A315" s="62" t="str">
        <f>IFERROR(__xludf.DUMMYFUNCTION("""COMPUTED_VALUE"""),"HADASSA OLIVEIRA QUEIROZ ARAUJO")</f>
        <v>HADASSA OLIVEIRA QUEIROZ ARAUJO</v>
      </c>
      <c r="B315" s="62" t="str">
        <f>IFERROR(__xludf.DUMMYFUNCTION("""COMPUTED_VALUE"""),"TÉC.ENFERMAGEM")</f>
        <v>TÉC.ENFERMAGEM</v>
      </c>
      <c r="C315" s="62" t="str">
        <f>IFERROR(__xludf.DUMMYFUNCTION("""COMPUTED_VALUE"""),"108.429.894-55")</f>
        <v>108.429.894-55</v>
      </c>
      <c r="D315" s="62" t="str">
        <f>IFERROR(__xludf.DUMMYFUNCTION("""COMPUTED_VALUE"""),"81 9568-0755")</f>
        <v>81 9568-0755</v>
      </c>
      <c r="E315" s="62" t="str">
        <f>IFERROR(__xludf.DUMMYFUNCTION("""COMPUTED_VALUE"""),"CARUARU")</f>
        <v>CARUARU</v>
      </c>
      <c r="F315" s="62" t="str">
        <f>IFERROR(__xludf.DUMMYFUNCTION("""COMPUTED_VALUE"""),"COOPERADO")</f>
        <v>COOPERADO</v>
      </c>
    </row>
    <row r="316">
      <c r="A316" s="62" t="str">
        <f>IFERROR(__xludf.DUMMYFUNCTION("""COMPUTED_VALUE"""),"HAYANA ROBERTA P. DE L. HONORATO MACIEL")</f>
        <v>HAYANA ROBERTA P. DE L. HONORATO MACIEL</v>
      </c>
      <c r="B316" s="62" t="str">
        <f>IFERROR(__xludf.DUMMYFUNCTION("""COMPUTED_VALUE"""),"Flebotomista")</f>
        <v>Flebotomista</v>
      </c>
      <c r="C316" s="62" t="str">
        <f>IFERROR(__xludf.DUMMYFUNCTION("""COMPUTED_VALUE"""),"075.295.394-00")</f>
        <v>075.295.394-00</v>
      </c>
      <c r="D316" s="62" t="str">
        <f>IFERROR(__xludf.DUMMYFUNCTION("""COMPUTED_VALUE"""),"81 9379-7001")</f>
        <v>81 9379-7001</v>
      </c>
      <c r="E316" s="62" t="str">
        <f>IFERROR(__xludf.DUMMYFUNCTION("""COMPUTED_VALUE"""),"CARUARU")</f>
        <v>CARUARU</v>
      </c>
      <c r="F316" s="62" t="str">
        <f>IFERROR(__xludf.DUMMYFUNCTION("""COMPUTED_VALUE"""),"COOPERADO")</f>
        <v>COOPERADO</v>
      </c>
    </row>
    <row r="317">
      <c r="A317" s="62" t="str">
        <f>IFERROR(__xludf.DUMMYFUNCTION("""COMPUTED_VALUE"""),"HELENA ROBERTA ALVES")</f>
        <v>HELENA ROBERTA ALVES</v>
      </c>
      <c r="B317" s="62" t="str">
        <f>IFERROR(__xludf.DUMMYFUNCTION("""COMPUTED_VALUE"""),"ASSISTENTE ADMINISTRATIVO")</f>
        <v>ASSISTENTE ADMINISTRATIVO</v>
      </c>
      <c r="C317" s="62" t="str">
        <f>IFERROR(__xludf.DUMMYFUNCTION("""COMPUTED_VALUE"""),"121.636.614-40")</f>
        <v>121.636.614-40</v>
      </c>
      <c r="D317" s="62" t="str">
        <f>IFERROR(__xludf.DUMMYFUNCTION("""COMPUTED_VALUE"""),"81 9722-7779")</f>
        <v>81 9722-7779</v>
      </c>
      <c r="E317" s="62" t="str">
        <f>IFERROR(__xludf.DUMMYFUNCTION("""COMPUTED_VALUE"""),"CARUARU")</f>
        <v>CARUARU</v>
      </c>
      <c r="F317" s="62" t="str">
        <f>IFERROR(__xludf.DUMMYFUNCTION("""COMPUTED_VALUE"""),"COOPERADO")</f>
        <v>COOPERADO</v>
      </c>
    </row>
    <row r="318">
      <c r="A318" s="62" t="str">
        <f>IFERROR(__xludf.DUMMYFUNCTION("""COMPUTED_VALUE"""),"HIAGO TAYTHUAN F. DA SILVA")</f>
        <v>HIAGO TAYTHUAN F. DA SILVA</v>
      </c>
      <c r="B318" s="62" t="str">
        <f>IFERROR(__xludf.DUMMYFUNCTION("""COMPUTED_VALUE"""),"AUX. HIG.")</f>
        <v>AUX. HIG.</v>
      </c>
      <c r="C318" s="62" t="str">
        <f>IFERROR(__xludf.DUMMYFUNCTION("""COMPUTED_VALUE"""),"133.823.344-02")</f>
        <v>133.823.344-02</v>
      </c>
      <c r="D318" s="62" t="str">
        <f>IFERROR(__xludf.DUMMYFUNCTION("""COMPUTED_VALUE"""),"81 9487-8308")</f>
        <v>81 9487-8308</v>
      </c>
      <c r="E318" s="62" t="str">
        <f>IFERROR(__xludf.DUMMYFUNCTION("""COMPUTED_VALUE"""),"CARUARU")</f>
        <v>CARUARU</v>
      </c>
      <c r="F318" s="62" t="str">
        <f>IFERROR(__xludf.DUMMYFUNCTION("""COMPUTED_VALUE"""),"COOPERADO")</f>
        <v>COOPERADO</v>
      </c>
    </row>
    <row r="319">
      <c r="A319" s="62" t="str">
        <f>IFERROR(__xludf.DUMMYFUNCTION("""COMPUTED_VALUE"""),"HORACIA VALERIA LIMA TENORIO")</f>
        <v>HORACIA VALERIA LIMA TENORIO</v>
      </c>
      <c r="B319" s="62" t="str">
        <f>IFERROR(__xludf.DUMMYFUNCTION("""COMPUTED_VALUE"""),"ENFERMEIRO (A)")</f>
        <v>ENFERMEIRO (A)</v>
      </c>
      <c r="C319" s="62" t="str">
        <f>IFERROR(__xludf.DUMMYFUNCTION("""COMPUTED_VALUE"""),"134.480.384-90")</f>
        <v>134.480.384-90</v>
      </c>
      <c r="D319" s="62" t="str">
        <f>IFERROR(__xludf.DUMMYFUNCTION("""COMPUTED_VALUE"""),"87 8106-9223")</f>
        <v>87 8106-9223</v>
      </c>
      <c r="E319" s="62" t="str">
        <f>IFERROR(__xludf.DUMMYFUNCTION("""COMPUTED_VALUE"""),"CARUARU")</f>
        <v>CARUARU</v>
      </c>
      <c r="F319" s="62" t="str">
        <f>IFERROR(__xludf.DUMMYFUNCTION("""COMPUTED_VALUE"""),"COOPERADO")</f>
        <v>COOPERADO</v>
      </c>
    </row>
    <row r="320">
      <c r="A320" s="62" t="str">
        <f>IFERROR(__xludf.DUMMYFUNCTION("""COMPUTED_VALUE"""),"HOSANA FERREIRA MARINHO")</f>
        <v>HOSANA FERREIRA MARINHO</v>
      </c>
      <c r="B320" s="62" t="str">
        <f>IFERROR(__xludf.DUMMYFUNCTION("""COMPUTED_VALUE"""),"TÉC. ENF. ")</f>
        <v>TÉC. ENF. </v>
      </c>
      <c r="C320" s="62" t="str">
        <f>IFERROR(__xludf.DUMMYFUNCTION("""COMPUTED_VALUE"""),"147.646.817-65")</f>
        <v>147.646.817-65</v>
      </c>
      <c r="D320" s="62" t="str">
        <f>IFERROR(__xludf.DUMMYFUNCTION("""COMPUTED_VALUE"""),"81 8119-8573")</f>
        <v>81 8119-8573</v>
      </c>
      <c r="E320" s="62" t="str">
        <f>IFERROR(__xludf.DUMMYFUNCTION("""COMPUTED_VALUE"""),"CARUARU")</f>
        <v>CARUARU</v>
      </c>
      <c r="F320" s="62" t="str">
        <f>IFERROR(__xludf.DUMMYFUNCTION("""COMPUTED_VALUE"""),"COOPERADO")</f>
        <v>COOPERADO</v>
      </c>
    </row>
    <row r="321">
      <c r="A321" s="62" t="str">
        <f>IFERROR(__xludf.DUMMYFUNCTION("""COMPUTED_VALUE"""),"ILARIO LIMA")</f>
        <v>ILARIO LIMA</v>
      </c>
      <c r="B321" s="62" t="str">
        <f>IFERROR(__xludf.DUMMYFUNCTION("""COMPUTED_VALUE"""),"AUX DE HIGIENIZAÇÃO")</f>
        <v>AUX DE HIGIENIZAÇÃO</v>
      </c>
      <c r="C321" s="62" t="str">
        <f>IFERROR(__xludf.DUMMYFUNCTION("""COMPUTED_VALUE"""),"037.549.764-19")</f>
        <v>037.549.764-19</v>
      </c>
      <c r="D321" s="62" t="str">
        <f>IFERROR(__xludf.DUMMYFUNCTION("""COMPUTED_VALUE"""),"81 8119-8573")</f>
        <v>81 8119-8573</v>
      </c>
      <c r="E321" s="62" t="str">
        <f>IFERROR(__xludf.DUMMYFUNCTION("""COMPUTED_VALUE"""),"CARUARU")</f>
        <v>CARUARU</v>
      </c>
      <c r="F321" s="62" t="str">
        <f>IFERROR(__xludf.DUMMYFUNCTION("""COMPUTED_VALUE"""),"COOPERADO")</f>
        <v>COOPERADO</v>
      </c>
    </row>
    <row r="322">
      <c r="A322" s="62" t="str">
        <f>IFERROR(__xludf.DUMMYFUNCTION("""COMPUTED_VALUE"""),"INGRID ANAMIM")</f>
        <v>INGRID ANAMIM</v>
      </c>
      <c r="B322" s="62" t="str">
        <f>IFERROR(__xludf.DUMMYFUNCTION("""COMPUTED_VALUE"""),"ENFERMEIRO (A)")</f>
        <v>ENFERMEIRO (A)</v>
      </c>
      <c r="C322" s="62" t="str">
        <f>IFERROR(__xludf.DUMMYFUNCTION("""COMPUTED_VALUE"""),"064.159.834-31")</f>
        <v>064.159.834-31</v>
      </c>
      <c r="D322" s="62" t="str">
        <f>IFERROR(__xludf.DUMMYFUNCTION("""COMPUTED_VALUE"""),"81 9688-9901")</f>
        <v>81 9688-9901</v>
      </c>
      <c r="E322" s="62" t="str">
        <f>IFERROR(__xludf.DUMMYFUNCTION("""COMPUTED_VALUE"""),"CARUARU")</f>
        <v>CARUARU</v>
      </c>
      <c r="F322" s="62" t="str">
        <f>IFERROR(__xludf.DUMMYFUNCTION("""COMPUTED_VALUE"""),"COOPERADO")</f>
        <v>COOPERADO</v>
      </c>
    </row>
    <row r="323">
      <c r="A323" s="62" t="str">
        <f>IFERROR(__xludf.DUMMYFUNCTION("""COMPUTED_VALUE"""),"INGRID DE LOURDES A SILVA")</f>
        <v>INGRID DE LOURDES A SILVA</v>
      </c>
      <c r="B323" s="62" t="str">
        <f>IFERROR(__xludf.DUMMYFUNCTION("""COMPUTED_VALUE"""),"TÉC.ENFERMAGEM")</f>
        <v>TÉC.ENFERMAGEM</v>
      </c>
      <c r="C323" s="62" t="str">
        <f>IFERROR(__xludf.DUMMYFUNCTION("""COMPUTED_VALUE"""),"012.362.504-19")</f>
        <v>012.362.504-19</v>
      </c>
      <c r="D323" s="62" t="str">
        <f>IFERROR(__xludf.DUMMYFUNCTION("""COMPUTED_VALUE"""),"81 9573-3373")</f>
        <v>81 9573-3373</v>
      </c>
      <c r="E323" s="62" t="str">
        <f>IFERROR(__xludf.DUMMYFUNCTION("""COMPUTED_VALUE"""),"CARUARU")</f>
        <v>CARUARU</v>
      </c>
      <c r="F323" s="62" t="str">
        <f>IFERROR(__xludf.DUMMYFUNCTION("""COMPUTED_VALUE"""),"COOPERADO")</f>
        <v>COOPERADO</v>
      </c>
    </row>
    <row r="324">
      <c r="A324" s="62" t="str">
        <f>IFERROR(__xludf.DUMMYFUNCTION("""COMPUTED_VALUE"""),"INGRID SOYANE DA SILVA")</f>
        <v>INGRID SOYANE DA SILVA</v>
      </c>
      <c r="B324" s="62" t="str">
        <f>IFERROR(__xludf.DUMMYFUNCTION("""COMPUTED_VALUE"""),"ENFERMEIRO (A)")</f>
        <v>ENFERMEIRO (A)</v>
      </c>
      <c r="C324" s="62" t="str">
        <f>IFERROR(__xludf.DUMMYFUNCTION("""COMPUTED_VALUE"""),"112.390.984-99")</f>
        <v>112.390.984-99</v>
      </c>
      <c r="D324" s="62" t="str">
        <f>IFERROR(__xludf.DUMMYFUNCTION("""COMPUTED_VALUE"""),"81 9709-3947")</f>
        <v>81 9709-3947</v>
      </c>
      <c r="E324" s="62" t="str">
        <f>IFERROR(__xludf.DUMMYFUNCTION("""COMPUTED_VALUE"""),"CARUARU")</f>
        <v>CARUARU</v>
      </c>
      <c r="F324" s="62" t="str">
        <f>IFERROR(__xludf.DUMMYFUNCTION("""COMPUTED_VALUE"""),"COOPERADO")</f>
        <v>COOPERADO</v>
      </c>
    </row>
    <row r="325">
      <c r="A325" s="62" t="str">
        <f>IFERROR(__xludf.DUMMYFUNCTION("""COMPUTED_VALUE"""),"IRANILDO CASSIANO DA SILVA")</f>
        <v>IRANILDO CASSIANO DA SILVA</v>
      </c>
      <c r="B325" s="62" t="str">
        <f>IFERROR(__xludf.DUMMYFUNCTION("""COMPUTED_VALUE"""),"TÉC.ENFERMAGEM")</f>
        <v>TÉC.ENFERMAGEM</v>
      </c>
      <c r="C325" s="62" t="str">
        <f>IFERROR(__xludf.DUMMYFUNCTION("""COMPUTED_VALUE"""),"139.053.014-07")</f>
        <v>139.053.014-07</v>
      </c>
      <c r="D325" s="62" t="str">
        <f>IFERROR(__xludf.DUMMYFUNCTION("""COMPUTED_VALUE"""),"81 9641-4519")</f>
        <v>81 9641-4519</v>
      </c>
      <c r="E325" s="62" t="str">
        <f>IFERROR(__xludf.DUMMYFUNCTION("""COMPUTED_VALUE"""),"CARUARU")</f>
        <v>CARUARU</v>
      </c>
      <c r="F325" s="62" t="str">
        <f>IFERROR(__xludf.DUMMYFUNCTION("""COMPUTED_VALUE"""),"COOPERADO")</f>
        <v>COOPERADO</v>
      </c>
    </row>
    <row r="326">
      <c r="A326" s="62" t="str">
        <f>IFERROR(__xludf.DUMMYFUNCTION("""COMPUTED_VALUE"""),"Irismar Freire Torres")</f>
        <v>Irismar Freire Torres</v>
      </c>
      <c r="B326" s="62" t="str">
        <f>IFERROR(__xludf.DUMMYFUNCTION("""COMPUTED_VALUE"""),"Téc. Enf.")</f>
        <v>Téc. Enf.</v>
      </c>
      <c r="C326" s="62" t="str">
        <f>IFERROR(__xludf.DUMMYFUNCTION("""COMPUTED_VALUE"""),"065.808.184-50")</f>
        <v>065.808.184-50</v>
      </c>
      <c r="D326" s="62" t="str">
        <f>IFERROR(__xludf.DUMMYFUNCTION("""COMPUTED_VALUE"""),"81 9162-1874")</f>
        <v>81 9162-1874</v>
      </c>
      <c r="E326" s="62" t="str">
        <f>IFERROR(__xludf.DUMMYFUNCTION("""COMPUTED_VALUE"""),"CARUARU")</f>
        <v>CARUARU</v>
      </c>
      <c r="F326" s="62" t="str">
        <f>IFERROR(__xludf.DUMMYFUNCTION("""COMPUTED_VALUE"""),"COOPERADO")</f>
        <v>COOPERADO</v>
      </c>
    </row>
    <row r="327">
      <c r="A327" s="62" t="str">
        <f>IFERROR(__xludf.DUMMYFUNCTION("""COMPUTED_VALUE"""),"ISABELLA KARINA BEZERRA DA SILVA")</f>
        <v>ISABELLA KARINA BEZERRA DA SILVA</v>
      </c>
      <c r="B327" s="62" t="str">
        <f>IFERROR(__xludf.DUMMYFUNCTION("""COMPUTED_VALUE"""),"TÉC. ENF")</f>
        <v>TÉC. ENF</v>
      </c>
      <c r="C327" s="62" t="str">
        <f>IFERROR(__xludf.DUMMYFUNCTION("""COMPUTED_VALUE"""),"054.926.184-23")</f>
        <v>054.926.184-23</v>
      </c>
      <c r="D327" s="62" t="str">
        <f>IFERROR(__xludf.DUMMYFUNCTION("""COMPUTED_VALUE"""),"81 9108-1993")</f>
        <v>81 9108-1993</v>
      </c>
      <c r="E327" s="62" t="str">
        <f>IFERROR(__xludf.DUMMYFUNCTION("""COMPUTED_VALUE"""),"CARUARU")</f>
        <v>CARUARU</v>
      </c>
      <c r="F327" s="62" t="str">
        <f>IFERROR(__xludf.DUMMYFUNCTION("""COMPUTED_VALUE"""),"COOPERADO")</f>
        <v>COOPERADO</v>
      </c>
    </row>
    <row r="328">
      <c r="A328" s="62" t="str">
        <f>IFERROR(__xludf.DUMMYFUNCTION("""COMPUTED_VALUE"""),"ISYS LAYANA MARIA COSTA BRAZ DOS SANTOS")</f>
        <v>ISYS LAYANA MARIA COSTA BRAZ DOS SANTOS</v>
      </c>
      <c r="B328" s="62" t="str">
        <f>IFERROR(__xludf.DUMMYFUNCTION("""COMPUTED_VALUE"""),"ASSISTENTE ADMINISTRATIVO")</f>
        <v>ASSISTENTE ADMINISTRATIVO</v>
      </c>
      <c r="C328" s="62" t="str">
        <f>IFERROR(__xludf.DUMMYFUNCTION("""COMPUTED_VALUE"""),"108.646.054-55")</f>
        <v>108.646.054-55</v>
      </c>
      <c r="D328" s="62" t="str">
        <f>IFERROR(__xludf.DUMMYFUNCTION("""COMPUTED_VALUE"""),"81 9158-6919")</f>
        <v>81 9158-6919</v>
      </c>
      <c r="E328" s="62" t="str">
        <f>IFERROR(__xludf.DUMMYFUNCTION("""COMPUTED_VALUE"""),"CARUARU")</f>
        <v>CARUARU</v>
      </c>
      <c r="F328" s="62" t="str">
        <f>IFERROR(__xludf.DUMMYFUNCTION("""COMPUTED_VALUE"""),"COOPERADO")</f>
        <v>COOPERADO</v>
      </c>
    </row>
    <row r="329">
      <c r="A329" s="62" t="str">
        <f>IFERROR(__xludf.DUMMYFUNCTION("""COMPUTED_VALUE"""),"IVANEIDE SILVA DE SOUSA")</f>
        <v>IVANEIDE SILVA DE SOUSA</v>
      </c>
      <c r="B329" s="62" t="str">
        <f>IFERROR(__xludf.DUMMYFUNCTION("""COMPUTED_VALUE"""),"AUX. HIG. ")</f>
        <v>AUX. HIG. </v>
      </c>
      <c r="C329" s="62" t="str">
        <f>IFERROR(__xludf.DUMMYFUNCTION("""COMPUTED_VALUE"""),"031.257.744-38")</f>
        <v>031.257.744-38</v>
      </c>
      <c r="D329" s="62" t="str">
        <f>IFERROR(__xludf.DUMMYFUNCTION("""COMPUTED_VALUE"""),"81 9394-7036")</f>
        <v>81 9394-7036</v>
      </c>
      <c r="E329" s="62" t="str">
        <f>IFERROR(__xludf.DUMMYFUNCTION("""COMPUTED_VALUE"""),"CARUARU")</f>
        <v>CARUARU</v>
      </c>
      <c r="F329" s="62" t="str">
        <f>IFERROR(__xludf.DUMMYFUNCTION("""COMPUTED_VALUE"""),"COOPERADO")</f>
        <v>COOPERADO</v>
      </c>
    </row>
    <row r="330">
      <c r="A330" s="62" t="str">
        <f>IFERROR(__xludf.DUMMYFUNCTION("""COMPUTED_VALUE"""),"IVONE DE OLIVEIRA")</f>
        <v>IVONE DE OLIVEIRA</v>
      </c>
      <c r="B330" s="62" t="str">
        <f>IFERROR(__xludf.DUMMYFUNCTION("""COMPUTED_VALUE"""),"AUX. DE FARMÁCIA")</f>
        <v>AUX. DE FARMÁCIA</v>
      </c>
      <c r="C330" s="62" t="str">
        <f>IFERROR(__xludf.DUMMYFUNCTION("""COMPUTED_VALUE"""),"704.603.644-64")</f>
        <v>704.603.644-64</v>
      </c>
      <c r="D330" s="62" t="str">
        <f>IFERROR(__xludf.DUMMYFUNCTION("""COMPUTED_VALUE"""),"81 9830-6446")</f>
        <v>81 9830-6446</v>
      </c>
      <c r="E330" s="62" t="str">
        <f>IFERROR(__xludf.DUMMYFUNCTION("""COMPUTED_VALUE"""),"CARUARU")</f>
        <v>CARUARU</v>
      </c>
      <c r="F330" s="62" t="str">
        <f>IFERROR(__xludf.DUMMYFUNCTION("""COMPUTED_VALUE"""),"COOPERADO")</f>
        <v>COOPERADO</v>
      </c>
    </row>
    <row r="331">
      <c r="A331" s="62" t="str">
        <f>IFERROR(__xludf.DUMMYFUNCTION("""COMPUTED_VALUE"""),"JACIANE SANTOS CIRILO DA SILVA")</f>
        <v>JACIANE SANTOS CIRILO DA SILVA</v>
      </c>
      <c r="B331" s="62" t="str">
        <f>IFERROR(__xludf.DUMMYFUNCTION("""COMPUTED_VALUE"""),"TÉC.ENFERMAGEM")</f>
        <v>TÉC.ENFERMAGEM</v>
      </c>
      <c r="C331" s="62" t="str">
        <f>IFERROR(__xludf.DUMMYFUNCTION("""COMPUTED_VALUE"""),"051.562.884-05")</f>
        <v>051.562.884-05</v>
      </c>
      <c r="D331" s="62" t="str">
        <f>IFERROR(__xludf.DUMMYFUNCTION("""COMPUTED_VALUE"""),"81 9148-9121")</f>
        <v>81 9148-9121</v>
      </c>
      <c r="E331" s="62" t="str">
        <f>IFERROR(__xludf.DUMMYFUNCTION("""COMPUTED_VALUE"""),"CARUARU")</f>
        <v>CARUARU</v>
      </c>
      <c r="F331" s="62" t="str">
        <f>IFERROR(__xludf.DUMMYFUNCTION("""COMPUTED_VALUE"""),"COOPERADO")</f>
        <v>COOPERADO</v>
      </c>
    </row>
    <row r="332">
      <c r="A332" s="62" t="str">
        <f>IFERROR(__xludf.DUMMYFUNCTION("""COMPUTED_VALUE"""),"JACIARA DAYLA SANTANA")</f>
        <v>JACIARA DAYLA SANTANA</v>
      </c>
      <c r="B332" s="62" t="str">
        <f>IFERROR(__xludf.DUMMYFUNCTION("""COMPUTED_VALUE"""),"RECEPCIONISTA")</f>
        <v>RECEPCIONISTA</v>
      </c>
      <c r="C332" s="62" t="str">
        <f>IFERROR(__xludf.DUMMYFUNCTION("""COMPUTED_VALUE"""),"704.082.004-80")</f>
        <v>704.082.004-80</v>
      </c>
      <c r="D332" s="62" t="str">
        <f>IFERROR(__xludf.DUMMYFUNCTION("""COMPUTED_VALUE"""),"81 9105-5783")</f>
        <v>81 9105-5783</v>
      </c>
      <c r="E332" s="62" t="str">
        <f>IFERROR(__xludf.DUMMYFUNCTION("""COMPUTED_VALUE"""),"CARUARU")</f>
        <v>CARUARU</v>
      </c>
      <c r="F332" s="62" t="str">
        <f>IFERROR(__xludf.DUMMYFUNCTION("""COMPUTED_VALUE"""),"COOPERADO")</f>
        <v>COOPERADO</v>
      </c>
    </row>
    <row r="333">
      <c r="A333" s="62" t="str">
        <f>IFERROR(__xludf.DUMMYFUNCTION("""COMPUTED_VALUE"""),"JACYANE CARMEM CAZUMBÁ")</f>
        <v>JACYANE CARMEM CAZUMBÁ</v>
      </c>
      <c r="B333" s="62" t="str">
        <f>IFERROR(__xludf.DUMMYFUNCTION("""COMPUTED_VALUE"""),"ENFERMEIRO (A)")</f>
        <v>ENFERMEIRO (A)</v>
      </c>
      <c r="C333" s="62" t="str">
        <f>IFERROR(__xludf.DUMMYFUNCTION("""COMPUTED_VALUE"""),"051.213.004-33")</f>
        <v>051.213.004-33</v>
      </c>
      <c r="D333" s="62" t="str">
        <f>IFERROR(__xludf.DUMMYFUNCTION("""COMPUTED_VALUE"""),"81 7903-2020")</f>
        <v>81 7903-2020</v>
      </c>
      <c r="E333" s="62" t="str">
        <f>IFERROR(__xludf.DUMMYFUNCTION("""COMPUTED_VALUE"""),"CARUARU")</f>
        <v>CARUARU</v>
      </c>
      <c r="F333" s="62" t="str">
        <f>IFERROR(__xludf.DUMMYFUNCTION("""COMPUTED_VALUE"""),"COOPERADO")</f>
        <v>COOPERADO</v>
      </c>
    </row>
    <row r="334">
      <c r="A334" s="62" t="str">
        <f>IFERROR(__xludf.DUMMYFUNCTION("""COMPUTED_VALUE"""),"JAIANE YASMIN DE M. ALMEIDA")</f>
        <v>JAIANE YASMIN DE M. ALMEIDA</v>
      </c>
      <c r="B334" s="62" t="str">
        <f>IFERROR(__xludf.DUMMYFUNCTION("""COMPUTED_VALUE"""),"TÉC.ENFERMAGEM")</f>
        <v>TÉC.ENFERMAGEM</v>
      </c>
      <c r="C334" s="62" t="str">
        <f>IFERROR(__xludf.DUMMYFUNCTION("""COMPUTED_VALUE"""),"098.182.764-00")</f>
        <v>098.182.764-00</v>
      </c>
      <c r="D334" s="62" t="str">
        <f>IFERROR(__xludf.DUMMYFUNCTION("""COMPUTED_VALUE"""),"87 8159-8420")</f>
        <v>87 8159-8420</v>
      </c>
      <c r="E334" s="62" t="str">
        <f>IFERROR(__xludf.DUMMYFUNCTION("""COMPUTED_VALUE"""),"CARUARU")</f>
        <v>CARUARU</v>
      </c>
      <c r="F334" s="62" t="str">
        <f>IFERROR(__xludf.DUMMYFUNCTION("""COMPUTED_VALUE"""),"COOPERADO")</f>
        <v>COOPERADO</v>
      </c>
    </row>
    <row r="335">
      <c r="A335" s="62" t="str">
        <f>IFERROR(__xludf.DUMMYFUNCTION("""COMPUTED_VALUE"""),"Jaiesse Morgana da Conceição")</f>
        <v>Jaiesse Morgana da Conceição</v>
      </c>
      <c r="B335" s="62" t="str">
        <f>IFERROR(__xludf.DUMMYFUNCTION("""COMPUTED_VALUE"""),"Auxiliar de Higienização")</f>
        <v>Auxiliar de Higienização</v>
      </c>
      <c r="C335" s="62" t="str">
        <f>IFERROR(__xludf.DUMMYFUNCTION("""COMPUTED_VALUE"""),"105.580.514-13")</f>
        <v>105.580.514-13</v>
      </c>
      <c r="D335" s="62" t="str">
        <f>IFERROR(__xludf.DUMMYFUNCTION("""COMPUTED_VALUE"""),"81 9328-0084")</f>
        <v>81 9328-0084</v>
      </c>
      <c r="E335" s="62" t="str">
        <f>IFERROR(__xludf.DUMMYFUNCTION("""COMPUTED_VALUE"""),"CARUARU")</f>
        <v>CARUARU</v>
      </c>
      <c r="F335" s="62" t="str">
        <f>IFERROR(__xludf.DUMMYFUNCTION("""COMPUTED_VALUE"""),"COOPERADO")</f>
        <v>COOPERADO</v>
      </c>
    </row>
    <row r="336">
      <c r="A336" s="62" t="str">
        <f>IFERROR(__xludf.DUMMYFUNCTION("""COMPUTED_VALUE"""),"JAILDO ARRUDA DE ANDRADE")</f>
        <v>JAILDO ARRUDA DE ANDRADE</v>
      </c>
      <c r="B336" s="62" t="str">
        <f>IFERROR(__xludf.DUMMYFUNCTION("""COMPUTED_VALUE"""),"TÉC. ENF. ")</f>
        <v>TÉC. ENF. </v>
      </c>
      <c r="C336" s="62" t="str">
        <f>IFERROR(__xludf.DUMMYFUNCTION("""COMPUTED_VALUE"""),"039.916.184-86")</f>
        <v>039.916.184-86</v>
      </c>
      <c r="D336" s="62" t="str">
        <f>IFERROR(__xludf.DUMMYFUNCTION("""COMPUTED_VALUE"""),"81 9518-5955")</f>
        <v>81 9518-5955</v>
      </c>
      <c r="E336" s="62" t="str">
        <f>IFERROR(__xludf.DUMMYFUNCTION("""COMPUTED_VALUE"""),"CARUARU")</f>
        <v>CARUARU</v>
      </c>
      <c r="F336" s="62" t="str">
        <f>IFERROR(__xludf.DUMMYFUNCTION("""COMPUTED_VALUE"""),"COOPERADO")</f>
        <v>COOPERADO</v>
      </c>
    </row>
    <row r="337">
      <c r="A337" s="62" t="str">
        <f>IFERROR(__xludf.DUMMYFUNCTION("""COMPUTED_VALUE"""),"Jailson João da Silva")</f>
        <v>Jailson João da Silva</v>
      </c>
      <c r="B337" s="62" t="str">
        <f>IFERROR(__xludf.DUMMYFUNCTION("""COMPUTED_VALUE"""),"Maqueiro")</f>
        <v>Maqueiro</v>
      </c>
      <c r="C337" s="62" t="str">
        <f>IFERROR(__xludf.DUMMYFUNCTION("""COMPUTED_VALUE"""),"047.795.364-64")</f>
        <v>047.795.364-64</v>
      </c>
      <c r="D337" s="62" t="str">
        <f>IFERROR(__xludf.DUMMYFUNCTION("""COMPUTED_VALUE"""),"81 9628-2929")</f>
        <v>81 9628-2929</v>
      </c>
      <c r="E337" s="62" t="str">
        <f>IFERROR(__xludf.DUMMYFUNCTION("""COMPUTED_VALUE"""),"CARUARU")</f>
        <v>CARUARU</v>
      </c>
      <c r="F337" s="62" t="str">
        <f>IFERROR(__xludf.DUMMYFUNCTION("""COMPUTED_VALUE"""),"COOPERADO")</f>
        <v>COOPERADO</v>
      </c>
    </row>
    <row r="338">
      <c r="A338" s="62" t="str">
        <f>IFERROR(__xludf.DUMMYFUNCTION("""COMPUTED_VALUE"""),"JAMISON HENRIQUE DOS SANTOS SILVA")</f>
        <v>JAMISON HENRIQUE DOS SANTOS SILVA</v>
      </c>
      <c r="B338" s="62" t="str">
        <f>IFERROR(__xludf.DUMMYFUNCTION("""COMPUTED_VALUE"""),"AUXILIAR DE FARMÁCIA")</f>
        <v>AUXILIAR DE FARMÁCIA</v>
      </c>
      <c r="C338" s="62" t="str">
        <f>IFERROR(__xludf.DUMMYFUNCTION("""COMPUTED_VALUE"""),"107.200.934-06")</f>
        <v>107.200.934-06</v>
      </c>
      <c r="D338" s="62" t="str">
        <f>IFERROR(__xludf.DUMMYFUNCTION("""COMPUTED_VALUE"""),"81 7320-0318")</f>
        <v>81 7320-0318</v>
      </c>
      <c r="E338" s="62" t="str">
        <f>IFERROR(__xludf.DUMMYFUNCTION("""COMPUTED_VALUE"""),"CARUARU")</f>
        <v>CARUARU</v>
      </c>
      <c r="F338" s="62" t="str">
        <f>IFERROR(__xludf.DUMMYFUNCTION("""COMPUTED_VALUE"""),"COOPERADO")</f>
        <v>COOPERADO</v>
      </c>
    </row>
    <row r="339">
      <c r="A339" s="62" t="str">
        <f>IFERROR(__xludf.DUMMYFUNCTION("""COMPUTED_VALUE"""),"JAMYLLE STEFFANE DA SILVA NASCIMENTO")</f>
        <v>JAMYLLE STEFFANE DA SILVA NASCIMENTO</v>
      </c>
      <c r="B339" s="62" t="str">
        <f>IFERROR(__xludf.DUMMYFUNCTION("""COMPUTED_VALUE"""),"TÉC. ENF. ")</f>
        <v>TÉC. ENF. </v>
      </c>
      <c r="C339" s="62" t="str">
        <f>IFERROR(__xludf.DUMMYFUNCTION("""COMPUTED_VALUE"""),"136.408.704-92")</f>
        <v>136.408.704-92</v>
      </c>
      <c r="D339" s="62" t="str">
        <f>IFERROR(__xludf.DUMMYFUNCTION("""COMPUTED_VALUE"""),"81 9395-5584")</f>
        <v>81 9395-5584</v>
      </c>
      <c r="E339" s="62" t="str">
        <f>IFERROR(__xludf.DUMMYFUNCTION("""COMPUTED_VALUE"""),"CARUARU")</f>
        <v>CARUARU</v>
      </c>
      <c r="F339" s="62" t="str">
        <f>IFERROR(__xludf.DUMMYFUNCTION("""COMPUTED_VALUE"""),"COOPERADO")</f>
        <v>COOPERADO</v>
      </c>
    </row>
    <row r="340">
      <c r="A340" s="62" t="str">
        <f>IFERROR(__xludf.DUMMYFUNCTION("""COMPUTED_VALUE"""),"JANAILSON MANOEL")</f>
        <v>JANAILSON MANOEL</v>
      </c>
      <c r="B340" s="62" t="str">
        <f>IFERROR(__xludf.DUMMYFUNCTION("""COMPUTED_VALUE"""),"TÉC. ENF")</f>
        <v>TÉC. ENF</v>
      </c>
      <c r="C340" s="62" t="str">
        <f>IFERROR(__xludf.DUMMYFUNCTION("""COMPUTED_VALUE"""),"036.498.674-35")</f>
        <v>036.498.674-35</v>
      </c>
      <c r="D340" s="62" t="str">
        <f>IFERROR(__xludf.DUMMYFUNCTION("""COMPUTED_VALUE"""),"81 7304-8890")</f>
        <v>81 7304-8890</v>
      </c>
      <c r="E340" s="62" t="str">
        <f>IFERROR(__xludf.DUMMYFUNCTION("""COMPUTED_VALUE"""),"CARUARU")</f>
        <v>CARUARU</v>
      </c>
      <c r="F340" s="62" t="str">
        <f>IFERROR(__xludf.DUMMYFUNCTION("""COMPUTED_VALUE"""),"COOPERADO")</f>
        <v>COOPERADO</v>
      </c>
    </row>
    <row r="341">
      <c r="A341" s="62" t="str">
        <f>IFERROR(__xludf.DUMMYFUNCTION("""COMPUTED_VALUE"""),"Janaina Belkemar da Silva")</f>
        <v>Janaina Belkemar da Silva</v>
      </c>
      <c r="B341" s="62" t="str">
        <f>IFERROR(__xludf.DUMMYFUNCTION("""COMPUTED_VALUE"""),"Auxiliar de Farmácia")</f>
        <v>Auxiliar de Farmácia</v>
      </c>
      <c r="C341" s="62" t="str">
        <f>IFERROR(__xludf.DUMMYFUNCTION("""COMPUTED_VALUE"""),"046.010.154-48")</f>
        <v>046.010.154-48</v>
      </c>
      <c r="D341" s="62" t="str">
        <f>IFERROR(__xludf.DUMMYFUNCTION("""COMPUTED_VALUE"""),"81 9251-0113")</f>
        <v>81 9251-0113</v>
      </c>
      <c r="E341" s="62" t="str">
        <f>IFERROR(__xludf.DUMMYFUNCTION("""COMPUTED_VALUE"""),"CARUARU")</f>
        <v>CARUARU</v>
      </c>
      <c r="F341" s="62" t="str">
        <f>IFERROR(__xludf.DUMMYFUNCTION("""COMPUTED_VALUE"""),"COOPERADO")</f>
        <v>COOPERADO</v>
      </c>
    </row>
    <row r="342">
      <c r="A342" s="62" t="str">
        <f>IFERROR(__xludf.DUMMYFUNCTION("""COMPUTED_VALUE"""),"JANAINA LOPES BEZERRA")</f>
        <v>JANAINA LOPES BEZERRA</v>
      </c>
      <c r="B342" s="62" t="str">
        <f>IFERROR(__xludf.DUMMYFUNCTION("""COMPUTED_VALUE"""),"TÉC.ENFERMAGEM")</f>
        <v>TÉC.ENFERMAGEM</v>
      </c>
      <c r="C342" s="62" t="str">
        <f>IFERROR(__xludf.DUMMYFUNCTION("""COMPUTED_VALUE"""),"114.714.724-85")</f>
        <v>114.714.724-85</v>
      </c>
      <c r="D342" s="62" t="str">
        <f>IFERROR(__xludf.DUMMYFUNCTION("""COMPUTED_VALUE"""),"81 9260-2110")</f>
        <v>81 9260-2110</v>
      </c>
      <c r="E342" s="62" t="str">
        <f>IFERROR(__xludf.DUMMYFUNCTION("""COMPUTED_VALUE"""),"CARUARU")</f>
        <v>CARUARU</v>
      </c>
      <c r="F342" s="62" t="str">
        <f>IFERROR(__xludf.DUMMYFUNCTION("""COMPUTED_VALUE"""),"COOPERADO")</f>
        <v>COOPERADO</v>
      </c>
    </row>
    <row r="343">
      <c r="A343" s="62" t="str">
        <f>IFERROR(__xludf.DUMMYFUNCTION("""COMPUTED_VALUE"""),"JANE CARLA ALVES ALMEIDA")</f>
        <v>JANE CARLA ALVES ALMEIDA</v>
      </c>
      <c r="B343" s="62" t="str">
        <f>IFERROR(__xludf.DUMMYFUNCTION("""COMPUTED_VALUE"""),"TÉC. ENF.")</f>
        <v>TÉC. ENF.</v>
      </c>
      <c r="C343" s="62" t="str">
        <f>IFERROR(__xludf.DUMMYFUNCTION("""COMPUTED_VALUE"""),"032.975.524-25")</f>
        <v>032.975.524-25</v>
      </c>
      <c r="D343" s="62" t="str">
        <f>IFERROR(__xludf.DUMMYFUNCTION("""COMPUTED_VALUE"""),"87 9196-6440")</f>
        <v>87 9196-6440</v>
      </c>
      <c r="E343" s="62" t="str">
        <f>IFERROR(__xludf.DUMMYFUNCTION("""COMPUTED_VALUE"""),"CARUARU")</f>
        <v>CARUARU</v>
      </c>
      <c r="F343" s="62" t="str">
        <f>IFERROR(__xludf.DUMMYFUNCTION("""COMPUTED_VALUE"""),"COOPERADO")</f>
        <v>COOPERADO</v>
      </c>
    </row>
    <row r="344">
      <c r="A344" s="62" t="str">
        <f>IFERROR(__xludf.DUMMYFUNCTION("""COMPUTED_VALUE"""),"JAQUELINE BEZERRA DA SILVA GOMES")</f>
        <v>JAQUELINE BEZERRA DA SILVA GOMES</v>
      </c>
      <c r="B344" s="62" t="str">
        <f>IFERROR(__xludf.DUMMYFUNCTION("""COMPUTED_VALUE"""),"TÉC. ENF.")</f>
        <v>TÉC. ENF.</v>
      </c>
      <c r="C344" s="62" t="str">
        <f>IFERROR(__xludf.DUMMYFUNCTION("""COMPUTED_VALUE"""),"077.804.034-83")</f>
        <v>077.804.034-83</v>
      </c>
      <c r="D344" s="62" t="str">
        <f>IFERROR(__xludf.DUMMYFUNCTION("""COMPUTED_VALUE"""),"8798840-1130")</f>
        <v>8798840-1130</v>
      </c>
      <c r="E344" s="62" t="str">
        <f>IFERROR(__xludf.DUMMYFUNCTION("""COMPUTED_VALUE"""),"CARUARU")</f>
        <v>CARUARU</v>
      </c>
      <c r="F344" s="62" t="str">
        <f>IFERROR(__xludf.DUMMYFUNCTION("""COMPUTED_VALUE"""),"COOPERADO")</f>
        <v>COOPERADO</v>
      </c>
    </row>
    <row r="345">
      <c r="A345" s="62" t="str">
        <f>IFERROR(__xludf.DUMMYFUNCTION("""COMPUTED_VALUE"""),"Jaqueline Maria da Silva")</f>
        <v>Jaqueline Maria da Silva</v>
      </c>
      <c r="B345" s="62" t="str">
        <f>IFERROR(__xludf.DUMMYFUNCTION("""COMPUTED_VALUE"""),"Camareiro(a)")</f>
        <v>Camareiro(a)</v>
      </c>
      <c r="C345" s="62" t="str">
        <f>IFERROR(__xludf.DUMMYFUNCTION("""COMPUTED_VALUE"""),"152.602.578-71")</f>
        <v>152.602.578-71</v>
      </c>
      <c r="D345" s="62" t="str">
        <f>IFERROR(__xludf.DUMMYFUNCTION("""COMPUTED_VALUE"""),"81 9121-1338")</f>
        <v>81 9121-1338</v>
      </c>
      <c r="E345" s="62" t="str">
        <f>IFERROR(__xludf.DUMMYFUNCTION("""COMPUTED_VALUE"""),"CARUARU")</f>
        <v>CARUARU</v>
      </c>
      <c r="F345" s="62" t="str">
        <f>IFERROR(__xludf.DUMMYFUNCTION("""COMPUTED_VALUE"""),"COOPERADO")</f>
        <v>COOPERADO</v>
      </c>
    </row>
    <row r="346">
      <c r="A346" s="62" t="str">
        <f>IFERROR(__xludf.DUMMYFUNCTION("""COMPUTED_VALUE"""),"JEFERSON JOSÉ DA SILVA")</f>
        <v>JEFERSON JOSÉ DA SILVA</v>
      </c>
      <c r="B346" s="62" t="str">
        <f>IFERROR(__xludf.DUMMYFUNCTION("""COMPUTED_VALUE"""),"TÉC.ENFERMAGEM")</f>
        <v>TÉC.ENFERMAGEM</v>
      </c>
      <c r="C346" s="62" t="str">
        <f>IFERROR(__xludf.DUMMYFUNCTION("""COMPUTED_VALUE"""),"078.987.164-50")</f>
        <v>078.987.164-50</v>
      </c>
      <c r="D346" s="62" t="str">
        <f>IFERROR(__xludf.DUMMYFUNCTION("""COMPUTED_VALUE""")," 81 9464-8523")</f>
        <v> 81 9464-8523</v>
      </c>
      <c r="E346" s="62" t="str">
        <f>IFERROR(__xludf.DUMMYFUNCTION("""COMPUTED_VALUE"""),"CARUARU")</f>
        <v>CARUARU</v>
      </c>
      <c r="F346" s="62" t="str">
        <f>IFERROR(__xludf.DUMMYFUNCTION("""COMPUTED_VALUE"""),"COOPERADO")</f>
        <v>COOPERADO</v>
      </c>
    </row>
    <row r="347">
      <c r="A347" s="62" t="str">
        <f>IFERROR(__xludf.DUMMYFUNCTION("""COMPUTED_VALUE"""),"Jeferson Pereira Gonçalves")</f>
        <v>Jeferson Pereira Gonçalves</v>
      </c>
      <c r="B347" s="62" t="str">
        <f>IFERROR(__xludf.DUMMYFUNCTION("""COMPUTED_VALUE"""),"Condutor")</f>
        <v>Condutor</v>
      </c>
      <c r="C347" s="62" t="str">
        <f>IFERROR(__xludf.DUMMYFUNCTION("""COMPUTED_VALUE"""),"025.251.414-0")</f>
        <v>025.251.414-0</v>
      </c>
      <c r="D347" s="62" t="str">
        <f>IFERROR(__xludf.DUMMYFUNCTION("""COMPUTED_VALUE"""),"81 9689-4348")</f>
        <v>81 9689-4348</v>
      </c>
      <c r="E347" s="62" t="str">
        <f>IFERROR(__xludf.DUMMYFUNCTION("""COMPUTED_VALUE"""),"CARUARU")</f>
        <v>CARUARU</v>
      </c>
      <c r="F347" s="62" t="str">
        <f>IFERROR(__xludf.DUMMYFUNCTION("""COMPUTED_VALUE"""),"COOPERADO")</f>
        <v>COOPERADO</v>
      </c>
    </row>
    <row r="348">
      <c r="A348" s="62" t="str">
        <f>IFERROR(__xludf.DUMMYFUNCTION("""COMPUTED_VALUE"""),"JEFFERSON MATHEUS")</f>
        <v>JEFFERSON MATHEUS</v>
      </c>
      <c r="B348" s="62" t="str">
        <f>IFERROR(__xludf.DUMMYFUNCTION("""COMPUTED_VALUE"""),"AUX. DE FARMÁCIA")</f>
        <v>AUX. DE FARMÁCIA</v>
      </c>
      <c r="C348" s="62" t="str">
        <f>IFERROR(__xludf.DUMMYFUNCTION("""COMPUTED_VALUE"""),"088.044.064-37")</f>
        <v>088.044.064-37</v>
      </c>
      <c r="D348" s="62" t="str">
        <f>IFERROR(__xludf.DUMMYFUNCTION("""COMPUTED_VALUE""")," 81 9361-4384")</f>
        <v> 81 9361-4384</v>
      </c>
      <c r="E348" s="62" t="str">
        <f>IFERROR(__xludf.DUMMYFUNCTION("""COMPUTED_VALUE"""),"CARUARU")</f>
        <v>CARUARU</v>
      </c>
      <c r="F348" s="62" t="str">
        <f>IFERROR(__xludf.DUMMYFUNCTION("""COMPUTED_VALUE"""),"COOPERADO")</f>
        <v>COOPERADO</v>
      </c>
    </row>
    <row r="349">
      <c r="A349" s="62" t="str">
        <f>IFERROR(__xludf.DUMMYFUNCTION("""COMPUTED_VALUE"""),"JEFFERSON MENEZES DE ARAUJO")</f>
        <v>JEFFERSON MENEZES DE ARAUJO</v>
      </c>
      <c r="B349" s="62" t="str">
        <f>IFERROR(__xludf.DUMMYFUNCTION("""COMPUTED_VALUE"""),"ASSISTENTE ADMINISTRATIVO")</f>
        <v>ASSISTENTE ADMINISTRATIVO</v>
      </c>
      <c r="C349" s="62" t="str">
        <f>IFERROR(__xludf.DUMMYFUNCTION("""COMPUTED_VALUE"""),"054.797.454-09")</f>
        <v>054.797.454-09</v>
      </c>
      <c r="D349" s="62" t="str">
        <f>IFERROR(__xludf.DUMMYFUNCTION("""COMPUTED_VALUE"""),"81 9139-4212")</f>
        <v>81 9139-4212</v>
      </c>
      <c r="E349" s="62" t="str">
        <f>IFERROR(__xludf.DUMMYFUNCTION("""COMPUTED_VALUE"""),"CARUARU")</f>
        <v>CARUARU</v>
      </c>
      <c r="F349" s="62" t="str">
        <f>IFERROR(__xludf.DUMMYFUNCTION("""COMPUTED_VALUE"""),"COOPERADO")</f>
        <v>COOPERADO</v>
      </c>
    </row>
    <row r="350">
      <c r="A350" s="62" t="str">
        <f>IFERROR(__xludf.DUMMYFUNCTION("""COMPUTED_VALUE"""),"JEFFERSON WESLEY DA SILVA")</f>
        <v>JEFFERSON WESLEY DA SILVA</v>
      </c>
      <c r="B350" s="62" t="str">
        <f>IFERROR(__xludf.DUMMYFUNCTION("""COMPUTED_VALUE"""),"AUXILIAR DE FARMÁCIA")</f>
        <v>AUXILIAR DE FARMÁCIA</v>
      </c>
      <c r="C350" s="62" t="str">
        <f>IFERROR(__xludf.DUMMYFUNCTION("""COMPUTED_VALUE"""),"148.587.804-73")</f>
        <v>148.587.804-73</v>
      </c>
      <c r="D350" s="62" t="str">
        <f>IFERROR(__xludf.DUMMYFUNCTION("""COMPUTED_VALUE"""),"81 8109-7664")</f>
        <v>81 8109-7664</v>
      </c>
      <c r="E350" s="62" t="str">
        <f>IFERROR(__xludf.DUMMYFUNCTION("""COMPUTED_VALUE"""),"CARUARU")</f>
        <v>CARUARU</v>
      </c>
      <c r="F350" s="62" t="str">
        <f>IFERROR(__xludf.DUMMYFUNCTION("""COMPUTED_VALUE"""),"COOPERADO")</f>
        <v>COOPERADO</v>
      </c>
    </row>
    <row r="351">
      <c r="A351" s="62" t="str">
        <f>IFERROR(__xludf.DUMMYFUNCTION("""COMPUTED_VALUE"""),"JENILDO JOSE DANTAS JUNIOR")</f>
        <v>JENILDO JOSE DANTAS JUNIOR</v>
      </c>
      <c r="B351" s="62" t="str">
        <f>IFERROR(__xludf.DUMMYFUNCTION("""COMPUTED_VALUE"""),"AUXILIAR DE FARMÁCIA")</f>
        <v>AUXILIAR DE FARMÁCIA</v>
      </c>
      <c r="C351" s="62" t="str">
        <f>IFERROR(__xludf.DUMMYFUNCTION("""COMPUTED_VALUE"""),"138.607.224-92")</f>
        <v>138.607.224-92</v>
      </c>
      <c r="D351" s="62" t="str">
        <f>IFERROR(__xludf.DUMMYFUNCTION("""COMPUTED_VALUE"""),"81 7311-7197")</f>
        <v>81 7311-7197</v>
      </c>
      <c r="E351" s="62" t="str">
        <f>IFERROR(__xludf.DUMMYFUNCTION("""COMPUTED_VALUE"""),"CARUARU")</f>
        <v>CARUARU</v>
      </c>
      <c r="F351" s="62" t="str">
        <f>IFERROR(__xludf.DUMMYFUNCTION("""COMPUTED_VALUE"""),"COOPERADO")</f>
        <v>COOPERADO</v>
      </c>
    </row>
    <row r="352">
      <c r="A352" s="62" t="str">
        <f>IFERROR(__xludf.DUMMYFUNCTION("""COMPUTED_VALUE"""),"JENNEFER DAIANE DA SILVA")</f>
        <v>JENNEFER DAIANE DA SILVA</v>
      </c>
      <c r="B352" s="62" t="str">
        <f>IFERROR(__xludf.DUMMYFUNCTION("""COMPUTED_VALUE"""),"TÉC.ENFERMAGEM")</f>
        <v>TÉC.ENFERMAGEM</v>
      </c>
      <c r="C352" s="62" t="str">
        <f>IFERROR(__xludf.DUMMYFUNCTION("""COMPUTED_VALUE"""),"130.447.714-20")</f>
        <v>130.447.714-20</v>
      </c>
      <c r="D352" s="62" t="str">
        <f>IFERROR(__xludf.DUMMYFUNCTION("""COMPUTED_VALUE"""),"81 9892-8218")</f>
        <v>81 9892-8218</v>
      </c>
      <c r="E352" s="62" t="str">
        <f>IFERROR(__xludf.DUMMYFUNCTION("""COMPUTED_VALUE"""),"CARUARU")</f>
        <v>CARUARU</v>
      </c>
      <c r="F352" s="62" t="str">
        <f>IFERROR(__xludf.DUMMYFUNCTION("""COMPUTED_VALUE"""),"COOPERADO")</f>
        <v>COOPERADO</v>
      </c>
    </row>
    <row r="353">
      <c r="A353" s="62" t="str">
        <f>IFERROR(__xludf.DUMMYFUNCTION("""COMPUTED_VALUE"""),"JENNIFER PEREIRA LUANA SILVA")</f>
        <v>JENNIFER PEREIRA LUANA SILVA</v>
      </c>
      <c r="B353" s="62" t="str">
        <f>IFERROR(__xludf.DUMMYFUNCTION("""COMPUTED_VALUE"""),"TÉC.ENFERMAGEM")</f>
        <v>TÉC.ENFERMAGEM</v>
      </c>
      <c r="C353" s="62" t="str">
        <f>IFERROR(__xludf.DUMMYFUNCTION("""COMPUTED_VALUE"""),"710.351.214-09")</f>
        <v>710.351.214-09</v>
      </c>
      <c r="D353" s="62" t="str">
        <f>IFERROR(__xludf.DUMMYFUNCTION("""COMPUTED_VALUE"""),"81 9371-6735")</f>
        <v>81 9371-6735</v>
      </c>
      <c r="E353" s="62" t="str">
        <f>IFERROR(__xludf.DUMMYFUNCTION("""COMPUTED_VALUE"""),"CARUARU")</f>
        <v>CARUARU</v>
      </c>
      <c r="F353" s="62" t="str">
        <f>IFERROR(__xludf.DUMMYFUNCTION("""COMPUTED_VALUE"""),"COOPERADO")</f>
        <v>COOPERADO</v>
      </c>
    </row>
    <row r="354">
      <c r="A354" s="62" t="str">
        <f>IFERROR(__xludf.DUMMYFUNCTION("""COMPUTED_VALUE"""),"JESSICA MARIA AMORIM DA SILVA")</f>
        <v>JESSICA MARIA AMORIM DA SILVA</v>
      </c>
      <c r="B354" s="62" t="str">
        <f>IFERROR(__xludf.DUMMYFUNCTION("""COMPUTED_VALUE"""),"TÉC.ENFERMAGEM")</f>
        <v>TÉC.ENFERMAGEM</v>
      </c>
      <c r="C354" s="62" t="str">
        <f>IFERROR(__xludf.DUMMYFUNCTION("""COMPUTED_VALUE"""),"095.213.354-75")</f>
        <v>095.213.354-75</v>
      </c>
      <c r="D354" s="62" t="str">
        <f>IFERROR(__xludf.DUMMYFUNCTION("""COMPUTED_VALUE"""),"81 9590-8535")</f>
        <v>81 9590-8535</v>
      </c>
      <c r="E354" s="62" t="str">
        <f>IFERROR(__xludf.DUMMYFUNCTION("""COMPUTED_VALUE"""),"CARUARU")</f>
        <v>CARUARU</v>
      </c>
      <c r="F354" s="62" t="str">
        <f>IFERROR(__xludf.DUMMYFUNCTION("""COMPUTED_VALUE"""),"COOPERADO")</f>
        <v>COOPERADO</v>
      </c>
    </row>
    <row r="355">
      <c r="A355" s="62" t="str">
        <f>IFERROR(__xludf.DUMMYFUNCTION("""COMPUTED_VALUE"""),"JESSICA MARIA GOMES SILVA")</f>
        <v>JESSICA MARIA GOMES SILVA</v>
      </c>
      <c r="B355" s="62" t="str">
        <f>IFERROR(__xludf.DUMMYFUNCTION("""COMPUTED_VALUE"""),"ENFERMEIRO (A)")</f>
        <v>ENFERMEIRO (A)</v>
      </c>
      <c r="C355" s="62" t="str">
        <f>IFERROR(__xludf.DUMMYFUNCTION("""COMPUTED_VALUE"""),"100.582.104-86")</f>
        <v>100.582.104-86</v>
      </c>
      <c r="D355" s="62" t="str">
        <f>IFERROR(__xludf.DUMMYFUNCTION("""COMPUTED_VALUE"""),"81 9544-3962")</f>
        <v>81 9544-3962</v>
      </c>
      <c r="E355" s="62" t="str">
        <f>IFERROR(__xludf.DUMMYFUNCTION("""COMPUTED_VALUE"""),"CARUARU")</f>
        <v>CARUARU</v>
      </c>
      <c r="F355" s="62" t="str">
        <f>IFERROR(__xludf.DUMMYFUNCTION("""COMPUTED_VALUE"""),"COOPERADO")</f>
        <v>COOPERADO</v>
      </c>
    </row>
    <row r="356">
      <c r="A356" s="62" t="str">
        <f>IFERROR(__xludf.DUMMYFUNCTION("""COMPUTED_VALUE"""),"JESSICA MIRELI DA SILVA")</f>
        <v>JESSICA MIRELI DA SILVA</v>
      </c>
      <c r="B356" s="62" t="str">
        <f>IFERROR(__xludf.DUMMYFUNCTION("""COMPUTED_VALUE"""),"AUX DE HIGIENIZAÇÃO")</f>
        <v>AUX DE HIGIENIZAÇÃO</v>
      </c>
      <c r="C356" s="62" t="str">
        <f>IFERROR(__xludf.DUMMYFUNCTION("""COMPUTED_VALUE"""),"115.615.374-38")</f>
        <v>115.615.374-38</v>
      </c>
      <c r="D356" s="62" t="str">
        <f>IFERROR(__xludf.DUMMYFUNCTION("""COMPUTED_VALUE"""),"81 7314-7975")</f>
        <v>81 7314-7975</v>
      </c>
      <c r="E356" s="62" t="str">
        <f>IFERROR(__xludf.DUMMYFUNCTION("""COMPUTED_VALUE"""),"CARUARU")</f>
        <v>CARUARU</v>
      </c>
      <c r="F356" s="62" t="str">
        <f>IFERROR(__xludf.DUMMYFUNCTION("""COMPUTED_VALUE"""),"COOPERADO")</f>
        <v>COOPERADO</v>
      </c>
    </row>
    <row r="357">
      <c r="A357" s="62" t="str">
        <f>IFERROR(__xludf.DUMMYFUNCTION("""COMPUTED_VALUE"""),"JESSICA NIVIA DOS SANTOS")</f>
        <v>JESSICA NIVIA DOS SANTOS</v>
      </c>
      <c r="B357" s="62" t="str">
        <f>IFERROR(__xludf.DUMMYFUNCTION("""COMPUTED_VALUE"""),"ENFERMEIRO (A)")</f>
        <v>ENFERMEIRO (A)</v>
      </c>
      <c r="C357" s="62" t="str">
        <f>IFERROR(__xludf.DUMMYFUNCTION("""COMPUTED_VALUE"""),"115.286.744-05")</f>
        <v>115.286.744-05</v>
      </c>
      <c r="D357" s="62" t="str">
        <f>IFERROR(__xludf.DUMMYFUNCTION("""COMPUTED_VALUE"""),"81 9801-1654")</f>
        <v>81 9801-1654</v>
      </c>
      <c r="E357" s="62" t="str">
        <f>IFERROR(__xludf.DUMMYFUNCTION("""COMPUTED_VALUE"""),"CARUARU")</f>
        <v>CARUARU</v>
      </c>
      <c r="F357" s="62" t="str">
        <f>IFERROR(__xludf.DUMMYFUNCTION("""COMPUTED_VALUE"""),"COOPERADO")</f>
        <v>COOPERADO</v>
      </c>
    </row>
    <row r="358">
      <c r="A358" s="62" t="str">
        <f>IFERROR(__xludf.DUMMYFUNCTION("""COMPUTED_VALUE"""),"JESSICA PALOMA B. DA SILVA")</f>
        <v>JESSICA PALOMA B. DA SILVA</v>
      </c>
      <c r="B358" s="62" t="str">
        <f>IFERROR(__xludf.DUMMYFUNCTION("""COMPUTED_VALUE"""),"AUX. DE ROUPARIA")</f>
        <v>AUX. DE ROUPARIA</v>
      </c>
      <c r="C358" s="62" t="str">
        <f>IFERROR(__xludf.DUMMYFUNCTION("""COMPUTED_VALUE"""),"700.131.134-02")</f>
        <v>700.131.134-02</v>
      </c>
      <c r="D358" s="62" t="str">
        <f>IFERROR(__xludf.DUMMYFUNCTION("""COMPUTED_VALUE"""),"81 9390-7273")</f>
        <v>81 9390-7273</v>
      </c>
      <c r="E358" s="62" t="str">
        <f>IFERROR(__xludf.DUMMYFUNCTION("""COMPUTED_VALUE"""),"CARUARU")</f>
        <v>CARUARU</v>
      </c>
      <c r="F358" s="62" t="str">
        <f>IFERROR(__xludf.DUMMYFUNCTION("""COMPUTED_VALUE"""),"COOPERADO")</f>
        <v>COOPERADO</v>
      </c>
    </row>
    <row r="359">
      <c r="A359" s="62" t="str">
        <f>IFERROR(__xludf.DUMMYFUNCTION("""COMPUTED_VALUE"""),"Joabe Alves de Souza")</f>
        <v>Joabe Alves de Souza</v>
      </c>
      <c r="B359" s="62" t="str">
        <f>IFERROR(__xludf.DUMMYFUNCTION("""COMPUTED_VALUE"""),"Porteiro")</f>
        <v>Porteiro</v>
      </c>
      <c r="C359" s="62" t="str">
        <f>IFERROR(__xludf.DUMMYFUNCTION("""COMPUTED_VALUE"""),"023.256.434-50")</f>
        <v>023.256.434-50</v>
      </c>
      <c r="D359" s="62" t="str">
        <f>IFERROR(__xludf.DUMMYFUNCTION("""COMPUTED_VALUE"""),"82 9817-3570")</f>
        <v>82 9817-3570</v>
      </c>
      <c r="E359" s="62" t="str">
        <f>IFERROR(__xludf.DUMMYFUNCTION("""COMPUTED_VALUE"""),"CARUARU")</f>
        <v>CARUARU</v>
      </c>
      <c r="F359" s="62" t="str">
        <f>IFERROR(__xludf.DUMMYFUNCTION("""COMPUTED_VALUE"""),"COOPERADO")</f>
        <v>COOPERADO</v>
      </c>
    </row>
    <row r="360">
      <c r="A360" s="62" t="str">
        <f>IFERROR(__xludf.DUMMYFUNCTION("""COMPUTED_VALUE"""),"JOANA D'ARC")</f>
        <v>JOANA D'ARC</v>
      </c>
      <c r="B360" s="62" t="str">
        <f>IFERROR(__xludf.DUMMYFUNCTION("""COMPUTED_VALUE"""),"TÉC. ENF. ")</f>
        <v>TÉC. ENF. </v>
      </c>
      <c r="C360" s="62" t="str">
        <f>IFERROR(__xludf.DUMMYFUNCTION("""COMPUTED_VALUE"""),"054.681.024-12")</f>
        <v>054.681.024-12</v>
      </c>
      <c r="D360" s="62" t="str">
        <f>IFERROR(__xludf.DUMMYFUNCTION("""COMPUTED_VALUE"""),"81 8311-6139")</f>
        <v>81 8311-6139</v>
      </c>
      <c r="E360" s="62" t="str">
        <f>IFERROR(__xludf.DUMMYFUNCTION("""COMPUTED_VALUE"""),"CARUARU")</f>
        <v>CARUARU</v>
      </c>
      <c r="F360" s="62" t="str">
        <f>IFERROR(__xludf.DUMMYFUNCTION("""COMPUTED_VALUE"""),"COOPERADO")</f>
        <v>COOPERADO</v>
      </c>
    </row>
    <row r="361">
      <c r="A361" s="62" t="str">
        <f>IFERROR(__xludf.DUMMYFUNCTION("""COMPUTED_VALUE"""),"JOAO BATISTA MACEDO")</f>
        <v>JOAO BATISTA MACEDO</v>
      </c>
      <c r="B361" s="62" t="str">
        <f>IFERROR(__xludf.DUMMYFUNCTION("""COMPUTED_VALUE"""),"PORTEIRO")</f>
        <v>PORTEIRO</v>
      </c>
      <c r="C361" s="62" t="str">
        <f>IFERROR(__xludf.DUMMYFUNCTION("""COMPUTED_VALUE"""),"705.339.014-48")</f>
        <v>705.339.014-48</v>
      </c>
      <c r="D361" s="62" t="str">
        <f>IFERROR(__xludf.DUMMYFUNCTION("""COMPUTED_VALUE"""),"81 8377-4852")</f>
        <v>81 8377-4852</v>
      </c>
      <c r="E361" s="62" t="str">
        <f>IFERROR(__xludf.DUMMYFUNCTION("""COMPUTED_VALUE"""),"CARUARU")</f>
        <v>CARUARU</v>
      </c>
      <c r="F361" s="62" t="str">
        <f>IFERROR(__xludf.DUMMYFUNCTION("""COMPUTED_VALUE"""),"COOPERADO")</f>
        <v>COOPERADO</v>
      </c>
    </row>
    <row r="362">
      <c r="A362" s="62" t="str">
        <f>IFERROR(__xludf.DUMMYFUNCTION("""COMPUTED_VALUE"""),"João Gomes Florêncio Neto")</f>
        <v>João Gomes Florêncio Neto</v>
      </c>
      <c r="B362" s="62" t="str">
        <f>IFERROR(__xludf.DUMMYFUNCTION("""COMPUTED_VALUE"""),"Condutor")</f>
        <v>Condutor</v>
      </c>
      <c r="C362" s="62" t="str">
        <f>IFERROR(__xludf.DUMMYFUNCTION("""COMPUTED_VALUE"""),"026.054.684-45")</f>
        <v>026.054.684-45</v>
      </c>
      <c r="D362" s="62" t="str">
        <f>IFERROR(__xludf.DUMMYFUNCTION("""COMPUTED_VALUE"""),"81 9208-4423")</f>
        <v>81 9208-4423</v>
      </c>
      <c r="E362" s="62" t="str">
        <f>IFERROR(__xludf.DUMMYFUNCTION("""COMPUTED_VALUE"""),"CARUARU")</f>
        <v>CARUARU</v>
      </c>
      <c r="F362" s="62" t="str">
        <f>IFERROR(__xludf.DUMMYFUNCTION("""COMPUTED_VALUE"""),"COOPERADO")</f>
        <v>COOPERADO</v>
      </c>
    </row>
    <row r="363">
      <c r="A363" s="62" t="str">
        <f>IFERROR(__xludf.DUMMYFUNCTION("""COMPUTED_VALUE"""),"JOAO PAULO DA SILVA LIMA")</f>
        <v>JOAO PAULO DA SILVA LIMA</v>
      </c>
      <c r="B363" s="62" t="str">
        <f>IFERROR(__xludf.DUMMYFUNCTION("""COMPUTED_VALUE"""),"PORTEIRO")</f>
        <v>PORTEIRO</v>
      </c>
      <c r="C363" s="62" t="str">
        <f>IFERROR(__xludf.DUMMYFUNCTION("""COMPUTED_VALUE"""),"084.622.654-52")</f>
        <v>084.622.654-52</v>
      </c>
      <c r="D363" s="62" t="str">
        <f>IFERROR(__xludf.DUMMYFUNCTION("""COMPUTED_VALUE"""),"8199547-0413")</f>
        <v>8199547-0413</v>
      </c>
      <c r="E363" s="62" t="str">
        <f>IFERROR(__xludf.DUMMYFUNCTION("""COMPUTED_VALUE"""),"CARUARU")</f>
        <v>CARUARU</v>
      </c>
      <c r="F363" s="62" t="str">
        <f>IFERROR(__xludf.DUMMYFUNCTION("""COMPUTED_VALUE"""),"COOPERADO")</f>
        <v>COOPERADO</v>
      </c>
    </row>
    <row r="364">
      <c r="A364" s="62" t="str">
        <f>IFERROR(__xludf.DUMMYFUNCTION("""COMPUTED_VALUE"""),"JOAO VICTOR LINS DA SILVA")</f>
        <v>JOAO VICTOR LINS DA SILVA</v>
      </c>
      <c r="B364" s="62" t="str">
        <f>IFERROR(__xludf.DUMMYFUNCTION("""COMPUTED_VALUE"""),"AUX. DE FARMÁCIA")</f>
        <v>AUX. DE FARMÁCIA</v>
      </c>
      <c r="C364" s="62" t="str">
        <f>IFERROR(__xludf.DUMMYFUNCTION("""COMPUTED_VALUE"""),"025.509.804-92")</f>
        <v>025.509.804-92</v>
      </c>
      <c r="D364" s="62" t="str">
        <f>IFERROR(__xludf.DUMMYFUNCTION("""COMPUTED_VALUE"""),"81 9758-8876")</f>
        <v>81 9758-8876</v>
      </c>
      <c r="E364" s="62" t="str">
        <f>IFERROR(__xludf.DUMMYFUNCTION("""COMPUTED_VALUE"""),"CARUARU")</f>
        <v>CARUARU</v>
      </c>
      <c r="F364" s="62" t="str">
        <f>IFERROR(__xludf.DUMMYFUNCTION("""COMPUTED_VALUE"""),"COOPERADO")</f>
        <v>COOPERADO</v>
      </c>
    </row>
    <row r="365">
      <c r="A365" s="62" t="str">
        <f>IFERROR(__xludf.DUMMYFUNCTION("""COMPUTED_VALUE"""),"JOCELIO PEREIRA DA SILVA FILHO")</f>
        <v>JOCELIO PEREIRA DA SILVA FILHO</v>
      </c>
      <c r="B365" s="62" t="str">
        <f>IFERROR(__xludf.DUMMYFUNCTION("""COMPUTED_VALUE"""),"RECEPCIONISTA")</f>
        <v>RECEPCIONISTA</v>
      </c>
      <c r="C365" s="62" t="str">
        <f>IFERROR(__xludf.DUMMYFUNCTION("""COMPUTED_VALUE"""),"119.084.534-27")</f>
        <v>119.084.534-27</v>
      </c>
      <c r="D365" s="62" t="str">
        <f>IFERROR(__xludf.DUMMYFUNCTION("""COMPUTED_VALUE"""),"8799992-2575")</f>
        <v>8799992-2575</v>
      </c>
      <c r="E365" s="62" t="str">
        <f>IFERROR(__xludf.DUMMYFUNCTION("""COMPUTED_VALUE"""),"CARUARU")</f>
        <v>CARUARU</v>
      </c>
      <c r="F365" s="62" t="str">
        <f>IFERROR(__xludf.DUMMYFUNCTION("""COMPUTED_VALUE"""),"COOPERADO")</f>
        <v>COOPERADO</v>
      </c>
    </row>
    <row r="366">
      <c r="A366" s="62" t="str">
        <f>IFERROR(__xludf.DUMMYFUNCTION("""COMPUTED_VALUE"""),"JOEDLA GABRIELA DA SILVA")</f>
        <v>JOEDLA GABRIELA DA SILVA</v>
      </c>
      <c r="B366" s="62" t="str">
        <f>IFERROR(__xludf.DUMMYFUNCTION("""COMPUTED_VALUE"""),"ENF.")</f>
        <v>ENF.</v>
      </c>
      <c r="C366" s="62" t="str">
        <f>IFERROR(__xludf.DUMMYFUNCTION("""COMPUTED_VALUE"""),"708.821.534-98")</f>
        <v>708.821.534-98</v>
      </c>
      <c r="D366" s="62" t="str">
        <f>IFERROR(__xludf.DUMMYFUNCTION("""COMPUTED_VALUE"""),"81 8829-5325")</f>
        <v>81 8829-5325</v>
      </c>
      <c r="E366" s="62" t="str">
        <f>IFERROR(__xludf.DUMMYFUNCTION("""COMPUTED_VALUE"""),"CARUARU")</f>
        <v>CARUARU</v>
      </c>
      <c r="F366" s="62" t="str">
        <f>IFERROR(__xludf.DUMMYFUNCTION("""COMPUTED_VALUE"""),"COOPERADO")</f>
        <v>COOPERADO</v>
      </c>
    </row>
    <row r="367">
      <c r="A367" s="62" t="str">
        <f>IFERROR(__xludf.DUMMYFUNCTION("""COMPUTED_VALUE"""),"JOELMA FLORÊNCIO MENESES DE LIMA")</f>
        <v>JOELMA FLORÊNCIO MENESES DE LIMA</v>
      </c>
      <c r="B367" s="62" t="str">
        <f>IFERROR(__xludf.DUMMYFUNCTION("""COMPUTED_VALUE"""),"TÉC. ENF.")</f>
        <v>TÉC. ENF.</v>
      </c>
      <c r="C367" s="62" t="str">
        <f>IFERROR(__xludf.DUMMYFUNCTION("""COMPUTED_VALUE"""),"817.880.614-20")</f>
        <v>817.880.614-20</v>
      </c>
      <c r="D367" s="62" t="str">
        <f>IFERROR(__xludf.DUMMYFUNCTION("""COMPUTED_VALUE"""),"81 9478-3869")</f>
        <v>81 9478-3869</v>
      </c>
      <c r="E367" s="62" t="str">
        <f>IFERROR(__xludf.DUMMYFUNCTION("""COMPUTED_VALUE"""),"CARUARU")</f>
        <v>CARUARU</v>
      </c>
      <c r="F367" s="62" t="str">
        <f>IFERROR(__xludf.DUMMYFUNCTION("""COMPUTED_VALUE"""),"COOPERADO")</f>
        <v>COOPERADO</v>
      </c>
    </row>
    <row r="368">
      <c r="A368" s="62" t="str">
        <f>IFERROR(__xludf.DUMMYFUNCTION("""COMPUTED_VALUE"""),"JOELY DANIELLE DE ARAUJO ALVES")</f>
        <v>JOELY DANIELLE DE ARAUJO ALVES</v>
      </c>
      <c r="B368" s="62" t="str">
        <f>IFERROR(__xludf.DUMMYFUNCTION("""COMPUTED_VALUE"""),"AUXILIAR DE FARMÁCIA")</f>
        <v>AUXILIAR DE FARMÁCIA</v>
      </c>
      <c r="C368" s="62" t="str">
        <f>IFERROR(__xludf.DUMMYFUNCTION("""COMPUTED_VALUE"""),"714.683.144-24")</f>
        <v>714.683.144-24</v>
      </c>
      <c r="D368" s="62" t="str">
        <f>IFERROR(__xludf.DUMMYFUNCTION("""COMPUTED_VALUE"""),"81 9465-2918")</f>
        <v>81 9465-2918</v>
      </c>
      <c r="E368" s="62" t="str">
        <f>IFERROR(__xludf.DUMMYFUNCTION("""COMPUTED_VALUE"""),"CARUARU")</f>
        <v>CARUARU</v>
      </c>
      <c r="F368" s="62" t="str">
        <f>IFERROR(__xludf.DUMMYFUNCTION("""COMPUTED_VALUE"""),"COOPERADO")</f>
        <v>COOPERADO</v>
      </c>
    </row>
    <row r="369">
      <c r="A369" s="62" t="str">
        <f>IFERROR(__xludf.DUMMYFUNCTION("""COMPUTED_VALUE"""),"John Carlos Placido")</f>
        <v>John Carlos Placido</v>
      </c>
      <c r="B369" s="62" t="str">
        <f>IFERROR(__xludf.DUMMYFUNCTION("""COMPUTED_VALUE"""),"Téc. Enf.")</f>
        <v>Téc. Enf.</v>
      </c>
      <c r="C369" s="62" t="str">
        <f>IFERROR(__xludf.DUMMYFUNCTION("""COMPUTED_VALUE"""),"054.903.854-05")</f>
        <v>054.903.854-05</v>
      </c>
      <c r="D369" s="62" t="str">
        <f>IFERROR(__xludf.DUMMYFUNCTION("""COMPUTED_VALUE"""),"81 8408-0004")</f>
        <v>81 8408-0004</v>
      </c>
      <c r="E369" s="62" t="str">
        <f>IFERROR(__xludf.DUMMYFUNCTION("""COMPUTED_VALUE"""),"CARUARU")</f>
        <v>CARUARU</v>
      </c>
      <c r="F369" s="62" t="str">
        <f>IFERROR(__xludf.DUMMYFUNCTION("""COMPUTED_VALUE"""),"COOPERADO")</f>
        <v>COOPERADO</v>
      </c>
    </row>
    <row r="370">
      <c r="A370" s="62" t="str">
        <f>IFERROR(__xludf.DUMMYFUNCTION("""COMPUTED_VALUE"""),"JOICE MARIA DA SILVA")</f>
        <v>JOICE MARIA DA SILVA</v>
      </c>
      <c r="B370" s="62" t="str">
        <f>IFERROR(__xludf.DUMMYFUNCTION("""COMPUTED_VALUE"""),"AUX DE HIGIENIZAÇÃO")</f>
        <v>AUX DE HIGIENIZAÇÃO</v>
      </c>
      <c r="C370" s="62" t="str">
        <f>IFERROR(__xludf.DUMMYFUNCTION("""COMPUTED_VALUE"""),"123.497.384-77")</f>
        <v>123.497.384-77</v>
      </c>
      <c r="D370" s="62" t="str">
        <f>IFERROR(__xludf.DUMMYFUNCTION("""COMPUTED_VALUE"""),"81 8632-7825")</f>
        <v>81 8632-7825</v>
      </c>
      <c r="E370" s="62" t="str">
        <f>IFERROR(__xludf.DUMMYFUNCTION("""COMPUTED_VALUE"""),"CARUARU")</f>
        <v>CARUARU</v>
      </c>
      <c r="F370" s="62" t="str">
        <f>IFERROR(__xludf.DUMMYFUNCTION("""COMPUTED_VALUE"""),"COOPERADO")</f>
        <v>COOPERADO</v>
      </c>
    </row>
    <row r="371">
      <c r="A371" s="62" t="str">
        <f>IFERROR(__xludf.DUMMYFUNCTION("""COMPUTED_VALUE"""),"JONAS BARBOSA  DE FREITAS")</f>
        <v>JONAS BARBOSA  DE FREITAS</v>
      </c>
      <c r="B371" s="62" t="str">
        <f>IFERROR(__xludf.DUMMYFUNCTION("""COMPUTED_VALUE"""),"AUX. DE ROUPARIA")</f>
        <v>AUX. DE ROUPARIA</v>
      </c>
      <c r="C371" s="62" t="str">
        <f>IFERROR(__xludf.DUMMYFUNCTION("""COMPUTED_VALUE"""),"703.162.914-47")</f>
        <v>703.162.914-47</v>
      </c>
      <c r="D371" s="62" t="str">
        <f>IFERROR(__xludf.DUMMYFUNCTION("""COMPUTED_VALUE"""),"81 9476-1236")</f>
        <v>81 9476-1236</v>
      </c>
      <c r="E371" s="62" t="str">
        <f>IFERROR(__xludf.DUMMYFUNCTION("""COMPUTED_VALUE"""),"CARUARU")</f>
        <v>CARUARU</v>
      </c>
      <c r="F371" s="62" t="str">
        <f>IFERROR(__xludf.DUMMYFUNCTION("""COMPUTED_VALUE"""),"COOPERADO")</f>
        <v>COOPERADO</v>
      </c>
    </row>
    <row r="372">
      <c r="A372" s="62" t="str">
        <f>IFERROR(__xludf.DUMMYFUNCTION("""COMPUTED_VALUE"""),"JONATHAN GUTEMBERG DA SILVA")</f>
        <v>JONATHAN GUTEMBERG DA SILVA</v>
      </c>
      <c r="B372" s="62" t="str">
        <f>IFERROR(__xludf.DUMMYFUNCTION("""COMPUTED_VALUE"""),"TÉC. RADIOLOGIA ")</f>
        <v>TÉC. RADIOLOGIA </v>
      </c>
      <c r="C372" s="62" t="str">
        <f>IFERROR(__xludf.DUMMYFUNCTION("""COMPUTED_VALUE"""),"077.082.764-03")</f>
        <v>077.082.764-03</v>
      </c>
      <c r="D372" s="62" t="str">
        <f>IFERROR(__xludf.DUMMYFUNCTION("""COMPUTED_VALUE""")," 81 9441-1158")</f>
        <v> 81 9441-1158</v>
      </c>
      <c r="E372" s="62" t="str">
        <f>IFERROR(__xludf.DUMMYFUNCTION("""COMPUTED_VALUE"""),"CARUARU")</f>
        <v>CARUARU</v>
      </c>
      <c r="F372" s="62" t="str">
        <f>IFERROR(__xludf.DUMMYFUNCTION("""COMPUTED_VALUE"""),"COOPERADO")</f>
        <v>COOPERADO</v>
      </c>
    </row>
    <row r="373">
      <c r="A373" s="62" t="str">
        <f>IFERROR(__xludf.DUMMYFUNCTION("""COMPUTED_VALUE"""),"JONATHAN SEVERINO")</f>
        <v>JONATHAN SEVERINO</v>
      </c>
      <c r="B373" s="62" t="str">
        <f>IFERROR(__xludf.DUMMYFUNCTION("""COMPUTED_VALUE"""),"AUX. DE FARMÁCIA")</f>
        <v>AUX. DE FARMÁCIA</v>
      </c>
      <c r="C373" s="62" t="str">
        <f>IFERROR(__xludf.DUMMYFUNCTION("""COMPUTED_VALUE"""),"104.859.264-23")</f>
        <v>104.859.264-23</v>
      </c>
      <c r="D373" s="62" t="str">
        <f>IFERROR(__xludf.DUMMYFUNCTION("""COMPUTED_VALUE"""),"81 93300-5194")</f>
        <v>81 93300-5194</v>
      </c>
      <c r="E373" s="62" t="str">
        <f>IFERROR(__xludf.DUMMYFUNCTION("""COMPUTED_VALUE"""),"CARUARU")</f>
        <v>CARUARU</v>
      </c>
      <c r="F373" s="62" t="str">
        <f>IFERROR(__xludf.DUMMYFUNCTION("""COMPUTED_VALUE"""),"COOPERADO")</f>
        <v>COOPERADO</v>
      </c>
    </row>
    <row r="374">
      <c r="A374" s="62" t="str">
        <f>IFERROR(__xludf.DUMMYFUNCTION("""COMPUTED_VALUE"""),"JOSÉ ALBERTO SIMÕES DA SILVA")</f>
        <v>JOSÉ ALBERTO SIMÕES DA SILVA</v>
      </c>
      <c r="B374" s="62" t="str">
        <f>IFERROR(__xludf.DUMMYFUNCTION("""COMPUTED_VALUE"""),"Higienização")</f>
        <v>Higienização</v>
      </c>
      <c r="C374" s="62" t="str">
        <f>IFERROR(__xludf.DUMMYFUNCTION("""COMPUTED_VALUE"""),"095.543.974-45")</f>
        <v>095.543.974-45</v>
      </c>
      <c r="D374" s="62" t="str">
        <f>IFERROR(__xludf.DUMMYFUNCTION("""COMPUTED_VALUE"""),"81 99422-2058")</f>
        <v>81 99422-2058</v>
      </c>
      <c r="E374" s="62" t="str">
        <f>IFERROR(__xludf.DUMMYFUNCTION("""COMPUTED_VALUE"""),"CARUARU")</f>
        <v>CARUARU</v>
      </c>
      <c r="F374" s="62" t="str">
        <f>IFERROR(__xludf.DUMMYFUNCTION("""COMPUTED_VALUE"""),"COOPERADO")</f>
        <v>COOPERADO</v>
      </c>
    </row>
    <row r="375">
      <c r="A375" s="62" t="str">
        <f>IFERROR(__xludf.DUMMYFUNCTION("""COMPUTED_VALUE"""),"José Alexandre De Torres")</f>
        <v>José Alexandre De Torres</v>
      </c>
      <c r="B375" s="62" t="str">
        <f>IFERROR(__xludf.DUMMYFUNCTION("""COMPUTED_VALUE"""),"Téc. Enf.")</f>
        <v>Téc. Enf.</v>
      </c>
      <c r="C375" s="62" t="str">
        <f>IFERROR(__xludf.DUMMYFUNCTION("""COMPUTED_VALUE"""),"704.052.454-67")</f>
        <v>704.052.454-67</v>
      </c>
      <c r="D375" s="62" t="str">
        <f>IFERROR(__xludf.DUMMYFUNCTION("""COMPUTED_VALUE"""),"81 97118-5486")</f>
        <v>81 97118-5486</v>
      </c>
      <c r="E375" s="62" t="str">
        <f>IFERROR(__xludf.DUMMYFUNCTION("""COMPUTED_VALUE"""),"CARUARU")</f>
        <v>CARUARU</v>
      </c>
      <c r="F375" s="62" t="str">
        <f>IFERROR(__xludf.DUMMYFUNCTION("""COMPUTED_VALUE"""),"COOPERADO")</f>
        <v>COOPERADO</v>
      </c>
    </row>
    <row r="376">
      <c r="A376" s="62" t="str">
        <f>IFERROR(__xludf.DUMMYFUNCTION("""COMPUTED_VALUE"""),"JOSE ALVES DA SILVA NETO")</f>
        <v>JOSE ALVES DA SILVA NETO</v>
      </c>
      <c r="B376" s="62" t="str">
        <f>IFERROR(__xludf.DUMMYFUNCTION("""COMPUTED_VALUE"""),"ENFERMEIRO (A)")</f>
        <v>ENFERMEIRO (A)</v>
      </c>
      <c r="C376" s="62" t="str">
        <f>IFERROR(__xludf.DUMMYFUNCTION("""COMPUTED_VALUE"""),"109.207.744-82")</f>
        <v>109.207.744-82</v>
      </c>
      <c r="D376" s="62" t="str">
        <f>IFERROR(__xludf.DUMMYFUNCTION("""COMPUTED_VALUE"""),"81 98163-4188")</f>
        <v>81 98163-4188</v>
      </c>
      <c r="E376" s="62" t="str">
        <f>IFERROR(__xludf.DUMMYFUNCTION("""COMPUTED_VALUE"""),"CARUARU")</f>
        <v>CARUARU</v>
      </c>
      <c r="F376" s="62" t="str">
        <f>IFERROR(__xludf.DUMMYFUNCTION("""COMPUTED_VALUE"""),"COOPERADO")</f>
        <v>COOPERADO</v>
      </c>
    </row>
    <row r="377">
      <c r="A377" s="62" t="str">
        <f>IFERROR(__xludf.DUMMYFUNCTION("""COMPUTED_VALUE"""),"JOSÉ ANTÔNIO DOS SANTOS")</f>
        <v>JOSÉ ANTÔNIO DOS SANTOS</v>
      </c>
      <c r="B377" s="62" t="str">
        <f>IFERROR(__xludf.DUMMYFUNCTION("""COMPUTED_VALUE"""),"PORTEIRO")</f>
        <v>PORTEIRO</v>
      </c>
      <c r="C377" s="62" t="str">
        <f>IFERROR(__xludf.DUMMYFUNCTION("""COMPUTED_VALUE"""),"028.538.964-55")</f>
        <v>028.538.964-55</v>
      </c>
      <c r="D377" s="62" t="str">
        <f>IFERROR(__xludf.DUMMYFUNCTION("""COMPUTED_VALUE"""),"81 98365-8229")</f>
        <v>81 98365-8229</v>
      </c>
      <c r="E377" s="62" t="str">
        <f>IFERROR(__xludf.DUMMYFUNCTION("""COMPUTED_VALUE"""),"CARUARU")</f>
        <v>CARUARU</v>
      </c>
      <c r="F377" s="62" t="str">
        <f>IFERROR(__xludf.DUMMYFUNCTION("""COMPUTED_VALUE"""),"COOPERADO")</f>
        <v>COOPERADO</v>
      </c>
    </row>
    <row r="378">
      <c r="A378" s="62" t="str">
        <f>IFERROR(__xludf.DUMMYFUNCTION("""COMPUTED_VALUE"""),"JOSE BRENO FERREIRA DA SILVA")</f>
        <v>JOSE BRENO FERREIRA DA SILVA</v>
      </c>
      <c r="B378" s="62" t="str">
        <f>IFERROR(__xludf.DUMMYFUNCTION("""COMPUTED_VALUE"""),"TÉC.ENFERMAGEM")</f>
        <v>TÉC.ENFERMAGEM</v>
      </c>
      <c r="C378" s="62" t="str">
        <f>IFERROR(__xludf.DUMMYFUNCTION("""COMPUTED_VALUE"""),"157.112.514-06")</f>
        <v>157.112.514-06</v>
      </c>
      <c r="D378" s="62" t="str">
        <f>IFERROR(__xludf.DUMMYFUNCTION("""COMPUTED_VALUE"""),"81 97904-8917")</f>
        <v>81 97904-8917</v>
      </c>
      <c r="E378" s="62" t="str">
        <f>IFERROR(__xludf.DUMMYFUNCTION("""COMPUTED_VALUE"""),"CARUARU")</f>
        <v>CARUARU</v>
      </c>
      <c r="F378" s="62" t="str">
        <f>IFERROR(__xludf.DUMMYFUNCTION("""COMPUTED_VALUE"""),"COOPERADO")</f>
        <v>COOPERADO</v>
      </c>
    </row>
    <row r="379">
      <c r="A379" s="62" t="str">
        <f>IFERROR(__xludf.DUMMYFUNCTION("""COMPUTED_VALUE"""),"JOSE GABRIEL DE MACEDO")</f>
        <v>JOSE GABRIEL DE MACEDO</v>
      </c>
      <c r="B379" s="62" t="str">
        <f>IFERROR(__xludf.DUMMYFUNCTION("""COMPUTED_VALUE"""),"AUXILIAR DE FARMÁCIA")</f>
        <v>AUXILIAR DE FARMÁCIA</v>
      </c>
      <c r="C379" s="62" t="str">
        <f>IFERROR(__xludf.DUMMYFUNCTION("""COMPUTED_VALUE"""),"113.267.324-04")</f>
        <v>113.267.324-04</v>
      </c>
      <c r="D379" s="62" t="str">
        <f>IFERROR(__xludf.DUMMYFUNCTION("""COMPUTED_VALUE"""),"81 99991-3257")</f>
        <v>81 99991-3257</v>
      </c>
      <c r="E379" s="62" t="str">
        <f>IFERROR(__xludf.DUMMYFUNCTION("""COMPUTED_VALUE"""),"CARUARU")</f>
        <v>CARUARU</v>
      </c>
      <c r="F379" s="62" t="str">
        <f>IFERROR(__xludf.DUMMYFUNCTION("""COMPUTED_VALUE"""),"COOPERADO")</f>
        <v>COOPERADO</v>
      </c>
    </row>
    <row r="380">
      <c r="A380" s="62" t="str">
        <f>IFERROR(__xludf.DUMMYFUNCTION("""COMPUTED_VALUE"""),"JOSÉ JONES TORRES")</f>
        <v>JOSÉ JONES TORRES</v>
      </c>
      <c r="B380" s="62" t="str">
        <f>IFERROR(__xludf.DUMMYFUNCTION("""COMPUTED_VALUE"""),"MAQUEIRO")</f>
        <v>MAQUEIRO</v>
      </c>
      <c r="C380" s="62" t="str">
        <f>IFERROR(__xludf.DUMMYFUNCTION("""COMPUTED_VALUE"""),"018.042.674-57")</f>
        <v>018.042.674-57</v>
      </c>
      <c r="D380" s="62" t="str">
        <f>IFERROR(__xludf.DUMMYFUNCTION("""COMPUTED_VALUE"""),"81 97317-6625")</f>
        <v>81 97317-6625</v>
      </c>
      <c r="E380" s="62" t="str">
        <f>IFERROR(__xludf.DUMMYFUNCTION("""COMPUTED_VALUE"""),"CARUARU")</f>
        <v>CARUARU</v>
      </c>
      <c r="F380" s="62" t="str">
        <f>IFERROR(__xludf.DUMMYFUNCTION("""COMPUTED_VALUE"""),"COOPERADO")</f>
        <v>COOPERADO</v>
      </c>
    </row>
    <row r="381">
      <c r="A381" s="62" t="str">
        <f>IFERROR(__xludf.DUMMYFUNCTION("""COMPUTED_VALUE"""),"JOSE LEONARDO DE LIMA FILHO")</f>
        <v>JOSE LEONARDO DE LIMA FILHO</v>
      </c>
      <c r="B381" s="62" t="str">
        <f>IFERROR(__xludf.DUMMYFUNCTION("""COMPUTED_VALUE"""),"TÉC.ENFERMAGEM")</f>
        <v>TÉC.ENFERMAGEM</v>
      </c>
      <c r="C381" s="62" t="str">
        <f>IFERROR(__xludf.DUMMYFUNCTION("""COMPUTED_VALUE"""),"135.055.884-23")</f>
        <v>135.055.884-23</v>
      </c>
      <c r="D381" s="62" t="str">
        <f>IFERROR(__xludf.DUMMYFUNCTION("""COMPUTED_VALUE"""),"81 99420-3831")</f>
        <v>81 99420-3831</v>
      </c>
      <c r="E381" s="62" t="str">
        <f>IFERROR(__xludf.DUMMYFUNCTION("""COMPUTED_VALUE"""),"CARUARU")</f>
        <v>CARUARU</v>
      </c>
      <c r="F381" s="62" t="str">
        <f>IFERROR(__xludf.DUMMYFUNCTION("""COMPUTED_VALUE"""),"COOPERADO")</f>
        <v>COOPERADO</v>
      </c>
    </row>
    <row r="382">
      <c r="A382" s="62" t="str">
        <f>IFERROR(__xludf.DUMMYFUNCTION("""COMPUTED_VALUE"""),"JOSE MAGNO ALVES DA SILVA")</f>
        <v>JOSE MAGNO ALVES DA SILVA</v>
      </c>
      <c r="B382" s="62" t="str">
        <f>IFERROR(__xludf.DUMMYFUNCTION("""COMPUTED_VALUE"""),"AUX DE HIGIENIZAÇÃO")</f>
        <v>AUX DE HIGIENIZAÇÃO</v>
      </c>
      <c r="C382" s="62" t="str">
        <f>IFERROR(__xludf.DUMMYFUNCTION("""COMPUTED_VALUE"""),"112.345.504-07")</f>
        <v>112.345.504-07</v>
      </c>
      <c r="D382" s="62" t="str">
        <f>IFERROR(__xludf.DUMMYFUNCTION("""COMPUTED_VALUE"""),"81 99689-5813")</f>
        <v>81 99689-5813</v>
      </c>
      <c r="E382" s="62" t="str">
        <f>IFERROR(__xludf.DUMMYFUNCTION("""COMPUTED_VALUE"""),"CARUARU")</f>
        <v>CARUARU</v>
      </c>
      <c r="F382" s="62" t="str">
        <f>IFERROR(__xludf.DUMMYFUNCTION("""COMPUTED_VALUE"""),"COOPERADO")</f>
        <v>COOPERADO</v>
      </c>
    </row>
    <row r="383">
      <c r="A383" s="62" t="str">
        <f>IFERROR(__xludf.DUMMYFUNCTION("""COMPUTED_VALUE"""),"JOSE MAGNOVALDO B. SILVA")</f>
        <v>JOSE MAGNOVALDO B. SILVA</v>
      </c>
      <c r="B383" s="62" t="str">
        <f>IFERROR(__xludf.DUMMYFUNCTION("""COMPUTED_VALUE"""),"TÉC.ENFERMAGEM")</f>
        <v>TÉC.ENFERMAGEM</v>
      </c>
      <c r="C383" s="62" t="str">
        <f>IFERROR(__xludf.DUMMYFUNCTION("""COMPUTED_VALUE"""),"120.938.184-26")</f>
        <v>120.938.184-26</v>
      </c>
      <c r="D383" s="62" t="str">
        <f>IFERROR(__xludf.DUMMYFUNCTION("""COMPUTED_VALUE"""),"81 99920-9510")</f>
        <v>81 99920-9510</v>
      </c>
      <c r="E383" s="62" t="str">
        <f>IFERROR(__xludf.DUMMYFUNCTION("""COMPUTED_VALUE"""),"CARUARU")</f>
        <v>CARUARU</v>
      </c>
      <c r="F383" s="62" t="str">
        <f>IFERROR(__xludf.DUMMYFUNCTION("""COMPUTED_VALUE"""),"COOPERADO")</f>
        <v>COOPERADO</v>
      </c>
    </row>
    <row r="384">
      <c r="A384" s="62" t="str">
        <f>IFERROR(__xludf.DUMMYFUNCTION("""COMPUTED_VALUE"""),"JOSE RAFAEL DA SILVA SANTOS")</f>
        <v>JOSE RAFAEL DA SILVA SANTOS</v>
      </c>
      <c r="B384" s="62" t="str">
        <f>IFERROR(__xludf.DUMMYFUNCTION("""COMPUTED_VALUE"""),"TÉC.ENFERMAGEM")</f>
        <v>TÉC.ENFERMAGEM</v>
      </c>
      <c r="C384" s="62" t="str">
        <f>IFERROR(__xludf.DUMMYFUNCTION("""COMPUTED_VALUE"""),"120.938.184-26")</f>
        <v>120.938.184-26</v>
      </c>
      <c r="D384" s="62" t="str">
        <f>IFERROR(__xludf.DUMMYFUNCTION("""COMPUTED_VALUE"""),"81 98452-0080")</f>
        <v>81 98452-0080</v>
      </c>
      <c r="E384" s="62" t="str">
        <f>IFERROR(__xludf.DUMMYFUNCTION("""COMPUTED_VALUE"""),"CARUARU")</f>
        <v>CARUARU</v>
      </c>
      <c r="F384" s="62" t="str">
        <f>IFERROR(__xludf.DUMMYFUNCTION("""COMPUTED_VALUE"""),"COOPERADO")</f>
        <v>COOPERADO</v>
      </c>
    </row>
    <row r="385">
      <c r="A385" s="62" t="str">
        <f>IFERROR(__xludf.DUMMYFUNCTION("""COMPUTED_VALUE"""),"JOSE WILKER RODRIGUES MENDONÇA")</f>
        <v>JOSE WILKER RODRIGUES MENDONÇA</v>
      </c>
      <c r="B385" s="62" t="str">
        <f>IFERROR(__xludf.DUMMYFUNCTION("""COMPUTED_VALUE"""),"TÉC.ENFERMAGEM")</f>
        <v>TÉC.ENFERMAGEM</v>
      </c>
      <c r="C385" s="62" t="str">
        <f>IFERROR(__xludf.DUMMYFUNCTION("""COMPUTED_VALUE"""),"703.199.184-67")</f>
        <v>703.199.184-67</v>
      </c>
      <c r="D385" s="62" t="str">
        <f>IFERROR(__xludf.DUMMYFUNCTION("""COMPUTED_VALUE"""),"81 99173-4017")</f>
        <v>81 99173-4017</v>
      </c>
      <c r="E385" s="62" t="str">
        <f>IFERROR(__xludf.DUMMYFUNCTION("""COMPUTED_VALUE"""),"CARUARU")</f>
        <v>CARUARU</v>
      </c>
      <c r="F385" s="62" t="str">
        <f>IFERROR(__xludf.DUMMYFUNCTION("""COMPUTED_VALUE"""),"COOPERADO")</f>
        <v>COOPERADO</v>
      </c>
    </row>
    <row r="386">
      <c r="A386" s="62" t="str">
        <f>IFERROR(__xludf.DUMMYFUNCTION("""COMPUTED_VALUE"""),"JOSECLEIDE DIAS DO NASCIMENTO")</f>
        <v>JOSECLEIDE DIAS DO NASCIMENTO</v>
      </c>
      <c r="B386" s="62" t="str">
        <f>IFERROR(__xludf.DUMMYFUNCTION("""COMPUTED_VALUE"""),"AUX. DE HIGIENIZAÇÃO")</f>
        <v>AUX. DE HIGIENIZAÇÃO</v>
      </c>
      <c r="C386" s="62" t="str">
        <f>IFERROR(__xludf.DUMMYFUNCTION("""COMPUTED_VALUE"""),"655.953.704-20")</f>
        <v>655.953.704-20</v>
      </c>
      <c r="D386" s="62" t="str">
        <f>IFERROR(__xludf.DUMMYFUNCTION("""COMPUTED_VALUE"""),"81 98510-0002")</f>
        <v>81 98510-0002</v>
      </c>
      <c r="E386" s="62" t="str">
        <f>IFERROR(__xludf.DUMMYFUNCTION("""COMPUTED_VALUE"""),"CARUARU")</f>
        <v>CARUARU</v>
      </c>
      <c r="F386" s="62" t="str">
        <f>IFERROR(__xludf.DUMMYFUNCTION("""COMPUTED_VALUE"""),"COOPERADO")</f>
        <v>COOPERADO</v>
      </c>
    </row>
    <row r="387">
      <c r="A387" s="62" t="str">
        <f>IFERROR(__xludf.DUMMYFUNCTION("""COMPUTED_VALUE"""),"JOSEFA GORETE OLIVEIRA")</f>
        <v>JOSEFA GORETE OLIVEIRA</v>
      </c>
      <c r="B387" s="62" t="str">
        <f>IFERROR(__xludf.DUMMYFUNCTION("""COMPUTED_VALUE"""),"COPEIRA")</f>
        <v>COPEIRA</v>
      </c>
      <c r="C387" s="62" t="str">
        <f>IFERROR(__xludf.DUMMYFUNCTION("""COMPUTED_VALUE"""),"081.156.264-65")</f>
        <v>081.156.264-65</v>
      </c>
      <c r="D387" s="62" t="str">
        <f>IFERROR(__xludf.DUMMYFUNCTION("""COMPUTED_VALUE"""),"81 99199-0651")</f>
        <v>81 99199-0651</v>
      </c>
      <c r="E387" s="62" t="str">
        <f>IFERROR(__xludf.DUMMYFUNCTION("""COMPUTED_VALUE"""),"CARUARU")</f>
        <v>CARUARU</v>
      </c>
      <c r="F387" s="62" t="str">
        <f>IFERROR(__xludf.DUMMYFUNCTION("""COMPUTED_VALUE"""),"COOPERADO")</f>
        <v>COOPERADO</v>
      </c>
    </row>
    <row r="388">
      <c r="A388" s="62" t="str">
        <f>IFERROR(__xludf.DUMMYFUNCTION("""COMPUTED_VALUE"""),"JOSENILDA ELOI DA S. SOUZA")</f>
        <v>JOSENILDA ELOI DA S. SOUZA</v>
      </c>
      <c r="B388" s="62" t="str">
        <f>IFERROR(__xludf.DUMMYFUNCTION("""COMPUTED_VALUE"""),"TÉC.ENFERMAGEM")</f>
        <v>TÉC.ENFERMAGEM</v>
      </c>
      <c r="C388" s="62" t="str">
        <f>IFERROR(__xludf.DUMMYFUNCTION("""COMPUTED_VALUE"""),"065.652.074-45")</f>
        <v>065.652.074-45</v>
      </c>
      <c r="D388" s="62" t="str">
        <f>IFERROR(__xludf.DUMMYFUNCTION("""COMPUTED_VALUE"""),"81 99872-2657")</f>
        <v>81 99872-2657</v>
      </c>
      <c r="E388" s="62" t="str">
        <f>IFERROR(__xludf.DUMMYFUNCTION("""COMPUTED_VALUE"""),"CARUARU")</f>
        <v>CARUARU</v>
      </c>
      <c r="F388" s="62" t="str">
        <f>IFERROR(__xludf.DUMMYFUNCTION("""COMPUTED_VALUE"""),"COOPERADO")</f>
        <v>COOPERADO</v>
      </c>
    </row>
    <row r="389">
      <c r="A389" s="62" t="str">
        <f>IFERROR(__xludf.DUMMYFUNCTION("""COMPUTED_VALUE"""),"JOSENILDO RIBEIRO")</f>
        <v>JOSENILDO RIBEIRO</v>
      </c>
      <c r="B389" s="62" t="str">
        <f>IFERROR(__xludf.DUMMYFUNCTION("""COMPUTED_VALUE"""),"AUX. DE FARMÁCIA")</f>
        <v>AUX. DE FARMÁCIA</v>
      </c>
      <c r="C389" s="62" t="str">
        <f>IFERROR(__xludf.DUMMYFUNCTION("""COMPUTED_VALUE"""),"002.978.043-83")</f>
        <v>002.978.043-83</v>
      </c>
      <c r="D389" s="62" t="str">
        <f>IFERROR(__xludf.DUMMYFUNCTION("""COMPUTED_VALUE"""),"81 99382-2862")</f>
        <v>81 99382-2862</v>
      </c>
      <c r="E389" s="62" t="str">
        <f>IFERROR(__xludf.DUMMYFUNCTION("""COMPUTED_VALUE"""),"CARUARU")</f>
        <v>CARUARU</v>
      </c>
      <c r="F389" s="62" t="str">
        <f>IFERROR(__xludf.DUMMYFUNCTION("""COMPUTED_VALUE"""),"COOPERADO")</f>
        <v>COOPERADO</v>
      </c>
    </row>
    <row r="390">
      <c r="A390" s="62" t="str">
        <f>IFERROR(__xludf.DUMMYFUNCTION("""COMPUTED_VALUE"""),"JOSIELMA DA SILVA SOUZA")</f>
        <v>JOSIELMA DA SILVA SOUZA</v>
      </c>
      <c r="B390" s="62" t="str">
        <f>IFERROR(__xludf.DUMMYFUNCTION("""COMPUTED_VALUE"""),"TÉC. ENF.")</f>
        <v>TÉC. ENF.</v>
      </c>
      <c r="C390" s="62" t="str">
        <f>IFERROR(__xludf.DUMMYFUNCTION("""COMPUTED_VALUE"""),"101.720.424-10")</f>
        <v>101.720.424-10</v>
      </c>
      <c r="D390" s="62" t="str">
        <f>IFERROR(__xludf.DUMMYFUNCTION("""COMPUTED_VALUE"""),"19 98338-5458")</f>
        <v>19 98338-5458</v>
      </c>
      <c r="E390" s="62" t="str">
        <f>IFERROR(__xludf.DUMMYFUNCTION("""COMPUTED_VALUE"""),"CARUARU")</f>
        <v>CARUARU</v>
      </c>
      <c r="F390" s="62" t="str">
        <f>IFERROR(__xludf.DUMMYFUNCTION("""COMPUTED_VALUE"""),"COOPERADO")</f>
        <v>COOPERADO</v>
      </c>
    </row>
    <row r="391">
      <c r="A391" s="62" t="str">
        <f>IFERROR(__xludf.DUMMYFUNCTION("""COMPUTED_VALUE"""),"JOSINAIDE OLIVEIRA GOMES")</f>
        <v>JOSINAIDE OLIVEIRA GOMES</v>
      </c>
      <c r="B391" s="62" t="str">
        <f>IFERROR(__xludf.DUMMYFUNCTION("""COMPUTED_VALUE"""),"TÉC.ENFERMAGEM")</f>
        <v>TÉC.ENFERMAGEM</v>
      </c>
      <c r="C391" s="62" t="str">
        <f>IFERROR(__xludf.DUMMYFUNCTION("""COMPUTED_VALUE"""),"057.339.744-94")</f>
        <v>057.339.744-94</v>
      </c>
      <c r="D391" s="62" t="str">
        <f>IFERROR(__xludf.DUMMYFUNCTION("""COMPUTED_VALUE"""),"81 99105-4203")</f>
        <v>81 99105-4203</v>
      </c>
      <c r="E391" s="62" t="str">
        <f>IFERROR(__xludf.DUMMYFUNCTION("""COMPUTED_VALUE"""),"CARUARU")</f>
        <v>CARUARU</v>
      </c>
      <c r="F391" s="62" t="str">
        <f>IFERROR(__xludf.DUMMYFUNCTION("""COMPUTED_VALUE"""),"COOPERADO")</f>
        <v>COOPERADO</v>
      </c>
    </row>
    <row r="392">
      <c r="A392" s="62" t="str">
        <f>IFERROR(__xludf.DUMMYFUNCTION("""COMPUTED_VALUE"""),"JOSIVANIA MARIA ALVES SILVA")</f>
        <v>JOSIVANIA MARIA ALVES SILVA</v>
      </c>
      <c r="B392" s="62" t="str">
        <f>IFERROR(__xludf.DUMMYFUNCTION("""COMPUTED_VALUE"""),"TÉC. ENF.")</f>
        <v>TÉC. ENF.</v>
      </c>
      <c r="C392" s="62" t="str">
        <f>IFERROR(__xludf.DUMMYFUNCTION("""COMPUTED_VALUE"""),"062.707.624-64")</f>
        <v>062.707.624-64</v>
      </c>
      <c r="D392" s="62" t="str">
        <f>IFERROR(__xludf.DUMMYFUNCTION("""COMPUTED_VALUE"""),"81 99452-1168")</f>
        <v>81 99452-1168</v>
      </c>
      <c r="E392" s="62" t="str">
        <f>IFERROR(__xludf.DUMMYFUNCTION("""COMPUTED_VALUE"""),"CARUARU")</f>
        <v>CARUARU</v>
      </c>
      <c r="F392" s="62" t="str">
        <f>IFERROR(__xludf.DUMMYFUNCTION("""COMPUTED_VALUE"""),"COOPERADO")</f>
        <v>COOPERADO</v>
      </c>
    </row>
    <row r="393">
      <c r="A393" s="62" t="str">
        <f>IFERROR(__xludf.DUMMYFUNCTION("""COMPUTED_VALUE"""),"JUCELLI MARIA DA SILVA")</f>
        <v>JUCELLI MARIA DA SILVA</v>
      </c>
      <c r="B393" s="62" t="str">
        <f>IFERROR(__xludf.DUMMYFUNCTION("""COMPUTED_VALUE"""),"TÉC. ENF.")</f>
        <v>TÉC. ENF.</v>
      </c>
      <c r="C393" s="62" t="str">
        <f>IFERROR(__xludf.DUMMYFUNCTION("""COMPUTED_VALUE"""),"092.862.514-16")</f>
        <v>092.862.514-16</v>
      </c>
      <c r="D393" s="62" t="str">
        <f>IFERROR(__xludf.DUMMYFUNCTION("""COMPUTED_VALUE"""),"81 98180-1346")</f>
        <v>81 98180-1346</v>
      </c>
      <c r="E393" s="62" t="str">
        <f>IFERROR(__xludf.DUMMYFUNCTION("""COMPUTED_VALUE"""),"CARUARU")</f>
        <v>CARUARU</v>
      </c>
      <c r="F393" s="62" t="str">
        <f>IFERROR(__xludf.DUMMYFUNCTION("""COMPUTED_VALUE"""),"COOPERADO")</f>
        <v>COOPERADO</v>
      </c>
    </row>
    <row r="394">
      <c r="A394" s="62" t="str">
        <f>IFERROR(__xludf.DUMMYFUNCTION("""COMPUTED_VALUE"""),"Jucicleide Silva Amorim")</f>
        <v>Jucicleide Silva Amorim</v>
      </c>
      <c r="B394" s="62" t="str">
        <f>IFERROR(__xludf.DUMMYFUNCTION("""COMPUTED_VALUE"""),"Enfermeiro(a)")</f>
        <v>Enfermeiro(a)</v>
      </c>
      <c r="C394" s="62" t="str">
        <f>IFERROR(__xludf.DUMMYFUNCTION("""COMPUTED_VALUE"""),"039.647.044-07")</f>
        <v>039.647.044-07</v>
      </c>
      <c r="D394" s="62" t="str">
        <f>IFERROR(__xludf.DUMMYFUNCTION("""COMPUTED_VALUE"""),"81994534311")</f>
        <v>81994534311</v>
      </c>
      <c r="E394" s="62" t="str">
        <f>IFERROR(__xludf.DUMMYFUNCTION("""COMPUTED_VALUE"""),"CARUARU")</f>
        <v>CARUARU</v>
      </c>
      <c r="F394" s="62" t="str">
        <f>IFERROR(__xludf.DUMMYFUNCTION("""COMPUTED_VALUE"""),"COOPERADO")</f>
        <v>COOPERADO</v>
      </c>
    </row>
    <row r="395">
      <c r="A395" s="62" t="str">
        <f>IFERROR(__xludf.DUMMYFUNCTION("""COMPUTED_VALUE"""),"Juciedna Fernanda")</f>
        <v>Juciedna Fernanda</v>
      </c>
      <c r="B395" s="62" t="str">
        <f>IFERROR(__xludf.DUMMYFUNCTION("""COMPUTED_VALUE"""),"Copeira")</f>
        <v>Copeira</v>
      </c>
      <c r="C395" s="62" t="str">
        <f>IFERROR(__xludf.DUMMYFUNCTION("""COMPUTED_VALUE"""),"704.508.124-30")</f>
        <v>704.508.124-30</v>
      </c>
      <c r="D395" s="62" t="str">
        <f>IFERROR(__xludf.DUMMYFUNCTION("""COMPUTED_VALUE"""),"81 99393-9520")</f>
        <v>81 99393-9520</v>
      </c>
      <c r="E395" s="62" t="str">
        <f>IFERROR(__xludf.DUMMYFUNCTION("""COMPUTED_VALUE"""),"CARUARU")</f>
        <v>CARUARU</v>
      </c>
      <c r="F395" s="62" t="str">
        <f>IFERROR(__xludf.DUMMYFUNCTION("""COMPUTED_VALUE"""),"COOPERADO")</f>
        <v>COOPERADO</v>
      </c>
    </row>
    <row r="396">
      <c r="A396" s="62" t="str">
        <f>IFERROR(__xludf.DUMMYFUNCTION("""COMPUTED_VALUE"""),"JULIANA CARLA TAVARES DA SILVA")</f>
        <v>JULIANA CARLA TAVARES DA SILVA</v>
      </c>
      <c r="B396" s="62" t="str">
        <f>IFERROR(__xludf.DUMMYFUNCTION("""COMPUTED_VALUE"""),"AUX. DE ROUPARIA")</f>
        <v>AUX. DE ROUPARIA</v>
      </c>
      <c r="C396" s="62" t="str">
        <f>IFERROR(__xludf.DUMMYFUNCTION("""COMPUTED_VALUE"""),"063.949.404-88")</f>
        <v>063.949.404-88</v>
      </c>
      <c r="D396" s="62" t="str">
        <f>IFERROR(__xludf.DUMMYFUNCTION("""COMPUTED_VALUE""")," 81 98182-3825")</f>
        <v> 81 98182-3825</v>
      </c>
      <c r="E396" s="62" t="str">
        <f>IFERROR(__xludf.DUMMYFUNCTION("""COMPUTED_VALUE"""),"CARUARU")</f>
        <v>CARUARU</v>
      </c>
      <c r="F396" s="62" t="str">
        <f>IFERROR(__xludf.DUMMYFUNCTION("""COMPUTED_VALUE"""),"COOPERADO")</f>
        <v>COOPERADO</v>
      </c>
    </row>
    <row r="397">
      <c r="A397" s="62" t="str">
        <f>IFERROR(__xludf.DUMMYFUNCTION("""COMPUTED_VALUE"""),"Juliana de Oliveira Magalhães")</f>
        <v>Juliana de Oliveira Magalhães</v>
      </c>
      <c r="B397" s="62" t="str">
        <f>IFERROR(__xludf.DUMMYFUNCTION("""COMPUTED_VALUE"""),"Téc. Enf.")</f>
        <v>Téc. Enf.</v>
      </c>
      <c r="C397" s="62" t="str">
        <f>IFERROR(__xludf.DUMMYFUNCTION("""COMPUTED_VALUE"""),"116.337.104-15")</f>
        <v>116.337.104-15</v>
      </c>
      <c r="D397" s="62" t="str">
        <f>IFERROR(__xludf.DUMMYFUNCTION("""COMPUTED_VALUE"""),"81 99769-2334")</f>
        <v>81 99769-2334</v>
      </c>
      <c r="E397" s="62" t="str">
        <f>IFERROR(__xludf.DUMMYFUNCTION("""COMPUTED_VALUE"""),"CARUARU")</f>
        <v>CARUARU</v>
      </c>
      <c r="F397" s="62" t="str">
        <f>IFERROR(__xludf.DUMMYFUNCTION("""COMPUTED_VALUE"""),"COOPERADO")</f>
        <v>COOPERADO</v>
      </c>
    </row>
    <row r="398">
      <c r="A398" s="62" t="str">
        <f>IFERROR(__xludf.DUMMYFUNCTION("""COMPUTED_VALUE"""),"JULIANE MARIA DA SILVA")</f>
        <v>JULIANE MARIA DA SILVA</v>
      </c>
      <c r="B398" s="62" t="str">
        <f>IFERROR(__xludf.DUMMYFUNCTION("""COMPUTED_VALUE"""),"AUXILIAR DE FARMÁCIA")</f>
        <v>AUXILIAR DE FARMÁCIA</v>
      </c>
      <c r="C398" s="62" t="str">
        <f>IFERROR(__xludf.DUMMYFUNCTION("""COMPUTED_VALUE"""),"140.613.654-95")</f>
        <v>140.613.654-95</v>
      </c>
      <c r="D398" s="62" t="str">
        <f>IFERROR(__xludf.DUMMYFUNCTION("""COMPUTED_VALUE"""),"81 99730-8029")</f>
        <v>81 99730-8029</v>
      </c>
      <c r="E398" s="62" t="str">
        <f>IFERROR(__xludf.DUMMYFUNCTION("""COMPUTED_VALUE"""),"CARUARU")</f>
        <v>CARUARU</v>
      </c>
      <c r="F398" s="62" t="str">
        <f>IFERROR(__xludf.DUMMYFUNCTION("""COMPUTED_VALUE"""),"COOPERADO")</f>
        <v>COOPERADO</v>
      </c>
    </row>
    <row r="399">
      <c r="A399" s="62" t="str">
        <f>IFERROR(__xludf.DUMMYFUNCTION("""COMPUTED_VALUE"""),"JULIO CESAR DA SILVA TAVARES")</f>
        <v>JULIO CESAR DA SILVA TAVARES</v>
      </c>
      <c r="B399" s="62" t="str">
        <f>IFERROR(__xludf.DUMMYFUNCTION("""COMPUTED_VALUE"""),"Higienização")</f>
        <v>Higienização</v>
      </c>
      <c r="C399" s="62" t="str">
        <f>IFERROR(__xludf.DUMMYFUNCTION("""COMPUTED_VALUE"""),"066.936.684-61")</f>
        <v>066.936.684-61</v>
      </c>
      <c r="D399" s="62" t="str">
        <f>IFERROR(__xludf.DUMMYFUNCTION("""COMPUTED_VALUE"""),"81 99290-5650")</f>
        <v>81 99290-5650</v>
      </c>
      <c r="E399" s="62" t="str">
        <f>IFERROR(__xludf.DUMMYFUNCTION("""COMPUTED_VALUE"""),"CARUARU")</f>
        <v>CARUARU</v>
      </c>
      <c r="F399" s="62" t="str">
        <f>IFERROR(__xludf.DUMMYFUNCTION("""COMPUTED_VALUE"""),"COOPERADO")</f>
        <v>COOPERADO</v>
      </c>
    </row>
    <row r="400">
      <c r="A400" s="62" t="str">
        <f>IFERROR(__xludf.DUMMYFUNCTION("""COMPUTED_VALUE"""),"Jussara Conceição Germano Da Silva")</f>
        <v>Jussara Conceição Germano Da Silva</v>
      </c>
      <c r="B400" s="62" t="str">
        <f>IFERROR(__xludf.DUMMYFUNCTION("""COMPUTED_VALUE"""),"Enfermeiro(a)")</f>
        <v>Enfermeiro(a)</v>
      </c>
      <c r="C400" s="62" t="str">
        <f>IFERROR(__xludf.DUMMYFUNCTION("""COMPUTED_VALUE"""),"048.667.654-45")</f>
        <v>048.667.654-45</v>
      </c>
      <c r="D400" s="62" t="str">
        <f>IFERROR(__xludf.DUMMYFUNCTION("""COMPUTED_VALUE"""),"81 99268-7417")</f>
        <v>81 99268-7417</v>
      </c>
      <c r="E400" s="62" t="str">
        <f>IFERROR(__xludf.DUMMYFUNCTION("""COMPUTED_VALUE"""),"CARUARU")</f>
        <v>CARUARU</v>
      </c>
      <c r="F400" s="62" t="str">
        <f>IFERROR(__xludf.DUMMYFUNCTION("""COMPUTED_VALUE"""),"COOPERADO")</f>
        <v>COOPERADO</v>
      </c>
    </row>
    <row r="401">
      <c r="A401" s="62" t="str">
        <f>IFERROR(__xludf.DUMMYFUNCTION("""COMPUTED_VALUE"""),"JUSSIARA ADJANE")</f>
        <v>JUSSIARA ADJANE</v>
      </c>
      <c r="B401" s="62" t="str">
        <f>IFERROR(__xludf.DUMMYFUNCTION("""COMPUTED_VALUE"""),"TÉC. ENF. ")</f>
        <v>TÉC. ENF. </v>
      </c>
      <c r="C401" s="62" t="str">
        <f>IFERROR(__xludf.DUMMYFUNCTION("""COMPUTED_VALUE"""),"082.688.524-10")</f>
        <v>082.688.524-10</v>
      </c>
      <c r="D401" s="62" t="str">
        <f>IFERROR(__xludf.DUMMYFUNCTION("""COMPUTED_VALUE"""),"81 98301-0995")</f>
        <v>81 98301-0995</v>
      </c>
      <c r="E401" s="62" t="str">
        <f>IFERROR(__xludf.DUMMYFUNCTION("""COMPUTED_VALUE"""),"CARUARU")</f>
        <v>CARUARU</v>
      </c>
      <c r="F401" s="62" t="str">
        <f>IFERROR(__xludf.DUMMYFUNCTION("""COMPUTED_VALUE"""),"COOPERADO")</f>
        <v>COOPERADO</v>
      </c>
    </row>
    <row r="402">
      <c r="A402" s="62" t="str">
        <f>IFERROR(__xludf.DUMMYFUNCTION("""COMPUTED_VALUE"""),"KARINA CRISTIANA DA SILVA PINTO")</f>
        <v>KARINA CRISTIANA DA SILVA PINTO</v>
      </c>
      <c r="B402" s="62" t="str">
        <f>IFERROR(__xludf.DUMMYFUNCTION("""COMPUTED_VALUE"""),"TÉC.ENFERMAGEM")</f>
        <v>TÉC.ENFERMAGEM</v>
      </c>
      <c r="C402" s="62" t="str">
        <f>IFERROR(__xludf.DUMMYFUNCTION("""COMPUTED_VALUE"""),"064.533.284-45")</f>
        <v>064.533.284-45</v>
      </c>
      <c r="D402" s="62" t="str">
        <f>IFERROR(__xludf.DUMMYFUNCTION("""COMPUTED_VALUE"""),"81 99501-6541")</f>
        <v>81 99501-6541</v>
      </c>
      <c r="E402" s="62" t="str">
        <f>IFERROR(__xludf.DUMMYFUNCTION("""COMPUTED_VALUE"""),"CARUARU")</f>
        <v>CARUARU</v>
      </c>
      <c r="F402" s="62" t="str">
        <f>IFERROR(__xludf.DUMMYFUNCTION("""COMPUTED_VALUE"""),"COOPERADO")</f>
        <v>COOPERADO</v>
      </c>
    </row>
    <row r="403">
      <c r="A403" s="62" t="str">
        <f>IFERROR(__xludf.DUMMYFUNCTION("""COMPUTED_VALUE"""),"Karina Kelly")</f>
        <v>Karina Kelly</v>
      </c>
      <c r="B403" s="62" t="str">
        <f>IFERROR(__xludf.DUMMYFUNCTION("""COMPUTED_VALUE"""),"Recepcionista")</f>
        <v>Recepcionista</v>
      </c>
      <c r="C403" s="62" t="str">
        <f>IFERROR(__xludf.DUMMYFUNCTION("""COMPUTED_VALUE"""),"063.209.364-10")</f>
        <v>063.209.364-10</v>
      </c>
      <c r="D403" s="62" t="str">
        <f>IFERROR(__xludf.DUMMYFUNCTION("""COMPUTED_VALUE"""),"81 99613-7751")</f>
        <v>81 99613-7751</v>
      </c>
      <c r="E403" s="62" t="str">
        <f>IFERROR(__xludf.DUMMYFUNCTION("""COMPUTED_VALUE"""),"CARUARU")</f>
        <v>CARUARU</v>
      </c>
      <c r="F403" s="62" t="str">
        <f>IFERROR(__xludf.DUMMYFUNCTION("""COMPUTED_VALUE"""),"COOPERADO")</f>
        <v>COOPERADO</v>
      </c>
    </row>
    <row r="404">
      <c r="A404" s="62" t="str">
        <f>IFERROR(__xludf.DUMMYFUNCTION("""COMPUTED_VALUE"""),"KARLA DORALICE FERNANDES")</f>
        <v>KARLA DORALICE FERNANDES</v>
      </c>
      <c r="B404" s="62" t="str">
        <f>IFERROR(__xludf.DUMMYFUNCTION("""COMPUTED_VALUE"""),"Higienização")</f>
        <v>Higienização</v>
      </c>
      <c r="C404" s="62" t="str">
        <f>IFERROR(__xludf.DUMMYFUNCTION("""COMPUTED_VALUE"""),"067.786.734-43")</f>
        <v>067.786.734-43</v>
      </c>
      <c r="D404" s="62" t="str">
        <f>IFERROR(__xludf.DUMMYFUNCTION("""COMPUTED_VALUE""")," 81 99408-4148")</f>
        <v> 81 99408-4148</v>
      </c>
      <c r="E404" s="62" t="str">
        <f>IFERROR(__xludf.DUMMYFUNCTION("""COMPUTED_VALUE"""),"CARUARU")</f>
        <v>CARUARU</v>
      </c>
      <c r="F404" s="62" t="str">
        <f>IFERROR(__xludf.DUMMYFUNCTION("""COMPUTED_VALUE"""),"COOPERADO")</f>
        <v>COOPERADO</v>
      </c>
    </row>
    <row r="405">
      <c r="A405" s="62" t="str">
        <f>IFERROR(__xludf.DUMMYFUNCTION("""COMPUTED_VALUE"""),"KARLA GRAZIELY FERREIRA")</f>
        <v>KARLA GRAZIELY FERREIRA</v>
      </c>
      <c r="B405" s="62" t="str">
        <f>IFERROR(__xludf.DUMMYFUNCTION("""COMPUTED_VALUE"""),"AUX. DE FARMÁCIA")</f>
        <v>AUX. DE FARMÁCIA</v>
      </c>
      <c r="C405" s="62" t="str">
        <f>IFERROR(__xludf.DUMMYFUNCTION("""COMPUTED_VALUE"""),"054.371.344-01")</f>
        <v>054.371.344-01</v>
      </c>
      <c r="D405" s="62" t="str">
        <f>IFERROR(__xludf.DUMMYFUNCTION("""COMPUTED_VALUE"""),"81 99135-9140")</f>
        <v>81 99135-9140</v>
      </c>
      <c r="E405" s="62" t="str">
        <f>IFERROR(__xludf.DUMMYFUNCTION("""COMPUTED_VALUE"""),"CARUARU")</f>
        <v>CARUARU</v>
      </c>
      <c r="F405" s="62" t="str">
        <f>IFERROR(__xludf.DUMMYFUNCTION("""COMPUTED_VALUE"""),"COOPERADO")</f>
        <v>COOPERADO</v>
      </c>
    </row>
    <row r="406">
      <c r="A406" s="62" t="str">
        <f>IFERROR(__xludf.DUMMYFUNCTION("""COMPUTED_VALUE"""),"KARLA GUEIROS DE OLIVEIRA ")</f>
        <v>KARLA GUEIROS DE OLIVEIRA </v>
      </c>
      <c r="B406" s="62" t="str">
        <f>IFERROR(__xludf.DUMMYFUNCTION("""COMPUTED_VALUE"""),"TÉC. RADIOLOGIA ")</f>
        <v>TÉC. RADIOLOGIA </v>
      </c>
      <c r="C406" s="62" t="str">
        <f>IFERROR(__xludf.DUMMYFUNCTION("""COMPUTED_VALUE"""),"013.813.364-69")</f>
        <v>013.813.364-69</v>
      </c>
      <c r="D406" s="62" t="str">
        <f>IFERROR(__xludf.DUMMYFUNCTION("""COMPUTED_VALUE"""),"81 99735-0201")</f>
        <v>81 99735-0201</v>
      </c>
      <c r="E406" s="62" t="str">
        <f>IFERROR(__xludf.DUMMYFUNCTION("""COMPUTED_VALUE"""),"CARUARU")</f>
        <v>CARUARU</v>
      </c>
      <c r="F406" s="62" t="str">
        <f>IFERROR(__xludf.DUMMYFUNCTION("""COMPUTED_VALUE"""),"COOPERADO")</f>
        <v>COOPERADO</v>
      </c>
    </row>
    <row r="407">
      <c r="A407" s="62" t="str">
        <f>IFERROR(__xludf.DUMMYFUNCTION("""COMPUTED_VALUE"""),"KAROLAYNE CARVALHO SILVA")</f>
        <v>KAROLAYNE CARVALHO SILVA</v>
      </c>
      <c r="B407" s="62" t="str">
        <f>IFERROR(__xludf.DUMMYFUNCTION("""COMPUTED_VALUE"""),"TÉC. ENF.")</f>
        <v>TÉC. ENF.</v>
      </c>
      <c r="C407" s="62" t="str">
        <f>IFERROR(__xludf.DUMMYFUNCTION("""COMPUTED_VALUE"""),"708.657.314-03")</f>
        <v>708.657.314-03</v>
      </c>
      <c r="D407" s="62" t="str">
        <f>IFERROR(__xludf.DUMMYFUNCTION("""COMPUTED_VALUE"""),"81 99490-9824")</f>
        <v>81 99490-9824</v>
      </c>
      <c r="E407" s="62" t="str">
        <f>IFERROR(__xludf.DUMMYFUNCTION("""COMPUTED_VALUE"""),"CARUARU")</f>
        <v>CARUARU</v>
      </c>
      <c r="F407" s="62" t="str">
        <f>IFERROR(__xludf.DUMMYFUNCTION("""COMPUTED_VALUE"""),"COOPERADO")</f>
        <v>COOPERADO</v>
      </c>
    </row>
    <row r="408">
      <c r="A408" s="62" t="str">
        <f>IFERROR(__xludf.DUMMYFUNCTION("""COMPUTED_VALUE"""),"KAROLAYNE DOS M. RODRIGUES")</f>
        <v>KAROLAYNE DOS M. RODRIGUES</v>
      </c>
      <c r="B408" s="62" t="str">
        <f>IFERROR(__xludf.DUMMYFUNCTION("""COMPUTED_VALUE"""),"TÉC.ENFERMAGEM")</f>
        <v>TÉC.ENFERMAGEM</v>
      </c>
      <c r="C408" s="62" t="str">
        <f>IFERROR(__xludf.DUMMYFUNCTION("""COMPUTED_VALUE"""),"130.180.494-03")</f>
        <v>130.180.494-03</v>
      </c>
      <c r="D408" s="62" t="str">
        <f>IFERROR(__xludf.DUMMYFUNCTION("""COMPUTED_VALUE"""),"81 99389-7015")</f>
        <v>81 99389-7015</v>
      </c>
      <c r="E408" s="62" t="str">
        <f>IFERROR(__xludf.DUMMYFUNCTION("""COMPUTED_VALUE"""),"CARUARU")</f>
        <v>CARUARU</v>
      </c>
      <c r="F408" s="62" t="str">
        <f>IFERROR(__xludf.DUMMYFUNCTION("""COMPUTED_VALUE"""),"COOPERADO")</f>
        <v>COOPERADO</v>
      </c>
    </row>
    <row r="409">
      <c r="A409" s="62" t="str">
        <f>IFERROR(__xludf.DUMMYFUNCTION("""COMPUTED_VALUE"""),"KÁTIA FERNANDA DA SILVA")</f>
        <v>KÁTIA FERNANDA DA SILVA</v>
      </c>
      <c r="B409" s="62" t="str">
        <f>IFERROR(__xludf.DUMMYFUNCTION("""COMPUTED_VALUE"""),"Téc. Enfermagem")</f>
        <v>Téc. Enfermagem</v>
      </c>
      <c r="C409" s="62" t="str">
        <f>IFERROR(__xludf.DUMMYFUNCTION("""COMPUTED_VALUE"""),"083.667.704-86")</f>
        <v>083.667.704-86</v>
      </c>
      <c r="D409" s="62" t="str">
        <f>IFERROR(__xludf.DUMMYFUNCTION("""COMPUTED_VALUE"""),"81 99434-3301")</f>
        <v>81 99434-3301</v>
      </c>
      <c r="E409" s="62" t="str">
        <f>IFERROR(__xludf.DUMMYFUNCTION("""COMPUTED_VALUE"""),"CARUARU")</f>
        <v>CARUARU</v>
      </c>
      <c r="F409" s="62" t="str">
        <f>IFERROR(__xludf.DUMMYFUNCTION("""COMPUTED_VALUE"""),"COOPERADO")</f>
        <v>COOPERADO</v>
      </c>
    </row>
    <row r="410">
      <c r="A410" s="62" t="str">
        <f>IFERROR(__xludf.DUMMYFUNCTION("""COMPUTED_VALUE"""),"Katia Kataline S. De Souza")</f>
        <v>Katia Kataline S. De Souza</v>
      </c>
      <c r="B410" s="62" t="str">
        <f>IFERROR(__xludf.DUMMYFUNCTION("""COMPUTED_VALUE"""),"Téc. Enf.")</f>
        <v>Téc. Enf.</v>
      </c>
      <c r="C410" s="62" t="str">
        <f>IFERROR(__xludf.DUMMYFUNCTION("""COMPUTED_VALUE"""),"124.739.384-40")</f>
        <v>124.739.384-40</v>
      </c>
      <c r="D410" s="62" t="str">
        <f>IFERROR(__xludf.DUMMYFUNCTION("""COMPUTED_VALUE""")," 81 99583-6151")</f>
        <v> 81 99583-6151</v>
      </c>
      <c r="E410" s="62" t="str">
        <f>IFERROR(__xludf.DUMMYFUNCTION("""COMPUTED_VALUE"""),"CARUARU")</f>
        <v>CARUARU</v>
      </c>
      <c r="F410" s="62" t="str">
        <f>IFERROR(__xludf.DUMMYFUNCTION("""COMPUTED_VALUE"""),"COOPERADO")</f>
        <v>COOPERADO</v>
      </c>
    </row>
    <row r="411">
      <c r="A411" s="62" t="str">
        <f>IFERROR(__xludf.DUMMYFUNCTION("""COMPUTED_VALUE"""),"Katylla Rodrigues Do Nascimento")</f>
        <v>Katylla Rodrigues Do Nascimento</v>
      </c>
      <c r="B411" s="62" t="str">
        <f>IFERROR(__xludf.DUMMYFUNCTION("""COMPUTED_VALUE"""),"Téc. Enf.")</f>
        <v>Téc. Enf.</v>
      </c>
      <c r="C411" s="62" t="str">
        <f>IFERROR(__xludf.DUMMYFUNCTION("""COMPUTED_VALUE"""),"113.174.034-36")</f>
        <v>113.174.034-36</v>
      </c>
      <c r="D411" s="62" t="str">
        <f>IFERROR(__xludf.DUMMYFUNCTION("""COMPUTED_VALUE"""),"81 98115-0664")</f>
        <v>81 98115-0664</v>
      </c>
      <c r="E411" s="62" t="str">
        <f>IFERROR(__xludf.DUMMYFUNCTION("""COMPUTED_VALUE"""),"CARUARU")</f>
        <v>CARUARU</v>
      </c>
      <c r="F411" s="62" t="str">
        <f>IFERROR(__xludf.DUMMYFUNCTION("""COMPUTED_VALUE"""),"COOPERADO")</f>
        <v>COOPERADO</v>
      </c>
    </row>
    <row r="412">
      <c r="A412" s="62" t="str">
        <f>IFERROR(__xludf.DUMMYFUNCTION("""COMPUTED_VALUE"""),"KESIA FIRMINO PIMENTEL")</f>
        <v>KESIA FIRMINO PIMENTEL</v>
      </c>
      <c r="B412" s="62" t="str">
        <f>IFERROR(__xludf.DUMMYFUNCTION("""COMPUTED_VALUE"""),"ENFERMEIRO (A)")</f>
        <v>ENFERMEIRO (A)</v>
      </c>
      <c r="C412" s="62" t="str">
        <f>IFERROR(__xludf.DUMMYFUNCTION("""COMPUTED_VALUE"""),"116.894.024-90")</f>
        <v>116.894.024-90</v>
      </c>
      <c r="D412" s="62" t="str">
        <f>IFERROR(__xludf.DUMMYFUNCTION("""COMPUTED_VALUE"""),"87 99928-9610")</f>
        <v>87 99928-9610</v>
      </c>
      <c r="E412" s="62" t="str">
        <f>IFERROR(__xludf.DUMMYFUNCTION("""COMPUTED_VALUE"""),"CARUARU")</f>
        <v>CARUARU</v>
      </c>
      <c r="F412" s="62" t="str">
        <f>IFERROR(__xludf.DUMMYFUNCTION("""COMPUTED_VALUE"""),"COOPERADO")</f>
        <v>COOPERADO</v>
      </c>
    </row>
    <row r="413">
      <c r="A413" s="62" t="str">
        <f>IFERROR(__xludf.DUMMYFUNCTION("""COMPUTED_VALUE"""),"KETHULY FERNANDA FAUSTINO DA SILVA")</f>
        <v>KETHULY FERNANDA FAUSTINO DA SILVA</v>
      </c>
      <c r="B413" s="62" t="str">
        <f>IFERROR(__xludf.DUMMYFUNCTION("""COMPUTED_VALUE"""),"AUX. DE HIGIENIZAÇÃO")</f>
        <v>AUX. DE HIGIENIZAÇÃO</v>
      </c>
      <c r="C413" s="62" t="str">
        <f>IFERROR(__xludf.DUMMYFUNCTION("""COMPUTED_VALUE"""),"134.995.624-48")</f>
        <v>134.995.624-48</v>
      </c>
      <c r="D413" s="62" t="str">
        <f>IFERROR(__xludf.DUMMYFUNCTION("""COMPUTED_VALUE""")," 81 99379-3680")</f>
        <v> 81 99379-3680</v>
      </c>
      <c r="E413" s="62" t="str">
        <f>IFERROR(__xludf.DUMMYFUNCTION("""COMPUTED_VALUE"""),"CARUARU")</f>
        <v>CARUARU</v>
      </c>
      <c r="F413" s="62" t="str">
        <f>IFERROR(__xludf.DUMMYFUNCTION("""COMPUTED_VALUE"""),"COOPERADO")</f>
        <v>COOPERADO</v>
      </c>
    </row>
    <row r="414">
      <c r="A414" s="62" t="str">
        <f>IFERROR(__xludf.DUMMYFUNCTION("""COMPUTED_VALUE"""),"KEVIN MARLONNE")</f>
        <v>KEVIN MARLONNE</v>
      </c>
      <c r="B414" s="62" t="str">
        <f>IFERROR(__xludf.DUMMYFUNCTION("""COMPUTED_VALUE"""),"TÉC.ENFERMAGEM")</f>
        <v>TÉC.ENFERMAGEM</v>
      </c>
      <c r="C414" s="62" t="str">
        <f>IFERROR(__xludf.DUMMYFUNCTION("""COMPUTED_VALUE"""),"084.956.914-18")</f>
        <v>084.956.914-18</v>
      </c>
      <c r="D414" s="62" t="str">
        <f>IFERROR(__xludf.DUMMYFUNCTION("""COMPUTED_VALUE"""),"81 99669-6925")</f>
        <v>81 99669-6925</v>
      </c>
      <c r="E414" s="62" t="str">
        <f>IFERROR(__xludf.DUMMYFUNCTION("""COMPUTED_VALUE"""),"CARUARU")</f>
        <v>CARUARU</v>
      </c>
      <c r="F414" s="62" t="str">
        <f>IFERROR(__xludf.DUMMYFUNCTION("""COMPUTED_VALUE"""),"COOPERADO")</f>
        <v>COOPERADO</v>
      </c>
    </row>
    <row r="415">
      <c r="A415" s="62" t="str">
        <f>IFERROR(__xludf.DUMMYFUNCTION("""COMPUTED_VALUE"""),"KLEMS FELIPPE DE OLIVEIRA")</f>
        <v>KLEMS FELIPPE DE OLIVEIRA</v>
      </c>
      <c r="B415" s="62" t="str">
        <f>IFERROR(__xludf.DUMMYFUNCTION("""COMPUTED_VALUE"""),"TÉC. IMOB.")</f>
        <v>TÉC. IMOB.</v>
      </c>
      <c r="C415" s="62" t="str">
        <f>IFERROR(__xludf.DUMMYFUNCTION("""COMPUTED_VALUE"""),"087.186.904-75")</f>
        <v>087.186.904-75</v>
      </c>
      <c r="D415" s="62" t="str">
        <f>IFERROR(__xludf.DUMMYFUNCTION("""COMPUTED_VALUE""")," 81 99149-8494")</f>
        <v> 81 99149-8494</v>
      </c>
      <c r="E415" s="62" t="str">
        <f>IFERROR(__xludf.DUMMYFUNCTION("""COMPUTED_VALUE"""),"CARUARU")</f>
        <v>CARUARU</v>
      </c>
      <c r="F415" s="62" t="str">
        <f>IFERROR(__xludf.DUMMYFUNCTION("""COMPUTED_VALUE"""),"COOPERADO")</f>
        <v>COOPERADO</v>
      </c>
    </row>
    <row r="416">
      <c r="A416" s="62" t="str">
        <f>IFERROR(__xludf.DUMMYFUNCTION("""COMPUTED_VALUE"""),"LAISE MONTEIRO SILVA")</f>
        <v>LAISE MONTEIRO SILVA</v>
      </c>
      <c r="B416" s="62" t="str">
        <f>IFERROR(__xludf.DUMMYFUNCTION("""COMPUTED_VALUE"""),"ENFERMEIRO (A)")</f>
        <v>ENFERMEIRO (A)</v>
      </c>
      <c r="C416" s="62" t="str">
        <f>IFERROR(__xludf.DUMMYFUNCTION("""COMPUTED_VALUE"""),"092.760.984-37")</f>
        <v>092.760.984-37</v>
      </c>
      <c r="D416" s="62" t="str">
        <f>IFERROR(__xludf.DUMMYFUNCTION("""COMPUTED_VALUE"""),"81 98112-6814")</f>
        <v>81 98112-6814</v>
      </c>
      <c r="E416" s="62" t="str">
        <f>IFERROR(__xludf.DUMMYFUNCTION("""COMPUTED_VALUE"""),"CARUARU")</f>
        <v>CARUARU</v>
      </c>
      <c r="F416" s="62" t="str">
        <f>IFERROR(__xludf.DUMMYFUNCTION("""COMPUTED_VALUE"""),"COOPERADO")</f>
        <v>COOPERADO</v>
      </c>
    </row>
    <row r="417">
      <c r="A417" s="62" t="str">
        <f>IFERROR(__xludf.DUMMYFUNCTION("""COMPUTED_VALUE"""),"LARISSA CAVALCANTI SILVA")</f>
        <v>LARISSA CAVALCANTI SILVA</v>
      </c>
      <c r="B417" s="62" t="str">
        <f>IFERROR(__xludf.DUMMYFUNCTION("""COMPUTED_VALUE"""),"ASSISTENTE ADMINISTRATIVO")</f>
        <v>ASSISTENTE ADMINISTRATIVO</v>
      </c>
      <c r="C417" s="62" t="str">
        <f>IFERROR(__xludf.DUMMYFUNCTION("""COMPUTED_VALUE"""),"107.446.764-86")</f>
        <v>107.446.764-86</v>
      </c>
      <c r="D417" s="62" t="str">
        <f>IFERROR(__xludf.DUMMYFUNCTION("""COMPUTED_VALUE"""),"81 99387-3245")</f>
        <v>81 99387-3245</v>
      </c>
      <c r="E417" s="62" t="str">
        <f>IFERROR(__xludf.DUMMYFUNCTION("""COMPUTED_VALUE"""),"CARUARU")</f>
        <v>CARUARU</v>
      </c>
      <c r="F417" s="62" t="str">
        <f>IFERROR(__xludf.DUMMYFUNCTION("""COMPUTED_VALUE"""),"COOPERADO")</f>
        <v>COOPERADO</v>
      </c>
    </row>
    <row r="418">
      <c r="A418" s="62" t="str">
        <f>IFERROR(__xludf.DUMMYFUNCTION("""COMPUTED_VALUE"""),"LARISSA FERNANDA")</f>
        <v>LARISSA FERNANDA</v>
      </c>
      <c r="B418" s="62" t="str">
        <f>IFERROR(__xludf.DUMMYFUNCTION("""COMPUTED_VALUE"""),"AUX. DE FARMÁCIA")</f>
        <v>AUX. DE FARMÁCIA</v>
      </c>
      <c r="C418" s="62" t="str">
        <f>IFERROR(__xludf.DUMMYFUNCTION("""COMPUTED_VALUE"""),"139.860.974-90")</f>
        <v>139.860.974-90</v>
      </c>
      <c r="D418" s="62" t="str">
        <f>IFERROR(__xludf.DUMMYFUNCTION("""COMPUTED_VALUE"""),"81 99383-9452")</f>
        <v>81 99383-9452</v>
      </c>
      <c r="E418" s="62" t="str">
        <f>IFERROR(__xludf.DUMMYFUNCTION("""COMPUTED_VALUE"""),"CARUARU")</f>
        <v>CARUARU</v>
      </c>
      <c r="F418" s="62" t="str">
        <f>IFERROR(__xludf.DUMMYFUNCTION("""COMPUTED_VALUE"""),"COOPERADO")</f>
        <v>COOPERADO</v>
      </c>
    </row>
    <row r="419">
      <c r="A419" s="62" t="str">
        <f>IFERROR(__xludf.DUMMYFUNCTION("""COMPUTED_VALUE"""),"LARISSA MICHELY DA SILVA VIEIRA")</f>
        <v>LARISSA MICHELY DA SILVA VIEIRA</v>
      </c>
      <c r="B419" s="62" t="str">
        <f>IFERROR(__xludf.DUMMYFUNCTION("""COMPUTED_VALUE"""),"Copeira")</f>
        <v>Copeira</v>
      </c>
      <c r="C419" s="62" t="str">
        <f>IFERROR(__xludf.DUMMYFUNCTION("""COMPUTED_VALUE"""),"134.390.074-30")</f>
        <v>134.390.074-30</v>
      </c>
      <c r="D419" s="62" t="str">
        <f>IFERROR(__xludf.DUMMYFUNCTION("""COMPUTED_VALUE"""),"8199352-8025")</f>
        <v>8199352-8025</v>
      </c>
      <c r="E419" s="62" t="str">
        <f>IFERROR(__xludf.DUMMYFUNCTION("""COMPUTED_VALUE"""),"CARUARU")</f>
        <v>CARUARU</v>
      </c>
      <c r="F419" s="62" t="str">
        <f>IFERROR(__xludf.DUMMYFUNCTION("""COMPUTED_VALUE"""),"COOPERADO")</f>
        <v>COOPERADO</v>
      </c>
    </row>
    <row r="420">
      <c r="A420" s="62" t="str">
        <f>IFERROR(__xludf.DUMMYFUNCTION("""COMPUTED_VALUE"""),"LARYSSA EMANUELLE DA S. MELO")</f>
        <v>LARYSSA EMANUELLE DA S. MELO</v>
      </c>
      <c r="B420" s="62" t="str">
        <f>IFERROR(__xludf.DUMMYFUNCTION("""COMPUTED_VALUE"""),"COPEIRA")</f>
        <v>COPEIRA</v>
      </c>
      <c r="C420" s="62" t="str">
        <f>IFERROR(__xludf.DUMMYFUNCTION("""COMPUTED_VALUE"""),"141.362.644-02")</f>
        <v>141.362.644-02</v>
      </c>
      <c r="D420" s="62" t="str">
        <f>IFERROR(__xludf.DUMMYFUNCTION("""COMPUTED_VALUE"""),"81 99400-0751")</f>
        <v>81 99400-0751</v>
      </c>
      <c r="E420" s="62" t="str">
        <f>IFERROR(__xludf.DUMMYFUNCTION("""COMPUTED_VALUE"""),"CARUARU")</f>
        <v>CARUARU</v>
      </c>
      <c r="F420" s="62" t="str">
        <f>IFERROR(__xludf.DUMMYFUNCTION("""COMPUTED_VALUE"""),"COOPERADO")</f>
        <v>COOPERADO</v>
      </c>
    </row>
    <row r="421">
      <c r="A421" s="62" t="str">
        <f>IFERROR(__xludf.DUMMYFUNCTION("""COMPUTED_VALUE"""),"LARYSSA MORGANA SILVA SANTOS")</f>
        <v>LARYSSA MORGANA SILVA SANTOS</v>
      </c>
      <c r="B421" s="62" t="str">
        <f>IFERROR(__xludf.DUMMYFUNCTION("""COMPUTED_VALUE"""),"TÉC. ENF. ")</f>
        <v>TÉC. ENF. </v>
      </c>
      <c r="C421" s="62" t="str">
        <f>IFERROR(__xludf.DUMMYFUNCTION("""COMPUTED_VALUE"""),"704.163.824-36")</f>
        <v>704.163.824-36</v>
      </c>
      <c r="D421" s="62" t="str">
        <f>IFERROR(__xludf.DUMMYFUNCTION("""COMPUTED_VALUE"""),"51 98065-6364")</f>
        <v>51 98065-6364</v>
      </c>
      <c r="E421" s="62" t="str">
        <f>IFERROR(__xludf.DUMMYFUNCTION("""COMPUTED_VALUE"""),"CARUARU")</f>
        <v>CARUARU</v>
      </c>
      <c r="F421" s="62" t="str">
        <f>IFERROR(__xludf.DUMMYFUNCTION("""COMPUTED_VALUE"""),"COOPERADO")</f>
        <v>COOPERADO</v>
      </c>
    </row>
    <row r="422">
      <c r="A422" s="62" t="str">
        <f>IFERROR(__xludf.DUMMYFUNCTION("""COMPUTED_VALUE"""),"LATOYA M. COSTA AMANCIO")</f>
        <v>LATOYA M. COSTA AMANCIO</v>
      </c>
      <c r="B422" s="62" t="str">
        <f>IFERROR(__xludf.DUMMYFUNCTION("""COMPUTED_VALUE"""),"TÉC. ENF")</f>
        <v>TÉC. ENF</v>
      </c>
      <c r="C422" s="62" t="str">
        <f>IFERROR(__xludf.DUMMYFUNCTION("""COMPUTED_VALUE"""),"703.603.984-13")</f>
        <v>703.603.984-13</v>
      </c>
      <c r="D422" s="62" t="str">
        <f>IFERROR(__xludf.DUMMYFUNCTION("""COMPUTED_VALUE"""),"81 99322-8777")</f>
        <v>81 99322-8777</v>
      </c>
      <c r="E422" s="62" t="str">
        <f>IFERROR(__xludf.DUMMYFUNCTION("""COMPUTED_VALUE"""),"CARUARU")</f>
        <v>CARUARU</v>
      </c>
      <c r="F422" s="62" t="str">
        <f>IFERROR(__xludf.DUMMYFUNCTION("""COMPUTED_VALUE"""),"COOPERADO")</f>
        <v>COOPERADO</v>
      </c>
    </row>
    <row r="423">
      <c r="A423" s="62" t="str">
        <f>IFERROR(__xludf.DUMMYFUNCTION("""COMPUTED_VALUE"""),"LAURA SOUZA MATOS")</f>
        <v>LAURA SOUZA MATOS</v>
      </c>
      <c r="B423" s="62" t="str">
        <f>IFERROR(__xludf.DUMMYFUNCTION("""COMPUTED_VALUE"""),"RECEPCIONISTA")</f>
        <v>RECEPCIONISTA</v>
      </c>
      <c r="C423" s="62" t="str">
        <f>IFERROR(__xludf.DUMMYFUNCTION("""COMPUTED_VALUE"""),"714.315.124-60")</f>
        <v>714.315.124-60</v>
      </c>
      <c r="D423" s="62" t="str">
        <f>IFERROR(__xludf.DUMMYFUNCTION("""COMPUTED_VALUE"""),"81 98918-1908")</f>
        <v>81 98918-1908</v>
      </c>
      <c r="E423" s="62" t="str">
        <f>IFERROR(__xludf.DUMMYFUNCTION("""COMPUTED_VALUE"""),"CARUARU")</f>
        <v>CARUARU</v>
      </c>
      <c r="F423" s="62" t="str">
        <f>IFERROR(__xludf.DUMMYFUNCTION("""COMPUTED_VALUE"""),"COOPERADO")</f>
        <v>COOPERADO</v>
      </c>
    </row>
    <row r="424">
      <c r="A424" s="62" t="str">
        <f>IFERROR(__xludf.DUMMYFUNCTION("""COMPUTED_VALUE"""),"LAVINIA ARAUJO DE PAULA")</f>
        <v>LAVINIA ARAUJO DE PAULA</v>
      </c>
      <c r="B424" s="62" t="str">
        <f>IFERROR(__xludf.DUMMYFUNCTION("""COMPUTED_VALUE"""),"AUX. DE ROUPARIA")</f>
        <v>AUX. DE ROUPARIA</v>
      </c>
      <c r="C424" s="62" t="str">
        <f>IFERROR(__xludf.DUMMYFUNCTION("""COMPUTED_VALUE"""),"707.794.364-07")</f>
        <v>707.794.364-07</v>
      </c>
      <c r="D424" s="62" t="str">
        <f>IFERROR(__xludf.DUMMYFUNCTION("""COMPUTED_VALUE"""),"81 99418-5518")</f>
        <v>81 99418-5518</v>
      </c>
      <c r="E424" s="62" t="str">
        <f>IFERROR(__xludf.DUMMYFUNCTION("""COMPUTED_VALUE"""),"CARUARU")</f>
        <v>CARUARU</v>
      </c>
      <c r="F424" s="62" t="str">
        <f>IFERROR(__xludf.DUMMYFUNCTION("""COMPUTED_VALUE"""),"COOPERADO")</f>
        <v>COOPERADO</v>
      </c>
    </row>
    <row r="425">
      <c r="A425" s="62" t="str">
        <f>IFERROR(__xludf.DUMMYFUNCTION("""COMPUTED_VALUE"""),"Leandra Josefa Dos Santos")</f>
        <v>Leandra Josefa Dos Santos</v>
      </c>
      <c r="B425" s="62" t="str">
        <f>IFERROR(__xludf.DUMMYFUNCTION("""COMPUTED_VALUE"""),"Enfermeiro(a)")</f>
        <v>Enfermeiro(a)</v>
      </c>
      <c r="C425" s="62" t="str">
        <f>IFERROR(__xludf.DUMMYFUNCTION("""COMPUTED_VALUE"""),"115.397.144-54")</f>
        <v>115.397.144-54</v>
      </c>
      <c r="D425" s="62" t="str">
        <f>IFERROR(__xludf.DUMMYFUNCTION("""COMPUTED_VALUE"""),"81 99181-4872")</f>
        <v>81 99181-4872</v>
      </c>
      <c r="E425" s="62" t="str">
        <f>IFERROR(__xludf.DUMMYFUNCTION("""COMPUTED_VALUE"""),"CARUARU")</f>
        <v>CARUARU</v>
      </c>
      <c r="F425" s="62" t="str">
        <f>IFERROR(__xludf.DUMMYFUNCTION("""COMPUTED_VALUE"""),"COOPERADO")</f>
        <v>COOPERADO</v>
      </c>
    </row>
    <row r="426">
      <c r="A426" s="62" t="str">
        <f>IFERROR(__xludf.DUMMYFUNCTION("""COMPUTED_VALUE"""),"Leda Priscila Dmitrov")</f>
        <v>Leda Priscila Dmitrov</v>
      </c>
      <c r="B426" s="62" t="str">
        <f>IFERROR(__xludf.DUMMYFUNCTION("""COMPUTED_VALUE"""),"Téc. Enf.")</f>
        <v>Téc. Enf.</v>
      </c>
      <c r="C426" s="62" t="str">
        <f>IFERROR(__xludf.DUMMYFUNCTION("""COMPUTED_VALUE"""),"074.243.844-90")</f>
        <v>074.243.844-90</v>
      </c>
      <c r="D426" s="62" t="str">
        <f>IFERROR(__xludf.DUMMYFUNCTION("""COMPUTED_VALUE"""),"81 99995-7525")</f>
        <v>81 99995-7525</v>
      </c>
      <c r="E426" s="62" t="str">
        <f>IFERROR(__xludf.DUMMYFUNCTION("""COMPUTED_VALUE"""),"CARUARU")</f>
        <v>CARUARU</v>
      </c>
      <c r="F426" s="62" t="str">
        <f>IFERROR(__xludf.DUMMYFUNCTION("""COMPUTED_VALUE"""),"COOPERADO")</f>
        <v>COOPERADO</v>
      </c>
    </row>
    <row r="427">
      <c r="A427" s="62" t="str">
        <f>IFERROR(__xludf.DUMMYFUNCTION("""COMPUTED_VALUE"""),"LEONARDO JOÃO NETO ")</f>
        <v>LEONARDO JOÃO NETO </v>
      </c>
      <c r="B427" s="62" t="str">
        <f>IFERROR(__xludf.DUMMYFUNCTION("""COMPUTED_VALUE"""),"TÉC. RADIOLOGIA ")</f>
        <v>TÉC. RADIOLOGIA </v>
      </c>
      <c r="C427" s="62" t="str">
        <f>IFERROR(__xludf.DUMMYFUNCTION("""COMPUTED_VALUE"""),"113.911.394-10")</f>
        <v>113.911.394-10</v>
      </c>
      <c r="D427" s="62" t="str">
        <f>IFERROR(__xludf.DUMMYFUNCTION("""COMPUTED_VALUE""")," 81 98227-4562")</f>
        <v> 81 98227-4562</v>
      </c>
      <c r="E427" s="62" t="str">
        <f>IFERROR(__xludf.DUMMYFUNCTION("""COMPUTED_VALUE"""),"CARUARU")</f>
        <v>CARUARU</v>
      </c>
      <c r="F427" s="62" t="str">
        <f>IFERROR(__xludf.DUMMYFUNCTION("""COMPUTED_VALUE"""),"COOPERADO")</f>
        <v>COOPERADO</v>
      </c>
    </row>
    <row r="428">
      <c r="A428" s="62" t="str">
        <f>IFERROR(__xludf.DUMMYFUNCTION("""COMPUTED_VALUE"""),"LETICIA BEATRIZ DA SILVA")</f>
        <v>LETICIA BEATRIZ DA SILVA</v>
      </c>
      <c r="B428" s="62" t="str">
        <f>IFERROR(__xludf.DUMMYFUNCTION("""COMPUTED_VALUE"""),"RECEPCIONISTA")</f>
        <v>RECEPCIONISTA</v>
      </c>
      <c r="C428" s="62" t="str">
        <f>IFERROR(__xludf.DUMMYFUNCTION("""COMPUTED_VALUE"""),"132.281.214-45")</f>
        <v>132.281.214-45</v>
      </c>
      <c r="D428" s="62" t="str">
        <f>IFERROR(__xludf.DUMMYFUNCTION("""COMPUTED_VALUE"""),"81 99683-4311")</f>
        <v>81 99683-4311</v>
      </c>
      <c r="E428" s="62" t="str">
        <f>IFERROR(__xludf.DUMMYFUNCTION("""COMPUTED_VALUE"""),"CARUARU")</f>
        <v>CARUARU</v>
      </c>
      <c r="F428" s="62" t="str">
        <f>IFERROR(__xludf.DUMMYFUNCTION("""COMPUTED_VALUE"""),"COOPERADO")</f>
        <v>COOPERADO</v>
      </c>
    </row>
    <row r="429">
      <c r="A429" s="62" t="str">
        <f>IFERROR(__xludf.DUMMYFUNCTION("""COMPUTED_VALUE"""),"LETICIA FERREIRA FEITOZA")</f>
        <v>LETICIA FERREIRA FEITOZA</v>
      </c>
      <c r="B429" s="62" t="str">
        <f>IFERROR(__xludf.DUMMYFUNCTION("""COMPUTED_VALUE"""),"COPEIRA")</f>
        <v>COPEIRA</v>
      </c>
      <c r="C429" s="62" t="str">
        <f>IFERROR(__xludf.DUMMYFUNCTION("""COMPUTED_VALUE"""),"100.522.054.95")</f>
        <v>100.522.054.95</v>
      </c>
      <c r="D429" s="62" t="str">
        <f>IFERROR(__xludf.DUMMYFUNCTION("""COMPUTED_VALUE"""),"81 99323-9780")</f>
        <v>81 99323-9780</v>
      </c>
      <c r="E429" s="62" t="str">
        <f>IFERROR(__xludf.DUMMYFUNCTION("""COMPUTED_VALUE"""),"CARUARU")</f>
        <v>CARUARU</v>
      </c>
      <c r="F429" s="62" t="str">
        <f>IFERROR(__xludf.DUMMYFUNCTION("""COMPUTED_VALUE"""),"COOPERADO")</f>
        <v>COOPERADO</v>
      </c>
    </row>
    <row r="430">
      <c r="A430" s="62" t="str">
        <f>IFERROR(__xludf.DUMMYFUNCTION("""COMPUTED_VALUE"""),"LETICIA LARISSA CARVALHO SANTOS")</f>
        <v>LETICIA LARISSA CARVALHO SANTOS</v>
      </c>
      <c r="B430" s="62" t="str">
        <f>IFERROR(__xludf.DUMMYFUNCTION("""COMPUTED_VALUE"""),"TÉC. ENF. ")</f>
        <v>TÉC. ENF. </v>
      </c>
      <c r="C430" s="62" t="str">
        <f>IFERROR(__xludf.DUMMYFUNCTION("""COMPUTED_VALUE"""),"129.814.654-22")</f>
        <v>129.814.654-22</v>
      </c>
      <c r="D430" s="62" t="str">
        <f>IFERROR(__xludf.DUMMYFUNCTION("""COMPUTED_VALUE"""),"81 99350-3088")</f>
        <v>81 99350-3088</v>
      </c>
      <c r="E430" s="62" t="str">
        <f>IFERROR(__xludf.DUMMYFUNCTION("""COMPUTED_VALUE"""),"CARUARU")</f>
        <v>CARUARU</v>
      </c>
      <c r="F430" s="62" t="str">
        <f>IFERROR(__xludf.DUMMYFUNCTION("""COMPUTED_VALUE"""),"COOPERADO")</f>
        <v>COOPERADO</v>
      </c>
    </row>
    <row r="431">
      <c r="A431" s="62" t="str">
        <f>IFERROR(__xludf.DUMMYFUNCTION("""COMPUTED_VALUE"""),"LETICIA MAXIMIANO DA SILVA")</f>
        <v>LETICIA MAXIMIANO DA SILVA</v>
      </c>
      <c r="B431" s="62" t="str">
        <f>IFERROR(__xludf.DUMMYFUNCTION("""COMPUTED_VALUE"""),"ENFERMEIRO (A)")</f>
        <v>ENFERMEIRO (A)</v>
      </c>
      <c r="C431" s="62" t="str">
        <f>IFERROR(__xludf.DUMMYFUNCTION("""COMPUTED_VALUE"""),"130.989.444-20")</f>
        <v>130.989.444-20</v>
      </c>
      <c r="D431" s="62" t="str">
        <f>IFERROR(__xludf.DUMMYFUNCTION("""COMPUTED_VALUE"""),"81 99293-9687")</f>
        <v>81 99293-9687</v>
      </c>
      <c r="E431" s="62" t="str">
        <f>IFERROR(__xludf.DUMMYFUNCTION("""COMPUTED_VALUE"""),"CARUARU")</f>
        <v>CARUARU</v>
      </c>
      <c r="F431" s="62" t="str">
        <f>IFERROR(__xludf.DUMMYFUNCTION("""COMPUTED_VALUE"""),"COOPERADO")</f>
        <v>COOPERADO</v>
      </c>
    </row>
    <row r="432">
      <c r="A432" s="62" t="str">
        <f>IFERROR(__xludf.DUMMYFUNCTION("""COMPUTED_VALUE"""),"LILIAN DE ALMEIDA SANTOS")</f>
        <v>LILIAN DE ALMEIDA SANTOS</v>
      </c>
      <c r="B432" s="62" t="str">
        <f>IFERROR(__xludf.DUMMYFUNCTION("""COMPUTED_VALUE"""),"COPEIRA")</f>
        <v>COPEIRA</v>
      </c>
      <c r="C432" s="62" t="str">
        <f>IFERROR(__xludf.DUMMYFUNCTION("""COMPUTED_VALUE"""),"087.732.774-28")</f>
        <v>087.732.774-28</v>
      </c>
      <c r="D432" s="62" t="str">
        <f>IFERROR(__xludf.DUMMYFUNCTION("""COMPUTED_VALUE"""),"8199182-4406")</f>
        <v>8199182-4406</v>
      </c>
      <c r="E432" s="62" t="str">
        <f>IFERROR(__xludf.DUMMYFUNCTION("""COMPUTED_VALUE"""),"CARUARU")</f>
        <v>CARUARU</v>
      </c>
      <c r="F432" s="62" t="str">
        <f>IFERROR(__xludf.DUMMYFUNCTION("""COMPUTED_VALUE"""),"COOPERADO")</f>
        <v>COOPERADO</v>
      </c>
    </row>
    <row r="433">
      <c r="A433" s="62" t="str">
        <f>IFERROR(__xludf.DUMMYFUNCTION("""COMPUTED_VALUE"""),"LILIANE MARIA DO NASCIMENTO")</f>
        <v>LILIANE MARIA DO NASCIMENTO</v>
      </c>
      <c r="B433" s="62" t="str">
        <f>IFERROR(__xludf.DUMMYFUNCTION("""COMPUTED_VALUE"""),"AUX DE HIGIENIZAÇÃO")</f>
        <v>AUX DE HIGIENIZAÇÃO</v>
      </c>
      <c r="C433" s="62" t="str">
        <f>IFERROR(__xludf.DUMMYFUNCTION("""COMPUTED_VALUE"""),"088.849.564-12")</f>
        <v>088.849.564-12</v>
      </c>
      <c r="D433" s="62" t="str">
        <f>IFERROR(__xludf.DUMMYFUNCTION("""COMPUTED_VALUE"""),"81 99846-9212")</f>
        <v>81 99846-9212</v>
      </c>
      <c r="E433" s="62" t="str">
        <f>IFERROR(__xludf.DUMMYFUNCTION("""COMPUTED_VALUE"""),"CARUARU")</f>
        <v>CARUARU</v>
      </c>
      <c r="F433" s="62" t="str">
        <f>IFERROR(__xludf.DUMMYFUNCTION("""COMPUTED_VALUE"""),"COOPERADO")</f>
        <v>COOPERADO</v>
      </c>
    </row>
    <row r="434">
      <c r="A434" s="62" t="str">
        <f>IFERROR(__xludf.DUMMYFUNCTION("""COMPUTED_VALUE"""),"LINDINALDO ZACARIAS")</f>
        <v>LINDINALDO ZACARIAS</v>
      </c>
      <c r="B434" s="62" t="str">
        <f>IFERROR(__xludf.DUMMYFUNCTION("""COMPUTED_VALUE"""),"AUX. DE FARMÁCIA")</f>
        <v>AUX. DE FARMÁCIA</v>
      </c>
      <c r="C434" s="62" t="str">
        <f>IFERROR(__xludf.DUMMYFUNCTION("""COMPUTED_VALUE"""),"115.434.804-03")</f>
        <v>115.434.804-03</v>
      </c>
      <c r="D434" s="62" t="str">
        <f>IFERROR(__xludf.DUMMYFUNCTION("""COMPUTED_VALUE"""),"81 99691-1032")</f>
        <v>81 99691-1032</v>
      </c>
      <c r="E434" s="62" t="str">
        <f>IFERROR(__xludf.DUMMYFUNCTION("""COMPUTED_VALUE"""),"CARUARU")</f>
        <v>CARUARU</v>
      </c>
      <c r="F434" s="62" t="str">
        <f>IFERROR(__xludf.DUMMYFUNCTION("""COMPUTED_VALUE"""),"COOPERADO")</f>
        <v>COOPERADO</v>
      </c>
    </row>
    <row r="435">
      <c r="A435" s="62" t="str">
        <f>IFERROR(__xludf.DUMMYFUNCTION("""COMPUTED_VALUE"""),"LINDINEIDE SILVA DE ALMEIDA")</f>
        <v>LINDINEIDE SILVA DE ALMEIDA</v>
      </c>
      <c r="B435" s="62" t="str">
        <f>IFERROR(__xludf.DUMMYFUNCTION("""COMPUTED_VALUE"""),"TÉC. ENF")</f>
        <v>TÉC. ENF</v>
      </c>
      <c r="C435" s="62" t="str">
        <f>IFERROR(__xludf.DUMMYFUNCTION("""COMPUTED_VALUE"""),"213.996.204-44")</f>
        <v>213.996.204-44</v>
      </c>
      <c r="D435" s="62" t="str">
        <f>IFERROR(__xludf.DUMMYFUNCTION("""COMPUTED_VALUE"""),"81 99186-2886")</f>
        <v>81 99186-2886</v>
      </c>
      <c r="E435" s="62" t="str">
        <f>IFERROR(__xludf.DUMMYFUNCTION("""COMPUTED_VALUE"""),"CARUARU")</f>
        <v>CARUARU</v>
      </c>
      <c r="F435" s="62" t="str">
        <f>IFERROR(__xludf.DUMMYFUNCTION("""COMPUTED_VALUE"""),"COOPERADO")</f>
        <v>COOPERADO</v>
      </c>
    </row>
    <row r="436">
      <c r="A436" s="62" t="str">
        <f>IFERROR(__xludf.DUMMYFUNCTION("""COMPUTED_VALUE"""),"LINDIVANIA PEREIRA DE BARROS")</f>
        <v>LINDIVANIA PEREIRA DE BARROS</v>
      </c>
      <c r="B436" s="62" t="str">
        <f>IFERROR(__xludf.DUMMYFUNCTION("""COMPUTED_VALUE"""),"AUX. DE HIGIENIZAÇÃO")</f>
        <v>AUX. DE HIGIENIZAÇÃO</v>
      </c>
      <c r="C436" s="62" t="str">
        <f>IFERROR(__xludf.DUMMYFUNCTION("""COMPUTED_VALUE"""),"034.932.924-90")</f>
        <v>034.932.924-90</v>
      </c>
      <c r="D436" s="62" t="str">
        <f>IFERROR(__xludf.DUMMYFUNCTION("""COMPUTED_VALUE"""),"81 99480-4786")</f>
        <v>81 99480-4786</v>
      </c>
      <c r="E436" s="62" t="str">
        <f>IFERROR(__xludf.DUMMYFUNCTION("""COMPUTED_VALUE"""),"CARUARU")</f>
        <v>CARUARU</v>
      </c>
      <c r="F436" s="62" t="str">
        <f>IFERROR(__xludf.DUMMYFUNCTION("""COMPUTED_VALUE"""),"COOPERADO")</f>
        <v>COOPERADO</v>
      </c>
    </row>
    <row r="437">
      <c r="A437" s="62" t="str">
        <f>IFERROR(__xludf.DUMMYFUNCTION("""COMPUTED_VALUE"""),"LIVIA ANGELINA DOS SANTOS")</f>
        <v>LIVIA ANGELINA DOS SANTOS</v>
      </c>
      <c r="B437" s="62" t="str">
        <f>IFERROR(__xludf.DUMMYFUNCTION("""COMPUTED_VALUE"""),"AUXILIAR DE FARMÁCIA")</f>
        <v>AUXILIAR DE FARMÁCIA</v>
      </c>
      <c r="C437" s="62" t="str">
        <f>IFERROR(__xludf.DUMMYFUNCTION("""COMPUTED_VALUE"""),"122.127.344-25")</f>
        <v>122.127.344-25</v>
      </c>
      <c r="D437" s="62" t="str">
        <f>IFERROR(__xludf.DUMMYFUNCTION("""COMPUTED_VALUE"""),"81 99158-1862")</f>
        <v>81 99158-1862</v>
      </c>
      <c r="E437" s="62" t="str">
        <f>IFERROR(__xludf.DUMMYFUNCTION("""COMPUTED_VALUE"""),"CARUARU")</f>
        <v>CARUARU</v>
      </c>
      <c r="F437" s="62" t="str">
        <f>IFERROR(__xludf.DUMMYFUNCTION("""COMPUTED_VALUE"""),"COOPERADO")</f>
        <v>COOPERADO</v>
      </c>
    </row>
    <row r="438">
      <c r="A438" s="62" t="str">
        <f>IFERROR(__xludf.DUMMYFUNCTION("""COMPUTED_VALUE"""),"Luana Cordeiro Chagas de Lima")</f>
        <v>Luana Cordeiro Chagas de Lima</v>
      </c>
      <c r="B438" s="62" t="str">
        <f>IFERROR(__xludf.DUMMYFUNCTION("""COMPUTED_VALUE"""),"Fisioterapeuta")</f>
        <v>Fisioterapeuta</v>
      </c>
      <c r="C438" s="62" t="str">
        <f>IFERROR(__xludf.DUMMYFUNCTION("""COMPUTED_VALUE"""),"109.948.774-98")</f>
        <v>109.948.774-98</v>
      </c>
      <c r="D438" s="62" t="str">
        <f>IFERROR(__xludf.DUMMYFUNCTION("""COMPUTED_VALUE"""),"81 99836-0594")</f>
        <v>81 99836-0594</v>
      </c>
      <c r="E438" s="62" t="str">
        <f>IFERROR(__xludf.DUMMYFUNCTION("""COMPUTED_VALUE"""),"CARUARU")</f>
        <v>CARUARU</v>
      </c>
      <c r="F438" s="62" t="str">
        <f>IFERROR(__xludf.DUMMYFUNCTION("""COMPUTED_VALUE"""),"COOPERADO")</f>
        <v>COOPERADO</v>
      </c>
    </row>
    <row r="439">
      <c r="A439" s="62" t="str">
        <f>IFERROR(__xludf.DUMMYFUNCTION("""COMPUTED_VALUE"""),"LUANA MARIA DA SILVA CLEMENTE")</f>
        <v>LUANA MARIA DA SILVA CLEMENTE</v>
      </c>
      <c r="B439" s="62" t="str">
        <f>IFERROR(__xludf.DUMMYFUNCTION("""COMPUTED_VALUE"""),"TÉC. ENF")</f>
        <v>TÉC. ENF</v>
      </c>
      <c r="C439" s="62" t="str">
        <f>IFERROR(__xludf.DUMMYFUNCTION("""COMPUTED_VALUE"""),"063.410.644-97")</f>
        <v>063.410.644-97</v>
      </c>
      <c r="D439" s="62" t="str">
        <f>IFERROR(__xludf.DUMMYFUNCTION("""COMPUTED_VALUE"""),"81 99637-5472")</f>
        <v>81 99637-5472</v>
      </c>
      <c r="E439" s="62" t="str">
        <f>IFERROR(__xludf.DUMMYFUNCTION("""COMPUTED_VALUE"""),"CARUARU")</f>
        <v>CARUARU</v>
      </c>
      <c r="F439" s="62" t="str">
        <f>IFERROR(__xludf.DUMMYFUNCTION("""COMPUTED_VALUE"""),"COOPERADO")</f>
        <v>COOPERADO</v>
      </c>
    </row>
    <row r="440">
      <c r="A440" s="62" t="str">
        <f>IFERROR(__xludf.DUMMYFUNCTION("""COMPUTED_VALUE"""),"LUANA SANTO SILVA")</f>
        <v>LUANA SANTO SILVA</v>
      </c>
      <c r="B440" s="62" t="str">
        <f>IFERROR(__xludf.DUMMYFUNCTION("""COMPUTED_VALUE"""),"RECEPCIONISTA")</f>
        <v>RECEPCIONISTA</v>
      </c>
      <c r="C440" s="62" t="str">
        <f>IFERROR(__xludf.DUMMYFUNCTION("""COMPUTED_VALUE"""),"100.433.524-56")</f>
        <v>100.433.524-56</v>
      </c>
      <c r="D440" s="62" t="str">
        <f>IFERROR(__xludf.DUMMYFUNCTION("""COMPUTED_VALUE"""),"81 97104-3239")</f>
        <v>81 97104-3239</v>
      </c>
      <c r="E440" s="62" t="str">
        <f>IFERROR(__xludf.DUMMYFUNCTION("""COMPUTED_VALUE"""),"CARUARU")</f>
        <v>CARUARU</v>
      </c>
      <c r="F440" s="62" t="str">
        <f>IFERROR(__xludf.DUMMYFUNCTION("""COMPUTED_VALUE"""),"COOPERADO")</f>
        <v>COOPERADO</v>
      </c>
    </row>
    <row r="441">
      <c r="A441" s="62" t="str">
        <f>IFERROR(__xludf.DUMMYFUNCTION("""COMPUTED_VALUE"""),"LUCAS AUGUSTO DE MELO LIMA")</f>
        <v>LUCAS AUGUSTO DE MELO LIMA</v>
      </c>
      <c r="B441" s="62" t="str">
        <f>IFERROR(__xludf.DUMMYFUNCTION("""COMPUTED_VALUE"""),"PORTEIRO")</f>
        <v>PORTEIRO</v>
      </c>
      <c r="C441" s="62" t="str">
        <f>IFERROR(__xludf.DUMMYFUNCTION("""COMPUTED_VALUE"""),"702.226.114-80")</f>
        <v>702.226.114-80</v>
      </c>
      <c r="D441" s="62" t="str">
        <f>IFERROR(__xludf.DUMMYFUNCTION("""COMPUTED_VALUE"""),"81 99162-0430")</f>
        <v>81 99162-0430</v>
      </c>
      <c r="E441" s="62" t="str">
        <f>IFERROR(__xludf.DUMMYFUNCTION("""COMPUTED_VALUE"""),"CARUARU")</f>
        <v>CARUARU</v>
      </c>
      <c r="F441" s="62" t="str">
        <f>IFERROR(__xludf.DUMMYFUNCTION("""COMPUTED_VALUE"""),"COOPERADO")</f>
        <v>COOPERADO</v>
      </c>
    </row>
    <row r="442">
      <c r="A442" s="62" t="str">
        <f>IFERROR(__xludf.DUMMYFUNCTION("""COMPUTED_VALUE"""),"LUCAS CAVALCANTE DA SILVA")</f>
        <v>LUCAS CAVALCANTE DA SILVA</v>
      </c>
      <c r="B442" s="62" t="str">
        <f>IFERROR(__xludf.DUMMYFUNCTION("""COMPUTED_VALUE"""),"AUX. DE HIGIENIZAÇÃO")</f>
        <v>AUX. DE HIGIENIZAÇÃO</v>
      </c>
      <c r="C442" s="62" t="str">
        <f>IFERROR(__xludf.DUMMYFUNCTION("""COMPUTED_VALUE"""),"015.022.334-01")</f>
        <v>015.022.334-01</v>
      </c>
      <c r="D442" s="62" t="str">
        <f>IFERROR(__xludf.DUMMYFUNCTION("""COMPUTED_VALUE"""),"81 99900-7233")</f>
        <v>81 99900-7233</v>
      </c>
      <c r="E442" s="62" t="str">
        <f>IFERROR(__xludf.DUMMYFUNCTION("""COMPUTED_VALUE"""),"CARUARU")</f>
        <v>CARUARU</v>
      </c>
      <c r="F442" s="62" t="str">
        <f>IFERROR(__xludf.DUMMYFUNCTION("""COMPUTED_VALUE"""),"COOPERADO")</f>
        <v>COOPERADO</v>
      </c>
    </row>
    <row r="443">
      <c r="A443" s="62" t="str">
        <f>IFERROR(__xludf.DUMMYFUNCTION("""COMPUTED_VALUE"""),"LUCAS DE MELO MOURA")</f>
        <v>LUCAS DE MELO MOURA</v>
      </c>
      <c r="B443" s="62" t="str">
        <f>IFERROR(__xludf.DUMMYFUNCTION("""COMPUTED_VALUE"""),"AUX. DE ROUPARIA")</f>
        <v>AUX. DE ROUPARIA</v>
      </c>
      <c r="C443" s="62" t="str">
        <f>IFERROR(__xludf.DUMMYFUNCTION("""COMPUTED_VALUE"""),"114.981.974-00")</f>
        <v>114.981.974-00</v>
      </c>
      <c r="D443" s="62" t="str">
        <f>IFERROR(__xludf.DUMMYFUNCTION("""COMPUTED_VALUE"""),"81 98990-6391")</f>
        <v>81 98990-6391</v>
      </c>
      <c r="E443" s="62" t="str">
        <f>IFERROR(__xludf.DUMMYFUNCTION("""COMPUTED_VALUE"""),"CARUARU")</f>
        <v>CARUARU</v>
      </c>
      <c r="F443" s="62" t="str">
        <f>IFERROR(__xludf.DUMMYFUNCTION("""COMPUTED_VALUE"""),"COOPERADO")</f>
        <v>COOPERADO</v>
      </c>
    </row>
    <row r="444">
      <c r="A444" s="62" t="str">
        <f>IFERROR(__xludf.DUMMYFUNCTION("""COMPUTED_VALUE"""),"LUCAS HENRIQUE DOS SANTOS SILVA")</f>
        <v>LUCAS HENRIQUE DOS SANTOS SILVA</v>
      </c>
      <c r="B444" s="62" t="str">
        <f>IFERROR(__xludf.DUMMYFUNCTION("""COMPUTED_VALUE"""),"ASSISTENTE ADMINISTRATIVO")</f>
        <v>ASSISTENTE ADMINISTRATIVO</v>
      </c>
      <c r="C444" s="62" t="str">
        <f>IFERROR(__xludf.DUMMYFUNCTION("""COMPUTED_VALUE"""),"040.237.522-07")</f>
        <v>040.237.522-07</v>
      </c>
      <c r="D444" s="62" t="str">
        <f>IFERROR(__xludf.DUMMYFUNCTION("""COMPUTED_VALUE"""),"69 98413-3622")</f>
        <v>69 98413-3622</v>
      </c>
      <c r="E444" s="62" t="str">
        <f>IFERROR(__xludf.DUMMYFUNCTION("""COMPUTED_VALUE"""),"CARUARU")</f>
        <v>CARUARU</v>
      </c>
      <c r="F444" s="62" t="str">
        <f>IFERROR(__xludf.DUMMYFUNCTION("""COMPUTED_VALUE"""),"COOPERADO")</f>
        <v>COOPERADO</v>
      </c>
    </row>
    <row r="445">
      <c r="A445" s="62" t="str">
        <f>IFERROR(__xludf.DUMMYFUNCTION("""COMPUTED_VALUE"""),"LUCAS MATEUS AFONSO FERREIRA")</f>
        <v>LUCAS MATEUS AFONSO FERREIRA</v>
      </c>
      <c r="B445" s="62" t="str">
        <f>IFERROR(__xludf.DUMMYFUNCTION("""COMPUTED_VALUE"""),"AUX. DE FARMÁCIA")</f>
        <v>AUX. DE FARMÁCIA</v>
      </c>
      <c r="C445" s="62" t="str">
        <f>IFERROR(__xludf.DUMMYFUNCTION("""COMPUTED_VALUE"""),"136.007.424-42")</f>
        <v>136.007.424-42</v>
      </c>
      <c r="D445" s="62" t="str">
        <f>IFERROR(__xludf.DUMMYFUNCTION("""COMPUTED_VALUE"""),"82 99650-9902")</f>
        <v>82 99650-9902</v>
      </c>
      <c r="E445" s="62" t="str">
        <f>IFERROR(__xludf.DUMMYFUNCTION("""COMPUTED_VALUE"""),"CARUARU")</f>
        <v>CARUARU</v>
      </c>
      <c r="F445" s="62" t="str">
        <f>IFERROR(__xludf.DUMMYFUNCTION("""COMPUTED_VALUE"""),"COOPERADO")</f>
        <v>COOPERADO</v>
      </c>
    </row>
    <row r="446">
      <c r="A446" s="62" t="str">
        <f>IFERROR(__xludf.DUMMYFUNCTION("""COMPUTED_VALUE"""),"Lucas Mendonça da Silva Falcão Oliveira")</f>
        <v>Lucas Mendonça da Silva Falcão Oliveira</v>
      </c>
      <c r="B446" s="62" t="str">
        <f>IFERROR(__xludf.DUMMYFUNCTION("""COMPUTED_VALUE"""),"Farmacêutico(a)")</f>
        <v>Farmacêutico(a)</v>
      </c>
      <c r="C446" s="62" t="str">
        <f>IFERROR(__xludf.DUMMYFUNCTION("""COMPUTED_VALUE"""),"703.941.964-57")</f>
        <v>703.941.964-57</v>
      </c>
      <c r="D446" s="62" t="str">
        <f>IFERROR(__xludf.DUMMYFUNCTION("""COMPUTED_VALUE"""),"81 99466-2506")</f>
        <v>81 99466-2506</v>
      </c>
      <c r="E446" s="62" t="str">
        <f>IFERROR(__xludf.DUMMYFUNCTION("""COMPUTED_VALUE"""),"CARUARU")</f>
        <v>CARUARU</v>
      </c>
      <c r="F446" s="62" t="str">
        <f>IFERROR(__xludf.DUMMYFUNCTION("""COMPUTED_VALUE"""),"COOPERADO")</f>
        <v>COOPERADO</v>
      </c>
    </row>
    <row r="447">
      <c r="A447" s="62" t="str">
        <f>IFERROR(__xludf.DUMMYFUNCTION("""COMPUTED_VALUE"""),"LUCENILDA LIMA")</f>
        <v>LUCENILDA LIMA</v>
      </c>
      <c r="B447" s="62" t="str">
        <f>IFERROR(__xludf.DUMMYFUNCTION("""COMPUTED_VALUE"""),"AUX. DE HIGIENIZAÇÃO")</f>
        <v>AUX. DE HIGIENIZAÇÃO</v>
      </c>
      <c r="C447" s="62" t="str">
        <f>IFERROR(__xludf.DUMMYFUNCTION("""COMPUTED_VALUE"""),"073.405.874-89")</f>
        <v>073.405.874-89</v>
      </c>
      <c r="D447" s="62" t="str">
        <f>IFERROR(__xludf.DUMMYFUNCTION("""COMPUTED_VALUE"""),"81 99376-4767")</f>
        <v>81 99376-4767</v>
      </c>
      <c r="E447" s="62" t="str">
        <f>IFERROR(__xludf.DUMMYFUNCTION("""COMPUTED_VALUE"""),"CARUARU")</f>
        <v>CARUARU</v>
      </c>
      <c r="F447" s="62" t="str">
        <f>IFERROR(__xludf.DUMMYFUNCTION("""COMPUTED_VALUE"""),"COOPERADO")</f>
        <v>COOPERADO</v>
      </c>
    </row>
    <row r="448">
      <c r="A448" s="62" t="str">
        <f>IFERROR(__xludf.DUMMYFUNCTION("""COMPUTED_VALUE"""),"LUCIANA ALCANTARA DA SILVA")</f>
        <v>LUCIANA ALCANTARA DA SILVA</v>
      </c>
      <c r="B448" s="62" t="str">
        <f>IFERROR(__xludf.DUMMYFUNCTION("""COMPUTED_VALUE"""),"RECEPCIONISTA")</f>
        <v>RECEPCIONISTA</v>
      </c>
      <c r="C448" s="62" t="str">
        <f>IFERROR(__xludf.DUMMYFUNCTION("""COMPUTED_VALUE"""),"030.744.263-22")</f>
        <v>030.744.263-22</v>
      </c>
      <c r="D448" s="62" t="str">
        <f>IFERROR(__xludf.DUMMYFUNCTION("""COMPUTED_VALUE"""),"8199235-3363")</f>
        <v>8199235-3363</v>
      </c>
      <c r="E448" s="62" t="str">
        <f>IFERROR(__xludf.DUMMYFUNCTION("""COMPUTED_VALUE"""),"CARUARU")</f>
        <v>CARUARU</v>
      </c>
      <c r="F448" s="62" t="str">
        <f>IFERROR(__xludf.DUMMYFUNCTION("""COMPUTED_VALUE"""),"COOPERADO")</f>
        <v>COOPERADO</v>
      </c>
    </row>
    <row r="449">
      <c r="A449" s="62" t="str">
        <f>IFERROR(__xludf.DUMMYFUNCTION("""COMPUTED_VALUE"""),"LUCIANA CRISTINA DA SILVA")</f>
        <v>LUCIANA CRISTINA DA SILVA</v>
      </c>
      <c r="B449" s="62" t="str">
        <f>IFERROR(__xludf.DUMMYFUNCTION("""COMPUTED_VALUE"""),"ENFERMEIRO (A)")</f>
        <v>ENFERMEIRO (A)</v>
      </c>
      <c r="C449" s="62" t="str">
        <f>IFERROR(__xludf.DUMMYFUNCTION("""COMPUTED_VALUE"""),"034.172.794-61")</f>
        <v>034.172.794-61</v>
      </c>
      <c r="D449" s="62" t="str">
        <f>IFERROR(__xludf.DUMMYFUNCTION("""COMPUTED_VALUE"""),"81 98180-8643")</f>
        <v>81 98180-8643</v>
      </c>
      <c r="E449" s="62" t="str">
        <f>IFERROR(__xludf.DUMMYFUNCTION("""COMPUTED_VALUE"""),"CARUARU")</f>
        <v>CARUARU</v>
      </c>
      <c r="F449" s="62" t="str">
        <f>IFERROR(__xludf.DUMMYFUNCTION("""COMPUTED_VALUE"""),"COOPERADO")</f>
        <v>COOPERADO</v>
      </c>
    </row>
    <row r="450">
      <c r="A450" s="62" t="str">
        <f>IFERROR(__xludf.DUMMYFUNCTION("""COMPUTED_VALUE"""),"LUCIANA FERREIRA DA PAZ")</f>
        <v>LUCIANA FERREIRA DA PAZ</v>
      </c>
      <c r="B450" s="62" t="str">
        <f>IFERROR(__xludf.DUMMYFUNCTION("""COMPUTED_VALUE"""),"RECEPCIONISTA")</f>
        <v>RECEPCIONISTA</v>
      </c>
      <c r="C450" s="62" t="str">
        <f>IFERROR(__xludf.DUMMYFUNCTION("""COMPUTED_VALUE"""),"890.393.944-15")</f>
        <v>890.393.944-15</v>
      </c>
      <c r="D450" s="62" t="str">
        <f>IFERROR(__xludf.DUMMYFUNCTION("""COMPUTED_VALUE"""),"81 99675-3814")</f>
        <v>81 99675-3814</v>
      </c>
      <c r="E450" s="62" t="str">
        <f>IFERROR(__xludf.DUMMYFUNCTION("""COMPUTED_VALUE"""),"CARUARU")</f>
        <v>CARUARU</v>
      </c>
      <c r="F450" s="62" t="str">
        <f>IFERROR(__xludf.DUMMYFUNCTION("""COMPUTED_VALUE"""),"COOPERADO")</f>
        <v>COOPERADO</v>
      </c>
    </row>
    <row r="451">
      <c r="A451" s="62" t="str">
        <f>IFERROR(__xludf.DUMMYFUNCTION("""COMPUTED_VALUE"""),"LUCIANA FILIZOLA NOGUEIRA")</f>
        <v>LUCIANA FILIZOLA NOGUEIRA</v>
      </c>
      <c r="B451" s="62" t="str">
        <f>IFERROR(__xludf.DUMMYFUNCTION("""COMPUTED_VALUE"""),"TÉC.ENFERMAGEM")</f>
        <v>TÉC.ENFERMAGEM</v>
      </c>
      <c r="C451" s="62" t="str">
        <f>IFERROR(__xludf.DUMMYFUNCTION("""COMPUTED_VALUE"""),"089.538.394-24")</f>
        <v>089.538.394-24</v>
      </c>
      <c r="D451" s="62" t="str">
        <f>IFERROR(__xludf.DUMMYFUNCTION("""COMPUTED_VALUE"""),"81 99898-7177")</f>
        <v>81 99898-7177</v>
      </c>
      <c r="E451" s="62" t="str">
        <f>IFERROR(__xludf.DUMMYFUNCTION("""COMPUTED_VALUE"""),"CARUARU")</f>
        <v>CARUARU</v>
      </c>
      <c r="F451" s="62" t="str">
        <f>IFERROR(__xludf.DUMMYFUNCTION("""COMPUTED_VALUE"""),"COOPERADO")</f>
        <v>COOPERADO</v>
      </c>
    </row>
    <row r="452">
      <c r="A452" s="62" t="str">
        <f>IFERROR(__xludf.DUMMYFUNCTION("""COMPUTED_VALUE"""),"LUCIANA NOBERTO DA SILVA")</f>
        <v>LUCIANA NOBERTO DA SILVA</v>
      </c>
      <c r="B452" s="62" t="str">
        <f>IFERROR(__xludf.DUMMYFUNCTION("""COMPUTED_VALUE"""),"Téc. Enfermagem")</f>
        <v>Téc. Enfermagem</v>
      </c>
      <c r="C452" s="62" t="str">
        <f>IFERROR(__xludf.DUMMYFUNCTION("""COMPUTED_VALUE"""),"065.174.174-27")</f>
        <v>065.174.174-27</v>
      </c>
      <c r="D452" s="62" t="str">
        <f>IFERROR(__xludf.DUMMYFUNCTION("""COMPUTED_VALUE"""),"14 98218-5191")</f>
        <v>14 98218-5191</v>
      </c>
      <c r="E452" s="62" t="str">
        <f>IFERROR(__xludf.DUMMYFUNCTION("""COMPUTED_VALUE"""),"CARUARU")</f>
        <v>CARUARU</v>
      </c>
      <c r="F452" s="62" t="str">
        <f>IFERROR(__xludf.DUMMYFUNCTION("""COMPUTED_VALUE"""),"COOPERADO")</f>
        <v>COOPERADO</v>
      </c>
    </row>
    <row r="453">
      <c r="A453" s="62" t="str">
        <f>IFERROR(__xludf.DUMMYFUNCTION("""COMPUTED_VALUE"""),"LUCIANA SOUZA LIMA")</f>
        <v>LUCIANA SOUZA LIMA</v>
      </c>
      <c r="B453" s="62" t="str">
        <f>IFERROR(__xludf.DUMMYFUNCTION("""COMPUTED_VALUE"""),"ASSISTENTE ADMINISTRATIVO")</f>
        <v>ASSISTENTE ADMINISTRATIVO</v>
      </c>
      <c r="C453" s="62" t="str">
        <f>IFERROR(__xludf.DUMMYFUNCTION("""COMPUTED_VALUE"""),"050.864.874-20")</f>
        <v>050.864.874-20</v>
      </c>
      <c r="D453" s="62" t="str">
        <f>IFERROR(__xludf.DUMMYFUNCTION("""COMPUTED_VALUE"""),"81 99657-4188")</f>
        <v>81 99657-4188</v>
      </c>
      <c r="E453" s="62" t="str">
        <f>IFERROR(__xludf.DUMMYFUNCTION("""COMPUTED_VALUE"""),"CARUARU")</f>
        <v>CARUARU</v>
      </c>
      <c r="F453" s="62" t="str">
        <f>IFERROR(__xludf.DUMMYFUNCTION("""COMPUTED_VALUE"""),"COOPERADO")</f>
        <v>COOPERADO</v>
      </c>
    </row>
    <row r="454">
      <c r="A454" s="62" t="str">
        <f>IFERROR(__xludf.DUMMYFUNCTION("""COMPUTED_VALUE"""),"Lucicleide De A. Souza")</f>
        <v>Lucicleide De A. Souza</v>
      </c>
      <c r="B454" s="62" t="str">
        <f>IFERROR(__xludf.DUMMYFUNCTION("""COMPUTED_VALUE"""),"Téc. Enf.")</f>
        <v>Téc. Enf.</v>
      </c>
      <c r="C454" s="62" t="str">
        <f>IFERROR(__xludf.DUMMYFUNCTION("""COMPUTED_VALUE"""),"062.500.964-93")</f>
        <v>062.500.964-93</v>
      </c>
      <c r="D454" s="62" t="str">
        <f>IFERROR(__xludf.DUMMYFUNCTION("""COMPUTED_VALUE""")," 81 99636-3374")</f>
        <v> 81 99636-3374</v>
      </c>
      <c r="E454" s="62" t="str">
        <f>IFERROR(__xludf.DUMMYFUNCTION("""COMPUTED_VALUE"""),"CARUARU")</f>
        <v>CARUARU</v>
      </c>
      <c r="F454" s="62" t="str">
        <f>IFERROR(__xludf.DUMMYFUNCTION("""COMPUTED_VALUE"""),"COOPERADO")</f>
        <v>COOPERADO</v>
      </c>
    </row>
    <row r="455">
      <c r="A455" s="62" t="str">
        <f>IFERROR(__xludf.DUMMYFUNCTION("""COMPUTED_VALUE"""),"LUCICLEIDE FERREIRA LINS")</f>
        <v>LUCICLEIDE FERREIRA LINS</v>
      </c>
      <c r="B455" s="62" t="str">
        <f>IFERROR(__xludf.DUMMYFUNCTION("""COMPUTED_VALUE"""),"TÉC.ENFERMAGEM")</f>
        <v>TÉC.ENFERMAGEM</v>
      </c>
      <c r="C455" s="62" t="str">
        <f>IFERROR(__xludf.DUMMYFUNCTION("""COMPUTED_VALUE"""),"036.077.114-96")</f>
        <v>036.077.114-96</v>
      </c>
      <c r="D455" s="62" t="str">
        <f>IFERROR(__xludf.DUMMYFUNCTION("""COMPUTED_VALUE"""),"81 99262-5003")</f>
        <v>81 99262-5003</v>
      </c>
      <c r="E455" s="62" t="str">
        <f>IFERROR(__xludf.DUMMYFUNCTION("""COMPUTED_VALUE"""),"CARUARU")</f>
        <v>CARUARU</v>
      </c>
      <c r="F455" s="62" t="str">
        <f>IFERROR(__xludf.DUMMYFUNCTION("""COMPUTED_VALUE"""),"COOPERADO")</f>
        <v>COOPERADO</v>
      </c>
    </row>
    <row r="456">
      <c r="A456" s="62" t="str">
        <f>IFERROR(__xludf.DUMMYFUNCTION("""COMPUTED_VALUE"""),"LUCIDALVA MARIA DA SILVA")</f>
        <v>LUCIDALVA MARIA DA SILVA</v>
      </c>
      <c r="B456" s="62" t="str">
        <f>IFERROR(__xludf.DUMMYFUNCTION("""COMPUTED_VALUE"""),"AUX. COZINHA")</f>
        <v>AUX. COZINHA</v>
      </c>
      <c r="C456" s="62" t="str">
        <f>IFERROR(__xludf.DUMMYFUNCTION("""COMPUTED_VALUE"""),"054.800.544-30")</f>
        <v>054.800.544-30</v>
      </c>
      <c r="D456" s="62" t="str">
        <f>IFERROR(__xludf.DUMMYFUNCTION("""COMPUTED_VALUE"""),"81 99685-7489")</f>
        <v>81 99685-7489</v>
      </c>
      <c r="E456" s="62" t="str">
        <f>IFERROR(__xludf.DUMMYFUNCTION("""COMPUTED_VALUE"""),"CARUARU")</f>
        <v>CARUARU</v>
      </c>
      <c r="F456" s="62" t="str">
        <f>IFERROR(__xludf.DUMMYFUNCTION("""COMPUTED_VALUE"""),"COOPERADO")</f>
        <v>COOPERADO</v>
      </c>
    </row>
    <row r="457">
      <c r="A457" s="62" t="str">
        <f>IFERROR(__xludf.DUMMYFUNCTION("""COMPUTED_VALUE"""),"LUCIENE DA SILVA GOMES JEONG")</f>
        <v>LUCIENE DA SILVA GOMES JEONG</v>
      </c>
      <c r="B457" s="62" t="str">
        <f>IFERROR(__xludf.DUMMYFUNCTION("""COMPUTED_VALUE"""),"TÉC.ENFERMAGEM")</f>
        <v>TÉC.ENFERMAGEM</v>
      </c>
      <c r="C457" s="62" t="str">
        <f>IFERROR(__xludf.DUMMYFUNCTION("""COMPUTED_VALUE"""),"666.284.904.-91")</f>
        <v>666.284.904.-91</v>
      </c>
      <c r="D457" s="62" t="str">
        <f>IFERROR(__xludf.DUMMYFUNCTION("""COMPUTED_VALUE"""),"81 99103-1098")</f>
        <v>81 99103-1098</v>
      </c>
      <c r="E457" s="62" t="str">
        <f>IFERROR(__xludf.DUMMYFUNCTION("""COMPUTED_VALUE"""),"CARUARU")</f>
        <v>CARUARU</v>
      </c>
      <c r="F457" s="62" t="str">
        <f>IFERROR(__xludf.DUMMYFUNCTION("""COMPUTED_VALUE"""),"COOPERADO")</f>
        <v>COOPERADO</v>
      </c>
    </row>
    <row r="458">
      <c r="A458" s="62" t="str">
        <f>IFERROR(__xludf.DUMMYFUNCTION("""COMPUTED_VALUE"""),"LUCIENE DE ARAUJO SILVA")</f>
        <v>LUCIENE DE ARAUJO SILVA</v>
      </c>
      <c r="B458" s="62" t="str">
        <f>IFERROR(__xludf.DUMMYFUNCTION("""COMPUTED_VALUE"""),"TÉC.ENFERMAGEM")</f>
        <v>TÉC.ENFERMAGEM</v>
      </c>
      <c r="C458" s="62" t="str">
        <f>IFERROR(__xludf.DUMMYFUNCTION("""COMPUTED_VALUE"""),"010.047.684-86")</f>
        <v>010.047.684-86</v>
      </c>
      <c r="D458" s="62" t="str">
        <f>IFERROR(__xludf.DUMMYFUNCTION("""COMPUTED_VALUE""")," 81 99478-8177")</f>
        <v> 81 99478-8177</v>
      </c>
      <c r="E458" s="62" t="str">
        <f>IFERROR(__xludf.DUMMYFUNCTION("""COMPUTED_VALUE"""),"CARUARU")</f>
        <v>CARUARU</v>
      </c>
      <c r="F458" s="62" t="str">
        <f>IFERROR(__xludf.DUMMYFUNCTION("""COMPUTED_VALUE"""),"COOPERADO")</f>
        <v>COOPERADO</v>
      </c>
    </row>
    <row r="459">
      <c r="A459" s="62" t="str">
        <f>IFERROR(__xludf.DUMMYFUNCTION("""COMPUTED_VALUE"""),"LUCIMARA BEZERRA DOS ANJOS")</f>
        <v>LUCIMARA BEZERRA DOS ANJOS</v>
      </c>
      <c r="B459" s="62" t="str">
        <f>IFERROR(__xludf.DUMMYFUNCTION("""COMPUTED_VALUE"""),"ENFERMEIRO (A)")</f>
        <v>ENFERMEIRO (A)</v>
      </c>
      <c r="C459" s="62" t="str">
        <f>IFERROR(__xludf.DUMMYFUNCTION("""COMPUTED_VALUE"""),"054.787.224-05")</f>
        <v>054.787.224-05</v>
      </c>
      <c r="D459" s="62" t="str">
        <f>IFERROR(__xludf.DUMMYFUNCTION("""COMPUTED_VALUE"""),"81 99491-9507")</f>
        <v>81 99491-9507</v>
      </c>
      <c r="E459" s="62" t="str">
        <f>IFERROR(__xludf.DUMMYFUNCTION("""COMPUTED_VALUE"""),"CARUARU")</f>
        <v>CARUARU</v>
      </c>
      <c r="F459" s="62" t="str">
        <f>IFERROR(__xludf.DUMMYFUNCTION("""COMPUTED_VALUE"""),"COOPERADO")</f>
        <v>COOPERADO</v>
      </c>
    </row>
    <row r="460">
      <c r="A460" s="62" t="str">
        <f>IFERROR(__xludf.DUMMYFUNCTION("""COMPUTED_VALUE"""),"LUCINEIDE TEOFILO DOS SANTOS")</f>
        <v>LUCINEIDE TEOFILO DOS SANTOS</v>
      </c>
      <c r="B460" s="62" t="str">
        <f>IFERROR(__xludf.DUMMYFUNCTION("""COMPUTED_VALUE"""),"AUX DE HIGIENIZAÇÃO")</f>
        <v>AUX DE HIGIENIZAÇÃO</v>
      </c>
      <c r="C460" s="62" t="str">
        <f>IFERROR(__xludf.DUMMYFUNCTION("""COMPUTED_VALUE"""),"012.292.364-22")</f>
        <v>012.292.364-22</v>
      </c>
      <c r="D460" s="62" t="str">
        <f>IFERROR(__xludf.DUMMYFUNCTION("""COMPUTED_VALUE"""),"81 97304-2499")</f>
        <v>81 97304-2499</v>
      </c>
      <c r="E460" s="62" t="str">
        <f>IFERROR(__xludf.DUMMYFUNCTION("""COMPUTED_VALUE"""),"CARUARU")</f>
        <v>CARUARU</v>
      </c>
      <c r="F460" s="62" t="str">
        <f>IFERROR(__xludf.DUMMYFUNCTION("""COMPUTED_VALUE"""),"COOPERADO")</f>
        <v>COOPERADO</v>
      </c>
    </row>
    <row r="461">
      <c r="A461" s="62" t="str">
        <f>IFERROR(__xludf.DUMMYFUNCTION("""COMPUTED_VALUE"""),"LUEDJA SAMIRE SILVA")</f>
        <v>LUEDJA SAMIRE SILVA</v>
      </c>
      <c r="B461" s="62" t="str">
        <f>IFERROR(__xludf.DUMMYFUNCTION("""COMPUTED_VALUE"""),"TÉC.ENFERMAGEM")</f>
        <v>TÉC.ENFERMAGEM</v>
      </c>
      <c r="C461" s="62" t="str">
        <f>IFERROR(__xludf.DUMMYFUNCTION("""COMPUTED_VALUE"""),"135.990.524-33")</f>
        <v>135.990.524-33</v>
      </c>
      <c r="D461" s="62" t="str">
        <f>IFERROR(__xludf.DUMMYFUNCTION("""COMPUTED_VALUE"""),"81 98271-0194")</f>
        <v>81 98271-0194</v>
      </c>
      <c r="E461" s="62" t="str">
        <f>IFERROR(__xludf.DUMMYFUNCTION("""COMPUTED_VALUE"""),"CARUARU")</f>
        <v>CARUARU</v>
      </c>
      <c r="F461" s="62" t="str">
        <f>IFERROR(__xludf.DUMMYFUNCTION("""COMPUTED_VALUE"""),"COOPERADO")</f>
        <v>COOPERADO</v>
      </c>
    </row>
    <row r="462">
      <c r="A462" s="62" t="str">
        <f>IFERROR(__xludf.DUMMYFUNCTION("""COMPUTED_VALUE"""),"LUISA SEVERINA DA SILVA")</f>
        <v>LUISA SEVERINA DA SILVA</v>
      </c>
      <c r="B462" s="62" t="str">
        <f>IFERROR(__xludf.DUMMYFUNCTION("""COMPUTED_VALUE"""),"TÉC. ENF.")</f>
        <v>TÉC. ENF.</v>
      </c>
      <c r="C462" s="62" t="str">
        <f>IFERROR(__xludf.DUMMYFUNCTION("""COMPUTED_VALUE"""),"808.020.794-15")</f>
        <v>808.020.794-15</v>
      </c>
      <c r="D462" s="62" t="str">
        <f>IFERROR(__xludf.DUMMYFUNCTION("""COMPUTED_VALUE"""),"81 99155-4407")</f>
        <v>81 99155-4407</v>
      </c>
      <c r="E462" s="62" t="str">
        <f>IFERROR(__xludf.DUMMYFUNCTION("""COMPUTED_VALUE"""),"CARUARU")</f>
        <v>CARUARU</v>
      </c>
      <c r="F462" s="62" t="str">
        <f>IFERROR(__xludf.DUMMYFUNCTION("""COMPUTED_VALUE"""),"COOPERADO")</f>
        <v>COOPERADO</v>
      </c>
    </row>
    <row r="463">
      <c r="A463" s="62" t="str">
        <f>IFERROR(__xludf.DUMMYFUNCTION("""COMPUTED_VALUE"""),"LUIZ FABRÍCIO TAVARES")</f>
        <v>LUIZ FABRÍCIO TAVARES</v>
      </c>
      <c r="B463" s="62" t="str">
        <f>IFERROR(__xludf.DUMMYFUNCTION("""COMPUTED_VALUE"""),"Téc. Enfermagem")</f>
        <v>Téc. Enfermagem</v>
      </c>
      <c r="C463" s="62" t="str">
        <f>IFERROR(__xludf.DUMMYFUNCTION("""COMPUTED_VALUE"""),"082.303.514-06")</f>
        <v>082.303.514-06</v>
      </c>
      <c r="D463" s="62" t="str">
        <f>IFERROR(__xludf.DUMMYFUNCTION("""COMPUTED_VALUE"""),"81 98999-1076")</f>
        <v>81 98999-1076</v>
      </c>
      <c r="E463" s="62" t="str">
        <f>IFERROR(__xludf.DUMMYFUNCTION("""COMPUTED_VALUE"""),"CARUARU")</f>
        <v>CARUARU</v>
      </c>
      <c r="F463" s="62" t="str">
        <f>IFERROR(__xludf.DUMMYFUNCTION("""COMPUTED_VALUE"""),"COOPERADO")</f>
        <v>COOPERADO</v>
      </c>
    </row>
    <row r="464">
      <c r="A464" s="62" t="str">
        <f>IFERROR(__xludf.DUMMYFUNCTION("""COMPUTED_VALUE"""),"LUIZ INACIO DA SILVA NETO")</f>
        <v>LUIZ INACIO DA SILVA NETO</v>
      </c>
      <c r="B464" s="62" t="str">
        <f>IFERROR(__xludf.DUMMYFUNCTION("""COMPUTED_VALUE"""),"AUXILIAR DE COZINHA")</f>
        <v>AUXILIAR DE COZINHA</v>
      </c>
      <c r="C464" s="62" t="str">
        <f>IFERROR(__xludf.DUMMYFUNCTION("""COMPUTED_VALUE"""),"709.100.424-89")</f>
        <v>709.100.424-89</v>
      </c>
      <c r="D464" s="62" t="str">
        <f>IFERROR(__xludf.DUMMYFUNCTION("""COMPUTED_VALUE"""),"81 99327-5096")</f>
        <v>81 99327-5096</v>
      </c>
      <c r="E464" s="62" t="str">
        <f>IFERROR(__xludf.DUMMYFUNCTION("""COMPUTED_VALUE"""),"CARUARU")</f>
        <v>CARUARU</v>
      </c>
      <c r="F464" s="62" t="str">
        <f>IFERROR(__xludf.DUMMYFUNCTION("""COMPUTED_VALUE"""),"COOPERADO")</f>
        <v>COOPERADO</v>
      </c>
    </row>
    <row r="465">
      <c r="A465" s="62" t="str">
        <f>IFERROR(__xludf.DUMMYFUNCTION("""COMPUTED_VALUE"""),"LURDINILA STEFFANY BELO DA SILVA")</f>
        <v>LURDINILA STEFFANY BELO DA SILVA</v>
      </c>
      <c r="B465" s="62" t="str">
        <f>IFERROR(__xludf.DUMMYFUNCTION("""COMPUTED_VALUE"""),"AUX DE HIGIENIZAÇÃO")</f>
        <v>AUX DE HIGIENIZAÇÃO</v>
      </c>
      <c r="C465" s="62" t="str">
        <f>IFERROR(__xludf.DUMMYFUNCTION("""COMPUTED_VALUE"""),"131.046.064-71")</f>
        <v>131.046.064-71</v>
      </c>
      <c r="D465" s="62" t="str">
        <f>IFERROR(__xludf.DUMMYFUNCTION("""COMPUTED_VALUE"""),"81 99206-3547")</f>
        <v>81 99206-3547</v>
      </c>
      <c r="E465" s="62" t="str">
        <f>IFERROR(__xludf.DUMMYFUNCTION("""COMPUTED_VALUE"""),"CARUARU")</f>
        <v>CARUARU</v>
      </c>
      <c r="F465" s="62" t="str">
        <f>IFERROR(__xludf.DUMMYFUNCTION("""COMPUTED_VALUE"""),"COOPERADO")</f>
        <v>COOPERADO</v>
      </c>
    </row>
    <row r="466">
      <c r="A466" s="62" t="str">
        <f>IFERROR(__xludf.DUMMYFUNCTION("""COMPUTED_VALUE"""),"LUZIA BEZERRA DA SILVA")</f>
        <v>LUZIA BEZERRA DA SILVA</v>
      </c>
      <c r="B466" s="62" t="str">
        <f>IFERROR(__xludf.DUMMYFUNCTION("""COMPUTED_VALUE"""),"TÉC.ENFERMAGEM")</f>
        <v>TÉC.ENFERMAGEM</v>
      </c>
      <c r="C466" s="62" t="str">
        <f>IFERROR(__xludf.DUMMYFUNCTION("""COMPUTED_VALUE"""),"106.861.744-61")</f>
        <v>106.861.744-61</v>
      </c>
      <c r="D466" s="62" t="str">
        <f>IFERROR(__xludf.DUMMYFUNCTION("""COMPUTED_VALUE"""),"87 98107-4156")</f>
        <v>87 98107-4156</v>
      </c>
      <c r="E466" s="62" t="str">
        <f>IFERROR(__xludf.DUMMYFUNCTION("""COMPUTED_VALUE"""),"CARUARU")</f>
        <v>CARUARU</v>
      </c>
      <c r="F466" s="62" t="str">
        <f>IFERROR(__xludf.DUMMYFUNCTION("""COMPUTED_VALUE"""),"COOPERADO")</f>
        <v>COOPERADO</v>
      </c>
    </row>
    <row r="467">
      <c r="A467" s="62" t="str">
        <f>IFERROR(__xludf.DUMMYFUNCTION("""COMPUTED_VALUE"""),"LUZIA DO NASCIMENTO MATIAS")</f>
        <v>LUZIA DO NASCIMENTO MATIAS</v>
      </c>
      <c r="B467" s="62" t="str">
        <f>IFERROR(__xludf.DUMMYFUNCTION("""COMPUTED_VALUE"""),"TÉC.ENFERMAGEM")</f>
        <v>TÉC.ENFERMAGEM</v>
      </c>
      <c r="C467" s="62" t="str">
        <f>IFERROR(__xludf.DUMMYFUNCTION("""COMPUTED_VALUE"""),"151.483.254-29")</f>
        <v>151.483.254-29</v>
      </c>
      <c r="D467" s="62" t="str">
        <f>IFERROR(__xludf.DUMMYFUNCTION("""COMPUTED_VALUE"""),"81 98137-8436")</f>
        <v>81 98137-8436</v>
      </c>
      <c r="E467" s="62" t="str">
        <f>IFERROR(__xludf.DUMMYFUNCTION("""COMPUTED_VALUE"""),"CARUARU")</f>
        <v>CARUARU</v>
      </c>
      <c r="F467" s="62" t="str">
        <f>IFERROR(__xludf.DUMMYFUNCTION("""COMPUTED_VALUE"""),"COOPERADO")</f>
        <v>COOPERADO</v>
      </c>
    </row>
    <row r="468">
      <c r="A468" s="62" t="str">
        <f>IFERROR(__xludf.DUMMYFUNCTION("""COMPUTED_VALUE"""),"LUZIANA DO NASCIMENTO TENÓRIO")</f>
        <v>LUZIANA DO NASCIMENTO TENÓRIO</v>
      </c>
      <c r="B468" s="62" t="str">
        <f>IFERROR(__xludf.DUMMYFUNCTION("""COMPUTED_VALUE"""),"TÉC. ENF.")</f>
        <v>TÉC. ENF.</v>
      </c>
      <c r="C468" s="62" t="str">
        <f>IFERROR(__xludf.DUMMYFUNCTION("""COMPUTED_VALUE"""),"108.795.724-93")</f>
        <v>108.795.724-93</v>
      </c>
      <c r="D468" s="62" t="str">
        <f>IFERROR(__xludf.DUMMYFUNCTION("""COMPUTED_VALUE"""),"81 99248-5211")</f>
        <v>81 99248-5211</v>
      </c>
      <c r="E468" s="62" t="str">
        <f>IFERROR(__xludf.DUMMYFUNCTION("""COMPUTED_VALUE"""),"CARUARU")</f>
        <v>CARUARU</v>
      </c>
      <c r="F468" s="62" t="str">
        <f>IFERROR(__xludf.DUMMYFUNCTION("""COMPUTED_VALUE"""),"COOPERADO")</f>
        <v>COOPERADO</v>
      </c>
    </row>
    <row r="469">
      <c r="A469" s="62" t="str">
        <f>IFERROR(__xludf.DUMMYFUNCTION("""COMPUTED_VALUE"""),"MAIRA MARIA BEZERRA DA SILVA")</f>
        <v>MAIRA MARIA BEZERRA DA SILVA</v>
      </c>
      <c r="B469" s="62" t="str">
        <f>IFERROR(__xludf.DUMMYFUNCTION("""COMPUTED_VALUE"""),"TÉC.ENFERMAGEM")</f>
        <v>TÉC.ENFERMAGEM</v>
      </c>
      <c r="C469" s="62" t="str">
        <f>IFERROR(__xludf.DUMMYFUNCTION("""COMPUTED_VALUE"""),"116.859.394-81")</f>
        <v>116.859.394-81</v>
      </c>
      <c r="D469" s="62" t="str">
        <f>IFERROR(__xludf.DUMMYFUNCTION("""COMPUTED_VALUE"""),"81 99931-6086")</f>
        <v>81 99931-6086</v>
      </c>
      <c r="E469" s="62" t="str">
        <f>IFERROR(__xludf.DUMMYFUNCTION("""COMPUTED_VALUE"""),"CARUARU")</f>
        <v>CARUARU</v>
      </c>
      <c r="F469" s="62" t="str">
        <f>IFERROR(__xludf.DUMMYFUNCTION("""COMPUTED_VALUE"""),"COOPERADO")</f>
        <v>COOPERADO</v>
      </c>
    </row>
    <row r="470">
      <c r="A470" s="62" t="str">
        <f>IFERROR(__xludf.DUMMYFUNCTION("""COMPUTED_VALUE"""),"MAJORY LUANA B. SANTOS")</f>
        <v>MAJORY LUANA B. SANTOS</v>
      </c>
      <c r="B470" s="62" t="str">
        <f>IFERROR(__xludf.DUMMYFUNCTION("""COMPUTED_VALUE"""),"TÉC.ENFERMAGEM")</f>
        <v>TÉC.ENFERMAGEM</v>
      </c>
      <c r="C470" s="62" t="str">
        <f>IFERROR(__xludf.DUMMYFUNCTION("""COMPUTED_VALUE"""),"715.269.694-24")</f>
        <v>715.269.694-24</v>
      </c>
      <c r="D470" s="62" t="str">
        <f>IFERROR(__xludf.DUMMYFUNCTION("""COMPUTED_VALUE"""),"81 99150-2261")</f>
        <v>81 99150-2261</v>
      </c>
      <c r="E470" s="62" t="str">
        <f>IFERROR(__xludf.DUMMYFUNCTION("""COMPUTED_VALUE"""),"CARUARU")</f>
        <v>CARUARU</v>
      </c>
      <c r="F470" s="62" t="str">
        <f>IFERROR(__xludf.DUMMYFUNCTION("""COMPUTED_VALUE"""),"COOPERADO")</f>
        <v>COOPERADO</v>
      </c>
    </row>
    <row r="471">
      <c r="A471" s="62" t="str">
        <f>IFERROR(__xludf.DUMMYFUNCTION("""COMPUTED_VALUE"""),"MANOEL CONCORDIO DE MENEZES NETO")</f>
        <v>MANOEL CONCORDIO DE MENEZES NETO</v>
      </c>
      <c r="B471" s="62" t="str">
        <f>IFERROR(__xludf.DUMMYFUNCTION("""COMPUTED_VALUE"""),"AUX DE HIGIENIZAÇÃO")</f>
        <v>AUX DE HIGIENIZAÇÃO</v>
      </c>
      <c r="C471" s="62" t="str">
        <f>IFERROR(__xludf.DUMMYFUNCTION("""COMPUTED_VALUE"""),"025.954.564-31")</f>
        <v>025.954.564-31</v>
      </c>
      <c r="D471" s="62" t="str">
        <f>IFERROR(__xludf.DUMMYFUNCTION("""COMPUTED_VALUE"""),"81 99105-8431")</f>
        <v>81 99105-8431</v>
      </c>
      <c r="E471" s="62" t="str">
        <f>IFERROR(__xludf.DUMMYFUNCTION("""COMPUTED_VALUE"""),"CARUARU")</f>
        <v>CARUARU</v>
      </c>
      <c r="F471" s="62" t="str">
        <f>IFERROR(__xludf.DUMMYFUNCTION("""COMPUTED_VALUE"""),"COOPERADO")</f>
        <v>COOPERADO</v>
      </c>
    </row>
    <row r="472">
      <c r="A472" s="62" t="str">
        <f>IFERROR(__xludf.DUMMYFUNCTION("""COMPUTED_VALUE"""),"MANUELA BARBOSA DA SILVA")</f>
        <v>MANUELA BARBOSA DA SILVA</v>
      </c>
      <c r="B472" s="62" t="str">
        <f>IFERROR(__xludf.DUMMYFUNCTION("""COMPUTED_VALUE"""),"Recepcionista")</f>
        <v>Recepcionista</v>
      </c>
      <c r="C472" s="62" t="str">
        <f>IFERROR(__xludf.DUMMYFUNCTION("""COMPUTED_VALUE"""),"094.428.254-70")</f>
        <v>094.428.254-70</v>
      </c>
      <c r="D472" s="62" t="str">
        <f>IFERROR(__xludf.DUMMYFUNCTION("""COMPUTED_VALUE"""),"81 99735-6651")</f>
        <v>81 99735-6651</v>
      </c>
      <c r="E472" s="62" t="str">
        <f>IFERROR(__xludf.DUMMYFUNCTION("""COMPUTED_VALUE"""),"CARUARU")</f>
        <v>CARUARU</v>
      </c>
      <c r="F472" s="62" t="str">
        <f>IFERROR(__xludf.DUMMYFUNCTION("""COMPUTED_VALUE"""),"COOPERADO")</f>
        <v>COOPERADO</v>
      </c>
    </row>
    <row r="473">
      <c r="A473" s="62" t="str">
        <f>IFERROR(__xludf.DUMMYFUNCTION("""COMPUTED_VALUE"""),"MANUELA MOURA DE OLIVEIRA")</f>
        <v>MANUELA MOURA DE OLIVEIRA</v>
      </c>
      <c r="B473" s="62" t="str">
        <f>IFERROR(__xludf.DUMMYFUNCTION("""COMPUTED_VALUE"""),"COPEIRA")</f>
        <v>COPEIRA</v>
      </c>
      <c r="C473" s="62" t="str">
        <f>IFERROR(__xludf.DUMMYFUNCTION("""COMPUTED_VALUE"""),"065.693.384-47")</f>
        <v>065.693.384-47</v>
      </c>
      <c r="D473" s="62" t="str">
        <f>IFERROR(__xludf.DUMMYFUNCTION("""COMPUTED_VALUE"""),"81 98857-1256")</f>
        <v>81 98857-1256</v>
      </c>
      <c r="E473" s="62" t="str">
        <f>IFERROR(__xludf.DUMMYFUNCTION("""COMPUTED_VALUE"""),"CARUARU")</f>
        <v>CARUARU</v>
      </c>
      <c r="F473" s="62" t="str">
        <f>IFERROR(__xludf.DUMMYFUNCTION("""COMPUTED_VALUE"""),"COOPERADO")</f>
        <v>COOPERADO</v>
      </c>
    </row>
    <row r="474">
      <c r="A474" s="62" t="str">
        <f>IFERROR(__xludf.DUMMYFUNCTION("""COMPUTED_VALUE"""),"MARCELA BEATRIZ DA SILVA")</f>
        <v>MARCELA BEATRIZ DA SILVA</v>
      </c>
      <c r="B474" s="62" t="str">
        <f>IFERROR(__xludf.DUMMYFUNCTION("""COMPUTED_VALUE"""),"TÉC.ENFERMAGEM")</f>
        <v>TÉC.ENFERMAGEM</v>
      </c>
      <c r="C474" s="62" t="str">
        <f>IFERROR(__xludf.DUMMYFUNCTION("""COMPUTED_VALUE"""),"126.992.274-20")</f>
        <v>126.992.274-20</v>
      </c>
      <c r="D474" s="62" t="str">
        <f>IFERROR(__xludf.DUMMYFUNCTION("""COMPUTED_VALUE"""),"81 99518-1228")</f>
        <v>81 99518-1228</v>
      </c>
      <c r="E474" s="62" t="str">
        <f>IFERROR(__xludf.DUMMYFUNCTION("""COMPUTED_VALUE"""),"CARUARU")</f>
        <v>CARUARU</v>
      </c>
      <c r="F474" s="62" t="str">
        <f>IFERROR(__xludf.DUMMYFUNCTION("""COMPUTED_VALUE"""),"COOPERADO")</f>
        <v>COOPERADO</v>
      </c>
    </row>
    <row r="475">
      <c r="A475" s="62" t="str">
        <f>IFERROR(__xludf.DUMMYFUNCTION("""COMPUTED_VALUE"""),"MARCIA CORDEIRO BEZERRA")</f>
        <v>MARCIA CORDEIRO BEZERRA</v>
      </c>
      <c r="B475" s="62" t="str">
        <f>IFERROR(__xludf.DUMMYFUNCTION("""COMPUTED_VALUE"""),"ENFERMEIRO (A)")</f>
        <v>ENFERMEIRO (A)</v>
      </c>
      <c r="C475" s="62" t="str">
        <f>IFERROR(__xludf.DUMMYFUNCTION("""COMPUTED_VALUE"""),"057.941.264-42")</f>
        <v>057.941.264-42</v>
      </c>
      <c r="D475" s="62" t="str">
        <f>IFERROR(__xludf.DUMMYFUNCTION("""COMPUTED_VALUE"""),"81 99630-9209")</f>
        <v>81 99630-9209</v>
      </c>
      <c r="E475" s="62" t="str">
        <f>IFERROR(__xludf.DUMMYFUNCTION("""COMPUTED_VALUE"""),"CARUARU")</f>
        <v>CARUARU</v>
      </c>
      <c r="F475" s="62" t="str">
        <f>IFERROR(__xludf.DUMMYFUNCTION("""COMPUTED_VALUE"""),"COOPERADO")</f>
        <v>COOPERADO</v>
      </c>
    </row>
    <row r="476">
      <c r="A476" s="62" t="str">
        <f>IFERROR(__xludf.DUMMYFUNCTION("""COMPUTED_VALUE"""),"MARCIA CRISTINA")</f>
        <v>MARCIA CRISTINA</v>
      </c>
      <c r="B476" s="62" t="str">
        <f>IFERROR(__xludf.DUMMYFUNCTION("""COMPUTED_VALUE"""),"Flebotomista")</f>
        <v>Flebotomista</v>
      </c>
      <c r="C476" s="62" t="str">
        <f>IFERROR(__xludf.DUMMYFUNCTION("""COMPUTED_VALUE"""),"092.900.644-55")</f>
        <v>092.900.644-55</v>
      </c>
      <c r="D476" s="62" t="str">
        <f>IFERROR(__xludf.DUMMYFUNCTION("""COMPUTED_VALUE"""),"81 99846-8797")</f>
        <v>81 99846-8797</v>
      </c>
      <c r="E476" s="62" t="str">
        <f>IFERROR(__xludf.DUMMYFUNCTION("""COMPUTED_VALUE"""),"CARUARU")</f>
        <v>CARUARU</v>
      </c>
      <c r="F476" s="62" t="str">
        <f>IFERROR(__xludf.DUMMYFUNCTION("""COMPUTED_VALUE"""),"COOPERADO")</f>
        <v>COOPERADO</v>
      </c>
    </row>
    <row r="477">
      <c r="A477" s="62" t="str">
        <f>IFERROR(__xludf.DUMMYFUNCTION("""COMPUTED_VALUE"""),"MARCIANA MARIA CARDOSO SOARES")</f>
        <v>MARCIANA MARIA CARDOSO SOARES</v>
      </c>
      <c r="B477" s="62" t="str">
        <f>IFERROR(__xludf.DUMMYFUNCTION("""COMPUTED_VALUE"""),"TÉC.ENFERMAGEM")</f>
        <v>TÉC.ENFERMAGEM</v>
      </c>
      <c r="C477" s="62" t="str">
        <f>IFERROR(__xludf.DUMMYFUNCTION("""COMPUTED_VALUE"""),"135.612.294-92")</f>
        <v>135.612.294-92</v>
      </c>
      <c r="D477" s="62" t="str">
        <f>IFERROR(__xludf.DUMMYFUNCTION("""COMPUTED_VALUE"""),"81 98268-4037")</f>
        <v>81 98268-4037</v>
      </c>
      <c r="E477" s="62" t="str">
        <f>IFERROR(__xludf.DUMMYFUNCTION("""COMPUTED_VALUE"""),"CARUARU")</f>
        <v>CARUARU</v>
      </c>
      <c r="F477" s="62" t="str">
        <f>IFERROR(__xludf.DUMMYFUNCTION("""COMPUTED_VALUE"""),"COOPERADO")</f>
        <v>COOPERADO</v>
      </c>
    </row>
    <row r="478">
      <c r="A478" s="62" t="str">
        <f>IFERROR(__xludf.DUMMYFUNCTION("""COMPUTED_VALUE"""),"MARCIONILO CARNEIRO DA SILVA JUNIOR")</f>
        <v>MARCIONILO CARNEIRO DA SILVA JUNIOR</v>
      </c>
      <c r="B478" s="62" t="str">
        <f>IFERROR(__xludf.DUMMYFUNCTION("""COMPUTED_VALUE"""),"TÉC.ENFERMAGEM")</f>
        <v>TÉC.ENFERMAGEM</v>
      </c>
      <c r="C478" s="62" t="str">
        <f>IFERROR(__xludf.DUMMYFUNCTION("""COMPUTED_VALUE"""),"109.837.874-17")</f>
        <v>109.837.874-17</v>
      </c>
      <c r="D478" s="62" t="str">
        <f>IFERROR(__xludf.DUMMYFUNCTION("""COMPUTED_VALUE"""),"81 98158-7149")</f>
        <v>81 98158-7149</v>
      </c>
      <c r="E478" s="62" t="str">
        <f>IFERROR(__xludf.DUMMYFUNCTION("""COMPUTED_VALUE"""),"CARUARU")</f>
        <v>CARUARU</v>
      </c>
      <c r="F478" s="62" t="str">
        <f>IFERROR(__xludf.DUMMYFUNCTION("""COMPUTED_VALUE"""),"COOPERADO")</f>
        <v>COOPERADO</v>
      </c>
    </row>
    <row r="479">
      <c r="A479" s="62" t="str">
        <f>IFERROR(__xludf.DUMMYFUNCTION("""COMPUTED_VALUE"""),"MARCOS ANTONIO PEREIRA DA MOTA")</f>
        <v>MARCOS ANTONIO PEREIRA DA MOTA</v>
      </c>
      <c r="B479" s="62" t="str">
        <f>IFERROR(__xludf.DUMMYFUNCTION("""COMPUTED_VALUE"""),"AUX DE HIGIENIZAÇÃO")</f>
        <v>AUX DE HIGIENIZAÇÃO</v>
      </c>
      <c r="C479" s="62" t="str">
        <f>IFERROR(__xludf.DUMMYFUNCTION("""COMPUTED_VALUE"""),"043.483.944-23")</f>
        <v>043.483.944-23</v>
      </c>
      <c r="D479" s="62" t="str">
        <f>IFERROR(__xludf.DUMMYFUNCTION("""COMPUTED_VALUE"""),"11 98513-2809")</f>
        <v>11 98513-2809</v>
      </c>
      <c r="E479" s="62" t="str">
        <f>IFERROR(__xludf.DUMMYFUNCTION("""COMPUTED_VALUE"""),"CARUARU")</f>
        <v>CARUARU</v>
      </c>
      <c r="F479" s="62" t="str">
        <f>IFERROR(__xludf.DUMMYFUNCTION("""COMPUTED_VALUE"""),"COOPERADO")</f>
        <v>COOPERADO</v>
      </c>
    </row>
    <row r="480">
      <c r="A480" s="62" t="str">
        <f>IFERROR(__xludf.DUMMYFUNCTION("""COMPUTED_VALUE"""),"MARCOS ROBERTO FERNANDES")</f>
        <v>MARCOS ROBERTO FERNANDES</v>
      </c>
      <c r="B480" s="62" t="str">
        <f>IFERROR(__xludf.DUMMYFUNCTION("""COMPUTED_VALUE"""),"AUX. DE HIGIENIZAÇÃO")</f>
        <v>AUX. DE HIGIENIZAÇÃO</v>
      </c>
      <c r="C480" s="62" t="str">
        <f>IFERROR(__xludf.DUMMYFUNCTION("""COMPUTED_VALUE"""),"707.540.634-53")</f>
        <v>707.540.634-53</v>
      </c>
      <c r="D480" s="62" t="str">
        <f>IFERROR(__xludf.DUMMYFUNCTION("""COMPUTED_VALUE""")," 81 98431-9964")</f>
        <v> 81 98431-9964</v>
      </c>
      <c r="E480" s="62" t="str">
        <f>IFERROR(__xludf.DUMMYFUNCTION("""COMPUTED_VALUE"""),"CARUARU")</f>
        <v>CARUARU</v>
      </c>
      <c r="F480" s="62" t="str">
        <f>IFERROR(__xludf.DUMMYFUNCTION("""COMPUTED_VALUE"""),"COOPERADO")</f>
        <v>COOPERADO</v>
      </c>
    </row>
    <row r="481">
      <c r="A481" s="62" t="str">
        <f>IFERROR(__xludf.DUMMYFUNCTION("""COMPUTED_VALUE"""),"MARGARIDA JOSEFA M DA CONCEIÇÃO")</f>
        <v>MARGARIDA JOSEFA M DA CONCEIÇÃO</v>
      </c>
      <c r="B481" s="62" t="str">
        <f>IFERROR(__xludf.DUMMYFUNCTION("""COMPUTED_VALUE"""),"AUXILIAR DE COZINHA")</f>
        <v>AUXILIAR DE COZINHA</v>
      </c>
      <c r="C481" s="62" t="str">
        <f>IFERROR(__xludf.DUMMYFUNCTION("""COMPUTED_VALUE"""),"686.763.104-59")</f>
        <v>686.763.104-59</v>
      </c>
      <c r="D481" s="62" t="str">
        <f>IFERROR(__xludf.DUMMYFUNCTION("""COMPUTED_VALUE"""),"81 99298-1096")</f>
        <v>81 99298-1096</v>
      </c>
      <c r="E481" s="62" t="str">
        <f>IFERROR(__xludf.DUMMYFUNCTION("""COMPUTED_VALUE"""),"CARUARU")</f>
        <v>CARUARU</v>
      </c>
      <c r="F481" s="62" t="str">
        <f>IFERROR(__xludf.DUMMYFUNCTION("""COMPUTED_VALUE"""),"COOPERADO")</f>
        <v>COOPERADO</v>
      </c>
    </row>
    <row r="482">
      <c r="A482" s="62" t="str">
        <f>IFERROR(__xludf.DUMMYFUNCTION("""COMPUTED_VALUE"""),"MARIA APARECIDA")</f>
        <v>MARIA APARECIDA</v>
      </c>
      <c r="B482" s="62" t="str">
        <f>IFERROR(__xludf.DUMMYFUNCTION("""COMPUTED_VALUE"""),"Flebotomista")</f>
        <v>Flebotomista</v>
      </c>
      <c r="C482" s="62" t="str">
        <f>IFERROR(__xludf.DUMMYFUNCTION("""COMPUTED_VALUE"""),"034.176.434-57")</f>
        <v>034.176.434-57</v>
      </c>
      <c r="D482" s="62" t="str">
        <f>IFERROR(__xludf.DUMMYFUNCTION("""COMPUTED_VALUE""")," 81 98534-3094")</f>
        <v> 81 98534-3094</v>
      </c>
      <c r="E482" s="62" t="str">
        <f>IFERROR(__xludf.DUMMYFUNCTION("""COMPUTED_VALUE"""),"CARUARU")</f>
        <v>CARUARU</v>
      </c>
      <c r="F482" s="62" t="str">
        <f>IFERROR(__xludf.DUMMYFUNCTION("""COMPUTED_VALUE"""),"COOPERADO")</f>
        <v>COOPERADO</v>
      </c>
    </row>
    <row r="483">
      <c r="A483" s="62" t="str">
        <f>IFERROR(__xludf.DUMMYFUNCTION("""COMPUTED_VALUE"""),"MARIA APARECIDA ALVES CABRAL")</f>
        <v>MARIA APARECIDA ALVES CABRAL</v>
      </c>
      <c r="B483" s="62" t="str">
        <f>IFERROR(__xludf.DUMMYFUNCTION("""COMPUTED_VALUE"""),"TÉC.ENFERMAGEM")</f>
        <v>TÉC.ENFERMAGEM</v>
      </c>
      <c r="C483" s="62" t="str">
        <f>IFERROR(__xludf.DUMMYFUNCTION("""COMPUTED_VALUE"""),"118.007.784-90")</f>
        <v>118.007.784-90</v>
      </c>
      <c r="D483" s="62" t="str">
        <f>IFERROR(__xludf.DUMMYFUNCTION("""COMPUTED_VALUE""")," 81 97911-2915")</f>
        <v> 81 97911-2915</v>
      </c>
      <c r="E483" s="62" t="str">
        <f>IFERROR(__xludf.DUMMYFUNCTION("""COMPUTED_VALUE"""),"CARUARU")</f>
        <v>CARUARU</v>
      </c>
      <c r="F483" s="62" t="str">
        <f>IFERROR(__xludf.DUMMYFUNCTION("""COMPUTED_VALUE"""),"COOPERADO")</f>
        <v>COOPERADO</v>
      </c>
    </row>
    <row r="484">
      <c r="A484" s="62" t="str">
        <f>IFERROR(__xludf.DUMMYFUNCTION("""COMPUTED_VALUE"""),"MARIA APARECIDA DA SILVA")</f>
        <v>MARIA APARECIDA DA SILVA</v>
      </c>
      <c r="B484" s="62" t="str">
        <f>IFERROR(__xludf.DUMMYFUNCTION("""COMPUTED_VALUE"""),"AUX. COZINHA")</f>
        <v>AUX. COZINHA</v>
      </c>
      <c r="C484" s="62" t="str">
        <f>IFERROR(__xludf.DUMMYFUNCTION("""COMPUTED_VALUE"""),"012.535.684-64")</f>
        <v>012.535.684-64</v>
      </c>
      <c r="D484" s="62" t="str">
        <f>IFERROR(__xludf.DUMMYFUNCTION("""COMPUTED_VALUE"""),"81 99887-0901")</f>
        <v>81 99887-0901</v>
      </c>
      <c r="E484" s="62" t="str">
        <f>IFERROR(__xludf.DUMMYFUNCTION("""COMPUTED_VALUE"""),"CARUARU")</f>
        <v>CARUARU</v>
      </c>
      <c r="F484" s="62" t="str">
        <f>IFERROR(__xludf.DUMMYFUNCTION("""COMPUTED_VALUE"""),"COOPERADO")</f>
        <v>COOPERADO</v>
      </c>
    </row>
    <row r="485">
      <c r="A485" s="62" t="str">
        <f>IFERROR(__xludf.DUMMYFUNCTION("""COMPUTED_VALUE"""),"Maria Aparecida Da Silva")</f>
        <v>Maria Aparecida Da Silva</v>
      </c>
      <c r="B485" s="62" t="str">
        <f>IFERROR(__xludf.DUMMYFUNCTION("""COMPUTED_VALUE"""),"Enfermeiro(a)")</f>
        <v>Enfermeiro(a)</v>
      </c>
      <c r="C485" s="62" t="str">
        <f>IFERROR(__xludf.DUMMYFUNCTION("""COMPUTED_VALUE"""),"012.535.684-64")</f>
        <v>012.535.684-64</v>
      </c>
      <c r="D485" s="62" t="str">
        <f>IFERROR(__xludf.DUMMYFUNCTION("""COMPUTED_VALUE"""),"81 99830-3334")</f>
        <v>81 99830-3334</v>
      </c>
      <c r="E485" s="62" t="str">
        <f>IFERROR(__xludf.DUMMYFUNCTION("""COMPUTED_VALUE"""),"CARUARU")</f>
        <v>CARUARU</v>
      </c>
      <c r="F485" s="62" t="str">
        <f>IFERROR(__xludf.DUMMYFUNCTION("""COMPUTED_VALUE"""),"COOPERADO")</f>
        <v>COOPERADO</v>
      </c>
    </row>
    <row r="486">
      <c r="A486" s="62" t="str">
        <f>IFERROR(__xludf.DUMMYFUNCTION("""COMPUTED_VALUE"""),"MARIA BEATRIZ MENEZES")</f>
        <v>MARIA BEATRIZ MENEZES</v>
      </c>
      <c r="B486" s="62" t="str">
        <f>IFERROR(__xludf.DUMMYFUNCTION("""COMPUTED_VALUE"""),"COPEIRA")</f>
        <v>COPEIRA</v>
      </c>
      <c r="C486" s="62" t="str">
        <f>IFERROR(__xludf.DUMMYFUNCTION("""COMPUTED_VALUE"""),"714.560.694-11")</f>
        <v>714.560.694-11</v>
      </c>
      <c r="D486" s="62" t="str">
        <f>IFERROR(__xludf.DUMMYFUNCTION("""COMPUTED_VALUE""")," 81 98988-3894")</f>
        <v> 81 98988-3894</v>
      </c>
      <c r="E486" s="62" t="str">
        <f>IFERROR(__xludf.DUMMYFUNCTION("""COMPUTED_VALUE"""),"CARUARU")</f>
        <v>CARUARU</v>
      </c>
      <c r="F486" s="62" t="str">
        <f>IFERROR(__xludf.DUMMYFUNCTION("""COMPUTED_VALUE"""),"COOPERADO")</f>
        <v>COOPERADO</v>
      </c>
    </row>
    <row r="487">
      <c r="A487" s="62" t="str">
        <f>IFERROR(__xludf.DUMMYFUNCTION("""COMPUTED_VALUE"""),"Maria Betania Gomes Da Silva")</f>
        <v>Maria Betania Gomes Da Silva</v>
      </c>
      <c r="B487" s="62" t="str">
        <f>IFERROR(__xludf.DUMMYFUNCTION("""COMPUTED_VALUE"""),"Enfermeiro(a)")</f>
        <v>Enfermeiro(a)</v>
      </c>
      <c r="C487" s="62" t="str">
        <f>IFERROR(__xludf.DUMMYFUNCTION("""COMPUTED_VALUE"""),"025.404.164-70")</f>
        <v>025.404.164-70</v>
      </c>
      <c r="D487" s="62" t="str">
        <f>IFERROR(__xludf.DUMMYFUNCTION("""COMPUTED_VALUE"""),"81 99987-8555")</f>
        <v>81 99987-8555</v>
      </c>
      <c r="E487" s="62" t="str">
        <f>IFERROR(__xludf.DUMMYFUNCTION("""COMPUTED_VALUE"""),"CARUARU")</f>
        <v>CARUARU</v>
      </c>
      <c r="F487" s="62" t="str">
        <f>IFERROR(__xludf.DUMMYFUNCTION("""COMPUTED_VALUE"""),"COOPERADO")</f>
        <v>COOPERADO</v>
      </c>
    </row>
    <row r="488">
      <c r="A488" s="62" t="str">
        <f>IFERROR(__xludf.DUMMYFUNCTION("""COMPUTED_VALUE"""),"MARIA CONCEIÇÃO DA SANTOS")</f>
        <v>MARIA CONCEIÇÃO DA SANTOS</v>
      </c>
      <c r="B488" s="62" t="str">
        <f>IFERROR(__xludf.DUMMYFUNCTION("""COMPUTED_VALUE"""),"COZINHEIRA")</f>
        <v>COZINHEIRA</v>
      </c>
      <c r="C488" s="62" t="str">
        <f>IFERROR(__xludf.DUMMYFUNCTION("""COMPUTED_VALUE"""),"014.158.794-60")</f>
        <v>014.158.794-60</v>
      </c>
      <c r="D488" s="62" t="str">
        <f>IFERROR(__xludf.DUMMYFUNCTION("""COMPUTED_VALUE"""),"8199478-2886")</f>
        <v>8199478-2886</v>
      </c>
      <c r="E488" s="62" t="str">
        <f>IFERROR(__xludf.DUMMYFUNCTION("""COMPUTED_VALUE"""),"CARUARU")</f>
        <v>CARUARU</v>
      </c>
      <c r="F488" s="62" t="str">
        <f>IFERROR(__xludf.DUMMYFUNCTION("""COMPUTED_VALUE"""),"COOPERADO")</f>
        <v>COOPERADO</v>
      </c>
    </row>
    <row r="489">
      <c r="A489" s="62" t="str">
        <f>IFERROR(__xludf.DUMMYFUNCTION("""COMPUTED_VALUE"""),"MARIA DAS DORES VIDAL DA SILVA")</f>
        <v>MARIA DAS DORES VIDAL DA SILVA</v>
      </c>
      <c r="B489" s="62" t="str">
        <f>IFERROR(__xludf.DUMMYFUNCTION("""COMPUTED_VALUE"""),"ENFERMEIRO (A)")</f>
        <v>ENFERMEIRO (A)</v>
      </c>
      <c r="C489" s="62" t="str">
        <f>IFERROR(__xludf.DUMMYFUNCTION("""COMPUTED_VALUE"""),"081.177.684-02")</f>
        <v>081.177.684-02</v>
      </c>
      <c r="D489" s="62" t="str">
        <f>IFERROR(__xludf.DUMMYFUNCTION("""COMPUTED_VALUE"""),"81 98998-3787")</f>
        <v>81 98998-3787</v>
      </c>
      <c r="E489" s="62" t="str">
        <f>IFERROR(__xludf.DUMMYFUNCTION("""COMPUTED_VALUE"""),"CARUARU")</f>
        <v>CARUARU</v>
      </c>
      <c r="F489" s="62" t="str">
        <f>IFERROR(__xludf.DUMMYFUNCTION("""COMPUTED_VALUE"""),"COOPERADO")</f>
        <v>COOPERADO</v>
      </c>
    </row>
    <row r="490">
      <c r="A490" s="62" t="str">
        <f>IFERROR(__xludf.DUMMYFUNCTION("""COMPUTED_VALUE"""),"MARIA DE FATIMA KAROLINA")</f>
        <v>MARIA DE FATIMA KAROLINA</v>
      </c>
      <c r="B490" s="62" t="str">
        <f>IFERROR(__xludf.DUMMYFUNCTION("""COMPUTED_VALUE"""),"AUX. DE FARMÁCIA")</f>
        <v>AUX. DE FARMÁCIA</v>
      </c>
      <c r="C490" s="62" t="str">
        <f>IFERROR(__xludf.DUMMYFUNCTION("""COMPUTED_VALUE"""),"111.053.944-41")</f>
        <v>111.053.944-41</v>
      </c>
      <c r="D490" s="62" t="str">
        <f>IFERROR(__xludf.DUMMYFUNCTION("""COMPUTED_VALUE""")," 81 98980-0393")</f>
        <v> 81 98980-0393</v>
      </c>
      <c r="E490" s="62" t="str">
        <f>IFERROR(__xludf.DUMMYFUNCTION("""COMPUTED_VALUE"""),"CARUARU")</f>
        <v>CARUARU</v>
      </c>
      <c r="F490" s="62" t="str">
        <f>IFERROR(__xludf.DUMMYFUNCTION("""COMPUTED_VALUE"""),"COOPERADO")</f>
        <v>COOPERADO</v>
      </c>
    </row>
    <row r="491">
      <c r="A491" s="62" t="str">
        <f>IFERROR(__xludf.DUMMYFUNCTION("""COMPUTED_VALUE"""),"MARIA DE FÁTIMA PRISCILA DE SOUZA")</f>
        <v>MARIA DE FÁTIMA PRISCILA DE SOUZA</v>
      </c>
      <c r="B491" s="62" t="str">
        <f>IFERROR(__xludf.DUMMYFUNCTION("""COMPUTED_VALUE"""),"TÉC.ENFERMAGEM")</f>
        <v>TÉC.ENFERMAGEM</v>
      </c>
      <c r="C491" s="62" t="str">
        <f>IFERROR(__xludf.DUMMYFUNCTION("""COMPUTED_VALUE"""),"050.337.674-45")</f>
        <v>050.337.674-45</v>
      </c>
      <c r="D491" s="62" t="str">
        <f>IFERROR(__xludf.DUMMYFUNCTION("""COMPUTED_VALUE"""),"81 99117-9611")</f>
        <v>81 99117-9611</v>
      </c>
      <c r="E491" s="62" t="str">
        <f>IFERROR(__xludf.DUMMYFUNCTION("""COMPUTED_VALUE"""),"CARUARU")</f>
        <v>CARUARU</v>
      </c>
      <c r="F491" s="62" t="str">
        <f>IFERROR(__xludf.DUMMYFUNCTION("""COMPUTED_VALUE"""),"COOPERADO")</f>
        <v>COOPERADO</v>
      </c>
    </row>
    <row r="492">
      <c r="A492" s="62" t="str">
        <f>IFERROR(__xludf.DUMMYFUNCTION("""COMPUTED_VALUE"""),"MARIA DE LOURDES DA SILVA")</f>
        <v>MARIA DE LOURDES DA SILVA</v>
      </c>
      <c r="B492" s="62" t="str">
        <f>IFERROR(__xludf.DUMMYFUNCTION("""COMPUTED_VALUE"""),"AUX. DE ROUPARIA")</f>
        <v>AUX. DE ROUPARIA</v>
      </c>
      <c r="C492" s="62" t="str">
        <f>IFERROR(__xludf.DUMMYFUNCTION("""COMPUTED_VALUE"""),"053.771.574-60")</f>
        <v>053.771.574-60</v>
      </c>
      <c r="D492" s="62" t="str">
        <f>IFERROR(__xludf.DUMMYFUNCTION("""COMPUTED_VALUE""")," 81 99275-9451")</f>
        <v> 81 99275-9451</v>
      </c>
      <c r="E492" s="62" t="str">
        <f>IFERROR(__xludf.DUMMYFUNCTION("""COMPUTED_VALUE"""),"CARUARU")</f>
        <v>CARUARU</v>
      </c>
      <c r="F492" s="62" t="str">
        <f>IFERROR(__xludf.DUMMYFUNCTION("""COMPUTED_VALUE"""),"COOPERADO")</f>
        <v>COOPERADO</v>
      </c>
    </row>
    <row r="493">
      <c r="A493" s="62" t="str">
        <f>IFERROR(__xludf.DUMMYFUNCTION("""COMPUTED_VALUE"""),"MARIA DO CARMO ")</f>
        <v>MARIA DO CARMO </v>
      </c>
      <c r="B493" s="62" t="str">
        <f>IFERROR(__xludf.DUMMYFUNCTION("""COMPUTED_VALUE"""),"COZINHEIRA")</f>
        <v>COZINHEIRA</v>
      </c>
      <c r="C493" s="62" t="str">
        <f>IFERROR(__xludf.DUMMYFUNCTION("""COMPUTED_VALUE"""),"124.372.784-51")</f>
        <v>124.372.784-51</v>
      </c>
      <c r="D493" s="62" t="str">
        <f>IFERROR(__xludf.DUMMYFUNCTION("""COMPUTED_VALUE"""),"81 97345-5929")</f>
        <v>81 97345-5929</v>
      </c>
      <c r="E493" s="62" t="str">
        <f>IFERROR(__xludf.DUMMYFUNCTION("""COMPUTED_VALUE"""),"CARUARU")</f>
        <v>CARUARU</v>
      </c>
      <c r="F493" s="62" t="str">
        <f>IFERROR(__xludf.DUMMYFUNCTION("""COMPUTED_VALUE"""),"COOPERADO")</f>
        <v>COOPERADO</v>
      </c>
    </row>
    <row r="494">
      <c r="A494" s="62" t="str">
        <f>IFERROR(__xludf.DUMMYFUNCTION("""COMPUTED_VALUE"""),"MARIA DO SOCORRO BEZERRA DE CARVALHO")</f>
        <v>MARIA DO SOCORRO BEZERRA DE CARVALHO</v>
      </c>
      <c r="B494" s="62" t="str">
        <f>IFERROR(__xludf.DUMMYFUNCTION("""COMPUTED_VALUE"""),"TÉC. ENF.")</f>
        <v>TÉC. ENF.</v>
      </c>
      <c r="C494" s="62" t="str">
        <f>IFERROR(__xludf.DUMMYFUNCTION("""COMPUTED_VALUE"""),"093.463.514-54")</f>
        <v>093.463.514-54</v>
      </c>
      <c r="D494" s="62" t="str">
        <f>IFERROR(__xludf.DUMMYFUNCTION("""COMPUTED_VALUE"""),"87 98103-1289")</f>
        <v>87 98103-1289</v>
      </c>
      <c r="E494" s="62" t="str">
        <f>IFERROR(__xludf.DUMMYFUNCTION("""COMPUTED_VALUE"""),"CARUARU")</f>
        <v>CARUARU</v>
      </c>
      <c r="F494" s="62" t="str">
        <f>IFERROR(__xludf.DUMMYFUNCTION("""COMPUTED_VALUE"""),"COOPERADO")</f>
        <v>COOPERADO</v>
      </c>
    </row>
    <row r="495">
      <c r="A495" s="62" t="str">
        <f>IFERROR(__xludf.DUMMYFUNCTION("""COMPUTED_VALUE"""),"MARIA DO SOCORRO MARCELO DA SILVA")</f>
        <v>MARIA DO SOCORRO MARCELO DA SILVA</v>
      </c>
      <c r="B495" s="62" t="str">
        <f>IFERROR(__xludf.DUMMYFUNCTION("""COMPUTED_VALUE"""),"AUX DE HIGIENIZAÇÃO")</f>
        <v>AUX DE HIGIENIZAÇÃO</v>
      </c>
      <c r="C495" s="62" t="str">
        <f>IFERROR(__xludf.DUMMYFUNCTION("""COMPUTED_VALUE"""),"039.473.634-60")</f>
        <v>039.473.634-60</v>
      </c>
      <c r="D495" s="62" t="str">
        <f>IFERROR(__xludf.DUMMYFUNCTION("""COMPUTED_VALUE"""),"81 99810-7777")</f>
        <v>81 99810-7777</v>
      </c>
      <c r="E495" s="62" t="str">
        <f>IFERROR(__xludf.DUMMYFUNCTION("""COMPUTED_VALUE"""),"CARUARU")</f>
        <v>CARUARU</v>
      </c>
      <c r="F495" s="62" t="str">
        <f>IFERROR(__xludf.DUMMYFUNCTION("""COMPUTED_VALUE"""),"COOPERADO")</f>
        <v>COOPERADO</v>
      </c>
    </row>
    <row r="496">
      <c r="A496" s="62" t="str">
        <f>IFERROR(__xludf.DUMMYFUNCTION("""COMPUTED_VALUE"""),"MARIA EDUARDA DOS SANTOS LIMA")</f>
        <v>MARIA EDUARDA DOS SANTOS LIMA</v>
      </c>
      <c r="B496" s="62" t="str">
        <f>IFERROR(__xludf.DUMMYFUNCTION("""COMPUTED_VALUE"""),"ASSISTENTE ADMINISTRATIVO")</f>
        <v>ASSISTENTE ADMINISTRATIVO</v>
      </c>
      <c r="C496" s="62" t="str">
        <f>IFERROR(__xludf.DUMMYFUNCTION("""COMPUTED_VALUE"""),"141.185.354-75")</f>
        <v>141.185.354-75</v>
      </c>
      <c r="D496" s="62" t="str">
        <f>IFERROR(__xludf.DUMMYFUNCTION("""COMPUTED_VALUE"""),"81 99345-8955")</f>
        <v>81 99345-8955</v>
      </c>
      <c r="E496" s="62" t="str">
        <f>IFERROR(__xludf.DUMMYFUNCTION("""COMPUTED_VALUE"""),"CARUARU")</f>
        <v>CARUARU</v>
      </c>
      <c r="F496" s="62" t="str">
        <f>IFERROR(__xludf.DUMMYFUNCTION("""COMPUTED_VALUE"""),"COOPERADO")</f>
        <v>COOPERADO</v>
      </c>
    </row>
    <row r="497">
      <c r="A497" s="62" t="str">
        <f>IFERROR(__xludf.DUMMYFUNCTION("""COMPUTED_VALUE"""),"MARIA ELIANE DA SILVA BEZERRA")</f>
        <v>MARIA ELIANE DA SILVA BEZERRA</v>
      </c>
      <c r="B497" s="62" t="str">
        <f>IFERROR(__xludf.DUMMYFUNCTION("""COMPUTED_VALUE"""),"TÉC.ENFERMAGEM")</f>
        <v>TÉC.ENFERMAGEM</v>
      </c>
      <c r="C497" s="62" t="str">
        <f>IFERROR(__xludf.DUMMYFUNCTION("""COMPUTED_VALUE"""),"054.597.244-22")</f>
        <v>054.597.244-22</v>
      </c>
      <c r="D497" s="62" t="str">
        <f>IFERROR(__xludf.DUMMYFUNCTION("""COMPUTED_VALUE"""),"81 99768-1221")</f>
        <v>81 99768-1221</v>
      </c>
      <c r="E497" s="62" t="str">
        <f>IFERROR(__xludf.DUMMYFUNCTION("""COMPUTED_VALUE"""),"CARUARU")</f>
        <v>CARUARU</v>
      </c>
      <c r="F497" s="62" t="str">
        <f>IFERROR(__xludf.DUMMYFUNCTION("""COMPUTED_VALUE"""),"COOPERADO")</f>
        <v>COOPERADO</v>
      </c>
    </row>
    <row r="498">
      <c r="A498" s="62" t="str">
        <f>IFERROR(__xludf.DUMMYFUNCTION("""COMPUTED_VALUE"""),"Maria Emanuelle Gonçalves Cordeiro")</f>
        <v>Maria Emanuelle Gonçalves Cordeiro</v>
      </c>
      <c r="B498" s="62" t="str">
        <f>IFERROR(__xludf.DUMMYFUNCTION("""COMPUTED_VALUE"""),"Téc. Enf.")</f>
        <v>Téc. Enf.</v>
      </c>
      <c r="C498" s="62" t="str">
        <f>IFERROR(__xludf.DUMMYFUNCTION("""COMPUTED_VALUE"""),"125.563.664-51")</f>
        <v>125.563.664-51</v>
      </c>
      <c r="D498" s="62" t="str">
        <f>IFERROR(__xludf.DUMMYFUNCTION("""COMPUTED_VALUE"""),"87 9.9117-9664")</f>
        <v>87 9.9117-9664</v>
      </c>
      <c r="E498" s="62" t="str">
        <f>IFERROR(__xludf.DUMMYFUNCTION("""COMPUTED_VALUE"""),"CARUARU")</f>
        <v>CARUARU</v>
      </c>
      <c r="F498" s="62" t="str">
        <f>IFERROR(__xludf.DUMMYFUNCTION("""COMPUTED_VALUE"""),"COOPERADO")</f>
        <v>COOPERADO</v>
      </c>
    </row>
    <row r="499">
      <c r="A499" s="62" t="str">
        <f>IFERROR(__xludf.DUMMYFUNCTION("""COMPUTED_VALUE"""),"MARIA FRANCIELY DA SILVA ")</f>
        <v>MARIA FRANCIELY DA SILVA </v>
      </c>
      <c r="B499" s="62" t="str">
        <f>IFERROR(__xludf.DUMMYFUNCTION("""COMPUTED_VALUE"""),"RECEPCIONISTA")</f>
        <v>RECEPCIONISTA</v>
      </c>
      <c r="C499" s="62" t="str">
        <f>IFERROR(__xludf.DUMMYFUNCTION("""COMPUTED_VALUE"""),"111.021.174-04")</f>
        <v>111.021.174-04</v>
      </c>
      <c r="D499" s="62" t="str">
        <f>IFERROR(__xludf.DUMMYFUNCTION("""COMPUTED_VALUE"""),"8198325-7136")</f>
        <v>8198325-7136</v>
      </c>
      <c r="E499" s="62" t="str">
        <f>IFERROR(__xludf.DUMMYFUNCTION("""COMPUTED_VALUE"""),"CARUARU")</f>
        <v>CARUARU</v>
      </c>
      <c r="F499" s="62" t="str">
        <f>IFERROR(__xludf.DUMMYFUNCTION("""COMPUTED_VALUE"""),"COOPERADO")</f>
        <v>COOPERADO</v>
      </c>
    </row>
    <row r="500">
      <c r="A500" s="62" t="str">
        <f>IFERROR(__xludf.DUMMYFUNCTION("""COMPUTED_VALUE"""),"MARIA GEANE TIMOTEO DE COUTO ")</f>
        <v>MARIA GEANE TIMOTEO DE COUTO </v>
      </c>
      <c r="B500" s="62" t="str">
        <f>IFERROR(__xludf.DUMMYFUNCTION("""COMPUTED_VALUE"""),"TÉC. ENF.")</f>
        <v>TÉC. ENF.</v>
      </c>
      <c r="C500" s="62" t="str">
        <f>IFERROR(__xludf.DUMMYFUNCTION("""COMPUTED_VALUE"""),"089.591.574-06")</f>
        <v>089.591.574-06</v>
      </c>
      <c r="D500" s="62" t="str">
        <f>IFERROR(__xludf.DUMMYFUNCTION("""COMPUTED_VALUE"""),"81 99800-6363")</f>
        <v>81 99800-6363</v>
      </c>
      <c r="E500" s="62" t="str">
        <f>IFERROR(__xludf.DUMMYFUNCTION("""COMPUTED_VALUE"""),"CARUARU")</f>
        <v>CARUARU</v>
      </c>
      <c r="F500" s="62" t="str">
        <f>IFERROR(__xludf.DUMMYFUNCTION("""COMPUTED_VALUE"""),"COOPERADO")</f>
        <v>COOPERADO</v>
      </c>
    </row>
    <row r="501">
      <c r="A501" s="62" t="str">
        <f>IFERROR(__xludf.DUMMYFUNCTION("""COMPUTED_VALUE"""),"MARIA GISELLE GOMES DOS SANTOS")</f>
        <v>MARIA GISELLE GOMES DOS SANTOS</v>
      </c>
      <c r="B501" s="62" t="str">
        <f>IFERROR(__xludf.DUMMYFUNCTION("""COMPUTED_VALUE"""),"TÉC.ENFERMAGEM")</f>
        <v>TÉC.ENFERMAGEM</v>
      </c>
      <c r="C501" s="62" t="str">
        <f>IFERROR(__xludf.DUMMYFUNCTION("""COMPUTED_VALUE"""),"143.845.464-32")</f>
        <v>143.845.464-32</v>
      </c>
      <c r="D501" s="62" t="str">
        <f>IFERROR(__xludf.DUMMYFUNCTION("""COMPUTED_VALUE"""),"81 99293-3061")</f>
        <v>81 99293-3061</v>
      </c>
      <c r="E501" s="62" t="str">
        <f>IFERROR(__xludf.DUMMYFUNCTION("""COMPUTED_VALUE"""),"CARUARU")</f>
        <v>CARUARU</v>
      </c>
      <c r="F501" s="62" t="str">
        <f>IFERROR(__xludf.DUMMYFUNCTION("""COMPUTED_VALUE"""),"COOPERADO")</f>
        <v>COOPERADO</v>
      </c>
    </row>
    <row r="502">
      <c r="A502" s="62" t="str">
        <f>IFERROR(__xludf.DUMMYFUNCTION("""COMPUTED_VALUE"""),"Maria Idinei Oliveira")</f>
        <v>Maria Idinei Oliveira</v>
      </c>
      <c r="B502" s="62" t="str">
        <f>IFERROR(__xludf.DUMMYFUNCTION("""COMPUTED_VALUE"""),"Enfermeiro(a)")</f>
        <v>Enfermeiro(a)</v>
      </c>
      <c r="C502" s="62" t="str">
        <f>IFERROR(__xludf.DUMMYFUNCTION("""COMPUTED_VALUE"""),"109.981.384-01")</f>
        <v>109.981.384-01</v>
      </c>
      <c r="D502" s="62" t="str">
        <f>IFERROR(__xludf.DUMMYFUNCTION("""COMPUTED_VALUE"""),"8199917-3114")</f>
        <v>8199917-3114</v>
      </c>
      <c r="E502" s="62" t="str">
        <f>IFERROR(__xludf.DUMMYFUNCTION("""COMPUTED_VALUE"""),"CARUARU")</f>
        <v>CARUARU</v>
      </c>
      <c r="F502" s="62" t="str">
        <f>IFERROR(__xludf.DUMMYFUNCTION("""COMPUTED_VALUE"""),"COOPERADO")</f>
        <v>COOPERADO</v>
      </c>
    </row>
    <row r="503">
      <c r="A503" s="62" t="str">
        <f>IFERROR(__xludf.DUMMYFUNCTION("""COMPUTED_VALUE"""),"MARIA INES DA SILVA")</f>
        <v>MARIA INES DA SILVA</v>
      </c>
      <c r="B503" s="62" t="str">
        <f>IFERROR(__xludf.DUMMYFUNCTION("""COMPUTED_VALUE"""),"Téc. Enfermagem")</f>
        <v>Téc. Enfermagem</v>
      </c>
      <c r="C503" s="62" t="str">
        <f>IFERROR(__xludf.DUMMYFUNCTION("""COMPUTED_VALUE"""),"092.824.464-41")</f>
        <v>092.824.464-41</v>
      </c>
      <c r="D503" s="62" t="str">
        <f>IFERROR(__xludf.DUMMYFUNCTION("""COMPUTED_VALUE"""),"81 99497-6539")</f>
        <v>81 99497-6539</v>
      </c>
      <c r="E503" s="62" t="str">
        <f>IFERROR(__xludf.DUMMYFUNCTION("""COMPUTED_VALUE"""),"CARUARU")</f>
        <v>CARUARU</v>
      </c>
      <c r="F503" s="62" t="str">
        <f>IFERROR(__xludf.DUMMYFUNCTION("""COMPUTED_VALUE"""),"COOPERADO")</f>
        <v>COOPERADO</v>
      </c>
    </row>
    <row r="504">
      <c r="A504" s="62" t="str">
        <f>IFERROR(__xludf.DUMMYFUNCTION("""COMPUTED_VALUE"""),"MARIA ISABEL ALVES DE SOUSA")</f>
        <v>MARIA ISABEL ALVES DE SOUSA</v>
      </c>
      <c r="B504" s="62" t="str">
        <f>IFERROR(__xludf.DUMMYFUNCTION("""COMPUTED_VALUE"""),"AUXILIAR DE COZINHA")</f>
        <v>AUXILIAR DE COZINHA</v>
      </c>
      <c r="C504" s="62" t="str">
        <f>IFERROR(__xludf.DUMMYFUNCTION("""COMPUTED_VALUE"""),"061.674.864-76")</f>
        <v>061.674.864-76</v>
      </c>
      <c r="D504" s="62" t="str">
        <f>IFERROR(__xludf.DUMMYFUNCTION("""COMPUTED_VALUE"""),"81 99689-4921")</f>
        <v>81 99689-4921</v>
      </c>
      <c r="E504" s="62" t="str">
        <f>IFERROR(__xludf.DUMMYFUNCTION("""COMPUTED_VALUE"""),"CARUARU")</f>
        <v>CARUARU</v>
      </c>
      <c r="F504" s="62" t="str">
        <f>IFERROR(__xludf.DUMMYFUNCTION("""COMPUTED_VALUE"""),"COOPERADO")</f>
        <v>COOPERADO</v>
      </c>
    </row>
    <row r="505">
      <c r="A505" s="62" t="str">
        <f>IFERROR(__xludf.DUMMYFUNCTION("""COMPUTED_VALUE"""),"MARIA IZABEL DE LIRA SILVA")</f>
        <v>MARIA IZABEL DE LIRA SILVA</v>
      </c>
      <c r="B505" s="62" t="str">
        <f>IFERROR(__xludf.DUMMYFUNCTION("""COMPUTED_VALUE"""),"RECEPCIONISTA")</f>
        <v>RECEPCIONISTA</v>
      </c>
      <c r="C505" s="62" t="str">
        <f>IFERROR(__xludf.DUMMYFUNCTION("""COMPUTED_VALUE"""),"104.563.314-33")</f>
        <v>104.563.314-33</v>
      </c>
      <c r="D505" s="62" t="str">
        <f>IFERROR(__xludf.DUMMYFUNCTION("""COMPUTED_VALUE"""),"87 99163-7165")</f>
        <v>87 99163-7165</v>
      </c>
      <c r="E505" s="62" t="str">
        <f>IFERROR(__xludf.DUMMYFUNCTION("""COMPUTED_VALUE"""),"CARUARU")</f>
        <v>CARUARU</v>
      </c>
      <c r="F505" s="62" t="str">
        <f>IFERROR(__xludf.DUMMYFUNCTION("""COMPUTED_VALUE"""),"COOPERADO")</f>
        <v>COOPERADO</v>
      </c>
    </row>
    <row r="506">
      <c r="A506" s="62" t="str">
        <f>IFERROR(__xludf.DUMMYFUNCTION("""COMPUTED_VALUE"""),"MARIA IZABELA PEREIRA GOMES")</f>
        <v>MARIA IZABELA PEREIRA GOMES</v>
      </c>
      <c r="B506" s="62" t="str">
        <f>IFERROR(__xludf.DUMMYFUNCTION("""COMPUTED_VALUE"""),"RECEPCIONISTA")</f>
        <v>RECEPCIONISTA</v>
      </c>
      <c r="C506" s="62" t="str">
        <f>IFERROR(__xludf.DUMMYFUNCTION("""COMPUTED_VALUE"""),"701.761.334-10")</f>
        <v>701.761.334-10</v>
      </c>
      <c r="D506" s="62" t="str">
        <f>IFERROR(__xludf.DUMMYFUNCTION("""COMPUTED_VALUE"""),"81 99294-5292")</f>
        <v>81 99294-5292</v>
      </c>
      <c r="E506" s="62" t="str">
        <f>IFERROR(__xludf.DUMMYFUNCTION("""COMPUTED_VALUE"""),"CARUARU")</f>
        <v>CARUARU</v>
      </c>
      <c r="F506" s="62" t="str">
        <f>IFERROR(__xludf.DUMMYFUNCTION("""COMPUTED_VALUE"""),"COOPERADO")</f>
        <v>COOPERADO</v>
      </c>
    </row>
    <row r="507">
      <c r="A507" s="62" t="str">
        <f>IFERROR(__xludf.DUMMYFUNCTION("""COMPUTED_VALUE"""),"Maria Janaína Da Silva")</f>
        <v>Maria Janaína Da Silva</v>
      </c>
      <c r="B507" s="62" t="str">
        <f>IFERROR(__xludf.DUMMYFUNCTION("""COMPUTED_VALUE"""),"Enfermeiro(a)")</f>
        <v>Enfermeiro(a)</v>
      </c>
      <c r="C507" s="62" t="str">
        <f>IFERROR(__xludf.DUMMYFUNCTION("""COMPUTED_VALUE"""),"707.336.774-10")</f>
        <v>707.336.774-10</v>
      </c>
      <c r="D507" s="62" t="str">
        <f>IFERROR(__xludf.DUMMYFUNCTION("""COMPUTED_VALUE"""),"81 98920-1871")</f>
        <v>81 98920-1871</v>
      </c>
      <c r="E507" s="62" t="str">
        <f>IFERROR(__xludf.DUMMYFUNCTION("""COMPUTED_VALUE"""),"CARUARU")</f>
        <v>CARUARU</v>
      </c>
      <c r="F507" s="62" t="str">
        <f>IFERROR(__xludf.DUMMYFUNCTION("""COMPUTED_VALUE"""),"COOPERADO")</f>
        <v>COOPERADO</v>
      </c>
    </row>
    <row r="508">
      <c r="A508" s="62" t="str">
        <f>IFERROR(__xludf.DUMMYFUNCTION("""COMPUTED_VALUE"""),"MARIA JOSÉ DA SILVA")</f>
        <v>MARIA JOSÉ DA SILVA</v>
      </c>
      <c r="B508" s="62" t="str">
        <f>IFERROR(__xludf.DUMMYFUNCTION("""COMPUTED_VALUE"""),"AUX. HIG. ")</f>
        <v>AUX. HIG. </v>
      </c>
      <c r="C508" s="62" t="str">
        <f>IFERROR(__xludf.DUMMYFUNCTION("""COMPUTED_VALUE"""),"014.741.494-64")</f>
        <v>014.741.494-64</v>
      </c>
      <c r="D508" s="62" t="str">
        <f>IFERROR(__xludf.DUMMYFUNCTION("""COMPUTED_VALUE""")," 81 98270-8208")</f>
        <v> 81 98270-8208</v>
      </c>
      <c r="E508" s="62" t="str">
        <f>IFERROR(__xludf.DUMMYFUNCTION("""COMPUTED_VALUE"""),"CARUARU")</f>
        <v>CARUARU</v>
      </c>
      <c r="F508" s="62" t="str">
        <f>IFERROR(__xludf.DUMMYFUNCTION("""COMPUTED_VALUE"""),"COOPERADO")</f>
        <v>COOPERADO</v>
      </c>
    </row>
    <row r="509">
      <c r="A509" s="62" t="str">
        <f>IFERROR(__xludf.DUMMYFUNCTION("""COMPUTED_VALUE"""),"MARIA JOSÉ FERREIRA")</f>
        <v>MARIA JOSÉ FERREIRA</v>
      </c>
      <c r="B509" s="62" t="str">
        <f>IFERROR(__xludf.DUMMYFUNCTION("""COMPUTED_VALUE"""),"AUX. COZINHA")</f>
        <v>AUX. COZINHA</v>
      </c>
      <c r="C509" s="62" t="str">
        <f>IFERROR(__xludf.DUMMYFUNCTION("""COMPUTED_VALUE"""),"078.338.604-41")</f>
        <v>078.338.604-41</v>
      </c>
      <c r="D509" s="62" t="str">
        <f>IFERROR(__xludf.DUMMYFUNCTION("""COMPUTED_VALUE"""),"81 99958-1771")</f>
        <v>81 99958-1771</v>
      </c>
      <c r="E509" s="62" t="str">
        <f>IFERROR(__xludf.DUMMYFUNCTION("""COMPUTED_VALUE"""),"CARUARU")</f>
        <v>CARUARU</v>
      </c>
      <c r="F509" s="62" t="str">
        <f>IFERROR(__xludf.DUMMYFUNCTION("""COMPUTED_VALUE"""),"COOPERADO")</f>
        <v>COOPERADO</v>
      </c>
    </row>
    <row r="510">
      <c r="A510" s="62" t="str">
        <f>IFERROR(__xludf.DUMMYFUNCTION("""COMPUTED_VALUE"""),"MARIA JOSE PEREIRA DA SILVA")</f>
        <v>MARIA JOSE PEREIRA DA SILVA</v>
      </c>
      <c r="B510" s="62" t="str">
        <f>IFERROR(__xludf.DUMMYFUNCTION("""COMPUTED_VALUE"""),"TÉC.ENFERMAGEM")</f>
        <v>TÉC.ENFERMAGEM</v>
      </c>
      <c r="C510" s="62" t="str">
        <f>IFERROR(__xludf.DUMMYFUNCTION("""COMPUTED_VALUE"""),"044.238.994-93")</f>
        <v>044.238.994-93</v>
      </c>
      <c r="D510" s="62" t="str">
        <f>IFERROR(__xludf.DUMMYFUNCTION("""COMPUTED_VALUE""")," 81 99211-9387")</f>
        <v> 81 99211-9387</v>
      </c>
      <c r="E510" s="62" t="str">
        <f>IFERROR(__xludf.DUMMYFUNCTION("""COMPUTED_VALUE"""),"CARUARU")</f>
        <v>CARUARU</v>
      </c>
      <c r="F510" s="62" t="str">
        <f>IFERROR(__xludf.DUMMYFUNCTION("""COMPUTED_VALUE"""),"COOPERADO")</f>
        <v>COOPERADO</v>
      </c>
    </row>
    <row r="511">
      <c r="A511" s="62" t="str">
        <f>IFERROR(__xludf.DUMMYFUNCTION("""COMPUTED_VALUE"""),"MARIA KLARA OLIVEIRA DE AQUINO")</f>
        <v>MARIA KLARA OLIVEIRA DE AQUINO</v>
      </c>
      <c r="B511" s="62" t="str">
        <f>IFERROR(__xludf.DUMMYFUNCTION("""COMPUTED_VALUE"""),"ENFERMEIRO (A)")</f>
        <v>ENFERMEIRO (A)</v>
      </c>
      <c r="C511" s="62" t="str">
        <f>IFERROR(__xludf.DUMMYFUNCTION("""COMPUTED_VALUE"""),"112.254.034-56")</f>
        <v>112.254.034-56</v>
      </c>
      <c r="D511" s="62" t="str">
        <f>IFERROR(__xludf.DUMMYFUNCTION("""COMPUTED_VALUE"""),"81 98978-1149")</f>
        <v>81 98978-1149</v>
      </c>
      <c r="E511" s="62" t="str">
        <f>IFERROR(__xludf.DUMMYFUNCTION("""COMPUTED_VALUE"""),"CARUARU")</f>
        <v>CARUARU</v>
      </c>
      <c r="F511" s="62" t="str">
        <f>IFERROR(__xludf.DUMMYFUNCTION("""COMPUTED_VALUE"""),"COOPERADO")</f>
        <v>COOPERADO</v>
      </c>
    </row>
    <row r="512">
      <c r="A512" s="62" t="str">
        <f>IFERROR(__xludf.DUMMYFUNCTION("""COMPUTED_VALUE"""),"Maria Luciana Espíndula Seródio")</f>
        <v>Maria Luciana Espíndula Seródio</v>
      </c>
      <c r="B512" s="62" t="str">
        <f>IFERROR(__xludf.DUMMYFUNCTION("""COMPUTED_VALUE"""),"Enfermeiro(a)")</f>
        <v>Enfermeiro(a)</v>
      </c>
      <c r="C512" s="62" t="str">
        <f>IFERROR(__xludf.DUMMYFUNCTION("""COMPUTED_VALUE"""),"057.024.794-24")</f>
        <v>057.024.794-24</v>
      </c>
      <c r="D512" s="62" t="str">
        <f>IFERROR(__xludf.DUMMYFUNCTION("""COMPUTED_VALUE"""),"81 99135-2450")</f>
        <v>81 99135-2450</v>
      </c>
      <c r="E512" s="62" t="str">
        <f>IFERROR(__xludf.DUMMYFUNCTION("""COMPUTED_VALUE"""),"CARUARU")</f>
        <v>CARUARU</v>
      </c>
      <c r="F512" s="62" t="str">
        <f>IFERROR(__xludf.DUMMYFUNCTION("""COMPUTED_VALUE"""),"COOPERADO")</f>
        <v>COOPERADO</v>
      </c>
    </row>
    <row r="513">
      <c r="A513" s="62" t="str">
        <f>IFERROR(__xludf.DUMMYFUNCTION("""COMPUTED_VALUE"""),"MARIA LUCICLEIDE DE LIMA")</f>
        <v>MARIA LUCICLEIDE DE LIMA</v>
      </c>
      <c r="B513" s="62" t="str">
        <f>IFERROR(__xludf.DUMMYFUNCTION("""COMPUTED_VALUE"""),"AUX DE HIGIENIZAÇÃO")</f>
        <v>AUX DE HIGIENIZAÇÃO</v>
      </c>
      <c r="C513" s="62" t="str">
        <f>IFERROR(__xludf.DUMMYFUNCTION("""COMPUTED_VALUE"""),"029.135.564-18")</f>
        <v>029.135.564-18</v>
      </c>
      <c r="D513" s="62" t="str">
        <f>IFERROR(__xludf.DUMMYFUNCTION("""COMPUTED_VALUE"""),"81 97328-3302")</f>
        <v>81 97328-3302</v>
      </c>
      <c r="E513" s="62" t="str">
        <f>IFERROR(__xludf.DUMMYFUNCTION("""COMPUTED_VALUE"""),"CARUARU")</f>
        <v>CARUARU</v>
      </c>
      <c r="F513" s="62" t="str">
        <f>IFERROR(__xludf.DUMMYFUNCTION("""COMPUTED_VALUE"""),"COOPERADO")</f>
        <v>COOPERADO</v>
      </c>
    </row>
    <row r="514">
      <c r="A514" s="62" t="str">
        <f>IFERROR(__xludf.DUMMYFUNCTION("""COMPUTED_VALUE"""),"MARIA LUCICLEIDE FERREIRA DA SILVA")</f>
        <v>MARIA LUCICLEIDE FERREIRA DA SILVA</v>
      </c>
      <c r="B514" s="62" t="str">
        <f>IFERROR(__xludf.DUMMYFUNCTION("""COMPUTED_VALUE"""),"TÉC. ENF.")</f>
        <v>TÉC. ENF.</v>
      </c>
      <c r="C514" s="62" t="str">
        <f>IFERROR(__xludf.DUMMYFUNCTION("""COMPUTED_VALUE"""),"029.135.564-18")</f>
        <v>029.135.564-18</v>
      </c>
      <c r="D514" s="62" t="str">
        <f>IFERROR(__xludf.DUMMYFUNCTION("""COMPUTED_VALUE"""),"81 99768-7160")</f>
        <v>81 99768-7160</v>
      </c>
      <c r="E514" s="62" t="str">
        <f>IFERROR(__xludf.DUMMYFUNCTION("""COMPUTED_VALUE"""),"CARUARU")</f>
        <v>CARUARU</v>
      </c>
      <c r="F514" s="62" t="str">
        <f>IFERROR(__xludf.DUMMYFUNCTION("""COMPUTED_VALUE"""),"COOPERADO")</f>
        <v>COOPERADO</v>
      </c>
    </row>
    <row r="515">
      <c r="A515" s="62" t="str">
        <f>IFERROR(__xludf.DUMMYFUNCTION("""COMPUTED_VALUE"""),"Maria Lucineide Tomaz")</f>
        <v>Maria Lucineide Tomaz</v>
      </c>
      <c r="B515" s="62" t="str">
        <f>IFERROR(__xludf.DUMMYFUNCTION("""COMPUTED_VALUE"""),"Téc. Enf.")</f>
        <v>Téc. Enf.</v>
      </c>
      <c r="C515" s="62" t="str">
        <f>IFERROR(__xludf.DUMMYFUNCTION("""COMPUTED_VALUE"""),"089.502.924-32")</f>
        <v>089.502.924-32</v>
      </c>
      <c r="D515" s="62" t="str">
        <f>IFERROR(__xludf.DUMMYFUNCTION("""COMPUTED_VALUE"""),"81 99289-0576")</f>
        <v>81 99289-0576</v>
      </c>
      <c r="E515" s="62" t="str">
        <f>IFERROR(__xludf.DUMMYFUNCTION("""COMPUTED_VALUE"""),"CARUARU")</f>
        <v>CARUARU</v>
      </c>
      <c r="F515" s="62" t="str">
        <f>IFERROR(__xludf.DUMMYFUNCTION("""COMPUTED_VALUE"""),"COOPERADO")</f>
        <v>COOPERADO</v>
      </c>
    </row>
    <row r="516">
      <c r="A516" s="62" t="str">
        <f>IFERROR(__xludf.DUMMYFUNCTION("""COMPUTED_VALUE"""),"MARIA MIRTES BARBOSA DE MELO")</f>
        <v>MARIA MIRTES BARBOSA DE MELO</v>
      </c>
      <c r="B516" s="62" t="str">
        <f>IFERROR(__xludf.DUMMYFUNCTION("""COMPUTED_VALUE"""),"ENFERMEIRO (A)")</f>
        <v>ENFERMEIRO (A)</v>
      </c>
      <c r="C516" s="62" t="str">
        <f>IFERROR(__xludf.DUMMYFUNCTION("""COMPUTED_VALUE"""),"745.974.264-34")</f>
        <v>745.974.264-34</v>
      </c>
      <c r="D516" s="62" t="str">
        <f>IFERROR(__xludf.DUMMYFUNCTION("""COMPUTED_VALUE"""),"81 99718-9856")</f>
        <v>81 99718-9856</v>
      </c>
      <c r="E516" s="62" t="str">
        <f>IFERROR(__xludf.DUMMYFUNCTION("""COMPUTED_VALUE"""),"CARUARU")</f>
        <v>CARUARU</v>
      </c>
      <c r="F516" s="62" t="str">
        <f>IFERROR(__xludf.DUMMYFUNCTION("""COMPUTED_VALUE"""),"COOPERADO")</f>
        <v>COOPERADO</v>
      </c>
    </row>
    <row r="517">
      <c r="A517" s="62" t="str">
        <f>IFERROR(__xludf.DUMMYFUNCTION("""COMPUTED_VALUE"""),"Maria Monaliza De S. Fernandes")</f>
        <v>Maria Monaliza De S. Fernandes</v>
      </c>
      <c r="B517" s="62" t="str">
        <f>IFERROR(__xludf.DUMMYFUNCTION("""COMPUTED_VALUE"""),"Téc. Enf.")</f>
        <v>Téc. Enf.</v>
      </c>
      <c r="C517" s="62" t="str">
        <f>IFERROR(__xludf.DUMMYFUNCTION("""COMPUTED_VALUE"""),"090.676.254-50")</f>
        <v>090.676.254-50</v>
      </c>
      <c r="D517" s="62" t="str">
        <f>IFERROR(__xludf.DUMMYFUNCTION("""COMPUTED_VALUE"""),"81 99278-9745")</f>
        <v>81 99278-9745</v>
      </c>
      <c r="E517" s="62" t="str">
        <f>IFERROR(__xludf.DUMMYFUNCTION("""COMPUTED_VALUE"""),"CARUARU")</f>
        <v>CARUARU</v>
      </c>
      <c r="F517" s="62" t="str">
        <f>IFERROR(__xludf.DUMMYFUNCTION("""COMPUTED_VALUE"""),"COOPERADO")</f>
        <v>COOPERADO</v>
      </c>
    </row>
    <row r="518">
      <c r="A518" s="62" t="str">
        <f>IFERROR(__xludf.DUMMYFUNCTION("""COMPUTED_VALUE"""),"Maria Patrícia Figueiredo")</f>
        <v>Maria Patrícia Figueiredo</v>
      </c>
      <c r="B518" s="62" t="str">
        <f>IFERROR(__xludf.DUMMYFUNCTION("""COMPUTED_VALUE"""),"Copeira")</f>
        <v>Copeira</v>
      </c>
      <c r="C518" s="62" t="str">
        <f>IFERROR(__xludf.DUMMYFUNCTION("""COMPUTED_VALUE"""),"032.237.564-93")</f>
        <v>032.237.564-93</v>
      </c>
      <c r="D518" s="62" t="str">
        <f>IFERROR(__xludf.DUMMYFUNCTION("""COMPUTED_VALUE"""),"87 99638-3092")</f>
        <v>87 99638-3092</v>
      </c>
      <c r="E518" s="62" t="str">
        <f>IFERROR(__xludf.DUMMYFUNCTION("""COMPUTED_VALUE"""),"CARUARU")</f>
        <v>CARUARU</v>
      </c>
      <c r="F518" s="62" t="str">
        <f>IFERROR(__xludf.DUMMYFUNCTION("""COMPUTED_VALUE"""),"COOPERADO")</f>
        <v>COOPERADO</v>
      </c>
    </row>
    <row r="519">
      <c r="A519" s="62" t="str">
        <f>IFERROR(__xludf.DUMMYFUNCTION("""COMPUTED_VALUE"""),"MARIA RAFAELLA DA SILVA")</f>
        <v>MARIA RAFAELLA DA SILVA</v>
      </c>
      <c r="B519" s="62" t="str">
        <f>IFERROR(__xludf.DUMMYFUNCTION("""COMPUTED_VALUE"""),"ENFERMEIRA(O)")</f>
        <v>ENFERMEIRA(O)</v>
      </c>
      <c r="C519" s="62" t="str">
        <f>IFERROR(__xludf.DUMMYFUNCTION("""COMPUTED_VALUE"""),"032.237.564-93")</f>
        <v>032.237.564-93</v>
      </c>
      <c r="D519" s="62" t="str">
        <f>IFERROR(__xludf.DUMMYFUNCTION("""COMPUTED_VALUE"""),"81 99199-3506")</f>
        <v>81 99199-3506</v>
      </c>
      <c r="E519" s="62" t="str">
        <f>IFERROR(__xludf.DUMMYFUNCTION("""COMPUTED_VALUE"""),"CARUARU")</f>
        <v>CARUARU</v>
      </c>
      <c r="F519" s="62" t="str">
        <f>IFERROR(__xludf.DUMMYFUNCTION("""COMPUTED_VALUE"""),"COOPERADO")</f>
        <v>COOPERADO</v>
      </c>
    </row>
    <row r="520">
      <c r="A520" s="62" t="str">
        <f>IFERROR(__xludf.DUMMYFUNCTION("""COMPUTED_VALUE"""),"MARIA RENATA MELO")</f>
        <v>MARIA RENATA MELO</v>
      </c>
      <c r="B520" s="62" t="str">
        <f>IFERROR(__xludf.DUMMYFUNCTION("""COMPUTED_VALUE"""),"ASSISTENTE ADMINISTRATIVO")</f>
        <v>ASSISTENTE ADMINISTRATIVO</v>
      </c>
      <c r="C520" s="62" t="str">
        <f>IFERROR(__xludf.DUMMYFUNCTION("""COMPUTED_VALUE"""),"096.246.054-08")</f>
        <v>096.246.054-08</v>
      </c>
      <c r="D520" s="62" t="str">
        <f>IFERROR(__xludf.DUMMYFUNCTION("""COMPUTED_VALUE"""),"81 98984-9260")</f>
        <v>81 98984-9260</v>
      </c>
      <c r="E520" s="62" t="str">
        <f>IFERROR(__xludf.DUMMYFUNCTION("""COMPUTED_VALUE"""),"CARUARU")</f>
        <v>CARUARU</v>
      </c>
      <c r="F520" s="62" t="str">
        <f>IFERROR(__xludf.DUMMYFUNCTION("""COMPUTED_VALUE"""),"COOPERADO")</f>
        <v>COOPERADO</v>
      </c>
    </row>
    <row r="521">
      <c r="A521" s="62" t="str">
        <f>IFERROR(__xludf.DUMMYFUNCTION("""COMPUTED_VALUE"""),"MARIA ROMARIA DOS SANTOS")</f>
        <v>MARIA ROMARIA DOS SANTOS</v>
      </c>
      <c r="B521" s="62" t="str">
        <f>IFERROR(__xludf.DUMMYFUNCTION("""COMPUTED_VALUE"""),"TÉC.ENFERMAGEM")</f>
        <v>TÉC.ENFERMAGEM</v>
      </c>
      <c r="C521" s="62" t="str">
        <f>IFERROR(__xludf.DUMMYFUNCTION("""COMPUTED_VALUE"""),"112.442.014-21")</f>
        <v>112.442.014-21</v>
      </c>
      <c r="D521" s="62" t="str">
        <f>IFERROR(__xludf.DUMMYFUNCTION("""COMPUTED_VALUE"""),"81 99487-8333")</f>
        <v>81 99487-8333</v>
      </c>
      <c r="E521" s="62" t="str">
        <f>IFERROR(__xludf.DUMMYFUNCTION("""COMPUTED_VALUE"""),"CARUARU")</f>
        <v>CARUARU</v>
      </c>
      <c r="F521" s="62" t="str">
        <f>IFERROR(__xludf.DUMMYFUNCTION("""COMPUTED_VALUE"""),"COOPERADO")</f>
        <v>COOPERADO</v>
      </c>
    </row>
    <row r="522">
      <c r="A522" s="62" t="str">
        <f>IFERROR(__xludf.DUMMYFUNCTION("""COMPUTED_VALUE"""),"MARIA ROSALVA DOS SANTOS")</f>
        <v>MARIA ROSALVA DOS SANTOS</v>
      </c>
      <c r="B522" s="62" t="str">
        <f>IFERROR(__xludf.DUMMYFUNCTION("""COMPUTED_VALUE"""),"AUX DE HIGIENIZAÇÃO")</f>
        <v>AUX DE HIGIENIZAÇÃO</v>
      </c>
      <c r="C522" s="62" t="str">
        <f>IFERROR(__xludf.DUMMYFUNCTION("""COMPUTED_VALUE"""),"013.005.754-17")</f>
        <v>013.005.754-17</v>
      </c>
      <c r="D522" s="62" t="str">
        <f>IFERROR(__xludf.DUMMYFUNCTION("""COMPUTED_VALUE"""),"81 99193-0964")</f>
        <v>81 99193-0964</v>
      </c>
      <c r="E522" s="62" t="str">
        <f>IFERROR(__xludf.DUMMYFUNCTION("""COMPUTED_VALUE"""),"CARUARU")</f>
        <v>CARUARU</v>
      </c>
      <c r="F522" s="62" t="str">
        <f>IFERROR(__xludf.DUMMYFUNCTION("""COMPUTED_VALUE"""),"COOPERADO")</f>
        <v>COOPERADO</v>
      </c>
    </row>
    <row r="523">
      <c r="A523" s="62" t="str">
        <f>IFERROR(__xludf.DUMMYFUNCTION("""COMPUTED_VALUE"""),"MARIA ROSELI DE AZEVEDO")</f>
        <v>MARIA ROSELI DE AZEVEDO</v>
      </c>
      <c r="B523" s="62" t="str">
        <f>IFERROR(__xludf.DUMMYFUNCTION("""COMPUTED_VALUE"""),"TÉC. ENF")</f>
        <v>TÉC. ENF</v>
      </c>
      <c r="C523" s="62" t="str">
        <f>IFERROR(__xludf.DUMMYFUNCTION("""COMPUTED_VALUE"""),"057.685.254-67")</f>
        <v>057.685.254-67</v>
      </c>
      <c r="D523" s="62" t="str">
        <f>IFERROR(__xludf.DUMMYFUNCTION("""COMPUTED_VALUE"""),"81 97328-1872")</f>
        <v>81 97328-1872</v>
      </c>
      <c r="E523" s="62" t="str">
        <f>IFERROR(__xludf.DUMMYFUNCTION("""COMPUTED_VALUE"""),"CARUARU")</f>
        <v>CARUARU</v>
      </c>
      <c r="F523" s="62" t="str">
        <f>IFERROR(__xludf.DUMMYFUNCTION("""COMPUTED_VALUE"""),"COOPERADO")</f>
        <v>COOPERADO</v>
      </c>
    </row>
    <row r="524">
      <c r="A524" s="62" t="str">
        <f>IFERROR(__xludf.DUMMYFUNCTION("""COMPUTED_VALUE"""),"MARIA SILVANILDA DA SILVA")</f>
        <v>MARIA SILVANILDA DA SILVA</v>
      </c>
      <c r="B524" s="62" t="str">
        <f>IFERROR(__xludf.DUMMYFUNCTION("""COMPUTED_VALUE"""),"TÉC.ENFERMAGEM")</f>
        <v>TÉC.ENFERMAGEM</v>
      </c>
      <c r="C524" s="62" t="str">
        <f>IFERROR(__xludf.DUMMYFUNCTION("""COMPUTED_VALUE"""),"084.042.284-93")</f>
        <v>084.042.284-93</v>
      </c>
      <c r="D524" s="62" t="str">
        <f>IFERROR(__xludf.DUMMYFUNCTION("""COMPUTED_VALUE"""),"81 99620-1842")</f>
        <v>81 99620-1842</v>
      </c>
      <c r="E524" s="62" t="str">
        <f>IFERROR(__xludf.DUMMYFUNCTION("""COMPUTED_VALUE"""),"CARUARU")</f>
        <v>CARUARU</v>
      </c>
      <c r="F524" s="62" t="str">
        <f>IFERROR(__xludf.DUMMYFUNCTION("""COMPUTED_VALUE"""),"COOPERADO")</f>
        <v>COOPERADO</v>
      </c>
    </row>
    <row r="525">
      <c r="A525" s="62" t="str">
        <f>IFERROR(__xludf.DUMMYFUNCTION("""COMPUTED_VALUE"""),"MARIA TAMIRIS GOIANA DA SILVA")</f>
        <v>MARIA TAMIRIS GOIANA DA SILVA</v>
      </c>
      <c r="B525" s="62" t="str">
        <f>IFERROR(__xludf.DUMMYFUNCTION("""COMPUTED_VALUE"""),"TÉC.ENFERMAGEM")</f>
        <v>TÉC.ENFERMAGEM</v>
      </c>
      <c r="C525" s="62" t="str">
        <f>IFERROR(__xludf.DUMMYFUNCTION("""COMPUTED_VALUE"""),"119.854.064-89")</f>
        <v>119.854.064-89</v>
      </c>
      <c r="D525" s="62" t="str">
        <f>IFERROR(__xludf.DUMMYFUNCTION("""COMPUTED_VALUE"""),"87 99951-7177")</f>
        <v>87 99951-7177</v>
      </c>
      <c r="E525" s="62" t="str">
        <f>IFERROR(__xludf.DUMMYFUNCTION("""COMPUTED_VALUE"""),"CARUARU")</f>
        <v>CARUARU</v>
      </c>
      <c r="F525" s="62" t="str">
        <f>IFERROR(__xludf.DUMMYFUNCTION("""COMPUTED_VALUE"""),"COOPERADO")</f>
        <v>COOPERADO</v>
      </c>
    </row>
    <row r="526">
      <c r="A526" s="62" t="str">
        <f>IFERROR(__xludf.DUMMYFUNCTION("""COMPUTED_VALUE"""),"MARIA VALQUÍRIA PEREIRA DE LIMA")</f>
        <v>MARIA VALQUÍRIA PEREIRA DE LIMA</v>
      </c>
      <c r="B526" s="62" t="str">
        <f>IFERROR(__xludf.DUMMYFUNCTION("""COMPUTED_VALUE"""),"AUX. HIG. ")</f>
        <v>AUX. HIG. </v>
      </c>
      <c r="C526" s="62" t="str">
        <f>IFERROR(__xludf.DUMMYFUNCTION("""COMPUTED_VALUE"""),"094.983.334-75")</f>
        <v>094.983.334-75</v>
      </c>
      <c r="D526" s="62" t="str">
        <f>IFERROR(__xludf.DUMMYFUNCTION("""COMPUTED_VALUE""")," 81 99124-2559")</f>
        <v> 81 99124-2559</v>
      </c>
      <c r="E526" s="62" t="str">
        <f>IFERROR(__xludf.DUMMYFUNCTION("""COMPUTED_VALUE"""),"CARUARU")</f>
        <v>CARUARU</v>
      </c>
      <c r="F526" s="62" t="str">
        <f>IFERROR(__xludf.DUMMYFUNCTION("""COMPUTED_VALUE"""),"COOPERADO")</f>
        <v>COOPERADO</v>
      </c>
    </row>
    <row r="527">
      <c r="A527" s="62" t="str">
        <f>IFERROR(__xludf.DUMMYFUNCTION("""COMPUTED_VALUE"""),"MARIA WEDJA DA SILVA")</f>
        <v>MARIA WEDJA DA SILVA</v>
      </c>
      <c r="B527" s="62" t="str">
        <f>IFERROR(__xludf.DUMMYFUNCTION("""COMPUTED_VALUE"""),"TÉC.ENFERMAGEM")</f>
        <v>TÉC.ENFERMAGEM</v>
      </c>
      <c r="C527" s="62" t="str">
        <f>IFERROR(__xludf.DUMMYFUNCTION("""COMPUTED_VALUE"""),"107.048.064-95")</f>
        <v>107.048.064-95</v>
      </c>
      <c r="D527" s="62" t="str">
        <f>IFERROR(__xludf.DUMMYFUNCTION("""COMPUTED_VALUE"""),"81 98199-5904")</f>
        <v>81 98199-5904</v>
      </c>
      <c r="E527" s="62" t="str">
        <f>IFERROR(__xludf.DUMMYFUNCTION("""COMPUTED_VALUE"""),"CARUARU")</f>
        <v>CARUARU</v>
      </c>
      <c r="F527" s="62" t="str">
        <f>IFERROR(__xludf.DUMMYFUNCTION("""COMPUTED_VALUE"""),"COOPERADO")</f>
        <v>COOPERADO</v>
      </c>
    </row>
    <row r="528">
      <c r="A528" s="62" t="str">
        <f>IFERROR(__xludf.DUMMYFUNCTION("""COMPUTED_VALUE"""),"MARIA WELLIDA SANTOS")</f>
        <v>MARIA WELLIDA SANTOS</v>
      </c>
      <c r="B528" s="62" t="str">
        <f>IFERROR(__xludf.DUMMYFUNCTION("""COMPUTED_VALUE"""),"TÉC.ENFERMAGEM")</f>
        <v>TÉC.ENFERMAGEM</v>
      </c>
      <c r="C528" s="62" t="str">
        <f>IFERROR(__xludf.DUMMYFUNCTION("""COMPUTED_VALUE"""),"125.089.554-50")</f>
        <v>125.089.554-50</v>
      </c>
      <c r="D528" s="62" t="str">
        <f>IFERROR(__xludf.DUMMYFUNCTION("""COMPUTED_VALUE"""),"81 99395-4562")</f>
        <v>81 99395-4562</v>
      </c>
      <c r="E528" s="62" t="str">
        <f>IFERROR(__xludf.DUMMYFUNCTION("""COMPUTED_VALUE"""),"CARUARU")</f>
        <v>CARUARU</v>
      </c>
      <c r="F528" s="62" t="str">
        <f>IFERROR(__xludf.DUMMYFUNCTION("""COMPUTED_VALUE"""),"COOPERADO")</f>
        <v>COOPERADO</v>
      </c>
    </row>
    <row r="529">
      <c r="A529" s="62" t="str">
        <f>IFERROR(__xludf.DUMMYFUNCTION("""COMPUTED_VALUE"""),"MARINA VALENCA RANGEL")</f>
        <v>MARINA VALENCA RANGEL</v>
      </c>
      <c r="B529" s="62" t="str">
        <f>IFERROR(__xludf.DUMMYFUNCTION("""COMPUTED_VALUE"""),"TÉC.ENFERMAGEM")</f>
        <v>TÉC.ENFERMAGEM</v>
      </c>
      <c r="C529" s="62" t="str">
        <f>IFERROR(__xludf.DUMMYFUNCTION("""COMPUTED_VALUE"""),"492.887.068-95")</f>
        <v>492.887.068-95</v>
      </c>
      <c r="D529" s="62" t="str">
        <f>IFERROR(__xludf.DUMMYFUNCTION("""COMPUTED_VALUE""")," 87 99199-9637")</f>
        <v> 87 99199-9637</v>
      </c>
      <c r="E529" s="62" t="str">
        <f>IFERROR(__xludf.DUMMYFUNCTION("""COMPUTED_VALUE"""),"CARUARU")</f>
        <v>CARUARU</v>
      </c>
      <c r="F529" s="62" t="str">
        <f>IFERROR(__xludf.DUMMYFUNCTION("""COMPUTED_VALUE"""),"COOPERADO")</f>
        <v>COOPERADO</v>
      </c>
    </row>
    <row r="530">
      <c r="A530" s="62" t="str">
        <f>IFERROR(__xludf.DUMMYFUNCTION("""COMPUTED_VALUE"""),"MARIO MONTEIRO XIMENES NETO")</f>
        <v>MARIO MONTEIRO XIMENES NETO</v>
      </c>
      <c r="B530" s="62" t="str">
        <f>IFERROR(__xludf.DUMMYFUNCTION("""COMPUTED_VALUE"""),"AUXILIAR DE FARMÁCIA")</f>
        <v>AUXILIAR DE FARMÁCIA</v>
      </c>
      <c r="C530" s="62" t="str">
        <f>IFERROR(__xludf.DUMMYFUNCTION("""COMPUTED_VALUE"""),"703.225.604-03")</f>
        <v>703.225.604-03</v>
      </c>
      <c r="D530" s="62" t="str">
        <f>IFERROR(__xludf.DUMMYFUNCTION("""COMPUTED_VALUE"""),"81 98948-3629")</f>
        <v>81 98948-3629</v>
      </c>
      <c r="E530" s="62" t="str">
        <f>IFERROR(__xludf.DUMMYFUNCTION("""COMPUTED_VALUE"""),"CARUARU")</f>
        <v>CARUARU</v>
      </c>
      <c r="F530" s="62" t="str">
        <f>IFERROR(__xludf.DUMMYFUNCTION("""COMPUTED_VALUE"""),"COOPERADO")</f>
        <v>COOPERADO</v>
      </c>
    </row>
    <row r="531">
      <c r="A531" s="62" t="str">
        <f>IFERROR(__xludf.DUMMYFUNCTION("""COMPUTED_VALUE"""),"MARISA DA SILVA ")</f>
        <v>MARISA DA SILVA </v>
      </c>
      <c r="B531" s="62" t="str">
        <f>IFERROR(__xludf.DUMMYFUNCTION("""COMPUTED_VALUE"""),"AUXILIAR DE COZINHA")</f>
        <v>AUXILIAR DE COZINHA</v>
      </c>
      <c r="C531" s="62" t="str">
        <f>IFERROR(__xludf.DUMMYFUNCTION("""COMPUTED_VALUE"""),"042.697.744-01")</f>
        <v>042.697.744-01</v>
      </c>
      <c r="D531" s="62" t="str">
        <f>IFERROR(__xludf.DUMMYFUNCTION("""COMPUTED_VALUE"""),"81 97330-2135")</f>
        <v>81 97330-2135</v>
      </c>
      <c r="E531" s="62" t="str">
        <f>IFERROR(__xludf.DUMMYFUNCTION("""COMPUTED_VALUE"""),"CARUARU")</f>
        <v>CARUARU</v>
      </c>
      <c r="F531" s="62" t="str">
        <f>IFERROR(__xludf.DUMMYFUNCTION("""COMPUTED_VALUE"""),"COOPERADO")</f>
        <v>COOPERADO</v>
      </c>
    </row>
    <row r="532">
      <c r="A532" s="62" t="str">
        <f>IFERROR(__xludf.DUMMYFUNCTION("""COMPUTED_VALUE"""),"MATEUS FERREIRA DOS SANTOS")</f>
        <v>MATEUS FERREIRA DOS SANTOS</v>
      </c>
      <c r="B532" s="62" t="str">
        <f>IFERROR(__xludf.DUMMYFUNCTION("""COMPUTED_VALUE"""),"ENFERMEIRO (A)")</f>
        <v>ENFERMEIRO (A)</v>
      </c>
      <c r="C532" s="62" t="str">
        <f>IFERROR(__xludf.DUMMYFUNCTION("""COMPUTED_VALUE"""),"136.196.494-48")</f>
        <v>136.196.494-48</v>
      </c>
      <c r="D532" s="62" t="str">
        <f>IFERROR(__xludf.DUMMYFUNCTION("""COMPUTED_VALUE""")," 81 99476-4308")</f>
        <v> 81 99476-4308</v>
      </c>
      <c r="E532" s="62" t="str">
        <f>IFERROR(__xludf.DUMMYFUNCTION("""COMPUTED_VALUE"""),"CARUARU")</f>
        <v>CARUARU</v>
      </c>
      <c r="F532" s="62" t="str">
        <f>IFERROR(__xludf.DUMMYFUNCTION("""COMPUTED_VALUE"""),"COOPERADO")</f>
        <v>COOPERADO</v>
      </c>
    </row>
    <row r="533">
      <c r="A533" s="62" t="str">
        <f>IFERROR(__xludf.DUMMYFUNCTION("""COMPUTED_VALUE"""),"MAURICIO DANTAS")</f>
        <v>MAURICIO DANTAS</v>
      </c>
      <c r="B533" s="62" t="str">
        <f>IFERROR(__xludf.DUMMYFUNCTION("""COMPUTED_VALUE"""),"AUXILIAR DE FARMÁCIA")</f>
        <v>AUXILIAR DE FARMÁCIA</v>
      </c>
      <c r="C533" s="62" t="str">
        <f>IFERROR(__xludf.DUMMYFUNCTION("""COMPUTED_VALUE"""),"130.872.634-19")</f>
        <v>130.872.634-19</v>
      </c>
      <c r="D533" s="62" t="str">
        <f>IFERROR(__xludf.DUMMYFUNCTION("""COMPUTED_VALUE"""),"81 99102-8605")</f>
        <v>81 99102-8605</v>
      </c>
      <c r="E533" s="62" t="str">
        <f>IFERROR(__xludf.DUMMYFUNCTION("""COMPUTED_VALUE"""),"CARUARU")</f>
        <v>CARUARU</v>
      </c>
      <c r="F533" s="62" t="str">
        <f>IFERROR(__xludf.DUMMYFUNCTION("""COMPUTED_VALUE"""),"COOPERADO")</f>
        <v>COOPERADO</v>
      </c>
    </row>
    <row r="534">
      <c r="A534" s="62" t="str">
        <f>IFERROR(__xludf.DUMMYFUNCTION("""COMPUTED_VALUE"""),"Mayara Letícia Gomes ")</f>
        <v>Mayara Letícia Gomes </v>
      </c>
      <c r="B534" s="62" t="str">
        <f>IFERROR(__xludf.DUMMYFUNCTION("""COMPUTED_VALUE"""),"Téc. Enf.")</f>
        <v>Téc. Enf.</v>
      </c>
      <c r="C534" s="62" t="str">
        <f>IFERROR(__xludf.DUMMYFUNCTION("""COMPUTED_VALUE"""),"111.689.494-75")</f>
        <v>111.689.494-75</v>
      </c>
      <c r="D534" s="62" t="str">
        <f>IFERROR(__xludf.DUMMYFUNCTION("""COMPUTED_VALUE"""),"81 99223-7318")</f>
        <v>81 99223-7318</v>
      </c>
      <c r="E534" s="62" t="str">
        <f>IFERROR(__xludf.DUMMYFUNCTION("""COMPUTED_VALUE"""),"CARUARU")</f>
        <v>CARUARU</v>
      </c>
      <c r="F534" s="62" t="str">
        <f>IFERROR(__xludf.DUMMYFUNCTION("""COMPUTED_VALUE"""),"COOPERADO")</f>
        <v>COOPERADO</v>
      </c>
    </row>
    <row r="535">
      <c r="A535" s="62" t="str">
        <f>IFERROR(__xludf.DUMMYFUNCTION("""COMPUTED_VALUE"""),"MAYARA QUIRINO DA SILVA")</f>
        <v>MAYARA QUIRINO DA SILVA</v>
      </c>
      <c r="B535" s="62" t="str">
        <f>IFERROR(__xludf.DUMMYFUNCTION("""COMPUTED_VALUE"""),"AUX. DE FARMÁCIA")</f>
        <v>AUX. DE FARMÁCIA</v>
      </c>
      <c r="C535" s="62" t="str">
        <f>IFERROR(__xludf.DUMMYFUNCTION("""COMPUTED_VALUE"""),"099.787.254-31")</f>
        <v>099.787.254-31</v>
      </c>
      <c r="D535" s="62" t="str">
        <f>IFERROR(__xludf.DUMMYFUNCTION("""COMPUTED_VALUE"""),"81 99304-6521")</f>
        <v>81 99304-6521</v>
      </c>
      <c r="E535" s="62" t="str">
        <f>IFERROR(__xludf.DUMMYFUNCTION("""COMPUTED_VALUE"""),"CARUARU")</f>
        <v>CARUARU</v>
      </c>
      <c r="F535" s="62" t="str">
        <f>IFERROR(__xludf.DUMMYFUNCTION("""COMPUTED_VALUE"""),"COOPERADO")</f>
        <v>COOPERADO</v>
      </c>
    </row>
    <row r="536">
      <c r="A536" s="62" t="str">
        <f>IFERROR(__xludf.DUMMYFUNCTION("""COMPUTED_VALUE"""),"MAYCON DOUGLAS DA S BARBOSA")</f>
        <v>MAYCON DOUGLAS DA S BARBOSA</v>
      </c>
      <c r="B536" s="62" t="str">
        <f>IFERROR(__xludf.DUMMYFUNCTION("""COMPUTED_VALUE"""),"RECEPCIONISTA")</f>
        <v>RECEPCIONISTA</v>
      </c>
      <c r="C536" s="62" t="str">
        <f>IFERROR(__xludf.DUMMYFUNCTION("""COMPUTED_VALUE"""),"141.856.904-60")</f>
        <v>141.856.904-60</v>
      </c>
      <c r="D536" s="62" t="str">
        <f>IFERROR(__xludf.DUMMYFUNCTION("""COMPUTED_VALUE"""),"81 99406-2763")</f>
        <v>81 99406-2763</v>
      </c>
      <c r="E536" s="62" t="str">
        <f>IFERROR(__xludf.DUMMYFUNCTION("""COMPUTED_VALUE"""),"CARUARU")</f>
        <v>CARUARU</v>
      </c>
      <c r="F536" s="62" t="str">
        <f>IFERROR(__xludf.DUMMYFUNCTION("""COMPUTED_VALUE"""),"COOPERADO")</f>
        <v>COOPERADO</v>
      </c>
    </row>
    <row r="537">
      <c r="A537" s="62" t="str">
        <f>IFERROR(__xludf.DUMMYFUNCTION("""COMPUTED_VALUE"""),"MELQUISEDEQUE DA SILVA")</f>
        <v>MELQUISEDEQUE DA SILVA</v>
      </c>
      <c r="B537" s="62" t="str">
        <f>IFERROR(__xludf.DUMMYFUNCTION("""COMPUTED_VALUE"""),"TÉC.ENFERMAGEM")</f>
        <v>TÉC.ENFERMAGEM</v>
      </c>
      <c r="C537" s="62" t="str">
        <f>IFERROR(__xludf.DUMMYFUNCTION("""COMPUTED_VALUE"""),"116.956.394-56")</f>
        <v>116.956.394-56</v>
      </c>
      <c r="D537" s="62" t="str">
        <f>IFERROR(__xludf.DUMMYFUNCTION("""COMPUTED_VALUE"""),"81 98517-6083")</f>
        <v>81 98517-6083</v>
      </c>
      <c r="E537" s="62" t="str">
        <f>IFERROR(__xludf.DUMMYFUNCTION("""COMPUTED_VALUE"""),"CARUARU")</f>
        <v>CARUARU</v>
      </c>
      <c r="F537" s="62" t="str">
        <f>IFERROR(__xludf.DUMMYFUNCTION("""COMPUTED_VALUE"""),"COOPERADO")</f>
        <v>COOPERADO</v>
      </c>
    </row>
    <row r="538">
      <c r="A538" s="62" t="str">
        <f>IFERROR(__xludf.DUMMYFUNCTION("""COMPUTED_VALUE"""),"MICAELLY SILVA VASCONCELOS")</f>
        <v>MICAELLY SILVA VASCONCELOS</v>
      </c>
      <c r="B538" s="62" t="str">
        <f>IFERROR(__xludf.DUMMYFUNCTION("""COMPUTED_VALUE"""),"Flebotomista")</f>
        <v>Flebotomista</v>
      </c>
      <c r="C538" s="62" t="str">
        <f>IFERROR(__xludf.DUMMYFUNCTION("""COMPUTED_VALUE"""),"118.301.104-03")</f>
        <v>118.301.104-03</v>
      </c>
      <c r="D538" s="62" t="str">
        <f>IFERROR(__xludf.DUMMYFUNCTION("""COMPUTED_VALUE"""),"81 97346-1423")</f>
        <v>81 97346-1423</v>
      </c>
      <c r="E538" s="62" t="str">
        <f>IFERROR(__xludf.DUMMYFUNCTION("""COMPUTED_VALUE"""),"CARUARU")</f>
        <v>CARUARU</v>
      </c>
      <c r="F538" s="62" t="str">
        <f>IFERROR(__xludf.DUMMYFUNCTION("""COMPUTED_VALUE"""),"COOPERADO")</f>
        <v>COOPERADO</v>
      </c>
    </row>
    <row r="539">
      <c r="A539" s="62" t="str">
        <f>IFERROR(__xludf.DUMMYFUNCTION("""COMPUTED_VALUE"""),"MICHELE CARLA DA SILVA")</f>
        <v>MICHELE CARLA DA SILVA</v>
      </c>
      <c r="B539" s="62" t="str">
        <f>IFERROR(__xludf.DUMMYFUNCTION("""COMPUTED_VALUE"""),"Téc. Enfermagem")</f>
        <v>Téc. Enfermagem</v>
      </c>
      <c r="C539" s="62" t="str">
        <f>IFERROR(__xludf.DUMMYFUNCTION("""COMPUTED_VALUE"""),"110.571.934-02")</f>
        <v>110.571.934-02</v>
      </c>
      <c r="D539" s="62" t="str">
        <f>IFERROR(__xludf.DUMMYFUNCTION("""COMPUTED_VALUE""")," 81 99189-1174")</f>
        <v> 81 99189-1174</v>
      </c>
      <c r="E539" s="62" t="str">
        <f>IFERROR(__xludf.DUMMYFUNCTION("""COMPUTED_VALUE"""),"CARUARU")</f>
        <v>CARUARU</v>
      </c>
      <c r="F539" s="62" t="str">
        <f>IFERROR(__xludf.DUMMYFUNCTION("""COMPUTED_VALUE"""),"COOPERADO")</f>
        <v>COOPERADO</v>
      </c>
    </row>
    <row r="540">
      <c r="A540" s="62" t="str">
        <f>IFERROR(__xludf.DUMMYFUNCTION("""COMPUTED_VALUE"""),"MICHELE JULIA DA SILVA BARBOSA")</f>
        <v>MICHELE JULIA DA SILVA BARBOSA</v>
      </c>
      <c r="B540" s="62" t="str">
        <f>IFERROR(__xludf.DUMMYFUNCTION("""COMPUTED_VALUE"""),"TÉC. ENF.")</f>
        <v>TÉC. ENF.</v>
      </c>
      <c r="C540" s="62" t="str">
        <f>IFERROR(__xludf.DUMMYFUNCTION("""COMPUTED_VALUE"""),"035.209.134-70")</f>
        <v>035.209.134-70</v>
      </c>
      <c r="D540" s="62" t="str">
        <f>IFERROR(__xludf.DUMMYFUNCTION("""COMPUTED_VALUE"""),"87 99994-4561")</f>
        <v>87 99994-4561</v>
      </c>
      <c r="E540" s="62" t="str">
        <f>IFERROR(__xludf.DUMMYFUNCTION("""COMPUTED_VALUE"""),"CARUARU")</f>
        <v>CARUARU</v>
      </c>
      <c r="F540" s="62" t="str">
        <f>IFERROR(__xludf.DUMMYFUNCTION("""COMPUTED_VALUE"""),"COOPERADO")</f>
        <v>COOPERADO</v>
      </c>
    </row>
    <row r="541">
      <c r="A541" s="62" t="str">
        <f>IFERROR(__xludf.DUMMYFUNCTION("""COMPUTED_VALUE"""),"Mickael Guilherme Soares")</f>
        <v>Mickael Guilherme Soares</v>
      </c>
      <c r="B541" s="62" t="str">
        <f>IFERROR(__xludf.DUMMYFUNCTION("""COMPUTED_VALUE"""),"Auxiliar de Farmácia")</f>
        <v>Auxiliar de Farmácia</v>
      </c>
      <c r="C541" s="62" t="str">
        <f>IFERROR(__xludf.DUMMYFUNCTION("""COMPUTED_VALUE"""),"702.002.104-24")</f>
        <v>702.002.104-24</v>
      </c>
      <c r="D541" s="62" t="str">
        <f>IFERROR(__xludf.DUMMYFUNCTION("""COMPUTED_VALUE"""),"81 99497-7400")</f>
        <v>81 99497-7400</v>
      </c>
      <c r="E541" s="62" t="str">
        <f>IFERROR(__xludf.DUMMYFUNCTION("""COMPUTED_VALUE"""),"CARUARU")</f>
        <v>CARUARU</v>
      </c>
      <c r="F541" s="62" t="str">
        <f>IFERROR(__xludf.DUMMYFUNCTION("""COMPUTED_VALUE"""),"COOPERADO")</f>
        <v>COOPERADO</v>
      </c>
    </row>
    <row r="542">
      <c r="A542" s="62" t="str">
        <f>IFERROR(__xludf.DUMMYFUNCTION("""COMPUTED_VALUE"""),"MIKHAEL MICHAEL MARCOLINO")</f>
        <v>MIKHAEL MICHAEL MARCOLINO</v>
      </c>
      <c r="B542" s="62" t="str">
        <f>IFERROR(__xludf.DUMMYFUNCTION("""COMPUTED_VALUE"""),"TÉC. ENF. ")</f>
        <v>TÉC. ENF. </v>
      </c>
      <c r="C542" s="62" t="str">
        <f>IFERROR(__xludf.DUMMYFUNCTION("""COMPUTED_VALUE"""),"095.610.454-19")</f>
        <v>095.610.454-19</v>
      </c>
      <c r="D542" s="62" t="str">
        <f>IFERROR(__xludf.DUMMYFUNCTION("""COMPUTED_VALUE"""),"81 99173-6490")</f>
        <v>81 99173-6490</v>
      </c>
      <c r="E542" s="62" t="str">
        <f>IFERROR(__xludf.DUMMYFUNCTION("""COMPUTED_VALUE"""),"CARUARU")</f>
        <v>CARUARU</v>
      </c>
      <c r="F542" s="62" t="str">
        <f>IFERROR(__xludf.DUMMYFUNCTION("""COMPUTED_VALUE"""),"COOPERADO")</f>
        <v>COOPERADO</v>
      </c>
    </row>
    <row r="543">
      <c r="A543" s="62" t="str">
        <f>IFERROR(__xludf.DUMMYFUNCTION("""COMPUTED_VALUE"""),"MILENA CARLINDO DA SILVA")</f>
        <v>MILENA CARLINDO DA SILVA</v>
      </c>
      <c r="B543" s="62" t="str">
        <f>IFERROR(__xludf.DUMMYFUNCTION("""COMPUTED_VALUE"""),"TÉC. ENF.")</f>
        <v>TÉC. ENF.</v>
      </c>
      <c r="C543" s="62" t="str">
        <f>IFERROR(__xludf.DUMMYFUNCTION("""COMPUTED_VALUE"""),"102.948.974-29")</f>
        <v>102.948.974-29</v>
      </c>
      <c r="D543" s="62" t="str">
        <f>IFERROR(__xludf.DUMMYFUNCTION("""COMPUTED_VALUE""")," 81 99777-7844")</f>
        <v> 81 99777-7844</v>
      </c>
      <c r="E543" s="62" t="str">
        <f>IFERROR(__xludf.DUMMYFUNCTION("""COMPUTED_VALUE"""),"CARUARU")</f>
        <v>CARUARU</v>
      </c>
      <c r="F543" s="62" t="str">
        <f>IFERROR(__xludf.DUMMYFUNCTION("""COMPUTED_VALUE"""),"COOPERADO")</f>
        <v>COOPERADO</v>
      </c>
    </row>
    <row r="544">
      <c r="A544" s="62" t="str">
        <f>IFERROR(__xludf.DUMMYFUNCTION("""COMPUTED_VALUE"""),"MILENE BARROS DA SILVA")</f>
        <v>MILENE BARROS DA SILVA</v>
      </c>
      <c r="B544" s="62" t="str">
        <f>IFERROR(__xludf.DUMMYFUNCTION("""COMPUTED_VALUE"""),"TÉC.ENFERMAGEM")</f>
        <v>TÉC.ENFERMAGEM</v>
      </c>
      <c r="C544" s="62" t="str">
        <f>IFERROR(__xludf.DUMMYFUNCTION("""COMPUTED_VALUE"""),"704.092.664-42")</f>
        <v>704.092.664-42</v>
      </c>
      <c r="D544" s="62" t="str">
        <f>IFERROR(__xludf.DUMMYFUNCTION("""COMPUTED_VALUE"""),"81 99940-0098")</f>
        <v>81 99940-0098</v>
      </c>
      <c r="E544" s="62" t="str">
        <f>IFERROR(__xludf.DUMMYFUNCTION("""COMPUTED_VALUE"""),"CARUARU")</f>
        <v>CARUARU</v>
      </c>
      <c r="F544" s="62" t="str">
        <f>IFERROR(__xludf.DUMMYFUNCTION("""COMPUTED_VALUE"""),"COOPERADO")</f>
        <v>COOPERADO</v>
      </c>
    </row>
    <row r="545">
      <c r="A545" s="62" t="str">
        <f>IFERROR(__xludf.DUMMYFUNCTION("""COMPUTED_VALUE"""),"MIRELE LETICIA SILVA SANTOS")</f>
        <v>MIRELE LETICIA SILVA SANTOS</v>
      </c>
      <c r="B545" s="62" t="str">
        <f>IFERROR(__xludf.DUMMYFUNCTION("""COMPUTED_VALUE"""),"AUX DE HIGIENIZAÇÃO")</f>
        <v>AUX DE HIGIENIZAÇÃO</v>
      </c>
      <c r="C545" s="62" t="str">
        <f>IFERROR(__xludf.DUMMYFUNCTION("""COMPUTED_VALUE"""),"704.345.354-27")</f>
        <v>704.345.354-27</v>
      </c>
      <c r="D545" s="62" t="str">
        <f>IFERROR(__xludf.DUMMYFUNCTION("""COMPUTED_VALUE"""),"81 99697-7686")</f>
        <v>81 99697-7686</v>
      </c>
      <c r="E545" s="62" t="str">
        <f>IFERROR(__xludf.DUMMYFUNCTION("""COMPUTED_VALUE"""),"CARUARU")</f>
        <v>CARUARU</v>
      </c>
      <c r="F545" s="62" t="str">
        <f>IFERROR(__xludf.DUMMYFUNCTION("""COMPUTED_VALUE"""),"COOPERADO")</f>
        <v>COOPERADO</v>
      </c>
    </row>
    <row r="546">
      <c r="A546" s="62" t="str">
        <f>IFERROR(__xludf.DUMMYFUNCTION("""COMPUTED_VALUE"""),"MIRELY ALVES FEITOSA")</f>
        <v>MIRELY ALVES FEITOSA</v>
      </c>
      <c r="B546" s="62" t="str">
        <f>IFERROR(__xludf.DUMMYFUNCTION("""COMPUTED_VALUE"""),"TÉC.ENFERMAGEM")</f>
        <v>TÉC.ENFERMAGEM</v>
      </c>
      <c r="C546" s="62" t="str">
        <f>IFERROR(__xludf.DUMMYFUNCTION("""COMPUTED_VALUE"""),"135.526.954-78")</f>
        <v>135.526.954-78</v>
      </c>
      <c r="D546" s="62" t="str">
        <f>IFERROR(__xludf.DUMMYFUNCTION("""COMPUTED_VALUE"""),"81 99700-9341")</f>
        <v>81 99700-9341</v>
      </c>
      <c r="E546" s="62" t="str">
        <f>IFERROR(__xludf.DUMMYFUNCTION("""COMPUTED_VALUE"""),"CARUARU")</f>
        <v>CARUARU</v>
      </c>
      <c r="F546" s="62" t="str">
        <f>IFERROR(__xludf.DUMMYFUNCTION("""COMPUTED_VALUE"""),"COOPERADO")</f>
        <v>COOPERADO</v>
      </c>
    </row>
    <row r="547">
      <c r="A547" s="62" t="str">
        <f>IFERROR(__xludf.DUMMYFUNCTION("""COMPUTED_VALUE"""),"Miriam Maria Da Silva")</f>
        <v>Miriam Maria Da Silva</v>
      </c>
      <c r="B547" s="62" t="str">
        <f>IFERROR(__xludf.DUMMYFUNCTION("""COMPUTED_VALUE"""),"Téc. Enf.")</f>
        <v>Téc. Enf.</v>
      </c>
      <c r="C547" s="62" t="str">
        <f>IFERROR(__xludf.DUMMYFUNCTION("""COMPUTED_VALUE"""),"105.321.674-22")</f>
        <v>105.321.674-22</v>
      </c>
      <c r="D547" s="62" t="str">
        <f>IFERROR(__xludf.DUMMYFUNCTION("""COMPUTED_VALUE"""),"81 98990-2205")</f>
        <v>81 98990-2205</v>
      </c>
      <c r="E547" s="62" t="str">
        <f>IFERROR(__xludf.DUMMYFUNCTION("""COMPUTED_VALUE"""),"CARUARU")</f>
        <v>CARUARU</v>
      </c>
      <c r="F547" s="62" t="str">
        <f>IFERROR(__xludf.DUMMYFUNCTION("""COMPUTED_VALUE"""),"COOPERADO")</f>
        <v>COOPERADO</v>
      </c>
    </row>
    <row r="548">
      <c r="A548" s="62" t="str">
        <f>IFERROR(__xludf.DUMMYFUNCTION("""COMPUTED_VALUE"""),"Mirian Oliveira de A. Vasconcelos")</f>
        <v>Mirian Oliveira de A. Vasconcelos</v>
      </c>
      <c r="B548" s="62" t="str">
        <f>IFERROR(__xludf.DUMMYFUNCTION("""COMPUTED_VALUE"""),"Téc. Enf.")</f>
        <v>Téc. Enf.</v>
      </c>
      <c r="C548" s="62" t="str">
        <f>IFERROR(__xludf.DUMMYFUNCTION("""COMPUTED_VALUE"""),"040.726.664-08")</f>
        <v>040.726.664-08</v>
      </c>
      <c r="D548" s="62" t="str">
        <f>IFERROR(__xludf.DUMMYFUNCTION("""COMPUTED_VALUE"""),"81 99780-6402")</f>
        <v>81 99780-6402</v>
      </c>
      <c r="E548" s="62" t="str">
        <f>IFERROR(__xludf.DUMMYFUNCTION("""COMPUTED_VALUE"""),"CARUARU")</f>
        <v>CARUARU</v>
      </c>
      <c r="F548" s="62" t="str">
        <f>IFERROR(__xludf.DUMMYFUNCTION("""COMPUTED_VALUE"""),"COOPERADO")</f>
        <v>COOPERADO</v>
      </c>
    </row>
    <row r="549">
      <c r="A549" s="62" t="str">
        <f>IFERROR(__xludf.DUMMYFUNCTION("""COMPUTED_VALUE"""),"Monalina Marta Silva De Lima")</f>
        <v>Monalina Marta Silva De Lima</v>
      </c>
      <c r="B549" s="62" t="str">
        <f>IFERROR(__xludf.DUMMYFUNCTION("""COMPUTED_VALUE"""),"Téc. Enf.")</f>
        <v>Téc. Enf.</v>
      </c>
      <c r="C549" s="62" t="str">
        <f>IFERROR(__xludf.DUMMYFUNCTION("""COMPUTED_VALUE"""),"154.438.304-57")</f>
        <v>154.438.304-57</v>
      </c>
      <c r="D549" s="62" t="str">
        <f>IFERROR(__xludf.DUMMYFUNCTION("""COMPUTED_VALUE"""),"81 99132-1140")</f>
        <v>81 99132-1140</v>
      </c>
      <c r="E549" s="62" t="str">
        <f>IFERROR(__xludf.DUMMYFUNCTION("""COMPUTED_VALUE"""),"CARUARU")</f>
        <v>CARUARU</v>
      </c>
      <c r="F549" s="62" t="str">
        <f>IFERROR(__xludf.DUMMYFUNCTION("""COMPUTED_VALUE"""),"COOPERADO")</f>
        <v>COOPERADO</v>
      </c>
    </row>
    <row r="550">
      <c r="A550" s="62" t="str">
        <f>IFERROR(__xludf.DUMMYFUNCTION("""COMPUTED_VALUE"""),"MONIQUE SHIRLEY ALBANO")</f>
        <v>MONIQUE SHIRLEY ALBANO</v>
      </c>
      <c r="B550" s="62" t="str">
        <f>IFERROR(__xludf.DUMMYFUNCTION("""COMPUTED_VALUE"""),"Téc. Enfermagem")</f>
        <v>Téc. Enfermagem</v>
      </c>
      <c r="C550" s="62" t="str">
        <f>IFERROR(__xludf.DUMMYFUNCTION("""COMPUTED_VALUE"""),"103.965.064-37")</f>
        <v>103.965.064-37</v>
      </c>
      <c r="D550" s="62" t="str">
        <f>IFERROR(__xludf.DUMMYFUNCTION("""COMPUTED_VALUE"""),"81 99529-4080")</f>
        <v>81 99529-4080</v>
      </c>
      <c r="E550" s="62" t="str">
        <f>IFERROR(__xludf.DUMMYFUNCTION("""COMPUTED_VALUE"""),"CARUARU")</f>
        <v>CARUARU</v>
      </c>
      <c r="F550" s="62" t="str">
        <f>IFERROR(__xludf.DUMMYFUNCTION("""COMPUTED_VALUE"""),"COOPERADO")</f>
        <v>COOPERADO</v>
      </c>
    </row>
    <row r="551">
      <c r="A551" s="62" t="str">
        <f>IFERROR(__xludf.DUMMYFUNCTION("""COMPUTED_VALUE"""),"Mylena Isabela Lima Pacas")</f>
        <v>Mylena Isabela Lima Pacas</v>
      </c>
      <c r="B551" s="62" t="str">
        <f>IFERROR(__xludf.DUMMYFUNCTION("""COMPUTED_VALUE"""),"Fisioterapeuta")</f>
        <v>Fisioterapeuta</v>
      </c>
      <c r="C551" s="62" t="str">
        <f>IFERROR(__xludf.DUMMYFUNCTION("""COMPUTED_VALUE"""),"114.054.374-13")</f>
        <v>114.054.374-13</v>
      </c>
      <c r="D551" s="62" t="str">
        <f>IFERROR(__xludf.DUMMYFUNCTION("""COMPUTED_VALUE""")," 81 99461-0291")</f>
        <v> 81 99461-0291</v>
      </c>
      <c r="E551" s="62" t="str">
        <f>IFERROR(__xludf.DUMMYFUNCTION("""COMPUTED_VALUE"""),"CARUARU")</f>
        <v>CARUARU</v>
      </c>
      <c r="F551" s="62" t="str">
        <f>IFERROR(__xludf.DUMMYFUNCTION("""COMPUTED_VALUE"""),"COOPERADO")</f>
        <v>COOPERADO</v>
      </c>
    </row>
    <row r="552">
      <c r="A552" s="62" t="str">
        <f>IFERROR(__xludf.DUMMYFUNCTION("""COMPUTED_VALUE"""),"NADINE PATRÍCIA SILVA SANTOS")</f>
        <v>NADINE PATRÍCIA SILVA SANTOS</v>
      </c>
      <c r="B552" s="62" t="str">
        <f>IFERROR(__xludf.DUMMYFUNCTION("""COMPUTED_VALUE"""),"TÉC.ENFERMAGEM")</f>
        <v>TÉC.ENFERMAGEM</v>
      </c>
      <c r="C552" s="62" t="str">
        <f>IFERROR(__xludf.DUMMYFUNCTION("""COMPUTED_VALUE"""),"115.079.964-11")</f>
        <v>115.079.964-11</v>
      </c>
      <c r="D552" s="62" t="str">
        <f>IFERROR(__xludf.DUMMYFUNCTION("""COMPUTED_VALUE"""),"81 99844-1268")</f>
        <v>81 99844-1268</v>
      </c>
      <c r="E552" s="62" t="str">
        <f>IFERROR(__xludf.DUMMYFUNCTION("""COMPUTED_VALUE"""),"CARUARU")</f>
        <v>CARUARU</v>
      </c>
      <c r="F552" s="62" t="str">
        <f>IFERROR(__xludf.DUMMYFUNCTION("""COMPUTED_VALUE"""),"COOPERADO")</f>
        <v>COOPERADO</v>
      </c>
    </row>
    <row r="553">
      <c r="A553" s="62" t="str">
        <f>IFERROR(__xludf.DUMMYFUNCTION("""COMPUTED_VALUE"""),"NATALI BRAZ DE SOUZA")</f>
        <v>NATALI BRAZ DE SOUZA</v>
      </c>
      <c r="B553" s="62" t="str">
        <f>IFERROR(__xludf.DUMMYFUNCTION("""COMPUTED_VALUE"""),"AUX DE HIGIENIZAÇÃO")</f>
        <v>AUX DE HIGIENIZAÇÃO</v>
      </c>
      <c r="C553" s="62" t="str">
        <f>IFERROR(__xludf.DUMMYFUNCTION("""COMPUTED_VALUE"""),"049.696.764-96")</f>
        <v>049.696.764-96</v>
      </c>
      <c r="D553" s="62" t="str">
        <f>IFERROR(__xludf.DUMMYFUNCTION("""COMPUTED_VALUE"""),"8198805-3928")</f>
        <v>8198805-3928</v>
      </c>
      <c r="E553" s="62" t="str">
        <f>IFERROR(__xludf.DUMMYFUNCTION("""COMPUTED_VALUE"""),"CARUARU")</f>
        <v>CARUARU</v>
      </c>
      <c r="F553" s="62" t="str">
        <f>IFERROR(__xludf.DUMMYFUNCTION("""COMPUTED_VALUE"""),"COOPERADO")</f>
        <v>COOPERADO</v>
      </c>
    </row>
    <row r="554">
      <c r="A554" s="62" t="str">
        <f>IFERROR(__xludf.DUMMYFUNCTION("""COMPUTED_VALUE"""),"NATALIA ALMEIDA PIRES")</f>
        <v>NATALIA ALMEIDA PIRES</v>
      </c>
      <c r="B554" s="62" t="str">
        <f>IFERROR(__xludf.DUMMYFUNCTION("""COMPUTED_VALUE"""),"AUX DE HIGIENIZAÇÃO")</f>
        <v>AUX DE HIGIENIZAÇÃO</v>
      </c>
      <c r="C554" s="62" t="str">
        <f>IFERROR(__xludf.DUMMYFUNCTION("""COMPUTED_VALUE"""),"135.581.764-13")</f>
        <v>135.581.764-13</v>
      </c>
      <c r="D554" s="62" t="str">
        <f>IFERROR(__xludf.DUMMYFUNCTION("""COMPUTED_VALUE"""),"83 99886-9601")</f>
        <v>83 99886-9601</v>
      </c>
      <c r="E554" s="62" t="str">
        <f>IFERROR(__xludf.DUMMYFUNCTION("""COMPUTED_VALUE"""),"CARUARU")</f>
        <v>CARUARU</v>
      </c>
      <c r="F554" s="62" t="str">
        <f>IFERROR(__xludf.DUMMYFUNCTION("""COMPUTED_VALUE"""),"COOPERADO")</f>
        <v>COOPERADO</v>
      </c>
    </row>
    <row r="555">
      <c r="A555" s="62" t="str">
        <f>IFERROR(__xludf.DUMMYFUNCTION("""COMPUTED_VALUE"""),"NATALIA DA ROCHA CARVALHO")</f>
        <v>NATALIA DA ROCHA CARVALHO</v>
      </c>
      <c r="B555" s="62" t="str">
        <f>IFERROR(__xludf.DUMMYFUNCTION("""COMPUTED_VALUE"""),"TÉC. ENF.")</f>
        <v>TÉC. ENF.</v>
      </c>
      <c r="C555" s="62" t="str">
        <f>IFERROR(__xludf.DUMMYFUNCTION("""COMPUTED_VALUE"""),"138.112.174-88")</f>
        <v>138.112.174-88</v>
      </c>
      <c r="D555" s="62" t="str">
        <f>IFERROR(__xludf.DUMMYFUNCTION("""COMPUTED_VALUE"""),"81 99133-8010")</f>
        <v>81 99133-8010</v>
      </c>
      <c r="E555" s="62" t="str">
        <f>IFERROR(__xludf.DUMMYFUNCTION("""COMPUTED_VALUE"""),"CARUARU")</f>
        <v>CARUARU</v>
      </c>
      <c r="F555" s="62" t="str">
        <f>IFERROR(__xludf.DUMMYFUNCTION("""COMPUTED_VALUE"""),"COOPERADO")</f>
        <v>COOPERADO</v>
      </c>
    </row>
    <row r="556">
      <c r="A556" s="62" t="str">
        <f>IFERROR(__xludf.DUMMYFUNCTION("""COMPUTED_VALUE"""),"NATALIA DE AZEVEDO")</f>
        <v>NATALIA DE AZEVEDO</v>
      </c>
      <c r="B556" s="62" t="str">
        <f>IFERROR(__xludf.DUMMYFUNCTION("""COMPUTED_VALUE"""),"AUX. COZINHA")</f>
        <v>AUX. COZINHA</v>
      </c>
      <c r="C556" s="62" t="str">
        <f>IFERROR(__xludf.DUMMYFUNCTION("""COMPUTED_VALUE"""),"058.748.524-84")</f>
        <v>058.748.524-84</v>
      </c>
      <c r="D556" s="62" t="str">
        <f>IFERROR(__xludf.DUMMYFUNCTION("""COMPUTED_VALUE"""),"82 99197-3287")</f>
        <v>82 99197-3287</v>
      </c>
      <c r="E556" s="62" t="str">
        <f>IFERROR(__xludf.DUMMYFUNCTION("""COMPUTED_VALUE"""),"CARUARU")</f>
        <v>CARUARU</v>
      </c>
      <c r="F556" s="62" t="str">
        <f>IFERROR(__xludf.DUMMYFUNCTION("""COMPUTED_VALUE"""),"COOPERADO")</f>
        <v>COOPERADO</v>
      </c>
    </row>
    <row r="557">
      <c r="A557" s="62" t="str">
        <f>IFERROR(__xludf.DUMMYFUNCTION("""COMPUTED_VALUE"""),"NATÁLIA MARIA DA CONCEIÇÃO DE LIMA")</f>
        <v>NATÁLIA MARIA DA CONCEIÇÃO DE LIMA</v>
      </c>
      <c r="B557" s="62" t="str">
        <f>IFERROR(__xludf.DUMMYFUNCTION("""COMPUTED_VALUE"""),"AUX DE HIGIENIZAÇÃO")</f>
        <v>AUX DE HIGIENIZAÇÃO</v>
      </c>
      <c r="C557" s="62" t="str">
        <f>IFERROR(__xludf.DUMMYFUNCTION("""COMPUTED_VALUE"""),"059.740.784-38")</f>
        <v>059.740.784-38</v>
      </c>
      <c r="D557" s="62" t="str">
        <f>IFERROR(__xludf.DUMMYFUNCTION("""COMPUTED_VALUE"""),"81 99912-7800")</f>
        <v>81 99912-7800</v>
      </c>
      <c r="E557" s="62" t="str">
        <f>IFERROR(__xludf.DUMMYFUNCTION("""COMPUTED_VALUE"""),"CARUARU")</f>
        <v>CARUARU</v>
      </c>
      <c r="F557" s="62" t="str">
        <f>IFERROR(__xludf.DUMMYFUNCTION("""COMPUTED_VALUE"""),"COOPERADO")</f>
        <v>COOPERADO</v>
      </c>
    </row>
    <row r="558">
      <c r="A558" s="62" t="str">
        <f>IFERROR(__xludf.DUMMYFUNCTION("""COMPUTED_VALUE"""),"NATALLY TALYTA MARIA DE AZEVEDO")</f>
        <v>NATALLY TALYTA MARIA DE AZEVEDO</v>
      </c>
      <c r="B558" s="62" t="str">
        <f>IFERROR(__xludf.DUMMYFUNCTION("""COMPUTED_VALUE"""),"RECEPCIONISTA")</f>
        <v>RECEPCIONISTA</v>
      </c>
      <c r="C558" s="62" t="str">
        <f>IFERROR(__xludf.DUMMYFUNCTION("""COMPUTED_VALUE"""),"121.175.494-46")</f>
        <v>121.175.494-46</v>
      </c>
      <c r="D558" s="62" t="str">
        <f>IFERROR(__xludf.DUMMYFUNCTION("""COMPUTED_VALUE"""),"8199485-8342")</f>
        <v>8199485-8342</v>
      </c>
      <c r="E558" s="62" t="str">
        <f>IFERROR(__xludf.DUMMYFUNCTION("""COMPUTED_VALUE"""),"CARUARU")</f>
        <v>CARUARU</v>
      </c>
      <c r="F558" s="62" t="str">
        <f>IFERROR(__xludf.DUMMYFUNCTION("""COMPUTED_VALUE"""),"COOPERADO")</f>
        <v>COOPERADO</v>
      </c>
    </row>
    <row r="559">
      <c r="A559" s="62" t="str">
        <f>IFERROR(__xludf.DUMMYFUNCTION("""COMPUTED_VALUE"""),"NATHALIA NASCIMENTO DA SILVA")</f>
        <v>NATHALIA NASCIMENTO DA SILVA</v>
      </c>
      <c r="B559" s="62" t="str">
        <f>IFERROR(__xludf.DUMMYFUNCTION("""COMPUTED_VALUE"""),"TÉC. ENF.")</f>
        <v>TÉC. ENF.</v>
      </c>
      <c r="C559" s="62" t="str">
        <f>IFERROR(__xludf.DUMMYFUNCTION("""COMPUTED_VALUE"""),"065.398.474-08")</f>
        <v>065.398.474-08</v>
      </c>
      <c r="D559" s="62" t="str">
        <f>IFERROR(__xludf.DUMMYFUNCTION("""COMPUTED_VALUE"""),"81 98876-6458")</f>
        <v>81 98876-6458</v>
      </c>
      <c r="E559" s="62" t="str">
        <f>IFERROR(__xludf.DUMMYFUNCTION("""COMPUTED_VALUE"""),"CARUARU")</f>
        <v>CARUARU</v>
      </c>
      <c r="F559" s="62" t="str">
        <f>IFERROR(__xludf.DUMMYFUNCTION("""COMPUTED_VALUE"""),"COOPERADO")</f>
        <v>COOPERADO</v>
      </c>
    </row>
    <row r="560">
      <c r="A560" s="62" t="str">
        <f>IFERROR(__xludf.DUMMYFUNCTION("""COMPUTED_VALUE"""),"Nathalia Oliveira da Silva")</f>
        <v>Nathalia Oliveira da Silva</v>
      </c>
      <c r="B560" s="62" t="str">
        <f>IFERROR(__xludf.DUMMYFUNCTION("""COMPUTED_VALUE"""),"Auxiliar de Farmácia")</f>
        <v>Auxiliar de Farmácia</v>
      </c>
      <c r="C560" s="62" t="str">
        <f>IFERROR(__xludf.DUMMYFUNCTION("""COMPUTED_VALUE"""),"078.906.864-80")</f>
        <v>078.906.864-80</v>
      </c>
      <c r="D560" s="62" t="str">
        <f>IFERROR(__xludf.DUMMYFUNCTION("""COMPUTED_VALUE""")," 81 99842-1912")</f>
        <v> 81 99842-1912</v>
      </c>
      <c r="E560" s="62" t="str">
        <f>IFERROR(__xludf.DUMMYFUNCTION("""COMPUTED_VALUE"""),"CARUARU")</f>
        <v>CARUARU</v>
      </c>
      <c r="F560" s="62" t="str">
        <f>IFERROR(__xludf.DUMMYFUNCTION("""COMPUTED_VALUE"""),"COOPERADO")</f>
        <v>COOPERADO</v>
      </c>
    </row>
    <row r="561">
      <c r="A561" s="62" t="str">
        <f>IFERROR(__xludf.DUMMYFUNCTION("""COMPUTED_VALUE"""),"NEILSON BEZERRA DA SILVA")</f>
        <v>NEILSON BEZERRA DA SILVA</v>
      </c>
      <c r="B561" s="62" t="str">
        <f>IFERROR(__xludf.DUMMYFUNCTION("""COMPUTED_VALUE"""),"AUX. DE HIGIENIZAÇÃO")</f>
        <v>AUX. DE HIGIENIZAÇÃO</v>
      </c>
      <c r="C561" s="62" t="str">
        <f>IFERROR(__xludf.DUMMYFUNCTION("""COMPUTED_VALUE"""),"704.982.454-20")</f>
        <v>704.982.454-20</v>
      </c>
      <c r="D561" s="62" t="str">
        <f>IFERROR(__xludf.DUMMYFUNCTION("""COMPUTED_VALUE"""),"81 99373-5805")</f>
        <v>81 99373-5805</v>
      </c>
      <c r="E561" s="62" t="str">
        <f>IFERROR(__xludf.DUMMYFUNCTION("""COMPUTED_VALUE"""),"CARUARU")</f>
        <v>CARUARU</v>
      </c>
      <c r="F561" s="62" t="str">
        <f>IFERROR(__xludf.DUMMYFUNCTION("""COMPUTED_VALUE"""),"COOPERADO")</f>
        <v>COOPERADO</v>
      </c>
    </row>
    <row r="562">
      <c r="A562" s="62" t="str">
        <f>IFERROR(__xludf.DUMMYFUNCTION("""COMPUTED_VALUE"""),"Nelbe Bezerra de Araujo")</f>
        <v>Nelbe Bezerra de Araujo</v>
      </c>
      <c r="B562" s="62" t="str">
        <f>IFERROR(__xludf.DUMMYFUNCTION("""COMPUTED_VALUE"""),"Téc. Enf.")</f>
        <v>Téc. Enf.</v>
      </c>
      <c r="C562" s="62" t="str">
        <f>IFERROR(__xludf.DUMMYFUNCTION("""COMPUTED_VALUE"""),"047.746.794-61")</f>
        <v>047.746.794-61</v>
      </c>
      <c r="D562" s="62" t="str">
        <f>IFERROR(__xludf.DUMMYFUNCTION("""COMPUTED_VALUE"""),"81 98952-5821")</f>
        <v>81 98952-5821</v>
      </c>
      <c r="E562" s="62" t="str">
        <f>IFERROR(__xludf.DUMMYFUNCTION("""COMPUTED_VALUE"""),"CARUARU")</f>
        <v>CARUARU</v>
      </c>
      <c r="F562" s="62" t="str">
        <f>IFERROR(__xludf.DUMMYFUNCTION("""COMPUTED_VALUE"""),"COOPERADO")</f>
        <v>COOPERADO</v>
      </c>
    </row>
    <row r="563">
      <c r="A563" s="62" t="str">
        <f>IFERROR(__xludf.DUMMYFUNCTION("""COMPUTED_VALUE"""),"NÚBIA MARIA TIMOTEO")</f>
        <v>NÚBIA MARIA TIMOTEO</v>
      </c>
      <c r="B563" s="62" t="str">
        <f>IFERROR(__xludf.DUMMYFUNCTION("""COMPUTED_VALUE"""),"AUX DE HIGIENIZAÇÃO")</f>
        <v>AUX DE HIGIENIZAÇÃO</v>
      </c>
      <c r="C563" s="62" t="str">
        <f>IFERROR(__xludf.DUMMYFUNCTION("""COMPUTED_VALUE"""),"072.910.974-79")</f>
        <v>072.910.974-79</v>
      </c>
      <c r="D563" s="62" t="str">
        <f>IFERROR(__xludf.DUMMYFUNCTION("""COMPUTED_VALUE"""),"81 98900-6791")</f>
        <v>81 98900-6791</v>
      </c>
      <c r="E563" s="62" t="str">
        <f>IFERROR(__xludf.DUMMYFUNCTION("""COMPUTED_VALUE"""),"CARUARU")</f>
        <v>CARUARU</v>
      </c>
      <c r="F563" s="62" t="str">
        <f>IFERROR(__xludf.DUMMYFUNCTION("""COMPUTED_VALUE"""),"COOPERADO")</f>
        <v>COOPERADO</v>
      </c>
    </row>
    <row r="564">
      <c r="A564" s="62" t="str">
        <f>IFERROR(__xludf.DUMMYFUNCTION("""COMPUTED_VALUE"""),"PATRICIA FABIA S. DE OLIVEIRA")</f>
        <v>PATRICIA FABIA S. DE OLIVEIRA</v>
      </c>
      <c r="B564" s="62" t="str">
        <f>IFERROR(__xludf.DUMMYFUNCTION("""COMPUTED_VALUE"""),"ASSISTENTE ADM")</f>
        <v>ASSISTENTE ADM</v>
      </c>
      <c r="C564" s="62" t="str">
        <f>IFERROR(__xludf.DUMMYFUNCTION("""COMPUTED_VALUE"""),"008.258.514-83")</f>
        <v>008.258.514-83</v>
      </c>
      <c r="D564" s="62" t="str">
        <f>IFERROR(__xludf.DUMMYFUNCTION("""COMPUTED_VALUE"""),"81 99563-4146")</f>
        <v>81 99563-4146</v>
      </c>
      <c r="E564" s="62" t="str">
        <f>IFERROR(__xludf.DUMMYFUNCTION("""COMPUTED_VALUE"""),"CARUARU")</f>
        <v>CARUARU</v>
      </c>
      <c r="F564" s="62" t="str">
        <f>IFERROR(__xludf.DUMMYFUNCTION("""COMPUTED_VALUE"""),"COOPERADO")</f>
        <v>COOPERADO</v>
      </c>
    </row>
    <row r="565">
      <c r="A565" s="62" t="str">
        <f>IFERROR(__xludf.DUMMYFUNCTION("""COMPUTED_VALUE"""),"PATRICIA FERREIRA DA SILVA")</f>
        <v>PATRICIA FERREIRA DA SILVA</v>
      </c>
      <c r="B565" s="62" t="str">
        <f>IFERROR(__xludf.DUMMYFUNCTION("""COMPUTED_VALUE"""),"AUX DE HIGIENIZAÇÃO")</f>
        <v>AUX DE HIGIENIZAÇÃO</v>
      </c>
      <c r="C565" s="62" t="str">
        <f>IFERROR(__xludf.DUMMYFUNCTION("""COMPUTED_VALUE"""),"063.572.514-29")</f>
        <v>063.572.514-29</v>
      </c>
      <c r="D565" s="62" t="str">
        <f>IFERROR(__xludf.DUMMYFUNCTION("""COMPUTED_VALUE"""),"81 9544-9900")</f>
        <v>81 9544-9900</v>
      </c>
      <c r="E565" s="62" t="str">
        <f>IFERROR(__xludf.DUMMYFUNCTION("""COMPUTED_VALUE"""),"CARUARU")</f>
        <v>CARUARU</v>
      </c>
      <c r="F565" s="62" t="str">
        <f>IFERROR(__xludf.DUMMYFUNCTION("""COMPUTED_VALUE"""),"COOPERADO")</f>
        <v>COOPERADO</v>
      </c>
    </row>
    <row r="566">
      <c r="A566" s="62" t="str">
        <f>IFERROR(__xludf.DUMMYFUNCTION("""COMPUTED_VALUE"""),"PAULA BEATRIZ DE OLIVEIRA")</f>
        <v>PAULA BEATRIZ DE OLIVEIRA</v>
      </c>
      <c r="B566" s="62" t="str">
        <f>IFERROR(__xludf.DUMMYFUNCTION("""COMPUTED_VALUE"""),"AUXILIAR DE COZINHA")</f>
        <v>AUXILIAR DE COZINHA</v>
      </c>
      <c r="C566" s="62" t="str">
        <f>IFERROR(__xludf.DUMMYFUNCTION("""COMPUTED_VALUE"""),"069.677.994-36")</f>
        <v>069.677.994-36</v>
      </c>
      <c r="D566" s="62" t="str">
        <f>IFERROR(__xludf.DUMMYFUNCTION("""COMPUTED_VALUE"""),"8199263-1416")</f>
        <v>8199263-1416</v>
      </c>
      <c r="E566" s="62" t="str">
        <f>IFERROR(__xludf.DUMMYFUNCTION("""COMPUTED_VALUE"""),"CARUARU")</f>
        <v>CARUARU</v>
      </c>
      <c r="F566" s="62" t="str">
        <f>IFERROR(__xludf.DUMMYFUNCTION("""COMPUTED_VALUE"""),"COOPERADO")</f>
        <v>COOPERADO</v>
      </c>
    </row>
    <row r="567">
      <c r="A567" s="62" t="str">
        <f>IFERROR(__xludf.DUMMYFUNCTION("""COMPUTED_VALUE"""),"PAULA MARIA DA SILVA LIMA")</f>
        <v>PAULA MARIA DA SILVA LIMA</v>
      </c>
      <c r="B567" s="62" t="str">
        <f>IFERROR(__xludf.DUMMYFUNCTION("""COMPUTED_VALUE"""),"TÉC.ENFERMAGEM")</f>
        <v>TÉC.ENFERMAGEM</v>
      </c>
      <c r="C567" s="62" t="str">
        <f>IFERROR(__xludf.DUMMYFUNCTION("""COMPUTED_VALUE"""),"044.282.154-95")</f>
        <v>044.282.154-95</v>
      </c>
      <c r="D567" s="62" t="str">
        <f>IFERROR(__xludf.DUMMYFUNCTION("""COMPUTED_VALUE"""),"81 9102-2205")</f>
        <v>81 9102-2205</v>
      </c>
      <c r="E567" s="62" t="str">
        <f>IFERROR(__xludf.DUMMYFUNCTION("""COMPUTED_VALUE"""),"CARUARU")</f>
        <v>CARUARU</v>
      </c>
      <c r="F567" s="62" t="str">
        <f>IFERROR(__xludf.DUMMYFUNCTION("""COMPUTED_VALUE"""),"COOPERADO")</f>
        <v>COOPERADO</v>
      </c>
    </row>
    <row r="568">
      <c r="A568" s="62" t="str">
        <f>IFERROR(__xludf.DUMMYFUNCTION("""COMPUTED_VALUE"""),"Paula Sandrini")</f>
        <v>Paula Sandrini</v>
      </c>
      <c r="B568" s="62" t="str">
        <f>IFERROR(__xludf.DUMMYFUNCTION("""COMPUTED_VALUE"""),"Téc. Enf.")</f>
        <v>Téc. Enf.</v>
      </c>
      <c r="C568" s="62" t="str">
        <f>IFERROR(__xludf.DUMMYFUNCTION("""COMPUTED_VALUE"""),"129.343.964-95")</f>
        <v>129.343.964-95</v>
      </c>
      <c r="D568" s="62" t="str">
        <f>IFERROR(__xludf.DUMMYFUNCTION("""COMPUTED_VALUE"""),"81 9875-1104")</f>
        <v>81 9875-1104</v>
      </c>
      <c r="E568" s="62" t="str">
        <f>IFERROR(__xludf.DUMMYFUNCTION("""COMPUTED_VALUE"""),"CARUARU")</f>
        <v>CARUARU</v>
      </c>
      <c r="F568" s="62" t="str">
        <f>IFERROR(__xludf.DUMMYFUNCTION("""COMPUTED_VALUE"""),"COOPERADO")</f>
        <v>COOPERADO</v>
      </c>
    </row>
    <row r="569">
      <c r="A569" s="62" t="str">
        <f>IFERROR(__xludf.DUMMYFUNCTION("""COMPUTED_VALUE"""),"PAULO EDUARDO")</f>
        <v>PAULO EDUARDO</v>
      </c>
      <c r="B569" s="62" t="str">
        <f>IFERROR(__xludf.DUMMYFUNCTION("""COMPUTED_VALUE"""),"AUX. HIG.")</f>
        <v>AUX. HIG.</v>
      </c>
      <c r="C569" s="62" t="str">
        <f>IFERROR(__xludf.DUMMYFUNCTION("""COMPUTED_VALUE"""),"716.480.764-75")</f>
        <v>716.480.764-75</v>
      </c>
      <c r="D569" s="62" t="str">
        <f>IFERROR(__xludf.DUMMYFUNCTION("""COMPUTED_VALUE"""),"81 8729-0418")</f>
        <v>81 8729-0418</v>
      </c>
      <c r="E569" s="62" t="str">
        <f>IFERROR(__xludf.DUMMYFUNCTION("""COMPUTED_VALUE"""),"CARUARU")</f>
        <v>CARUARU</v>
      </c>
      <c r="F569" s="62" t="str">
        <f>IFERROR(__xludf.DUMMYFUNCTION("""COMPUTED_VALUE"""),"COOPERADO")</f>
        <v>COOPERADO</v>
      </c>
    </row>
    <row r="570">
      <c r="A570" s="62" t="str">
        <f>IFERROR(__xludf.DUMMYFUNCTION("""COMPUTED_VALUE"""),"PAULO HENRIQUE PAIVA ALVES SOARES")</f>
        <v>PAULO HENRIQUE PAIVA ALVES SOARES</v>
      </c>
      <c r="B570" s="62" t="str">
        <f>IFERROR(__xludf.DUMMYFUNCTION("""COMPUTED_VALUE"""),"TÉC.ENFERMAGEM")</f>
        <v>TÉC.ENFERMAGEM</v>
      </c>
      <c r="C570" s="62" t="str">
        <f>IFERROR(__xludf.DUMMYFUNCTION("""COMPUTED_VALUE"""),"158.980.604-21")</f>
        <v>158.980.604-21</v>
      </c>
      <c r="D570" s="62" t="str">
        <f>IFERROR(__xludf.DUMMYFUNCTION("""COMPUTED_VALUE"""),"81 9963-9350")</f>
        <v>81 9963-9350</v>
      </c>
      <c r="E570" s="62" t="str">
        <f>IFERROR(__xludf.DUMMYFUNCTION("""COMPUTED_VALUE"""),"CARUARU")</f>
        <v>CARUARU</v>
      </c>
      <c r="F570" s="62" t="str">
        <f>IFERROR(__xludf.DUMMYFUNCTION("""COMPUTED_VALUE"""),"COOPERADO")</f>
        <v>COOPERADO</v>
      </c>
    </row>
    <row r="571">
      <c r="A571" s="62" t="str">
        <f>IFERROR(__xludf.DUMMYFUNCTION("""COMPUTED_VALUE"""),"PEDRO ISAIAS DE LIMA")</f>
        <v>PEDRO ISAIAS DE LIMA</v>
      </c>
      <c r="B571" s="62" t="str">
        <f>IFERROR(__xludf.DUMMYFUNCTION("""COMPUTED_VALUE"""),"TÉC.ENFERMAGEM")</f>
        <v>TÉC.ENFERMAGEM</v>
      </c>
      <c r="C571" s="62" t="str">
        <f>IFERROR(__xludf.DUMMYFUNCTION("""COMPUTED_VALUE"""),"091.595.524-50")</f>
        <v>091.595.524-50</v>
      </c>
      <c r="D571" s="62" t="str">
        <f>IFERROR(__xludf.DUMMYFUNCTION("""COMPUTED_VALUE"""),"81 8102-6339")</f>
        <v>81 8102-6339</v>
      </c>
      <c r="E571" s="62" t="str">
        <f>IFERROR(__xludf.DUMMYFUNCTION("""COMPUTED_VALUE"""),"CARUARU")</f>
        <v>CARUARU</v>
      </c>
      <c r="F571" s="62" t="str">
        <f>IFERROR(__xludf.DUMMYFUNCTION("""COMPUTED_VALUE"""),"COOPERADO")</f>
        <v>COOPERADO</v>
      </c>
    </row>
    <row r="572">
      <c r="A572" s="62" t="str">
        <f>IFERROR(__xludf.DUMMYFUNCTION("""COMPUTED_VALUE"""),"POLIANA ALVES BRASIL")</f>
        <v>POLIANA ALVES BRASIL</v>
      </c>
      <c r="B572" s="62" t="str">
        <f>IFERROR(__xludf.DUMMYFUNCTION("""COMPUTED_VALUE"""),"TÉC.ENFERMAGEM")</f>
        <v>TÉC.ENFERMAGEM</v>
      </c>
      <c r="C572" s="62" t="str">
        <f>IFERROR(__xludf.DUMMYFUNCTION("""COMPUTED_VALUE"""),"090.106.064-06")</f>
        <v>090.106.064-06</v>
      </c>
      <c r="D572" s="62" t="str">
        <f>IFERROR(__xludf.DUMMYFUNCTION("""COMPUTED_VALUE"""),"81 9322-6460")</f>
        <v>81 9322-6460</v>
      </c>
      <c r="E572" s="62" t="str">
        <f>IFERROR(__xludf.DUMMYFUNCTION("""COMPUTED_VALUE"""),"CARUARU")</f>
        <v>CARUARU</v>
      </c>
      <c r="F572" s="62" t="str">
        <f>IFERROR(__xludf.DUMMYFUNCTION("""COMPUTED_VALUE"""),"COOPERADO")</f>
        <v>COOPERADO</v>
      </c>
    </row>
    <row r="573">
      <c r="A573" s="62" t="str">
        <f>IFERROR(__xludf.DUMMYFUNCTION("""COMPUTED_VALUE"""),"QUITÉRIA ELIDIA DA SILVA")</f>
        <v>QUITÉRIA ELIDIA DA SILVA</v>
      </c>
      <c r="B573" s="62" t="str">
        <f>IFERROR(__xludf.DUMMYFUNCTION("""COMPUTED_VALUE"""),"TÉC. ENF.")</f>
        <v>TÉC. ENF.</v>
      </c>
      <c r="C573" s="62" t="str">
        <f>IFERROR(__xludf.DUMMYFUNCTION("""COMPUTED_VALUE"""),"001.769.093-54")</f>
        <v>001.769.093-54</v>
      </c>
      <c r="D573" s="62" t="str">
        <f>IFERROR(__xludf.DUMMYFUNCTION("""COMPUTED_VALUE"""),"81 9903-0952")</f>
        <v>81 9903-0952</v>
      </c>
      <c r="E573" s="62" t="str">
        <f>IFERROR(__xludf.DUMMYFUNCTION("""COMPUTED_VALUE"""),"CARUARU")</f>
        <v>CARUARU</v>
      </c>
      <c r="F573" s="62" t="str">
        <f>IFERROR(__xludf.DUMMYFUNCTION("""COMPUTED_VALUE"""),"COOPERADO")</f>
        <v>COOPERADO</v>
      </c>
    </row>
    <row r="574">
      <c r="A574" s="62" t="str">
        <f>IFERROR(__xludf.DUMMYFUNCTION("""COMPUTED_VALUE"""),"QUITÉRIA ROSA DOS SANTOS")</f>
        <v>QUITÉRIA ROSA DOS SANTOS</v>
      </c>
      <c r="B574" s="62" t="str">
        <f>IFERROR(__xludf.DUMMYFUNCTION("""COMPUTED_VALUE"""),"TÉC.ENFERMAGEM")</f>
        <v>TÉC.ENFERMAGEM</v>
      </c>
      <c r="C574" s="62" t="str">
        <f>IFERROR(__xludf.DUMMYFUNCTION("""COMPUTED_VALUE"""),"042.642.964-80")</f>
        <v>042.642.964-80</v>
      </c>
      <c r="D574" s="62" t="str">
        <f>IFERROR(__xludf.DUMMYFUNCTION("""COMPUTED_VALUE"""),"81 7331-0184")</f>
        <v>81 7331-0184</v>
      </c>
      <c r="E574" s="62" t="str">
        <f>IFERROR(__xludf.DUMMYFUNCTION("""COMPUTED_VALUE"""),"CARUARU")</f>
        <v>CARUARU</v>
      </c>
      <c r="F574" s="62" t="str">
        <f>IFERROR(__xludf.DUMMYFUNCTION("""COMPUTED_VALUE"""),"COOPERADO")</f>
        <v>COOPERADO</v>
      </c>
    </row>
    <row r="575">
      <c r="A575" s="62" t="str">
        <f>IFERROR(__xludf.DUMMYFUNCTION("""COMPUTED_VALUE"""),"RAFAELA  OLIVEIRA GONÇALVES ")</f>
        <v>RAFAELA  OLIVEIRA GONÇALVES </v>
      </c>
      <c r="B575" s="62" t="str">
        <f>IFERROR(__xludf.DUMMYFUNCTION("""COMPUTED_VALUE"""),"ASSISTENTE ADMINISTRATIVO")</f>
        <v>ASSISTENTE ADMINISTRATIVO</v>
      </c>
      <c r="C575" s="62" t="str">
        <f>IFERROR(__xludf.DUMMYFUNCTION("""COMPUTED_VALUE"""),"114.705.224-70")</f>
        <v>114.705.224-70</v>
      </c>
      <c r="D575" s="62" t="str">
        <f>IFERROR(__xludf.DUMMYFUNCTION("""COMPUTED_VALUE"""),"81 8745-3422")</f>
        <v>81 8745-3422</v>
      </c>
      <c r="E575" s="62" t="str">
        <f>IFERROR(__xludf.DUMMYFUNCTION("""COMPUTED_VALUE"""),"CARUARU")</f>
        <v>CARUARU</v>
      </c>
      <c r="F575" s="62" t="str">
        <f>IFERROR(__xludf.DUMMYFUNCTION("""COMPUTED_VALUE"""),"COOPERADO")</f>
        <v>COOPERADO</v>
      </c>
    </row>
    <row r="576">
      <c r="A576" s="62" t="str">
        <f>IFERROR(__xludf.DUMMYFUNCTION("""COMPUTED_VALUE"""),"RAFAELA MARIA DOS SANTOS")</f>
        <v>RAFAELA MARIA DOS SANTOS</v>
      </c>
      <c r="B576" s="62" t="str">
        <f>IFERROR(__xludf.DUMMYFUNCTION("""COMPUTED_VALUE"""),"TÉC. ENF. ")</f>
        <v>TÉC. ENF. </v>
      </c>
      <c r="C576" s="62" t="str">
        <f>IFERROR(__xludf.DUMMYFUNCTION("""COMPUTED_VALUE"""),"116.980.034-39")</f>
        <v>116.980.034-39</v>
      </c>
      <c r="D576" s="62" t="str">
        <f>IFERROR(__xludf.DUMMYFUNCTION("""COMPUTED_VALUE""")," 81 9 8990-9630")</f>
        <v> 81 9 8990-9630</v>
      </c>
      <c r="E576" s="62" t="str">
        <f>IFERROR(__xludf.DUMMYFUNCTION("""COMPUTED_VALUE"""),"CARUARU")</f>
        <v>CARUARU</v>
      </c>
      <c r="F576" s="62" t="str">
        <f>IFERROR(__xludf.DUMMYFUNCTION("""COMPUTED_VALUE"""),"COOPERADO")</f>
        <v>COOPERADO</v>
      </c>
    </row>
    <row r="577">
      <c r="A577" s="62" t="str">
        <f>IFERROR(__xludf.DUMMYFUNCTION("""COMPUTED_VALUE"""),"RAFAELE DOS ANJOS SILVA")</f>
        <v>RAFAELE DOS ANJOS SILVA</v>
      </c>
      <c r="B577" s="62" t="str">
        <f>IFERROR(__xludf.DUMMYFUNCTION("""COMPUTED_VALUE"""),"TÉC.ENFERMAGEM")</f>
        <v>TÉC.ENFERMAGEM</v>
      </c>
      <c r="C577" s="62" t="str">
        <f>IFERROR(__xludf.DUMMYFUNCTION("""COMPUTED_VALUE"""),"103.947.204-40")</f>
        <v>103.947.204-40</v>
      </c>
      <c r="D577" s="62" t="str">
        <f>IFERROR(__xludf.DUMMYFUNCTION("""COMPUTED_VALUE"""),"81 9537-1908")</f>
        <v>81 9537-1908</v>
      </c>
      <c r="E577" s="62" t="str">
        <f>IFERROR(__xludf.DUMMYFUNCTION("""COMPUTED_VALUE"""),"CARUARU")</f>
        <v>CARUARU</v>
      </c>
      <c r="F577" s="62" t="str">
        <f>IFERROR(__xludf.DUMMYFUNCTION("""COMPUTED_VALUE"""),"COOPERADO")</f>
        <v>COOPERADO</v>
      </c>
    </row>
    <row r="578">
      <c r="A578" s="62" t="str">
        <f>IFERROR(__xludf.DUMMYFUNCTION("""COMPUTED_VALUE"""),"RAFAELA MATIAS DA SILVA")</f>
        <v>RAFAELA MATIAS DA SILVA</v>
      </c>
      <c r="B578" s="62" t="str">
        <f>IFERROR(__xludf.DUMMYFUNCTION("""COMPUTED_VALUE"""),"COPEIRA")</f>
        <v>COPEIRA</v>
      </c>
      <c r="C578" s="62" t="str">
        <f>IFERROR(__xludf.DUMMYFUNCTION("""COMPUTED_VALUE"""),"071.783.424-71")</f>
        <v>071.783.424-71</v>
      </c>
      <c r="D578" s="62" t="str">
        <f>IFERROR(__xludf.DUMMYFUNCTION("""COMPUTED_VALUE"""),"81 9 9147-5665")</f>
        <v>81 9 9147-5665</v>
      </c>
      <c r="E578" s="62" t="str">
        <f>IFERROR(__xludf.DUMMYFUNCTION("""COMPUTED_VALUE"""),"CARUARU")</f>
        <v>CARUARU</v>
      </c>
      <c r="F578" s="62" t="str">
        <f>IFERROR(__xludf.DUMMYFUNCTION("""COMPUTED_VALUE"""),"COOPERADO")</f>
        <v>COOPERADO</v>
      </c>
    </row>
    <row r="579">
      <c r="A579" s="62" t="str">
        <f>IFERROR(__xludf.DUMMYFUNCTION("""COMPUTED_VALUE"""),"Raiane Florêncio C. Leite")</f>
        <v>Raiane Florêncio C. Leite</v>
      </c>
      <c r="B579" s="62" t="str">
        <f>IFERROR(__xludf.DUMMYFUNCTION("""COMPUTED_VALUE"""),"Copeira")</f>
        <v>Copeira</v>
      </c>
      <c r="C579" s="62" t="str">
        <f>IFERROR(__xludf.DUMMYFUNCTION("""COMPUTED_VALUE"""),"141.091.864-55")</f>
        <v>141.091.864-55</v>
      </c>
      <c r="D579" s="62" t="str">
        <f>IFERROR(__xludf.DUMMYFUNCTION("""COMPUTED_VALUE"""),"81 9236-5219")</f>
        <v>81 9236-5219</v>
      </c>
      <c r="E579" s="62" t="str">
        <f>IFERROR(__xludf.DUMMYFUNCTION("""COMPUTED_VALUE"""),"CARUARU")</f>
        <v>CARUARU</v>
      </c>
      <c r="F579" s="62" t="str">
        <f>IFERROR(__xludf.DUMMYFUNCTION("""COMPUTED_VALUE"""),"COOPERADO")</f>
        <v>COOPERADO</v>
      </c>
    </row>
    <row r="580">
      <c r="A580" s="62" t="str">
        <f>IFERROR(__xludf.DUMMYFUNCTION("""COMPUTED_VALUE"""),"Raíssa Maria Andrade Silva Alburquerque")</f>
        <v>Raíssa Maria Andrade Silva Alburquerque</v>
      </c>
      <c r="B580" s="62" t="str">
        <f>IFERROR(__xludf.DUMMYFUNCTION("""COMPUTED_VALUE"""),"Enfermeiro(a)")</f>
        <v>Enfermeiro(a)</v>
      </c>
      <c r="C580" s="62" t="str">
        <f>IFERROR(__xludf.DUMMYFUNCTION("""COMPUTED_VALUE"""),"073.058.084-90")</f>
        <v>073.058.084-90</v>
      </c>
      <c r="D580" s="62" t="str">
        <f>IFERROR(__xludf.DUMMYFUNCTION("""COMPUTED_VALUE"""),"81 9317-8998")</f>
        <v>81 9317-8998</v>
      </c>
      <c r="E580" s="62" t="str">
        <f>IFERROR(__xludf.DUMMYFUNCTION("""COMPUTED_VALUE"""),"CARUARU")</f>
        <v>CARUARU</v>
      </c>
      <c r="F580" s="62" t="str">
        <f>IFERROR(__xludf.DUMMYFUNCTION("""COMPUTED_VALUE"""),"COOPERADO")</f>
        <v>COOPERADO</v>
      </c>
    </row>
    <row r="581">
      <c r="A581" s="62" t="str">
        <f>IFERROR(__xludf.DUMMYFUNCTION("""COMPUTED_VALUE"""),"RAMMON VINICUS DOS SANTOS DE MORAIS")</f>
        <v>RAMMON VINICUS DOS SANTOS DE MORAIS</v>
      </c>
      <c r="B581" s="62" t="str">
        <f>IFERROR(__xludf.DUMMYFUNCTION("""COMPUTED_VALUE"""),"AUXILIAR DE FARMÁCIA")</f>
        <v>AUXILIAR DE FARMÁCIA</v>
      </c>
      <c r="C581" s="62" t="str">
        <f>IFERROR(__xludf.DUMMYFUNCTION("""COMPUTED_VALUE"""),"060.512.174-52")</f>
        <v>060.512.174-52</v>
      </c>
      <c r="D581" s="62" t="str">
        <f>IFERROR(__xludf.DUMMYFUNCTION("""COMPUTED_VALUE"""),"81 9425-6416")</f>
        <v>81 9425-6416</v>
      </c>
      <c r="E581" s="62" t="str">
        <f>IFERROR(__xludf.DUMMYFUNCTION("""COMPUTED_VALUE"""),"CARUARU")</f>
        <v>CARUARU</v>
      </c>
      <c r="F581" s="62" t="str">
        <f>IFERROR(__xludf.DUMMYFUNCTION("""COMPUTED_VALUE"""),"COOPERADO")</f>
        <v>COOPERADO</v>
      </c>
    </row>
    <row r="582">
      <c r="A582" s="62" t="str">
        <f>IFERROR(__xludf.DUMMYFUNCTION("""COMPUTED_VALUE"""),"Rau José Pereira")</f>
        <v>Rau José Pereira</v>
      </c>
      <c r="B582" s="62" t="str">
        <f>IFERROR(__xludf.DUMMYFUNCTION("""COMPUTED_VALUE"""),"Auxiliar de Farmácia")</f>
        <v>Auxiliar de Farmácia</v>
      </c>
      <c r="C582" s="62" t="str">
        <f>IFERROR(__xludf.DUMMYFUNCTION("""COMPUTED_VALUE"""),"108.789.524-38")</f>
        <v>108.789.524-38</v>
      </c>
      <c r="D582" s="62" t="str">
        <f>IFERROR(__xludf.DUMMYFUNCTION("""COMPUTED_VALUE"""),"81 8957-8965")</f>
        <v>81 8957-8965</v>
      </c>
      <c r="E582" s="62" t="str">
        <f>IFERROR(__xludf.DUMMYFUNCTION("""COMPUTED_VALUE"""),"CARUARU")</f>
        <v>CARUARU</v>
      </c>
      <c r="F582" s="62" t="str">
        <f>IFERROR(__xludf.DUMMYFUNCTION("""COMPUTED_VALUE"""),"COOPERADO")</f>
        <v>COOPERADO</v>
      </c>
    </row>
    <row r="583">
      <c r="A583" s="62" t="str">
        <f>IFERROR(__xludf.DUMMYFUNCTION("""COMPUTED_VALUE"""),"Rayne Maria De Brito")</f>
        <v>Rayne Maria De Brito</v>
      </c>
      <c r="B583" s="62" t="str">
        <f>IFERROR(__xludf.DUMMYFUNCTION("""COMPUTED_VALUE"""),"Téc. Enf.")</f>
        <v>Téc. Enf.</v>
      </c>
      <c r="C583" s="62" t="str">
        <f>IFERROR(__xludf.DUMMYFUNCTION("""COMPUTED_VALUE"""),"106.006.894-09")</f>
        <v>106.006.894-09</v>
      </c>
      <c r="D583" s="62" t="str">
        <f>IFERROR(__xludf.DUMMYFUNCTION("""COMPUTED_VALUE"""),"81 8110-9061")</f>
        <v>81 8110-9061</v>
      </c>
      <c r="E583" s="62" t="str">
        <f>IFERROR(__xludf.DUMMYFUNCTION("""COMPUTED_VALUE"""),"CARUARU")</f>
        <v>CARUARU</v>
      </c>
      <c r="F583" s="62" t="str">
        <f>IFERROR(__xludf.DUMMYFUNCTION("""COMPUTED_VALUE"""),"COOPERADO")</f>
        <v>COOPERADO</v>
      </c>
    </row>
    <row r="584">
      <c r="A584" s="62" t="str">
        <f>IFERROR(__xludf.DUMMYFUNCTION("""COMPUTED_VALUE"""),"REBECCA LORENA LEONEL DE CARVALHO")</f>
        <v>REBECCA LORENA LEONEL DE CARVALHO</v>
      </c>
      <c r="B584" s="62" t="str">
        <f>IFERROR(__xludf.DUMMYFUNCTION("""COMPUTED_VALUE"""),"ENFERMEIRO (A)")</f>
        <v>ENFERMEIRO (A)</v>
      </c>
      <c r="C584" s="62" t="str">
        <f>IFERROR(__xludf.DUMMYFUNCTION("""COMPUTED_VALUE"""),"112.113.324-03")</f>
        <v>112.113.324-03</v>
      </c>
      <c r="D584" s="62" t="str">
        <f>IFERROR(__xludf.DUMMYFUNCTION("""COMPUTED_VALUE"""),"81 9176-1270")</f>
        <v>81 9176-1270</v>
      </c>
      <c r="E584" s="62" t="str">
        <f>IFERROR(__xludf.DUMMYFUNCTION("""COMPUTED_VALUE"""),"CARUARU")</f>
        <v>CARUARU</v>
      </c>
      <c r="F584" s="62" t="str">
        <f>IFERROR(__xludf.DUMMYFUNCTION("""COMPUTED_VALUE"""),"COOPERADO")</f>
        <v>COOPERADO</v>
      </c>
    </row>
    <row r="585">
      <c r="A585" s="62" t="str">
        <f>IFERROR(__xludf.DUMMYFUNCTION("""COMPUTED_VALUE"""),"REDJANE FERREIRA DA SILVA")</f>
        <v>REDJANE FERREIRA DA SILVA</v>
      </c>
      <c r="B585" s="62" t="str">
        <f>IFERROR(__xludf.DUMMYFUNCTION("""COMPUTED_VALUE"""),"AUXILIAR DE COZINHA")</f>
        <v>AUXILIAR DE COZINHA</v>
      </c>
      <c r="C585" s="62" t="str">
        <f>IFERROR(__xludf.DUMMYFUNCTION("""COMPUTED_VALUE"""),"047.323.154-96")</f>
        <v>047.323.154-96</v>
      </c>
      <c r="D585" s="62" t="str">
        <f>IFERROR(__xludf.DUMMYFUNCTION("""COMPUTED_VALUE"""),"81 9280-6207")</f>
        <v>81 9280-6207</v>
      </c>
      <c r="E585" s="62" t="str">
        <f>IFERROR(__xludf.DUMMYFUNCTION("""COMPUTED_VALUE"""),"CARUARU")</f>
        <v>CARUARU</v>
      </c>
      <c r="F585" s="62" t="str">
        <f>IFERROR(__xludf.DUMMYFUNCTION("""COMPUTED_VALUE"""),"COOPERADO")</f>
        <v>COOPERADO</v>
      </c>
    </row>
    <row r="586">
      <c r="A586" s="62" t="str">
        <f>IFERROR(__xludf.DUMMYFUNCTION("""COMPUTED_VALUE"""),"Regiana Soares Pereira")</f>
        <v>Regiana Soares Pereira</v>
      </c>
      <c r="B586" s="62" t="str">
        <f>IFERROR(__xludf.DUMMYFUNCTION("""COMPUTED_VALUE"""),"Auxiliar de Higienização")</f>
        <v>Auxiliar de Higienização</v>
      </c>
      <c r="C586" s="62" t="str">
        <f>IFERROR(__xludf.DUMMYFUNCTION("""COMPUTED_VALUE"""),"008.592.934-40")</f>
        <v>008.592.934-40</v>
      </c>
      <c r="D586" s="62" t="str">
        <f>IFERROR(__xludf.DUMMYFUNCTION("""COMPUTED_VALUE"""),"81 9150-7967")</f>
        <v>81 9150-7967</v>
      </c>
      <c r="E586" s="62" t="str">
        <f>IFERROR(__xludf.DUMMYFUNCTION("""COMPUTED_VALUE"""),"CARUARU")</f>
        <v>CARUARU</v>
      </c>
      <c r="F586" s="62" t="str">
        <f>IFERROR(__xludf.DUMMYFUNCTION("""COMPUTED_VALUE"""),"COOPERADO")</f>
        <v>COOPERADO</v>
      </c>
    </row>
    <row r="587">
      <c r="A587" s="62" t="str">
        <f>IFERROR(__xludf.DUMMYFUNCTION("""COMPUTED_VALUE"""),"REGINA DA CONCEIÇÃO")</f>
        <v>REGINA DA CONCEIÇÃO</v>
      </c>
      <c r="B587" s="62" t="str">
        <f>IFERROR(__xludf.DUMMYFUNCTION("""COMPUTED_VALUE"""),"COZINHEIRA")</f>
        <v>COZINHEIRA</v>
      </c>
      <c r="C587" s="62" t="str">
        <f>IFERROR(__xludf.DUMMYFUNCTION("""COMPUTED_VALUE"""),"049.886.704-81")</f>
        <v>049.886.704-81</v>
      </c>
      <c r="D587" s="62" t="str">
        <f>IFERROR(__xludf.DUMMYFUNCTION("""COMPUTED_VALUE"""),"81 9986-1207")</f>
        <v>81 9986-1207</v>
      </c>
      <c r="E587" s="62" t="str">
        <f>IFERROR(__xludf.DUMMYFUNCTION("""COMPUTED_VALUE"""),"CARUARU")</f>
        <v>CARUARU</v>
      </c>
      <c r="F587" s="62" t="str">
        <f>IFERROR(__xludf.DUMMYFUNCTION("""COMPUTED_VALUE"""),"COOPERADO")</f>
        <v>COOPERADO</v>
      </c>
    </row>
    <row r="588">
      <c r="A588" s="62" t="str">
        <f>IFERROR(__xludf.DUMMYFUNCTION("""COMPUTED_VALUE"""),"Rennan Cesar Leocadio De Menezes")</f>
        <v>Rennan Cesar Leocadio De Menezes</v>
      </c>
      <c r="B588" s="62" t="str">
        <f>IFERROR(__xludf.DUMMYFUNCTION("""COMPUTED_VALUE"""),"Enfermeiro(a)")</f>
        <v>Enfermeiro(a)</v>
      </c>
      <c r="C588" s="62" t="str">
        <f>IFERROR(__xludf.DUMMYFUNCTION("""COMPUTED_VALUE"""),"087.126.294-05")</f>
        <v>087.126.294-05</v>
      </c>
      <c r="D588" s="62" t="str">
        <f>IFERROR(__xludf.DUMMYFUNCTION("""COMPUTED_VALUE"""),"81 9692-8360")</f>
        <v>81 9692-8360</v>
      </c>
      <c r="E588" s="62" t="str">
        <f>IFERROR(__xludf.DUMMYFUNCTION("""COMPUTED_VALUE"""),"CARUARU")</f>
        <v>CARUARU</v>
      </c>
      <c r="F588" s="62" t="str">
        <f>IFERROR(__xludf.DUMMYFUNCTION("""COMPUTED_VALUE"""),"COOPERADO")</f>
        <v>COOPERADO</v>
      </c>
    </row>
    <row r="589">
      <c r="A589" s="62" t="str">
        <f>IFERROR(__xludf.DUMMYFUNCTION("""COMPUTED_VALUE"""),"ROBSON CAVALCANTI DA SILVA")</f>
        <v>ROBSON CAVALCANTI DA SILVA</v>
      </c>
      <c r="B589" s="62" t="str">
        <f>IFERROR(__xludf.DUMMYFUNCTION("""COMPUTED_VALUE"""),"ASSISTENTE ADMINISTRATIVO")</f>
        <v>ASSISTENTE ADMINISTRATIVO</v>
      </c>
      <c r="C589" s="62" t="str">
        <f>IFERROR(__xludf.DUMMYFUNCTION("""COMPUTED_VALUE"""),"099.945.744-69")</f>
        <v>099.945.744-69</v>
      </c>
      <c r="D589" s="62" t="str">
        <f>IFERROR(__xludf.DUMMYFUNCTION("""COMPUTED_VALUE"""),"81 9541-6805")</f>
        <v>81 9541-6805</v>
      </c>
      <c r="E589" s="62" t="str">
        <f>IFERROR(__xludf.DUMMYFUNCTION("""COMPUTED_VALUE"""),"CARUARU")</f>
        <v>CARUARU</v>
      </c>
      <c r="F589" s="62" t="str">
        <f>IFERROR(__xludf.DUMMYFUNCTION("""COMPUTED_VALUE"""),"COOPERADO")</f>
        <v>COOPERADO</v>
      </c>
    </row>
    <row r="590">
      <c r="A590" s="62" t="str">
        <f>IFERROR(__xludf.DUMMYFUNCTION("""COMPUTED_VALUE"""),"Rodrigo Everson Alves Bezerra")</f>
        <v>Rodrigo Everson Alves Bezerra</v>
      </c>
      <c r="B590" s="62" t="str">
        <f>IFERROR(__xludf.DUMMYFUNCTION("""COMPUTED_VALUE"""),"Maqueiro")</f>
        <v>Maqueiro</v>
      </c>
      <c r="C590" s="62" t="str">
        <f>IFERROR(__xludf.DUMMYFUNCTION("""COMPUTED_VALUE"""),"112.536.854-36")</f>
        <v>112.536.854-36</v>
      </c>
      <c r="D590" s="62" t="str">
        <f>IFERROR(__xludf.DUMMYFUNCTION("""COMPUTED_VALUE"""),"81 9463-2125")</f>
        <v>81 9463-2125</v>
      </c>
      <c r="E590" s="62" t="str">
        <f>IFERROR(__xludf.DUMMYFUNCTION("""COMPUTED_VALUE"""),"CARUARU")</f>
        <v>CARUARU</v>
      </c>
      <c r="F590" s="62" t="str">
        <f>IFERROR(__xludf.DUMMYFUNCTION("""COMPUTED_VALUE"""),"COOPERADO")</f>
        <v>COOPERADO</v>
      </c>
    </row>
    <row r="591">
      <c r="A591" s="62" t="str">
        <f>IFERROR(__xludf.DUMMYFUNCTION("""COMPUTED_VALUE"""),"ROSANGELA MARIA DA SILVA")</f>
        <v>ROSANGELA MARIA DA SILVA</v>
      </c>
      <c r="B591" s="62" t="str">
        <f>IFERROR(__xludf.DUMMYFUNCTION("""COMPUTED_VALUE"""),"TÉC.ENFERMAGEM")</f>
        <v>TÉC.ENFERMAGEM</v>
      </c>
      <c r="C591" s="62" t="str">
        <f>IFERROR(__xludf.DUMMYFUNCTION("""COMPUTED_VALUE"""),"024.087.024-70")</f>
        <v>024.087.024-70</v>
      </c>
      <c r="D591" s="62" t="str">
        <f>IFERROR(__xludf.DUMMYFUNCTION("""COMPUTED_VALUE"""),"81 9219-7134")</f>
        <v>81 9219-7134</v>
      </c>
      <c r="E591" s="62" t="str">
        <f>IFERROR(__xludf.DUMMYFUNCTION("""COMPUTED_VALUE"""),"CARUARU")</f>
        <v>CARUARU</v>
      </c>
      <c r="F591" s="62" t="str">
        <f>IFERROR(__xludf.DUMMYFUNCTION("""COMPUTED_VALUE"""),"COOPERADO")</f>
        <v>COOPERADO</v>
      </c>
    </row>
    <row r="592">
      <c r="A592" s="62" t="str">
        <f>IFERROR(__xludf.DUMMYFUNCTION("""COMPUTED_VALUE"""),"ROSANGELA MARQUES F. DA SILVA")</f>
        <v>ROSANGELA MARQUES F. DA SILVA</v>
      </c>
      <c r="B592" s="62" t="str">
        <f>IFERROR(__xludf.DUMMYFUNCTION("""COMPUTED_VALUE"""),"TÉC.ENFERMAGEM")</f>
        <v>TÉC.ENFERMAGEM</v>
      </c>
      <c r="C592" s="62" t="str">
        <f>IFERROR(__xludf.DUMMYFUNCTION("""COMPUTED_VALUE"""),"063.147.564-80")</f>
        <v>063.147.564-80</v>
      </c>
      <c r="D592" s="62" t="str">
        <f>IFERROR(__xludf.DUMMYFUNCTION("""COMPUTED_VALUE"""),"81 9311-8824")</f>
        <v>81 9311-8824</v>
      </c>
      <c r="E592" s="62" t="str">
        <f>IFERROR(__xludf.DUMMYFUNCTION("""COMPUTED_VALUE"""),"CARUARU")</f>
        <v>CARUARU</v>
      </c>
      <c r="F592" s="62" t="str">
        <f>IFERROR(__xludf.DUMMYFUNCTION("""COMPUTED_VALUE"""),"COOPERADO")</f>
        <v>COOPERADO</v>
      </c>
    </row>
    <row r="593">
      <c r="A593" s="62" t="str">
        <f>IFERROR(__xludf.DUMMYFUNCTION("""COMPUTED_VALUE"""),"Rosiane Cavalcante Dos Santos Silva")</f>
        <v>Rosiane Cavalcante Dos Santos Silva</v>
      </c>
      <c r="B593" s="62" t="str">
        <f>IFERROR(__xludf.DUMMYFUNCTION("""COMPUTED_VALUE"""),"Téc. Enf.")</f>
        <v>Téc. Enf.</v>
      </c>
      <c r="C593" s="62" t="str">
        <f>IFERROR(__xludf.DUMMYFUNCTION("""COMPUTED_VALUE"""),"725.291.134-91")</f>
        <v>725.291.134-91</v>
      </c>
      <c r="D593" s="62" t="str">
        <f>IFERROR(__xludf.DUMMYFUNCTION("""COMPUTED_VALUE"""),"81 9346-8415")</f>
        <v>81 9346-8415</v>
      </c>
      <c r="E593" s="62" t="str">
        <f>IFERROR(__xludf.DUMMYFUNCTION("""COMPUTED_VALUE"""),"CARUARU")</f>
        <v>CARUARU</v>
      </c>
      <c r="F593" s="62" t="str">
        <f>IFERROR(__xludf.DUMMYFUNCTION("""COMPUTED_VALUE"""),"COOPERADO")</f>
        <v>COOPERADO</v>
      </c>
    </row>
    <row r="594">
      <c r="A594" s="62" t="str">
        <f>IFERROR(__xludf.DUMMYFUNCTION("""COMPUTED_VALUE"""),"ROSIANE FERREIRA LINS")</f>
        <v>ROSIANE FERREIRA LINS</v>
      </c>
      <c r="B594" s="62" t="str">
        <f>IFERROR(__xludf.DUMMYFUNCTION("""COMPUTED_VALUE"""),"TÉC.ENFERMAGEM")</f>
        <v>TÉC.ENFERMAGEM</v>
      </c>
      <c r="C594" s="62" t="str">
        <f>IFERROR(__xludf.DUMMYFUNCTION("""COMPUTED_VALUE"""),"849.609.494-49")</f>
        <v>849.609.494-49</v>
      </c>
      <c r="D594" s="62" t="str">
        <f>IFERROR(__xludf.DUMMYFUNCTION("""COMPUTED_VALUE"""),"81 9697-3679")</f>
        <v>81 9697-3679</v>
      </c>
      <c r="E594" s="62" t="str">
        <f>IFERROR(__xludf.DUMMYFUNCTION("""COMPUTED_VALUE"""),"CARUARU")</f>
        <v>CARUARU</v>
      </c>
      <c r="F594" s="62" t="str">
        <f>IFERROR(__xludf.DUMMYFUNCTION("""COMPUTED_VALUE"""),"COOPERADO")</f>
        <v>COOPERADO</v>
      </c>
    </row>
    <row r="595">
      <c r="A595" s="62" t="str">
        <f>IFERROR(__xludf.DUMMYFUNCTION("""COMPUTED_VALUE"""),"ROSINEIDE DO NASCIMENTO SILVA ANDRADE")</f>
        <v>ROSINEIDE DO NASCIMENTO SILVA ANDRADE</v>
      </c>
      <c r="B595" s="62" t="str">
        <f>IFERROR(__xludf.DUMMYFUNCTION("""COMPUTED_VALUE"""),"AUX DE HIGIENIZAÇÃO")</f>
        <v>AUX DE HIGIENIZAÇÃO</v>
      </c>
      <c r="C595" s="62" t="str">
        <f>IFERROR(__xludf.DUMMYFUNCTION("""COMPUTED_VALUE"""),"085.046.644-06")</f>
        <v>085.046.644-06</v>
      </c>
      <c r="D595" s="62" t="str">
        <f>IFERROR(__xludf.DUMMYFUNCTION("""COMPUTED_VALUE"""),"81 9284-5378")</f>
        <v>81 9284-5378</v>
      </c>
      <c r="E595" s="62" t="str">
        <f>IFERROR(__xludf.DUMMYFUNCTION("""COMPUTED_VALUE"""),"CARUARU")</f>
        <v>CARUARU</v>
      </c>
      <c r="F595" s="62" t="str">
        <f>IFERROR(__xludf.DUMMYFUNCTION("""COMPUTED_VALUE"""),"COOPERADO")</f>
        <v>COOPERADO</v>
      </c>
    </row>
    <row r="596">
      <c r="A596" s="62" t="str">
        <f>IFERROR(__xludf.DUMMYFUNCTION("""COMPUTED_VALUE"""),"ROZANA BATISTA DA SILVA")</f>
        <v>ROZANA BATISTA DA SILVA</v>
      </c>
      <c r="B596" s="62" t="str">
        <f>IFERROR(__xludf.DUMMYFUNCTION("""COMPUTED_VALUE"""),"AUX DE HIGIENIZAÇÃO")</f>
        <v>AUX DE HIGIENIZAÇÃO</v>
      </c>
      <c r="C596" s="62" t="str">
        <f>IFERROR(__xludf.DUMMYFUNCTION("""COMPUTED_VALUE"""),"057.060.194-01")</f>
        <v>057.060.194-01</v>
      </c>
      <c r="D596" s="62" t="str">
        <f>IFERROR(__xludf.DUMMYFUNCTION("""COMPUTED_VALUE"""),"81 9142-5396")</f>
        <v>81 9142-5396</v>
      </c>
      <c r="E596" s="62" t="str">
        <f>IFERROR(__xludf.DUMMYFUNCTION("""COMPUTED_VALUE"""),"CARUARU")</f>
        <v>CARUARU</v>
      </c>
      <c r="F596" s="62" t="str">
        <f>IFERROR(__xludf.DUMMYFUNCTION("""COMPUTED_VALUE"""),"COOPERADO")</f>
        <v>COOPERADO</v>
      </c>
    </row>
    <row r="597">
      <c r="A597" s="62" t="str">
        <f>IFERROR(__xludf.DUMMYFUNCTION("""COMPUTED_VALUE"""),"RUBENS JOAS DA SILVA")</f>
        <v>RUBENS JOAS DA SILVA</v>
      </c>
      <c r="B597" s="62" t="str">
        <f>IFERROR(__xludf.DUMMYFUNCTION("""COMPUTED_VALUE"""),"AUX. DE HIGIENIZAÇÃO")</f>
        <v>AUX. DE HIGIENIZAÇÃO</v>
      </c>
      <c r="C597" s="62" t="str">
        <f>IFERROR(__xludf.DUMMYFUNCTION("""COMPUTED_VALUE"""),"542.700.064-04")</f>
        <v>542.700.064-04</v>
      </c>
      <c r="D597" s="62" t="str">
        <f>IFERROR(__xludf.DUMMYFUNCTION("""COMPUTED_VALUE"""),"8197301-8897")</f>
        <v>8197301-8897</v>
      </c>
      <c r="E597" s="62" t="str">
        <f>IFERROR(__xludf.DUMMYFUNCTION("""COMPUTED_VALUE"""),"CARUARU")</f>
        <v>CARUARU</v>
      </c>
      <c r="F597" s="62" t="str">
        <f>IFERROR(__xludf.DUMMYFUNCTION("""COMPUTED_VALUE"""),"COOPERADO")</f>
        <v>COOPERADO</v>
      </c>
    </row>
    <row r="598">
      <c r="A598" s="62" t="str">
        <f>IFERROR(__xludf.DUMMYFUNCTION("""COMPUTED_VALUE"""),"RUBIANA GORETTI DA SILVA")</f>
        <v>RUBIANA GORETTI DA SILVA</v>
      </c>
      <c r="B598" s="62" t="str">
        <f>IFERROR(__xludf.DUMMYFUNCTION("""COMPUTED_VALUE"""),"ENFERMEIRO (A)")</f>
        <v>ENFERMEIRO (A)</v>
      </c>
      <c r="C598" s="62" t="str">
        <f>IFERROR(__xludf.DUMMYFUNCTION("""COMPUTED_VALUE"""),"096.408.684-00")</f>
        <v>096.408.684-00</v>
      </c>
      <c r="D598" s="62" t="str">
        <f>IFERROR(__xludf.DUMMYFUNCTION("""COMPUTED_VALUE"""),"81 7325-2174")</f>
        <v>81 7325-2174</v>
      </c>
      <c r="E598" s="62" t="str">
        <f>IFERROR(__xludf.DUMMYFUNCTION("""COMPUTED_VALUE"""),"CARUARU")</f>
        <v>CARUARU</v>
      </c>
      <c r="F598" s="62" t="str">
        <f>IFERROR(__xludf.DUMMYFUNCTION("""COMPUTED_VALUE"""),"COOPERADO")</f>
        <v>COOPERADO</v>
      </c>
    </row>
    <row r="599">
      <c r="A599" s="62" t="str">
        <f>IFERROR(__xludf.DUMMYFUNCTION("""COMPUTED_VALUE"""),"SABRINA DOS SANTOS DA SILVA")</f>
        <v>SABRINA DOS SANTOS DA SILVA</v>
      </c>
      <c r="B599" s="62" t="str">
        <f>IFERROR(__xludf.DUMMYFUNCTION("""COMPUTED_VALUE"""),"AUXILIAR DE COZINHA")</f>
        <v>AUXILIAR DE COZINHA</v>
      </c>
      <c r="C599" s="62" t="str">
        <f>IFERROR(__xludf.DUMMYFUNCTION("""COMPUTED_VALUE"""),"114.090.574-02")</f>
        <v>114.090.574-02</v>
      </c>
      <c r="D599" s="62" t="str">
        <f>IFERROR(__xludf.DUMMYFUNCTION("""COMPUTED_VALUE"""),"8199174-6629")</f>
        <v>8199174-6629</v>
      </c>
      <c r="E599" s="62" t="str">
        <f>IFERROR(__xludf.DUMMYFUNCTION("""COMPUTED_VALUE"""),"CARUARU")</f>
        <v>CARUARU</v>
      </c>
      <c r="F599" s="62" t="str">
        <f>IFERROR(__xludf.DUMMYFUNCTION("""COMPUTED_VALUE"""),"COOPERADO")</f>
        <v>COOPERADO</v>
      </c>
    </row>
    <row r="600">
      <c r="A600" s="62" t="str">
        <f>IFERROR(__xludf.DUMMYFUNCTION("""COMPUTED_VALUE"""),"SAMUEL AMORIM DO NASCIMENTO")</f>
        <v>SAMUEL AMORIM DO NASCIMENTO</v>
      </c>
      <c r="B600" s="62" t="str">
        <f>IFERROR(__xludf.DUMMYFUNCTION("""COMPUTED_VALUE"""),"AUXILIAR DE FARMÁCIA")</f>
        <v>AUXILIAR DE FARMÁCIA</v>
      </c>
      <c r="C600" s="62" t="str">
        <f>IFERROR(__xludf.DUMMYFUNCTION("""COMPUTED_VALUE"""),"086.934.055-78")</f>
        <v>086.934.055-78</v>
      </c>
      <c r="D600" s="62" t="str">
        <f>IFERROR(__xludf.DUMMYFUNCTION("""COMPUTED_VALUE"""),"74 9967-4192")</f>
        <v>74 9967-4192</v>
      </c>
      <c r="E600" s="62" t="str">
        <f>IFERROR(__xludf.DUMMYFUNCTION("""COMPUTED_VALUE"""),"CARUARU")</f>
        <v>CARUARU</v>
      </c>
      <c r="F600" s="62" t="str">
        <f>IFERROR(__xludf.DUMMYFUNCTION("""COMPUTED_VALUE"""),"COOPERADO")</f>
        <v>COOPERADO</v>
      </c>
    </row>
    <row r="601">
      <c r="A601" s="62" t="str">
        <f>IFERROR(__xludf.DUMMYFUNCTION("""COMPUTED_VALUE"""),"SANDRA MORAIS")</f>
        <v>SANDRA MORAIS</v>
      </c>
      <c r="B601" s="62" t="str">
        <f>IFERROR(__xludf.DUMMYFUNCTION("""COMPUTED_VALUE"""),"TÉC.ENFERMAGEM")</f>
        <v>TÉC.ENFERMAGEM</v>
      </c>
      <c r="C601" s="62" t="str">
        <f>IFERROR(__xludf.DUMMYFUNCTION("""COMPUTED_VALUE"""),"076.739.554-90")</f>
        <v>076.739.554-90</v>
      </c>
      <c r="D601" s="62" t="str">
        <f>IFERROR(__xludf.DUMMYFUNCTION("""COMPUTED_VALUE"""),"81 8431-5321")</f>
        <v>81 8431-5321</v>
      </c>
      <c r="E601" s="62" t="str">
        <f>IFERROR(__xludf.DUMMYFUNCTION("""COMPUTED_VALUE"""),"CARUARU")</f>
        <v>CARUARU</v>
      </c>
      <c r="F601" s="62" t="str">
        <f>IFERROR(__xludf.DUMMYFUNCTION("""COMPUTED_VALUE"""),"COOPERADO")</f>
        <v>COOPERADO</v>
      </c>
    </row>
    <row r="602">
      <c r="A602" s="62" t="str">
        <f>IFERROR(__xludf.DUMMYFUNCTION("""COMPUTED_VALUE"""),"SANDRA VALÉRIA DE OLIVEIRA")</f>
        <v>SANDRA VALÉRIA DE OLIVEIRA</v>
      </c>
      <c r="B602" s="62" t="str">
        <f>IFERROR(__xludf.DUMMYFUNCTION("""COMPUTED_VALUE"""),"AUX. HIG. ")</f>
        <v>AUX. HIG. </v>
      </c>
      <c r="C602" s="62" t="str">
        <f>IFERROR(__xludf.DUMMYFUNCTION("""COMPUTED_VALUE"""),"844.811.454-04")</f>
        <v>844.811.454-04</v>
      </c>
      <c r="D602" s="62" t="str">
        <f>IFERROR(__xludf.DUMMYFUNCTION("""COMPUTED_VALUE"""),"81 8902-6809")</f>
        <v>81 8902-6809</v>
      </c>
      <c r="E602" s="62" t="str">
        <f>IFERROR(__xludf.DUMMYFUNCTION("""COMPUTED_VALUE"""),"CARUARU")</f>
        <v>CARUARU</v>
      </c>
      <c r="F602" s="62" t="str">
        <f>IFERROR(__xludf.DUMMYFUNCTION("""COMPUTED_VALUE"""),"COOPERADO")</f>
        <v>COOPERADO</v>
      </c>
    </row>
    <row r="603">
      <c r="A603" s="62" t="str">
        <f>IFERROR(__xludf.DUMMYFUNCTION("""COMPUTED_VALUE"""),"SARA AZEVEDO SILVA")</f>
        <v>SARA AZEVEDO SILVA</v>
      </c>
      <c r="B603" s="62" t="str">
        <f>IFERROR(__xludf.DUMMYFUNCTION("""COMPUTED_VALUE"""),"TÉC. ENF.")</f>
        <v>TÉC. ENF.</v>
      </c>
      <c r="C603" s="62" t="str">
        <f>IFERROR(__xludf.DUMMYFUNCTION("""COMPUTED_VALUE"""),"003.689.263-70")</f>
        <v>003.689.263-70</v>
      </c>
      <c r="D603" s="62" t="str">
        <f>IFERROR(__xludf.DUMMYFUNCTION("""COMPUTED_VALUE"""),"81 9656-7959")</f>
        <v>81 9656-7959</v>
      </c>
      <c r="E603" s="62" t="str">
        <f>IFERROR(__xludf.DUMMYFUNCTION("""COMPUTED_VALUE"""),"CARUARU")</f>
        <v>CARUARU</v>
      </c>
      <c r="F603" s="62" t="str">
        <f>IFERROR(__xludf.DUMMYFUNCTION("""COMPUTED_VALUE"""),"COOPERADO")</f>
        <v>COOPERADO</v>
      </c>
    </row>
    <row r="604">
      <c r="A604" s="62" t="str">
        <f>IFERROR(__xludf.DUMMYFUNCTION("""COMPUTED_VALUE"""),"SARA HELLEN SILVA ARAUJO")</f>
        <v>SARA HELLEN SILVA ARAUJO</v>
      </c>
      <c r="B604" s="62" t="str">
        <f>IFERROR(__xludf.DUMMYFUNCTION("""COMPUTED_VALUE"""),"TÉC.ENFERMAGEM")</f>
        <v>TÉC.ENFERMAGEM</v>
      </c>
      <c r="C604" s="62" t="str">
        <f>IFERROR(__xludf.DUMMYFUNCTION("""COMPUTED_VALUE"""),"104.823.284-01")</f>
        <v>104.823.284-01</v>
      </c>
      <c r="D604" s="62" t="str">
        <f>IFERROR(__xludf.DUMMYFUNCTION("""COMPUTED_VALUE"""),"81 9453-3221")</f>
        <v>81 9453-3221</v>
      </c>
      <c r="E604" s="62" t="str">
        <f>IFERROR(__xludf.DUMMYFUNCTION("""COMPUTED_VALUE"""),"CARUARU")</f>
        <v>CARUARU</v>
      </c>
      <c r="F604" s="62" t="str">
        <f>IFERROR(__xludf.DUMMYFUNCTION("""COMPUTED_VALUE"""),"COOPERADO")</f>
        <v>COOPERADO</v>
      </c>
    </row>
    <row r="605">
      <c r="A605" s="62" t="str">
        <f>IFERROR(__xludf.DUMMYFUNCTION("""COMPUTED_VALUE"""),"SARAH RAQUEL")</f>
        <v>SARAH RAQUEL</v>
      </c>
      <c r="B605" s="62" t="str">
        <f>IFERROR(__xludf.DUMMYFUNCTION("""COMPUTED_VALUE"""),"RECEPCIONISTA")</f>
        <v>RECEPCIONISTA</v>
      </c>
      <c r="C605" s="62" t="str">
        <f>IFERROR(__xludf.DUMMYFUNCTION("""COMPUTED_VALUE"""),"114.176.284-64")</f>
        <v>114.176.284-64</v>
      </c>
      <c r="D605" s="62" t="str">
        <f>IFERROR(__xludf.DUMMYFUNCTION("""COMPUTED_VALUE"""),"81 7900-7577")</f>
        <v>81 7900-7577</v>
      </c>
      <c r="E605" s="62" t="str">
        <f>IFERROR(__xludf.DUMMYFUNCTION("""COMPUTED_VALUE"""),"CARUARU")</f>
        <v>CARUARU</v>
      </c>
      <c r="F605" s="62" t="str">
        <f>IFERROR(__xludf.DUMMYFUNCTION("""COMPUTED_VALUE"""),"COOPERADO")</f>
        <v>COOPERADO</v>
      </c>
    </row>
    <row r="606">
      <c r="A606" s="62" t="str">
        <f>IFERROR(__xludf.DUMMYFUNCTION("""COMPUTED_VALUE"""),"SAYONARA CORDEIRO DE LIMA")</f>
        <v>SAYONARA CORDEIRO DE LIMA</v>
      </c>
      <c r="B606" s="62" t="str">
        <f>IFERROR(__xludf.DUMMYFUNCTION("""COMPUTED_VALUE"""),"TÉC.ENFERMAGEM")</f>
        <v>TÉC.ENFERMAGEM</v>
      </c>
      <c r="C606" s="62" t="str">
        <f>IFERROR(__xludf.DUMMYFUNCTION("""COMPUTED_VALUE"""),"094.909.694-60")</f>
        <v>094.909.694-60</v>
      </c>
      <c r="D606" s="62" t="str">
        <f>IFERROR(__xludf.DUMMYFUNCTION("""COMPUTED_VALUE"""),"81 9242-0992")</f>
        <v>81 9242-0992</v>
      </c>
      <c r="E606" s="62" t="str">
        <f>IFERROR(__xludf.DUMMYFUNCTION("""COMPUTED_VALUE"""),"CARUARU")</f>
        <v>CARUARU</v>
      </c>
      <c r="F606" s="62" t="str">
        <f>IFERROR(__xludf.DUMMYFUNCTION("""COMPUTED_VALUE"""),"COOPERADO")</f>
        <v>COOPERADO</v>
      </c>
    </row>
    <row r="607">
      <c r="A607" s="62" t="str">
        <f>IFERROR(__xludf.DUMMYFUNCTION("""COMPUTED_VALUE"""),"SHAIANIELY MENEZES DOS SANTOS")</f>
        <v>SHAIANIELY MENEZES DOS SANTOS</v>
      </c>
      <c r="B607" s="62" t="str">
        <f>IFERROR(__xludf.DUMMYFUNCTION("""COMPUTED_VALUE"""),"TÉC. ENF.")</f>
        <v>TÉC. ENF.</v>
      </c>
      <c r="C607" s="62" t="str">
        <f>IFERROR(__xludf.DUMMYFUNCTION("""COMPUTED_VALUE"""),"713.236.934-24")</f>
        <v>713.236.934-24</v>
      </c>
      <c r="D607" s="62" t="str">
        <f>IFERROR(__xludf.DUMMYFUNCTION("""COMPUTED_VALUE"""),"81 9319-7202")</f>
        <v>81 9319-7202</v>
      </c>
      <c r="E607" s="62" t="str">
        <f>IFERROR(__xludf.DUMMYFUNCTION("""COMPUTED_VALUE"""),"CARUARU")</f>
        <v>CARUARU</v>
      </c>
      <c r="F607" s="62" t="str">
        <f>IFERROR(__xludf.DUMMYFUNCTION("""COMPUTED_VALUE"""),"COOPERADO")</f>
        <v>COOPERADO</v>
      </c>
    </row>
    <row r="608">
      <c r="A608" s="62" t="str">
        <f>IFERROR(__xludf.DUMMYFUNCTION("""COMPUTED_VALUE"""),"SIDNEI SOARES E SILVA")</f>
        <v>SIDNEI SOARES E SILVA</v>
      </c>
      <c r="B608" s="62" t="str">
        <f>IFERROR(__xludf.DUMMYFUNCTION("""COMPUTED_VALUE"""),"TÉC.ENFERMAGEM")</f>
        <v>TÉC.ENFERMAGEM</v>
      </c>
      <c r="C608" s="62" t="str">
        <f>IFERROR(__xludf.DUMMYFUNCTION("""COMPUTED_VALUE"""),"108.003.174-08")</f>
        <v>108.003.174-08</v>
      </c>
      <c r="D608" s="62" t="str">
        <f>IFERROR(__xludf.DUMMYFUNCTION("""COMPUTED_VALUE"""),"81 9367-1313")</f>
        <v>81 9367-1313</v>
      </c>
      <c r="E608" s="62" t="str">
        <f>IFERROR(__xludf.DUMMYFUNCTION("""COMPUTED_VALUE"""),"CARUARU")</f>
        <v>CARUARU</v>
      </c>
      <c r="F608" s="62" t="str">
        <f>IFERROR(__xludf.DUMMYFUNCTION("""COMPUTED_VALUE"""),"COOPERADO")</f>
        <v>COOPERADO</v>
      </c>
    </row>
    <row r="609">
      <c r="A609" s="62" t="str">
        <f>IFERROR(__xludf.DUMMYFUNCTION("""COMPUTED_VALUE"""),"SILENE DO NASCIMENTO")</f>
        <v>SILENE DO NASCIMENTO</v>
      </c>
      <c r="B609" s="62" t="str">
        <f>IFERROR(__xludf.DUMMYFUNCTION("""COMPUTED_VALUE"""),"TÉC.ENFERMAGEM")</f>
        <v>TÉC.ENFERMAGEM</v>
      </c>
      <c r="C609" s="62" t="str">
        <f>IFERROR(__xludf.DUMMYFUNCTION("""COMPUTED_VALUE"""),"047.711.164-58")</f>
        <v>047.711.164-58</v>
      </c>
      <c r="D609" s="62" t="str">
        <f>IFERROR(__xludf.DUMMYFUNCTION("""COMPUTED_VALUE"""),"81 9547-3236")</f>
        <v>81 9547-3236</v>
      </c>
      <c r="E609" s="62" t="str">
        <f>IFERROR(__xludf.DUMMYFUNCTION("""COMPUTED_VALUE"""),"CARUARU")</f>
        <v>CARUARU</v>
      </c>
      <c r="F609" s="62" t="str">
        <f>IFERROR(__xludf.DUMMYFUNCTION("""COMPUTED_VALUE"""),"COOPERADO")</f>
        <v>COOPERADO</v>
      </c>
    </row>
    <row r="610">
      <c r="A610" s="62" t="str">
        <f>IFERROR(__xludf.DUMMYFUNCTION("""COMPUTED_VALUE"""),"SILVANA ALVES DA SILVA")</f>
        <v>SILVANA ALVES DA SILVA</v>
      </c>
      <c r="B610" s="62" t="str">
        <f>IFERROR(__xludf.DUMMYFUNCTION("""COMPUTED_VALUE"""),"TÉC.ENFERMAGEM")</f>
        <v>TÉC.ENFERMAGEM</v>
      </c>
      <c r="C610" s="62" t="str">
        <f>IFERROR(__xludf.DUMMYFUNCTION("""COMPUTED_VALUE"""),"067.126.554-71")</f>
        <v>067.126.554-71</v>
      </c>
      <c r="D610" s="62" t="str">
        <f>IFERROR(__xludf.DUMMYFUNCTION("""COMPUTED_VALUE"""),"81 9538-9739")</f>
        <v>81 9538-9739</v>
      </c>
      <c r="E610" s="62" t="str">
        <f>IFERROR(__xludf.DUMMYFUNCTION("""COMPUTED_VALUE"""),"CARUARU")</f>
        <v>CARUARU</v>
      </c>
      <c r="F610" s="62" t="str">
        <f>IFERROR(__xludf.DUMMYFUNCTION("""COMPUTED_VALUE"""),"COOPERADO")</f>
        <v>COOPERADO</v>
      </c>
    </row>
    <row r="611">
      <c r="A611" s="62" t="str">
        <f>IFERROR(__xludf.DUMMYFUNCTION("""COMPUTED_VALUE"""),"SILVANA MARIA DE BARROS")</f>
        <v>SILVANA MARIA DE BARROS</v>
      </c>
      <c r="B611" s="62" t="str">
        <f>IFERROR(__xludf.DUMMYFUNCTION("""COMPUTED_VALUE"""),"AUX DE HIGIENIZAÇÃO")</f>
        <v>AUX DE HIGIENIZAÇÃO</v>
      </c>
      <c r="C611" s="62" t="str">
        <f>IFERROR(__xludf.DUMMYFUNCTION("""COMPUTED_VALUE"""),"085.655.404-99")</f>
        <v>085.655.404-99</v>
      </c>
      <c r="D611" s="62" t="str">
        <f>IFERROR(__xludf.DUMMYFUNCTION("""COMPUTED_VALUE""")," 81 8136-3664")</f>
        <v> 81 8136-3664</v>
      </c>
      <c r="E611" s="62" t="str">
        <f>IFERROR(__xludf.DUMMYFUNCTION("""COMPUTED_VALUE"""),"CARUARU")</f>
        <v>CARUARU</v>
      </c>
      <c r="F611" s="62" t="str">
        <f>IFERROR(__xludf.DUMMYFUNCTION("""COMPUTED_VALUE"""),"COOPERADO")</f>
        <v>COOPERADO</v>
      </c>
    </row>
    <row r="612">
      <c r="A612" s="62" t="str">
        <f>IFERROR(__xludf.DUMMYFUNCTION("""COMPUTED_VALUE"""),"Silvaneide Maria Da Silva")</f>
        <v>Silvaneide Maria Da Silva</v>
      </c>
      <c r="B612" s="62" t="str">
        <f>IFERROR(__xludf.DUMMYFUNCTION("""COMPUTED_VALUE"""),"Téc. Enf.")</f>
        <v>Téc. Enf.</v>
      </c>
      <c r="C612" s="62" t="str">
        <f>IFERROR(__xludf.DUMMYFUNCTION("""COMPUTED_VALUE"""),"049.349.904-02")</f>
        <v>049.349.904-02</v>
      </c>
      <c r="D612" s="62" t="str">
        <f>IFERROR(__xludf.DUMMYFUNCTION("""COMPUTED_VALUE"""),"81 9720-6030")</f>
        <v>81 9720-6030</v>
      </c>
      <c r="E612" s="62" t="str">
        <f>IFERROR(__xludf.DUMMYFUNCTION("""COMPUTED_VALUE"""),"CARUARU")</f>
        <v>CARUARU</v>
      </c>
      <c r="F612" s="62" t="str">
        <f>IFERROR(__xludf.DUMMYFUNCTION("""COMPUTED_VALUE"""),"COOPERADO")</f>
        <v>COOPERADO</v>
      </c>
    </row>
    <row r="613">
      <c r="A613" s="62" t="str">
        <f>IFERROR(__xludf.DUMMYFUNCTION("""COMPUTED_VALUE"""),"SIMONE PEREIRA DE FRANÇA")</f>
        <v>SIMONE PEREIRA DE FRANÇA</v>
      </c>
      <c r="B613" s="62" t="str">
        <f>IFERROR(__xludf.DUMMYFUNCTION("""COMPUTED_VALUE"""),"TÉC.ENFERMAGEM")</f>
        <v>TÉC.ENFERMAGEM</v>
      </c>
      <c r="C613" s="62" t="str">
        <f>IFERROR(__xludf.DUMMYFUNCTION("""COMPUTED_VALUE"""),"053.974.154-05")</f>
        <v>053.974.154-05</v>
      </c>
      <c r="D613" s="62" t="str">
        <f>IFERROR(__xludf.DUMMYFUNCTION("""COMPUTED_VALUE"""),"81 9619-4244")</f>
        <v>81 9619-4244</v>
      </c>
      <c r="E613" s="62" t="str">
        <f>IFERROR(__xludf.DUMMYFUNCTION("""COMPUTED_VALUE"""),"CARUARU")</f>
        <v>CARUARU</v>
      </c>
      <c r="F613" s="62" t="str">
        <f>IFERROR(__xludf.DUMMYFUNCTION("""COMPUTED_VALUE"""),"COOPERADO")</f>
        <v>COOPERADO</v>
      </c>
    </row>
    <row r="614">
      <c r="A614" s="62" t="str">
        <f>IFERROR(__xludf.DUMMYFUNCTION("""COMPUTED_VALUE"""),"Suelen Cintia Maria da Silva")</f>
        <v>Suelen Cintia Maria da Silva</v>
      </c>
      <c r="B614" s="62" t="str">
        <f>IFERROR(__xludf.DUMMYFUNCTION("""COMPUTED_VALUE"""),"Auxiliar de Higienização")</f>
        <v>Auxiliar de Higienização</v>
      </c>
      <c r="C614" s="62" t="str">
        <f>IFERROR(__xludf.DUMMYFUNCTION("""COMPUTED_VALUE"""),"702.284.564-60")</f>
        <v>702.284.564-60</v>
      </c>
      <c r="D614" s="62" t="str">
        <f>IFERROR(__xludf.DUMMYFUNCTION("""COMPUTED_VALUE"""),"81 9384-2320")</f>
        <v>81 9384-2320</v>
      </c>
      <c r="E614" s="62" t="str">
        <f>IFERROR(__xludf.DUMMYFUNCTION("""COMPUTED_VALUE"""),"CARUARU")</f>
        <v>CARUARU</v>
      </c>
      <c r="F614" s="62" t="str">
        <f>IFERROR(__xludf.DUMMYFUNCTION("""COMPUTED_VALUE"""),"COOPERADO")</f>
        <v>COOPERADO</v>
      </c>
    </row>
    <row r="615">
      <c r="A615" s="62" t="str">
        <f>IFERROR(__xludf.DUMMYFUNCTION("""COMPUTED_VALUE"""),"SUELEN ESTHER DE R SILVA")</f>
        <v>SUELEN ESTHER DE R SILVA</v>
      </c>
      <c r="B615" s="62" t="str">
        <f>IFERROR(__xludf.DUMMYFUNCTION("""COMPUTED_VALUE"""),"AUXILIAR DE FARMÁCIA")</f>
        <v>AUXILIAR DE FARMÁCIA</v>
      </c>
      <c r="C615" s="62" t="str">
        <f>IFERROR(__xludf.DUMMYFUNCTION("""COMPUTED_VALUE"""),"135.128.744-36")</f>
        <v>135.128.744-36</v>
      </c>
      <c r="D615" s="62" t="str">
        <f>IFERROR(__xludf.DUMMYFUNCTION("""COMPUTED_VALUE"""),"81 8903-2600")</f>
        <v>81 8903-2600</v>
      </c>
      <c r="E615" s="62" t="str">
        <f>IFERROR(__xludf.DUMMYFUNCTION("""COMPUTED_VALUE"""),"CARUARU")</f>
        <v>CARUARU</v>
      </c>
      <c r="F615" s="62" t="str">
        <f>IFERROR(__xludf.DUMMYFUNCTION("""COMPUTED_VALUE"""),"COOPERADO")</f>
        <v>COOPERADO</v>
      </c>
    </row>
    <row r="616">
      <c r="A616" s="62" t="str">
        <f>IFERROR(__xludf.DUMMYFUNCTION("""COMPUTED_VALUE"""),"TACIANA DE LIMA SILVA")</f>
        <v>TACIANA DE LIMA SILVA</v>
      </c>
      <c r="B616" s="62" t="str">
        <f>IFERROR(__xludf.DUMMYFUNCTION("""COMPUTED_VALUE"""),"COZINHEIRA")</f>
        <v>COZINHEIRA</v>
      </c>
      <c r="C616" s="62" t="str">
        <f>IFERROR(__xludf.DUMMYFUNCTION("""COMPUTED_VALUE"""),"063.667.794-06")</f>
        <v>063.667.794-06</v>
      </c>
      <c r="D616" s="62" t="str">
        <f>IFERROR(__xludf.DUMMYFUNCTION("""COMPUTED_VALUE"""),"81 9319-5811")</f>
        <v>81 9319-5811</v>
      </c>
      <c r="E616" s="62" t="str">
        <f>IFERROR(__xludf.DUMMYFUNCTION("""COMPUTED_VALUE"""),"CARUARU")</f>
        <v>CARUARU</v>
      </c>
      <c r="F616" s="62" t="str">
        <f>IFERROR(__xludf.DUMMYFUNCTION("""COMPUTED_VALUE"""),"COOPERADO")</f>
        <v>COOPERADO</v>
      </c>
    </row>
    <row r="617">
      <c r="A617" s="62" t="str">
        <f>IFERROR(__xludf.DUMMYFUNCTION("""COMPUTED_VALUE"""),"TANIA DE JESUS BORGES")</f>
        <v>TANIA DE JESUS BORGES</v>
      </c>
      <c r="B617" s="62" t="str">
        <f>IFERROR(__xludf.DUMMYFUNCTION("""COMPUTED_VALUE"""),"AUX. DE HIGIENIZAÇÃO")</f>
        <v>AUX. DE HIGIENIZAÇÃO</v>
      </c>
      <c r="C617" s="62" t="str">
        <f>IFERROR(__xludf.DUMMYFUNCTION("""COMPUTED_VALUE"""),"014.428.023-08")</f>
        <v>014.428.023-08</v>
      </c>
      <c r="D617" s="62" t="str">
        <f>IFERROR(__xludf.DUMMYFUNCTION("""COMPUTED_VALUE"""),"81 9267-7509")</f>
        <v>81 9267-7509</v>
      </c>
      <c r="E617" s="62" t="str">
        <f>IFERROR(__xludf.DUMMYFUNCTION("""COMPUTED_VALUE"""),"CARUARU")</f>
        <v>CARUARU</v>
      </c>
      <c r="F617" s="62" t="str">
        <f>IFERROR(__xludf.DUMMYFUNCTION("""COMPUTED_VALUE"""),"COOPERADO")</f>
        <v>COOPERADO</v>
      </c>
    </row>
    <row r="618">
      <c r="A618" s="62" t="str">
        <f>IFERROR(__xludf.DUMMYFUNCTION("""COMPUTED_VALUE"""),"TASSIANE ALVES DA SILVA")</f>
        <v>TASSIANE ALVES DA SILVA</v>
      </c>
      <c r="B618" s="62" t="str">
        <f>IFERROR(__xludf.DUMMYFUNCTION("""COMPUTED_VALUE"""),"AUX DE HIGIENIZAÇÃO")</f>
        <v>AUX DE HIGIENIZAÇÃO</v>
      </c>
      <c r="C618" s="62" t="str">
        <f>IFERROR(__xludf.DUMMYFUNCTION("""COMPUTED_VALUE"""),"078.144.644-98")</f>
        <v>078.144.644-98</v>
      </c>
      <c r="D618" s="62" t="str">
        <f>IFERROR(__xludf.DUMMYFUNCTION("""COMPUTED_VALUE"""),"8197327-1687")</f>
        <v>8197327-1687</v>
      </c>
      <c r="E618" s="62" t="str">
        <f>IFERROR(__xludf.DUMMYFUNCTION("""COMPUTED_VALUE"""),"CARUARU")</f>
        <v>CARUARU</v>
      </c>
      <c r="F618" s="62" t="str">
        <f>IFERROR(__xludf.DUMMYFUNCTION("""COMPUTED_VALUE"""),"COOPERADO")</f>
        <v>COOPERADO</v>
      </c>
    </row>
    <row r="619">
      <c r="A619" s="62" t="str">
        <f>IFERROR(__xludf.DUMMYFUNCTION("""COMPUTED_VALUE"""),"TATIANE APARECIDA DE M SILVA")</f>
        <v>TATIANE APARECIDA DE M SILVA</v>
      </c>
      <c r="B619" s="62" t="str">
        <f>IFERROR(__xludf.DUMMYFUNCTION("""COMPUTED_VALUE"""),"AUXILIAR DE COZINHA")</f>
        <v>AUXILIAR DE COZINHA</v>
      </c>
      <c r="C619" s="62" t="str">
        <f>IFERROR(__xludf.DUMMYFUNCTION("""COMPUTED_VALUE"""),"710.871.634,80")</f>
        <v>710.871.634,80</v>
      </c>
      <c r="D619" s="62" t="str">
        <f>IFERROR(__xludf.DUMMYFUNCTION("""COMPUTED_VALUE"""),"81 8978-8850")</f>
        <v>81 8978-8850</v>
      </c>
      <c r="E619" s="62" t="str">
        <f>IFERROR(__xludf.DUMMYFUNCTION("""COMPUTED_VALUE"""),"CARUARU")</f>
        <v>CARUARU</v>
      </c>
      <c r="F619" s="62" t="str">
        <f>IFERROR(__xludf.DUMMYFUNCTION("""COMPUTED_VALUE"""),"COOPERADO")</f>
        <v>COOPERADO</v>
      </c>
    </row>
    <row r="620">
      <c r="A620" s="62" t="str">
        <f>IFERROR(__xludf.DUMMYFUNCTION("""COMPUTED_VALUE"""),"TEREZA CRISTINA DA CONCEIÇÃO SILVA")</f>
        <v>TEREZA CRISTINA DA CONCEIÇÃO SILVA</v>
      </c>
      <c r="B620" s="62" t="str">
        <f>IFERROR(__xludf.DUMMYFUNCTION("""COMPUTED_VALUE"""),"AUX. COZINHA")</f>
        <v>AUX. COZINHA</v>
      </c>
      <c r="C620" s="62" t="str">
        <f>IFERROR(__xludf.DUMMYFUNCTION("""COMPUTED_VALUE"""),"681.071.704-82")</f>
        <v>681.071.704-82</v>
      </c>
      <c r="D620" s="62" t="str">
        <f>IFERROR(__xludf.DUMMYFUNCTION("""COMPUTED_VALUE"""),"81 9471-8250")</f>
        <v>81 9471-8250</v>
      </c>
      <c r="E620" s="62" t="str">
        <f>IFERROR(__xludf.DUMMYFUNCTION("""COMPUTED_VALUE"""),"CARUARU")</f>
        <v>CARUARU</v>
      </c>
      <c r="F620" s="62" t="str">
        <f>IFERROR(__xludf.DUMMYFUNCTION("""COMPUTED_VALUE"""),"COOPERADO")</f>
        <v>COOPERADO</v>
      </c>
    </row>
    <row r="621">
      <c r="A621" s="62" t="str">
        <f>IFERROR(__xludf.DUMMYFUNCTION("""COMPUTED_VALUE"""),"TERTULIANE MARLENE DA SILVA")</f>
        <v>TERTULIANE MARLENE DA SILVA</v>
      </c>
      <c r="B621" s="62" t="str">
        <f>IFERROR(__xludf.DUMMYFUNCTION("""COMPUTED_VALUE"""),"AUX DE HIGIENIZAÇÃO")</f>
        <v>AUX DE HIGIENIZAÇÃO</v>
      </c>
      <c r="C621" s="62" t="str">
        <f>IFERROR(__xludf.DUMMYFUNCTION("""COMPUTED_VALUE"""),"062.435.984-03")</f>
        <v>062.435.984-03</v>
      </c>
      <c r="D621" s="62" t="str">
        <f>IFERROR(__xludf.DUMMYFUNCTION("""COMPUTED_VALUE"""),"81 9154-8291")</f>
        <v>81 9154-8291</v>
      </c>
      <c r="E621" s="62" t="str">
        <f>IFERROR(__xludf.DUMMYFUNCTION("""COMPUTED_VALUE"""),"CARUARU")</f>
        <v>CARUARU</v>
      </c>
      <c r="F621" s="62" t="str">
        <f>IFERROR(__xludf.DUMMYFUNCTION("""COMPUTED_VALUE"""),"COOPERADO")</f>
        <v>COOPERADO</v>
      </c>
    </row>
    <row r="622">
      <c r="A622" s="62" t="str">
        <f>IFERROR(__xludf.DUMMYFUNCTION("""COMPUTED_VALUE"""),"THACIANA MENDES DE ANDRADE LIMA")</f>
        <v>THACIANA MENDES DE ANDRADE LIMA</v>
      </c>
      <c r="B622" s="62" t="str">
        <f>IFERROR(__xludf.DUMMYFUNCTION("""COMPUTED_VALUE"""),"TÉC.ENFERMAGEM")</f>
        <v>TÉC.ENFERMAGEM</v>
      </c>
      <c r="C622" s="62" t="str">
        <f>IFERROR(__xludf.DUMMYFUNCTION("""COMPUTED_VALUE"""),"059.839.104-50")</f>
        <v>059.839.104-50</v>
      </c>
      <c r="D622" s="62" t="str">
        <f>IFERROR(__xludf.DUMMYFUNCTION("""COMPUTED_VALUE"""),"81 9595-4648")</f>
        <v>81 9595-4648</v>
      </c>
      <c r="E622" s="62" t="str">
        <f>IFERROR(__xludf.DUMMYFUNCTION("""COMPUTED_VALUE"""),"CARUARU")</f>
        <v>CARUARU</v>
      </c>
      <c r="F622" s="62" t="str">
        <f>IFERROR(__xludf.DUMMYFUNCTION("""COMPUTED_VALUE"""),"COOPERADO")</f>
        <v>COOPERADO</v>
      </c>
    </row>
    <row r="623">
      <c r="A623" s="62" t="str">
        <f>IFERROR(__xludf.DUMMYFUNCTION("""COMPUTED_VALUE"""),"THAIS VIRGINIA SOUZA DA SILVA")</f>
        <v>THAIS VIRGINIA SOUZA DA SILVA</v>
      </c>
      <c r="B623" s="62" t="str">
        <f>IFERROR(__xludf.DUMMYFUNCTION("""COMPUTED_VALUE"""),"ENFERMEIRO (A)")</f>
        <v>ENFERMEIRO (A)</v>
      </c>
      <c r="C623" s="62" t="str">
        <f>IFERROR(__xludf.DUMMYFUNCTION("""COMPUTED_VALUE"""),"051.627.494-51")</f>
        <v>051.627.494-51</v>
      </c>
      <c r="D623" s="62" t="str">
        <f>IFERROR(__xludf.DUMMYFUNCTION("""COMPUTED_VALUE"""),"81 9698-6236")</f>
        <v>81 9698-6236</v>
      </c>
      <c r="E623" s="62" t="str">
        <f>IFERROR(__xludf.DUMMYFUNCTION("""COMPUTED_VALUE"""),"CARUARU")</f>
        <v>CARUARU</v>
      </c>
      <c r="F623" s="62" t="str">
        <f>IFERROR(__xludf.DUMMYFUNCTION("""COMPUTED_VALUE"""),"COOPERADO")</f>
        <v>COOPERADO</v>
      </c>
    </row>
    <row r="624">
      <c r="A624" s="62" t="str">
        <f>IFERROR(__xludf.DUMMYFUNCTION("""COMPUTED_VALUE"""),"Thalia Karoline Sº Orácio")</f>
        <v>Thalia Karoline Sº Orácio</v>
      </c>
      <c r="B624" s="62" t="str">
        <f>IFERROR(__xludf.DUMMYFUNCTION("""COMPUTED_VALUE"""),"Téc. Enf.")</f>
        <v>Téc. Enf.</v>
      </c>
      <c r="C624" s="62" t="str">
        <f>IFERROR(__xludf.DUMMYFUNCTION("""COMPUTED_VALUE"""),"120.316.284-70")</f>
        <v>120.316.284-70</v>
      </c>
      <c r="D624" s="62" t="str">
        <f>IFERROR(__xludf.DUMMYFUNCTION("""COMPUTED_VALUE"""),"81 8260-5780")</f>
        <v>81 8260-5780</v>
      </c>
      <c r="E624" s="62" t="str">
        <f>IFERROR(__xludf.DUMMYFUNCTION("""COMPUTED_VALUE"""),"CARUARU")</f>
        <v>CARUARU</v>
      </c>
      <c r="F624" s="62" t="str">
        <f>IFERROR(__xludf.DUMMYFUNCTION("""COMPUTED_VALUE"""),"COOPERADO")</f>
        <v>COOPERADO</v>
      </c>
    </row>
    <row r="625">
      <c r="A625" s="62" t="str">
        <f>IFERROR(__xludf.DUMMYFUNCTION("""COMPUTED_VALUE"""),"THALYTA ANNE ALMEIDA CONCEIÇÃO")</f>
        <v>THALYTA ANNE ALMEIDA CONCEIÇÃO</v>
      </c>
      <c r="B625" s="62" t="str">
        <f>IFERROR(__xludf.DUMMYFUNCTION("""COMPUTED_VALUE"""),"ENF.")</f>
        <v>ENF.</v>
      </c>
      <c r="C625" s="62" t="str">
        <f>IFERROR(__xludf.DUMMYFUNCTION("""COMPUTED_VALUE"""),"076.572.174-05")</f>
        <v>076.572.174-05</v>
      </c>
      <c r="D625" s="62" t="str">
        <f>IFERROR(__xludf.DUMMYFUNCTION("""COMPUTED_VALUE"""),"81 9527-4458")</f>
        <v>81 9527-4458</v>
      </c>
      <c r="E625" s="62" t="str">
        <f>IFERROR(__xludf.DUMMYFUNCTION("""COMPUTED_VALUE"""),"CARUARU")</f>
        <v>CARUARU</v>
      </c>
      <c r="F625" s="62" t="str">
        <f>IFERROR(__xludf.DUMMYFUNCTION("""COMPUTED_VALUE"""),"COOPERADO")</f>
        <v>COOPERADO</v>
      </c>
    </row>
    <row r="626">
      <c r="A626" s="62" t="str">
        <f>IFERROR(__xludf.DUMMYFUNCTION("""COMPUTED_VALUE"""),"THAYUAN THYALES DA SILVA")</f>
        <v>THAYUAN THYALES DA SILVA</v>
      </c>
      <c r="B626" s="62" t="str">
        <f>IFERROR(__xludf.DUMMYFUNCTION("""COMPUTED_VALUE"""),"AUX DE HIGIENIZAÇÃO")</f>
        <v>AUX DE HIGIENIZAÇÃO</v>
      </c>
      <c r="C626" s="62" t="str">
        <f>IFERROR(__xludf.DUMMYFUNCTION("""COMPUTED_VALUE"""),"146.222.084-31")</f>
        <v>146.222.084-31</v>
      </c>
      <c r="D626" s="62" t="str">
        <f>IFERROR(__xludf.DUMMYFUNCTION("""COMPUTED_VALUE"""),"81 9721-4006")</f>
        <v>81 9721-4006</v>
      </c>
      <c r="E626" s="62" t="str">
        <f>IFERROR(__xludf.DUMMYFUNCTION("""COMPUTED_VALUE"""),"CARUARU")</f>
        <v>CARUARU</v>
      </c>
      <c r="F626" s="62" t="str">
        <f>IFERROR(__xludf.DUMMYFUNCTION("""COMPUTED_VALUE"""),"COOPERADO")</f>
        <v>COOPERADO</v>
      </c>
    </row>
    <row r="627">
      <c r="A627" s="62" t="str">
        <f>IFERROR(__xludf.DUMMYFUNCTION("""COMPUTED_VALUE"""),"Thiago Henrique")</f>
        <v>Thiago Henrique</v>
      </c>
      <c r="B627" s="62" t="str">
        <f>IFERROR(__xludf.DUMMYFUNCTION("""COMPUTED_VALUE"""),"Auxiliar de manutenção")</f>
        <v>Auxiliar de manutenção</v>
      </c>
      <c r="C627" s="62" t="str">
        <f>IFERROR(__xludf.DUMMYFUNCTION("""COMPUTED_VALUE"""),"044.686.834-57")</f>
        <v>044.686.834-57</v>
      </c>
      <c r="D627" s="62" t="str">
        <f>IFERROR(__xludf.DUMMYFUNCTION("""COMPUTED_VALUE"""),"81 9889-7231")</f>
        <v>81 9889-7231</v>
      </c>
      <c r="E627" s="62" t="str">
        <f>IFERROR(__xludf.DUMMYFUNCTION("""COMPUTED_VALUE"""),"CARUARU")</f>
        <v>CARUARU</v>
      </c>
      <c r="F627" s="62" t="str">
        <f>IFERROR(__xludf.DUMMYFUNCTION("""COMPUTED_VALUE"""),"COOPERADO")</f>
        <v>COOPERADO</v>
      </c>
    </row>
    <row r="628">
      <c r="A628" s="62" t="str">
        <f>IFERROR(__xludf.DUMMYFUNCTION("""COMPUTED_VALUE"""),"Thiago Lima Coelho")</f>
        <v>Thiago Lima Coelho</v>
      </c>
      <c r="B628" s="62" t="str">
        <f>IFERROR(__xludf.DUMMYFUNCTION("""COMPUTED_VALUE"""),"Téc. Enf.")</f>
        <v>Téc. Enf.</v>
      </c>
      <c r="C628" s="62" t="str">
        <f>IFERROR(__xludf.DUMMYFUNCTION("""COMPUTED_VALUE"""),"048.367.784-17")</f>
        <v>048.367.784-17</v>
      </c>
      <c r="D628" s="62" t="str">
        <f>IFERROR(__xludf.DUMMYFUNCTION("""COMPUTED_VALUE""")," 81 9670-0104")</f>
        <v> 81 9670-0104</v>
      </c>
      <c r="E628" s="62" t="str">
        <f>IFERROR(__xludf.DUMMYFUNCTION("""COMPUTED_VALUE"""),"CARUARU")</f>
        <v>CARUARU</v>
      </c>
      <c r="F628" s="62" t="str">
        <f>IFERROR(__xludf.DUMMYFUNCTION("""COMPUTED_VALUE"""),"COOPERADO")</f>
        <v>COOPERADO</v>
      </c>
    </row>
    <row r="629">
      <c r="A629" s="62" t="str">
        <f>IFERROR(__xludf.DUMMYFUNCTION("""COMPUTED_VALUE"""),"Thiago Marques de Queiroz")</f>
        <v>Thiago Marques de Queiroz</v>
      </c>
      <c r="B629" s="62" t="str">
        <f>IFERROR(__xludf.DUMMYFUNCTION("""COMPUTED_VALUE"""),"Auxiliar de Higienização")</f>
        <v>Auxiliar de Higienização</v>
      </c>
      <c r="C629" s="62" t="str">
        <f>IFERROR(__xludf.DUMMYFUNCTION("""COMPUTED_VALUE"""),"088.481.974-42")</f>
        <v>088.481.974-42</v>
      </c>
      <c r="D629" s="62" t="str">
        <f>IFERROR(__xludf.DUMMYFUNCTION("""COMPUTED_VALUE"""),"81 9479-0788")</f>
        <v>81 9479-0788</v>
      </c>
      <c r="E629" s="62" t="str">
        <f>IFERROR(__xludf.DUMMYFUNCTION("""COMPUTED_VALUE"""),"CARUARU")</f>
        <v>CARUARU</v>
      </c>
      <c r="F629" s="62" t="str">
        <f>IFERROR(__xludf.DUMMYFUNCTION("""COMPUTED_VALUE"""),"COOPERADO")</f>
        <v>COOPERADO</v>
      </c>
    </row>
    <row r="630">
      <c r="A630" s="62" t="str">
        <f>IFERROR(__xludf.DUMMYFUNCTION("""COMPUTED_VALUE"""),"Thyaly da Silva Lima")</f>
        <v>Thyaly da Silva Lima</v>
      </c>
      <c r="B630" s="62" t="str">
        <f>IFERROR(__xludf.DUMMYFUNCTION("""COMPUTED_VALUE"""),"Fisioterapeuta")</f>
        <v>Fisioterapeuta</v>
      </c>
      <c r="C630" s="62" t="str">
        <f>IFERROR(__xludf.DUMMYFUNCTION("""COMPUTED_VALUE"""),"111.828.384-80")</f>
        <v>111.828.384-80</v>
      </c>
      <c r="D630" s="62" t="str">
        <f>IFERROR(__xludf.DUMMYFUNCTION("""COMPUTED_VALUE"""),"81 9498-1350")</f>
        <v>81 9498-1350</v>
      </c>
      <c r="E630" s="62" t="str">
        <f>IFERROR(__xludf.DUMMYFUNCTION("""COMPUTED_VALUE"""),"CARUARU")</f>
        <v>CARUARU</v>
      </c>
      <c r="F630" s="62" t="str">
        <f>IFERROR(__xludf.DUMMYFUNCTION("""COMPUTED_VALUE"""),"COOPERADO")</f>
        <v>COOPERADO</v>
      </c>
    </row>
    <row r="631">
      <c r="A631" s="62" t="str">
        <f>IFERROR(__xludf.DUMMYFUNCTION("""COMPUTED_VALUE"""),"TIAGO DAVID DOS SANTOS ")</f>
        <v>TIAGO DAVID DOS SANTOS </v>
      </c>
      <c r="B631" s="62" t="str">
        <f>IFERROR(__xludf.DUMMYFUNCTION("""COMPUTED_VALUE"""),"AUX DE HIGIENIZAÇÃO")</f>
        <v>AUX DE HIGIENIZAÇÃO</v>
      </c>
      <c r="C631" s="62" t="str">
        <f>IFERROR(__xludf.DUMMYFUNCTION("""COMPUTED_VALUE"""),"098.009.264-70")</f>
        <v>098.009.264-70</v>
      </c>
      <c r="D631" s="62" t="str">
        <f>IFERROR(__xludf.DUMMYFUNCTION("""COMPUTED_VALUE"""),"81 9408-4360")</f>
        <v>81 9408-4360</v>
      </c>
      <c r="E631" s="62" t="str">
        <f>IFERROR(__xludf.DUMMYFUNCTION("""COMPUTED_VALUE"""),"CARUARU")</f>
        <v>CARUARU</v>
      </c>
      <c r="F631" s="62" t="str">
        <f>IFERROR(__xludf.DUMMYFUNCTION("""COMPUTED_VALUE"""),"COOPERADO")</f>
        <v>COOPERADO</v>
      </c>
    </row>
    <row r="632">
      <c r="A632" s="62" t="str">
        <f>IFERROR(__xludf.DUMMYFUNCTION("""COMPUTED_VALUE"""),"Valdene José Xavier")</f>
        <v>Valdene José Xavier</v>
      </c>
      <c r="B632" s="62" t="str">
        <f>IFERROR(__xludf.DUMMYFUNCTION("""COMPUTED_VALUE"""),"Téc. Enf.")</f>
        <v>Téc. Enf.</v>
      </c>
      <c r="C632" s="62" t="str">
        <f>IFERROR(__xludf.DUMMYFUNCTION("""COMPUTED_VALUE"""),"053.718.204-77")</f>
        <v>053.718.204-77</v>
      </c>
      <c r="D632" s="62" t="str">
        <f>IFERROR(__xludf.DUMMYFUNCTION("""COMPUTED_VALUE""")," 81 9243-9265")</f>
        <v> 81 9243-9265</v>
      </c>
      <c r="E632" s="62" t="str">
        <f>IFERROR(__xludf.DUMMYFUNCTION("""COMPUTED_VALUE"""),"CARUARU")</f>
        <v>CARUARU</v>
      </c>
      <c r="F632" s="62" t="str">
        <f>IFERROR(__xludf.DUMMYFUNCTION("""COMPUTED_VALUE"""),"COOPERADO")</f>
        <v>COOPERADO</v>
      </c>
    </row>
    <row r="633">
      <c r="A633" s="62" t="str">
        <f>IFERROR(__xludf.DUMMYFUNCTION("""COMPUTED_VALUE"""),"VALDICLECIA DOS SANTOS LUCENA")</f>
        <v>VALDICLECIA DOS SANTOS LUCENA</v>
      </c>
      <c r="B633" s="62" t="str">
        <f>IFERROR(__xludf.DUMMYFUNCTION("""COMPUTED_VALUE"""),"AUX DE HIGIENIZAÇÃO")</f>
        <v>AUX DE HIGIENIZAÇÃO</v>
      </c>
      <c r="C633" s="62" t="str">
        <f>IFERROR(__xludf.DUMMYFUNCTION("""COMPUTED_VALUE"""),"070.458.434-45")</f>
        <v>070.458.434-45</v>
      </c>
      <c r="D633" s="62" t="str">
        <f>IFERROR(__xludf.DUMMYFUNCTION("""COMPUTED_VALUE"""),"81 9177-4585")</f>
        <v>81 9177-4585</v>
      </c>
      <c r="E633" s="62" t="str">
        <f>IFERROR(__xludf.DUMMYFUNCTION("""COMPUTED_VALUE"""),"CARUARU")</f>
        <v>CARUARU</v>
      </c>
      <c r="F633" s="62" t="str">
        <f>IFERROR(__xludf.DUMMYFUNCTION("""COMPUTED_VALUE"""),"COOPERADO")</f>
        <v>COOPERADO</v>
      </c>
    </row>
    <row r="634">
      <c r="A634" s="62" t="str">
        <f>IFERROR(__xludf.DUMMYFUNCTION("""COMPUTED_VALUE"""),"VALÉRIA LIMA DOS SANTOS")</f>
        <v>VALÉRIA LIMA DOS SANTOS</v>
      </c>
      <c r="B634" s="62" t="str">
        <f>IFERROR(__xludf.DUMMYFUNCTION("""COMPUTED_VALUE"""),"TÉC. ENF.")</f>
        <v>TÉC. ENF.</v>
      </c>
      <c r="C634" s="62" t="str">
        <f>IFERROR(__xludf.DUMMYFUNCTION("""COMPUTED_VALUE"""),"054.477.094-31")</f>
        <v>054.477.094-31</v>
      </c>
      <c r="D634" s="62" t="str">
        <f>IFERROR(__xludf.DUMMYFUNCTION("""COMPUTED_VALUE"""),"87 8108-0262")</f>
        <v>87 8108-0262</v>
      </c>
      <c r="E634" s="62" t="str">
        <f>IFERROR(__xludf.DUMMYFUNCTION("""COMPUTED_VALUE"""),"CARUARU")</f>
        <v>CARUARU</v>
      </c>
      <c r="F634" s="62" t="str">
        <f>IFERROR(__xludf.DUMMYFUNCTION("""COMPUTED_VALUE"""),"COOPERADO")</f>
        <v>COOPERADO</v>
      </c>
    </row>
    <row r="635">
      <c r="A635" s="62" t="str">
        <f>IFERROR(__xludf.DUMMYFUNCTION("""COMPUTED_VALUE"""),"VALMIR DA SILVA SANTOS")</f>
        <v>VALMIR DA SILVA SANTOS</v>
      </c>
      <c r="B635" s="62" t="str">
        <f>IFERROR(__xludf.DUMMYFUNCTION("""COMPUTED_VALUE"""),"MAQUEIRO")</f>
        <v>MAQUEIRO</v>
      </c>
      <c r="C635" s="62" t="str">
        <f>IFERROR(__xludf.DUMMYFUNCTION("""COMPUTED_VALUE"""),"093.870.074-05")</f>
        <v>093.870.074-05</v>
      </c>
      <c r="D635" s="62" t="str">
        <f>IFERROR(__xludf.DUMMYFUNCTION("""COMPUTED_VALUE"""),"81 9550-9671")</f>
        <v>81 9550-9671</v>
      </c>
      <c r="E635" s="62" t="str">
        <f>IFERROR(__xludf.DUMMYFUNCTION("""COMPUTED_VALUE"""),"CARUARU")</f>
        <v>CARUARU</v>
      </c>
      <c r="F635" s="62" t="str">
        <f>IFERROR(__xludf.DUMMYFUNCTION("""COMPUTED_VALUE"""),"COOPERADO")</f>
        <v>COOPERADO</v>
      </c>
    </row>
    <row r="636">
      <c r="A636" s="62" t="str">
        <f>IFERROR(__xludf.DUMMYFUNCTION("""COMPUTED_VALUE"""),"Vanessa Laís Da Silva Nascimento")</f>
        <v>Vanessa Laís Da Silva Nascimento</v>
      </c>
      <c r="B636" s="62" t="str">
        <f>IFERROR(__xludf.DUMMYFUNCTION("""COMPUTED_VALUE"""),"Enfermeiro(a)")</f>
        <v>Enfermeiro(a)</v>
      </c>
      <c r="C636" s="62" t="str">
        <f>IFERROR(__xludf.DUMMYFUNCTION("""COMPUTED_VALUE"""),"089.347.614-58")</f>
        <v>089.347.614-58</v>
      </c>
      <c r="D636" s="62" t="str">
        <f>IFERROR(__xludf.DUMMYFUNCTION("""COMPUTED_VALUE"""),"81 9221-6166")</f>
        <v>81 9221-6166</v>
      </c>
      <c r="E636" s="62" t="str">
        <f>IFERROR(__xludf.DUMMYFUNCTION("""COMPUTED_VALUE"""),"CARUARU")</f>
        <v>CARUARU</v>
      </c>
      <c r="F636" s="62" t="str">
        <f>IFERROR(__xludf.DUMMYFUNCTION("""COMPUTED_VALUE"""),"COOPERADO")</f>
        <v>COOPERADO</v>
      </c>
    </row>
    <row r="637">
      <c r="A637" s="62" t="str">
        <f>IFERROR(__xludf.DUMMYFUNCTION("""COMPUTED_VALUE"""),"VANESSA MARIA DA SILVA")</f>
        <v>VANESSA MARIA DA SILVA</v>
      </c>
      <c r="B637" s="62" t="str">
        <f>IFERROR(__xludf.DUMMYFUNCTION("""COMPUTED_VALUE"""),"COPEIRA")</f>
        <v>COPEIRA</v>
      </c>
      <c r="C637" s="62" t="str">
        <f>IFERROR(__xludf.DUMMYFUNCTION("""COMPUTED_VALUE"""),"040.377.975-85")</f>
        <v>040.377.975-85</v>
      </c>
      <c r="D637" s="62" t="str">
        <f>IFERROR(__xludf.DUMMYFUNCTION("""COMPUTED_VALUE"""),"81 9473-6709")</f>
        <v>81 9473-6709</v>
      </c>
      <c r="E637" s="62" t="str">
        <f>IFERROR(__xludf.DUMMYFUNCTION("""COMPUTED_VALUE"""),"CARUARU")</f>
        <v>CARUARU</v>
      </c>
      <c r="F637" s="62" t="str">
        <f>IFERROR(__xludf.DUMMYFUNCTION("""COMPUTED_VALUE"""),"COOPERADO")</f>
        <v>COOPERADO</v>
      </c>
    </row>
    <row r="638">
      <c r="A638" s="62" t="str">
        <f>IFERROR(__xludf.DUMMYFUNCTION("""COMPUTED_VALUE"""),"VANESSA PRISCILA DA SILVA SOUZA")</f>
        <v>VANESSA PRISCILA DA SILVA SOUZA</v>
      </c>
      <c r="B638" s="62" t="str">
        <f>IFERROR(__xludf.DUMMYFUNCTION("""COMPUTED_VALUE"""),"ENFERMEIRO (A)")</f>
        <v>ENFERMEIRO (A)</v>
      </c>
      <c r="C638" s="62" t="str">
        <f>IFERROR(__xludf.DUMMYFUNCTION("""COMPUTED_VALUE"""),"065.143.664-81")</f>
        <v>065.143.664-81</v>
      </c>
      <c r="D638" s="62" t="str">
        <f>IFERROR(__xludf.DUMMYFUNCTION("""COMPUTED_VALUE"""),"81 9442-1204")</f>
        <v>81 9442-1204</v>
      </c>
      <c r="E638" s="62" t="str">
        <f>IFERROR(__xludf.DUMMYFUNCTION("""COMPUTED_VALUE"""),"CARUARU")</f>
        <v>CARUARU</v>
      </c>
      <c r="F638" s="62" t="str">
        <f>IFERROR(__xludf.DUMMYFUNCTION("""COMPUTED_VALUE"""),"COOPERADO")</f>
        <v>COOPERADO</v>
      </c>
    </row>
    <row r="639">
      <c r="A639" s="62" t="str">
        <f>IFERROR(__xludf.DUMMYFUNCTION("""COMPUTED_VALUE"""),"Vanessa Tatielly Oliveira da Silva")</f>
        <v>Vanessa Tatielly Oliveira da Silva</v>
      </c>
      <c r="B639" s="62" t="str">
        <f>IFERROR(__xludf.DUMMYFUNCTION("""COMPUTED_VALUE"""),"Fisioterapeuta")</f>
        <v>Fisioterapeuta</v>
      </c>
      <c r="C639" s="62" t="str">
        <f>IFERROR(__xludf.DUMMYFUNCTION("""COMPUTED_VALUE"""),"099.752.804-47")</f>
        <v>099.752.804-47</v>
      </c>
      <c r="D639" s="62" t="str">
        <f>IFERROR(__xludf.DUMMYFUNCTION("""COMPUTED_VALUE"""),"81 8889-8804")</f>
        <v>81 8889-8804</v>
      </c>
      <c r="E639" s="62" t="str">
        <f>IFERROR(__xludf.DUMMYFUNCTION("""COMPUTED_VALUE"""),"CARUARU")</f>
        <v>CARUARU</v>
      </c>
      <c r="F639" s="62" t="str">
        <f>IFERROR(__xludf.DUMMYFUNCTION("""COMPUTED_VALUE"""),"COOPERADO")</f>
        <v>COOPERADO</v>
      </c>
    </row>
    <row r="640">
      <c r="A640" s="62" t="str">
        <f>IFERROR(__xludf.DUMMYFUNCTION("""COMPUTED_VALUE"""),"Vera Lúcia")</f>
        <v>Vera Lúcia</v>
      </c>
      <c r="B640" s="62" t="str">
        <f>IFERROR(__xludf.DUMMYFUNCTION("""COMPUTED_VALUE"""),"Copeira")</f>
        <v>Copeira</v>
      </c>
      <c r="C640" s="62" t="str">
        <f>IFERROR(__xludf.DUMMYFUNCTION("""COMPUTED_VALUE"""),"049.459.344-01")</f>
        <v>049.459.344-01</v>
      </c>
      <c r="D640" s="62" t="str">
        <f>IFERROR(__xludf.DUMMYFUNCTION("""COMPUTED_VALUE"""),"81 9413-8085")</f>
        <v>81 9413-8085</v>
      </c>
      <c r="E640" s="62" t="str">
        <f>IFERROR(__xludf.DUMMYFUNCTION("""COMPUTED_VALUE"""),"CARUARU")</f>
        <v>CARUARU</v>
      </c>
      <c r="F640" s="62" t="str">
        <f>IFERROR(__xludf.DUMMYFUNCTION("""COMPUTED_VALUE"""),"COOPERADO")</f>
        <v>COOPERADO</v>
      </c>
    </row>
    <row r="641">
      <c r="A641" s="62" t="str">
        <f>IFERROR(__xludf.DUMMYFUNCTION("""COMPUTED_VALUE"""),"Vinícius Queiroz Da Silva")</f>
        <v>Vinícius Queiroz Da Silva</v>
      </c>
      <c r="B641" s="62" t="str">
        <f>IFERROR(__xludf.DUMMYFUNCTION("""COMPUTED_VALUE"""),"Téc. Enf.")</f>
        <v>Téc. Enf.</v>
      </c>
      <c r="C641" s="62" t="str">
        <f>IFERROR(__xludf.DUMMYFUNCTION("""COMPUTED_VALUE"""),"105.837.244-00")</f>
        <v>105.837.244-00</v>
      </c>
      <c r="D641" s="62" t="str">
        <f>IFERROR(__xludf.DUMMYFUNCTION("""COMPUTED_VALUE"""),"81 9713-1670")</f>
        <v>81 9713-1670</v>
      </c>
      <c r="E641" s="62" t="str">
        <f>IFERROR(__xludf.DUMMYFUNCTION("""COMPUTED_VALUE"""),"CARUARU")</f>
        <v>CARUARU</v>
      </c>
      <c r="F641" s="62" t="str">
        <f>IFERROR(__xludf.DUMMYFUNCTION("""COMPUTED_VALUE"""),"COOPERADO")</f>
        <v>COOPERADO</v>
      </c>
    </row>
    <row r="642">
      <c r="A642" s="62" t="str">
        <f>IFERROR(__xludf.DUMMYFUNCTION("""COMPUTED_VALUE"""),"VITORIA KAROLINE DA SILVA NEVES")</f>
        <v>VITORIA KAROLINE DA SILVA NEVES</v>
      </c>
      <c r="B642" s="62" t="str">
        <f>IFERROR(__xludf.DUMMYFUNCTION("""COMPUTED_VALUE"""),"AUXILIAR DE FARMÁCIA")</f>
        <v>AUXILIAR DE FARMÁCIA</v>
      </c>
      <c r="C642" s="62" t="str">
        <f>IFERROR(__xludf.DUMMYFUNCTION("""COMPUTED_VALUE"""),"105.495.264-71")</f>
        <v>105.495.264-71</v>
      </c>
      <c r="D642" s="62" t="str">
        <f>IFERROR(__xludf.DUMMYFUNCTION("""COMPUTED_VALUE"""),"81 9780-8783")</f>
        <v>81 9780-8783</v>
      </c>
      <c r="E642" s="62" t="str">
        <f>IFERROR(__xludf.DUMMYFUNCTION("""COMPUTED_VALUE"""),"CARUARU")</f>
        <v>CARUARU</v>
      </c>
      <c r="F642" s="62" t="str">
        <f>IFERROR(__xludf.DUMMYFUNCTION("""COMPUTED_VALUE"""),"COOPERADO")</f>
        <v>COOPERADO</v>
      </c>
    </row>
    <row r="643">
      <c r="A643" s="62" t="str">
        <f>IFERROR(__xludf.DUMMYFUNCTION("""COMPUTED_VALUE"""),"Voleide Almeida")</f>
        <v>Voleide Almeida</v>
      </c>
      <c r="B643" s="62" t="str">
        <f>IFERROR(__xludf.DUMMYFUNCTION("""COMPUTED_VALUE"""),"Copeira")</f>
        <v>Copeira</v>
      </c>
      <c r="C643" s="62" t="str">
        <f>IFERROR(__xludf.DUMMYFUNCTION("""COMPUTED_VALUE"""),"023.920.604-52")</f>
        <v>023.920.604-52</v>
      </c>
      <c r="D643" s="62" t="str">
        <f>IFERROR(__xludf.DUMMYFUNCTION("""COMPUTED_VALUE"""),"81 9420-7211")</f>
        <v>81 9420-7211</v>
      </c>
      <c r="E643" s="62" t="str">
        <f>IFERROR(__xludf.DUMMYFUNCTION("""COMPUTED_VALUE"""),"CARUARU")</f>
        <v>CARUARU</v>
      </c>
      <c r="F643" s="62" t="str">
        <f>IFERROR(__xludf.DUMMYFUNCTION("""COMPUTED_VALUE"""),"COOPERADO")</f>
        <v>COOPERADO</v>
      </c>
    </row>
    <row r="644">
      <c r="A644" s="62" t="str">
        <f>IFERROR(__xludf.DUMMYFUNCTION("""COMPUTED_VALUE"""),"WAGNER DOS SANTOS LOPES")</f>
        <v>WAGNER DOS SANTOS LOPES</v>
      </c>
      <c r="B644" s="62" t="str">
        <f>IFERROR(__xludf.DUMMYFUNCTION("""COMPUTED_VALUE"""),"COPEIRO")</f>
        <v>COPEIRO</v>
      </c>
      <c r="C644" s="62" t="str">
        <f>IFERROR(__xludf.DUMMYFUNCTION("""COMPUTED_VALUE"""),"106.861.294-07")</f>
        <v>106.861.294-07</v>
      </c>
      <c r="D644" s="62" t="str">
        <f>IFERROR(__xludf.DUMMYFUNCTION("""COMPUTED_VALUE"""),"81 9659-0984")</f>
        <v>81 9659-0984</v>
      </c>
      <c r="E644" s="62" t="str">
        <f>IFERROR(__xludf.DUMMYFUNCTION("""COMPUTED_VALUE"""),"CARUARU")</f>
        <v>CARUARU</v>
      </c>
      <c r="F644" s="62" t="str">
        <f>IFERROR(__xludf.DUMMYFUNCTION("""COMPUTED_VALUE"""),"COOPERADO")</f>
        <v>COOPERADO</v>
      </c>
    </row>
    <row r="645">
      <c r="A645" s="62" t="str">
        <f>IFERROR(__xludf.DUMMYFUNCTION("""COMPUTED_VALUE"""),"WANDRESON JAELSON")</f>
        <v>WANDRESON JAELSON</v>
      </c>
      <c r="B645" s="62" t="str">
        <f>IFERROR(__xludf.DUMMYFUNCTION("""COMPUTED_VALUE"""),"AUX DE HIGIENIZAÇÃO")</f>
        <v>AUX DE HIGIENIZAÇÃO</v>
      </c>
      <c r="C645" s="62" t="str">
        <f>IFERROR(__xludf.DUMMYFUNCTION("""COMPUTED_VALUE"""),"068.711.934-05")</f>
        <v>068.711.934-05</v>
      </c>
      <c r="D645" s="62" t="str">
        <f>IFERROR(__xludf.DUMMYFUNCTION("""COMPUTED_VALUE"""),"81 9920-1189")</f>
        <v>81 9920-1189</v>
      </c>
      <c r="E645" s="62" t="str">
        <f>IFERROR(__xludf.DUMMYFUNCTION("""COMPUTED_VALUE"""),"CARUARU")</f>
        <v>CARUARU</v>
      </c>
      <c r="F645" s="62" t="str">
        <f>IFERROR(__xludf.DUMMYFUNCTION("""COMPUTED_VALUE"""),"COOPERADO")</f>
        <v>COOPERADO</v>
      </c>
    </row>
    <row r="646">
      <c r="A646" s="62" t="str">
        <f>IFERROR(__xludf.DUMMYFUNCTION("""COMPUTED_VALUE"""),"WEDJA COSTA DA SILVA")</f>
        <v>WEDJA COSTA DA SILVA</v>
      </c>
      <c r="B646" s="62" t="str">
        <f>IFERROR(__xludf.DUMMYFUNCTION("""COMPUTED_VALUE"""),"Copeira")</f>
        <v>Copeira</v>
      </c>
      <c r="C646" s="62" t="str">
        <f>IFERROR(__xludf.DUMMYFUNCTION("""COMPUTED_VALUE"""),"127.460.004-90")</f>
        <v>127.460.004-90</v>
      </c>
      <c r="D646" s="62" t="str">
        <f>IFERROR(__xludf.DUMMYFUNCTION("""COMPUTED_VALUE""")," 81 9431-1813")</f>
        <v> 81 9431-1813</v>
      </c>
      <c r="E646" s="62" t="str">
        <f>IFERROR(__xludf.DUMMYFUNCTION("""COMPUTED_VALUE"""),"CARUARU")</f>
        <v>CARUARU</v>
      </c>
      <c r="F646" s="62" t="str">
        <f>IFERROR(__xludf.DUMMYFUNCTION("""COMPUTED_VALUE"""),"COOPERADO")</f>
        <v>COOPERADO</v>
      </c>
    </row>
    <row r="647">
      <c r="A647" s="62" t="str">
        <f>IFERROR(__xludf.DUMMYFUNCTION("""COMPUTED_VALUE"""),"WELANE ALVES GALVÃO")</f>
        <v>WELANE ALVES GALVÃO</v>
      </c>
      <c r="B647" s="62" t="str">
        <f>IFERROR(__xludf.DUMMYFUNCTION("""COMPUTED_VALUE"""),"TÉC.ENFERMAGEM")</f>
        <v>TÉC.ENFERMAGEM</v>
      </c>
      <c r="C647" s="62" t="str">
        <f>IFERROR(__xludf.DUMMYFUNCTION("""COMPUTED_VALUE"""),"089.730.174-97")</f>
        <v>089.730.174-97</v>
      </c>
      <c r="D647" s="62" t="str">
        <f>IFERROR(__xludf.DUMMYFUNCTION("""COMPUTED_VALUE"""),"81 9936-9648")</f>
        <v>81 9936-9648</v>
      </c>
      <c r="E647" s="62" t="str">
        <f>IFERROR(__xludf.DUMMYFUNCTION("""COMPUTED_VALUE"""),"CARUARU")</f>
        <v>CARUARU</v>
      </c>
      <c r="F647" s="62" t="str">
        <f>IFERROR(__xludf.DUMMYFUNCTION("""COMPUTED_VALUE"""),"COOPERADO")</f>
        <v>COOPERADO</v>
      </c>
    </row>
    <row r="648">
      <c r="A648" s="62" t="str">
        <f>IFERROR(__xludf.DUMMYFUNCTION("""COMPUTED_VALUE"""),"Wellington Alves Morais ")</f>
        <v>Wellington Alves Morais </v>
      </c>
      <c r="B648" s="62" t="str">
        <f>IFERROR(__xludf.DUMMYFUNCTION("""COMPUTED_VALUE"""),"Auxiliar de manutenção")</f>
        <v>Auxiliar de manutenção</v>
      </c>
      <c r="C648" s="62" t="str">
        <f>IFERROR(__xludf.DUMMYFUNCTION("""COMPUTED_VALUE"""),"066.471.054-92")</f>
        <v>066.471.054-92</v>
      </c>
      <c r="D648" s="62" t="str">
        <f>IFERROR(__xludf.DUMMYFUNCTION("""COMPUTED_VALUE"""),"81 9540-6167")</f>
        <v>81 9540-6167</v>
      </c>
      <c r="E648" s="62" t="str">
        <f>IFERROR(__xludf.DUMMYFUNCTION("""COMPUTED_VALUE"""),"CARUARU")</f>
        <v>CARUARU</v>
      </c>
      <c r="F648" s="62" t="str">
        <f>IFERROR(__xludf.DUMMYFUNCTION("""COMPUTED_VALUE"""),"COOPERADO")</f>
        <v>COOPERADO</v>
      </c>
    </row>
    <row r="649">
      <c r="A649" s="62" t="str">
        <f>IFERROR(__xludf.DUMMYFUNCTION("""COMPUTED_VALUE"""),"WELY GALVÃO VITALINO")</f>
        <v>WELY GALVÃO VITALINO</v>
      </c>
      <c r="B649" s="62" t="str">
        <f>IFERROR(__xludf.DUMMYFUNCTION("""COMPUTED_VALUE"""),"COZINHEIRA")</f>
        <v>COZINHEIRA</v>
      </c>
      <c r="C649" s="62" t="str">
        <f>IFERROR(__xludf.DUMMYFUNCTION("""COMPUTED_VALUE"""),"071.402.544-51")</f>
        <v>071.402.544-51</v>
      </c>
      <c r="D649" s="62" t="str">
        <f>IFERROR(__xludf.DUMMYFUNCTION("""COMPUTED_VALUE"""),"81 8211-6347")</f>
        <v>81 8211-6347</v>
      </c>
      <c r="E649" s="62" t="str">
        <f>IFERROR(__xludf.DUMMYFUNCTION("""COMPUTED_VALUE"""),"CARUARU")</f>
        <v>CARUARU</v>
      </c>
      <c r="F649" s="62" t="str">
        <f>IFERROR(__xludf.DUMMYFUNCTION("""COMPUTED_VALUE"""),"COOPERADO")</f>
        <v>COOPERADO</v>
      </c>
    </row>
    <row r="650">
      <c r="A650" s="62" t="str">
        <f>IFERROR(__xludf.DUMMYFUNCTION("""COMPUTED_VALUE"""),"WEMILLY MIRELLA SERAFIM SILVA")</f>
        <v>WEMILLY MIRELLA SERAFIM SILVA</v>
      </c>
      <c r="B650" s="62" t="str">
        <f>IFERROR(__xludf.DUMMYFUNCTION("""COMPUTED_VALUE"""),"TÉC.ENFERMAGEM")</f>
        <v>TÉC.ENFERMAGEM</v>
      </c>
      <c r="C650" s="62" t="str">
        <f>IFERROR(__xludf.DUMMYFUNCTION("""COMPUTED_VALUE"""),"702.010.204-24")</f>
        <v>702.010.204-24</v>
      </c>
      <c r="D650" s="62" t="str">
        <f>IFERROR(__xludf.DUMMYFUNCTION("""COMPUTED_VALUE"""),"81 9681-4333")</f>
        <v>81 9681-4333</v>
      </c>
      <c r="E650" s="62" t="str">
        <f>IFERROR(__xludf.DUMMYFUNCTION("""COMPUTED_VALUE"""),"CARUARU")</f>
        <v>CARUARU</v>
      </c>
      <c r="F650" s="62" t="str">
        <f>IFERROR(__xludf.DUMMYFUNCTION("""COMPUTED_VALUE"""),"COOPERADO")</f>
        <v>COOPERADO</v>
      </c>
    </row>
    <row r="651">
      <c r="A651" s="62" t="str">
        <f>IFERROR(__xludf.DUMMYFUNCTION("""COMPUTED_VALUE"""),"WESLAYNE MIRON P LIMA")</f>
        <v>WESLAYNE MIRON P LIMA</v>
      </c>
      <c r="B651" s="62" t="str">
        <f>IFERROR(__xludf.DUMMYFUNCTION("""COMPUTED_VALUE"""),"ASSISTENTE ADMINISTRATIVO")</f>
        <v>ASSISTENTE ADMINISTRATIVO</v>
      </c>
      <c r="C651" s="62" t="str">
        <f>IFERROR(__xludf.DUMMYFUNCTION("""COMPUTED_VALUE"""),"708.143.624-27")</f>
        <v>708.143.624-27</v>
      </c>
      <c r="D651" s="62" t="str">
        <f>IFERROR(__xludf.DUMMYFUNCTION("""COMPUTED_VALUE"""),"8199160-4085")</f>
        <v>8199160-4085</v>
      </c>
      <c r="E651" s="62" t="str">
        <f>IFERROR(__xludf.DUMMYFUNCTION("""COMPUTED_VALUE"""),"CARUARU")</f>
        <v>CARUARU</v>
      </c>
      <c r="F651" s="62" t="str">
        <f>IFERROR(__xludf.DUMMYFUNCTION("""COMPUTED_VALUE"""),"COOPERADO")</f>
        <v>COOPERADO</v>
      </c>
    </row>
    <row r="652">
      <c r="A652" s="62" t="str">
        <f>IFERROR(__xludf.DUMMYFUNCTION("""COMPUTED_VALUE"""),"WESLEY RYKELMY")</f>
        <v>WESLEY RYKELMY</v>
      </c>
      <c r="B652" s="62" t="str">
        <f>IFERROR(__xludf.DUMMYFUNCTION("""COMPUTED_VALUE"""),"AUX. DE HIGIENIZAÇÃO")</f>
        <v>AUX. DE HIGIENIZAÇÃO</v>
      </c>
      <c r="C652" s="62" t="str">
        <f>IFERROR(__xludf.DUMMYFUNCTION("""COMPUTED_VALUE"""),"014.628.132-24")</f>
        <v>014.628.132-24</v>
      </c>
      <c r="D652" s="62" t="str">
        <f>IFERROR(__xludf.DUMMYFUNCTION("""COMPUTED_VALUE"""),"81 9110-7627")</f>
        <v>81 9110-7627</v>
      </c>
      <c r="E652" s="62" t="str">
        <f>IFERROR(__xludf.DUMMYFUNCTION("""COMPUTED_VALUE"""),"CARUARU")</f>
        <v>CARUARU</v>
      </c>
      <c r="F652" s="62" t="str">
        <f>IFERROR(__xludf.DUMMYFUNCTION("""COMPUTED_VALUE"""),"COOPERADO")</f>
        <v>COOPERADO</v>
      </c>
    </row>
    <row r="653">
      <c r="A653" s="62" t="str">
        <f>IFERROR(__xludf.DUMMYFUNCTION("""COMPUTED_VALUE"""),"Weverton Honório Torres")</f>
        <v>Weverton Honório Torres</v>
      </c>
      <c r="B653" s="62" t="str">
        <f>IFERROR(__xludf.DUMMYFUNCTION("""COMPUTED_VALUE"""),"Enfermeiro(a)")</f>
        <v>Enfermeiro(a)</v>
      </c>
      <c r="C653" s="62" t="str">
        <f>IFERROR(__xludf.DUMMYFUNCTION("""COMPUTED_VALUE"""),"104.749.634-89")</f>
        <v>104.749.634-89</v>
      </c>
      <c r="D653" s="62" t="str">
        <f>IFERROR(__xludf.DUMMYFUNCTION("""COMPUTED_VALUE"""),"81 9286-8152")</f>
        <v>81 9286-8152</v>
      </c>
      <c r="E653" s="62" t="str">
        <f>IFERROR(__xludf.DUMMYFUNCTION("""COMPUTED_VALUE"""),"CARUARU")</f>
        <v>CARUARU</v>
      </c>
      <c r="F653" s="62" t="str">
        <f>IFERROR(__xludf.DUMMYFUNCTION("""COMPUTED_VALUE"""),"COOPERADO")</f>
        <v>COOPERADO</v>
      </c>
    </row>
    <row r="654">
      <c r="A654" s="62" t="str">
        <f>IFERROR(__xludf.DUMMYFUNCTION("""COMPUTED_VALUE"""),"Wilinelson Santos De Oliveira")</f>
        <v>Wilinelson Santos De Oliveira</v>
      </c>
      <c r="B654" s="62" t="str">
        <f>IFERROR(__xludf.DUMMYFUNCTION("""COMPUTED_VALUE"""),"Téc. Enf.")</f>
        <v>Téc. Enf.</v>
      </c>
      <c r="C654" s="62" t="str">
        <f>IFERROR(__xludf.DUMMYFUNCTION("""COMPUTED_VALUE"""),"117.724.884-02")</f>
        <v>117.724.884-02</v>
      </c>
      <c r="D654" s="62" t="str">
        <f>IFERROR(__xludf.DUMMYFUNCTION("""COMPUTED_VALUE"""),"81 7104-8169")</f>
        <v>81 7104-8169</v>
      </c>
      <c r="E654" s="62" t="str">
        <f>IFERROR(__xludf.DUMMYFUNCTION("""COMPUTED_VALUE"""),"CARUARU")</f>
        <v>CARUARU</v>
      </c>
      <c r="F654" s="62" t="str">
        <f>IFERROR(__xludf.DUMMYFUNCTION("""COMPUTED_VALUE"""),"COOPERADO")</f>
        <v>COOPERADO</v>
      </c>
    </row>
    <row r="655">
      <c r="A655" s="62" t="str">
        <f>IFERROR(__xludf.DUMMYFUNCTION("""COMPUTED_VALUE"""),"WILLAMS FERNANDES DE MOURA")</f>
        <v>WILLAMS FERNANDES DE MOURA</v>
      </c>
      <c r="B655" s="62" t="str">
        <f>IFERROR(__xludf.DUMMYFUNCTION("""COMPUTED_VALUE"""),"PORTEIRO")</f>
        <v>PORTEIRO</v>
      </c>
      <c r="C655" s="62" t="str">
        <f>IFERROR(__xludf.DUMMYFUNCTION("""COMPUTED_VALUE"""),"712.080.994-69")</f>
        <v>712.080.994-69</v>
      </c>
      <c r="D655" s="62" t="str">
        <f>IFERROR(__xludf.DUMMYFUNCTION("""COMPUTED_VALUE"""),"81 7313-3774")</f>
        <v>81 7313-3774</v>
      </c>
      <c r="E655" s="62" t="str">
        <f>IFERROR(__xludf.DUMMYFUNCTION("""COMPUTED_VALUE"""),"CARUARU")</f>
        <v>CARUARU</v>
      </c>
      <c r="F655" s="62" t="str">
        <f>IFERROR(__xludf.DUMMYFUNCTION("""COMPUTED_VALUE"""),"COOPERADO")</f>
        <v>COOPERADO</v>
      </c>
    </row>
    <row r="656">
      <c r="A656" s="62" t="str">
        <f>IFERROR(__xludf.DUMMYFUNCTION("""COMPUTED_VALUE"""),"WILLIAN MOREIRA DE LIMA")</f>
        <v>WILLIAN MOREIRA DE LIMA</v>
      </c>
      <c r="B656" s="62" t="str">
        <f>IFERROR(__xludf.DUMMYFUNCTION("""COMPUTED_VALUE"""),"AUX. DE HIGIENIZAÇÃO")</f>
        <v>AUX. DE HIGIENIZAÇÃO</v>
      </c>
      <c r="C656" s="62" t="str">
        <f>IFERROR(__xludf.DUMMYFUNCTION("""COMPUTED_VALUE"""),"054.310.294-79")</f>
        <v>054.310.294-79</v>
      </c>
      <c r="D656" s="62" t="str">
        <f>IFERROR(__xludf.DUMMYFUNCTION("""COMPUTED_VALUE"""),"8198372-4451")</f>
        <v>8198372-4451</v>
      </c>
      <c r="E656" s="62" t="str">
        <f>IFERROR(__xludf.DUMMYFUNCTION("""COMPUTED_VALUE"""),"CARUARU")</f>
        <v>CARUARU</v>
      </c>
      <c r="F656" s="62" t="str">
        <f>IFERROR(__xludf.DUMMYFUNCTION("""COMPUTED_VALUE"""),"COOPERADO")</f>
        <v>COOPERADO</v>
      </c>
    </row>
    <row r="657">
      <c r="A657" s="62" t="str">
        <f>IFERROR(__xludf.DUMMYFUNCTION("""COMPUTED_VALUE"""),"YASMIN RAISA GUIMARAES DA SILVA")</f>
        <v>YASMIN RAISA GUIMARAES DA SILVA</v>
      </c>
      <c r="B657" s="62" t="str">
        <f>IFERROR(__xludf.DUMMYFUNCTION("""COMPUTED_VALUE"""),"AUXILIAR DE FARMÁCIA")</f>
        <v>AUXILIAR DE FARMÁCIA</v>
      </c>
      <c r="C657" s="62" t="str">
        <f>IFERROR(__xludf.DUMMYFUNCTION("""COMPUTED_VALUE"""),"121.612.314-48")</f>
        <v>121.612.314-48</v>
      </c>
      <c r="D657" s="62" t="str">
        <f>IFERROR(__xludf.DUMMYFUNCTION("""COMPUTED_VALUE"""),"81 9728-1475")</f>
        <v>81 9728-1475</v>
      </c>
      <c r="E657" s="62" t="str">
        <f>IFERROR(__xludf.DUMMYFUNCTION("""COMPUTED_VALUE"""),"CARUARU")</f>
        <v>CARUARU</v>
      </c>
      <c r="F657" s="62" t="str">
        <f>IFERROR(__xludf.DUMMYFUNCTION("""COMPUTED_VALUE"""),"COOPERADO")</f>
        <v>COOPERADO</v>
      </c>
    </row>
    <row r="658">
      <c r="A658" s="62" t="str">
        <f>IFERROR(__xludf.DUMMYFUNCTION("""COMPUTED_VALUE"""),"ZENAILDE QUITERIA DA SILVA")</f>
        <v>ZENAILDE QUITERIA DA SILVA</v>
      </c>
      <c r="B658" s="62" t="str">
        <f>IFERROR(__xludf.DUMMYFUNCTION("""COMPUTED_VALUE"""),"TÉC.ENFERMAGEM")</f>
        <v>TÉC.ENFERMAGEM</v>
      </c>
      <c r="C658" s="62" t="str">
        <f>IFERROR(__xludf.DUMMYFUNCTION("""COMPUTED_VALUE"""),"022.931.404-07")</f>
        <v>022.931.404-07</v>
      </c>
      <c r="D658" s="62" t="str">
        <f>IFERROR(__xludf.DUMMYFUNCTION("""COMPUTED_VALUE"""),"81 9922-9903")</f>
        <v>81 9922-9903</v>
      </c>
      <c r="E658" s="62" t="str">
        <f>IFERROR(__xludf.DUMMYFUNCTION("""COMPUTED_VALUE"""),"CARUARU")</f>
        <v>CARUARU</v>
      </c>
      <c r="F658" s="62" t="str">
        <f>IFERROR(__xludf.DUMMYFUNCTION("""COMPUTED_VALUE"""),"COOPERADO")</f>
        <v>COOPERADO</v>
      </c>
    </row>
    <row r="659">
      <c r="A659" s="62" t="str">
        <f>IFERROR(__xludf.DUMMYFUNCTION("""COMPUTED_VALUE"""),"ANTONIO GOMES DE OLIVEIRA NETO")</f>
        <v>ANTONIO GOMES DE OLIVEIRA NETO</v>
      </c>
      <c r="B659" s="62" t="str">
        <f>IFERROR(__xludf.DUMMYFUNCTION("""COMPUTED_VALUE"""),"TÉC. ENF.")</f>
        <v>TÉC. ENF.</v>
      </c>
      <c r="C659" s="62" t="str">
        <f>IFERROR(__xludf.DUMMYFUNCTION("""COMPUTED_VALUE"""),"107.927.724-23")</f>
        <v>107.927.724-23</v>
      </c>
      <c r="D659" s="62" t="str">
        <f>IFERROR(__xludf.DUMMYFUNCTION("""COMPUTED_VALUE"""),"83 98880-8480")</f>
        <v>83 98880-8480</v>
      </c>
      <c r="E659" s="62" t="str">
        <f>IFERROR(__xludf.DUMMYFUNCTION("""COMPUTED_VALUE"""),"JOÃO PESSOA-PB")</f>
        <v>JOÃO PESSOA-PB</v>
      </c>
      <c r="F659" s="62" t="str">
        <f>IFERROR(__xludf.DUMMYFUNCTION("""COMPUTED_VALUE"""),"COOPERADO")</f>
        <v>COOPERADO</v>
      </c>
    </row>
    <row r="660">
      <c r="A660" s="62" t="str">
        <f>IFERROR(__xludf.DUMMYFUNCTION("""COMPUTED_VALUE"""),"DANIELE RAIMUNDO CORDEIRO")</f>
        <v>DANIELE RAIMUNDO CORDEIRO</v>
      </c>
      <c r="B660" s="62" t="str">
        <f>IFERROR(__xludf.DUMMYFUNCTION("""COMPUTED_VALUE"""),"TÉC. ENF.")</f>
        <v>TÉC. ENF.</v>
      </c>
      <c r="C660" s="62" t="str">
        <f>IFERROR(__xludf.DUMMYFUNCTION("""COMPUTED_VALUE"""),"105.495.264-71")</f>
        <v>105.495.264-71</v>
      </c>
      <c r="D660" s="62" t="str">
        <f>IFERROR(__xludf.DUMMYFUNCTION("""COMPUTED_VALUE"""),"83 98854-5962")</f>
        <v>83 98854-5962</v>
      </c>
      <c r="E660" s="62" t="str">
        <f>IFERROR(__xludf.DUMMYFUNCTION("""COMPUTED_VALUE"""),"JOÃO PESSOA-PB")</f>
        <v>JOÃO PESSOA-PB</v>
      </c>
      <c r="F660" s="62" t="str">
        <f>IFERROR(__xludf.DUMMYFUNCTION("""COMPUTED_VALUE"""),"COOPERADO")</f>
        <v>COOPERADO</v>
      </c>
    </row>
    <row r="661">
      <c r="A661" s="62" t="str">
        <f>IFERROR(__xludf.DUMMYFUNCTION("""COMPUTED_VALUE"""),"MARIA DO SOCORRO DA SILVA FILHA")</f>
        <v>MARIA DO SOCORRO DA SILVA FILHA</v>
      </c>
      <c r="B661" s="62" t="str">
        <f>IFERROR(__xludf.DUMMYFUNCTION("""COMPUTED_VALUE"""),"TÉC. ENF.")</f>
        <v>TÉC. ENF.</v>
      </c>
      <c r="C661" s="62" t="str">
        <f>IFERROR(__xludf.DUMMYFUNCTION("""COMPUTED_VALUE"""),"121.095.344-78")</f>
        <v>121.095.344-78</v>
      </c>
      <c r="D661" s="62" t="str">
        <f>IFERROR(__xludf.DUMMYFUNCTION("""COMPUTED_VALUE"""),"83 99333-5812")</f>
        <v>83 99333-5812</v>
      </c>
      <c r="E661" s="62" t="str">
        <f>IFERROR(__xludf.DUMMYFUNCTION("""COMPUTED_VALUE"""),"JOÃO PESSOA-PB")</f>
        <v>JOÃO PESSOA-PB</v>
      </c>
      <c r="F661" s="62" t="str">
        <f>IFERROR(__xludf.DUMMYFUNCTION("""COMPUTED_VALUE"""),"COOPERADO")</f>
        <v>COOPERADO</v>
      </c>
    </row>
    <row r="662">
      <c r="A662" s="62" t="str">
        <f>IFERROR(__xludf.DUMMYFUNCTION("""COMPUTED_VALUE"""),"MARIA KARLA OLIVEIRA ALVES")</f>
        <v>MARIA KARLA OLIVEIRA ALVES</v>
      </c>
      <c r="B662" s="62" t="str">
        <f>IFERROR(__xludf.DUMMYFUNCTION("""COMPUTED_VALUE"""),"TÉC. ENF.")</f>
        <v>TÉC. ENF.</v>
      </c>
      <c r="C662" s="62" t="str">
        <f>IFERROR(__xludf.DUMMYFUNCTION("""COMPUTED_VALUE"""),"701.694.104-39")</f>
        <v>701.694.104-39</v>
      </c>
      <c r="D662" s="62" t="str">
        <f>IFERROR(__xludf.DUMMYFUNCTION("""COMPUTED_VALUE"""),"83 98760-5583")</f>
        <v>83 98760-5583</v>
      </c>
      <c r="E662" s="62" t="str">
        <f>IFERROR(__xludf.DUMMYFUNCTION("""COMPUTED_VALUE"""),"JOÃO PESSOA-PB")</f>
        <v>JOÃO PESSOA-PB</v>
      </c>
      <c r="F662" s="62" t="str">
        <f>IFERROR(__xludf.DUMMYFUNCTION("""COMPUTED_VALUE"""),"COOPERADO")</f>
        <v>COOPERADO</v>
      </c>
    </row>
    <row r="663">
      <c r="A663" s="62" t="str">
        <f>IFERROR(__xludf.DUMMYFUNCTION("""COMPUTED_VALUE"""),"NICOLLE MARTINS CARNEIRO")</f>
        <v>NICOLLE MARTINS CARNEIRO</v>
      </c>
      <c r="B663" s="62" t="str">
        <f>IFERROR(__xludf.DUMMYFUNCTION("""COMPUTED_VALUE"""),"ENFERMEIRO(A)")</f>
        <v>ENFERMEIRO(A)</v>
      </c>
      <c r="C663" s="62" t="str">
        <f>IFERROR(__xludf.DUMMYFUNCTION("""COMPUTED_VALUE"""),"714.271.004-70")</f>
        <v>714.271.004-70</v>
      </c>
      <c r="D663" s="62" t="str">
        <f>IFERROR(__xludf.DUMMYFUNCTION("""COMPUTED_VALUE"""),"83 98790-8756")</f>
        <v>83 98790-8756</v>
      </c>
      <c r="E663" s="62" t="str">
        <f>IFERROR(__xludf.DUMMYFUNCTION("""COMPUTED_VALUE"""),"JOÃO PESSOA-PB")</f>
        <v>JOÃO PESSOA-PB</v>
      </c>
      <c r="F663" s="62" t="str">
        <f>IFERROR(__xludf.DUMMYFUNCTION("""COMPUTED_VALUE"""),"COOPERADO")</f>
        <v>COOPERADO</v>
      </c>
    </row>
    <row r="664">
      <c r="A664" s="62" t="str">
        <f>IFERROR(__xludf.DUMMYFUNCTION("""COMPUTED_VALUE"""),"RAFAELA BARBOSA DE CARVALHO")</f>
        <v>RAFAELA BARBOSA DE CARVALHO</v>
      </c>
      <c r="B664" s="62" t="str">
        <f>IFERROR(__xludf.DUMMYFUNCTION("""COMPUTED_VALUE"""),"TÉC. ENF.")</f>
        <v>TÉC. ENF.</v>
      </c>
      <c r="C664" s="62" t="str">
        <f>IFERROR(__xludf.DUMMYFUNCTION("""COMPUTED_VALUE"""),"059.370.454-16")</f>
        <v>059.370.454-16</v>
      </c>
      <c r="D664" s="62" t="str">
        <f>IFERROR(__xludf.DUMMYFUNCTION("""COMPUTED_VALUE"""),"83 98854-2049")</f>
        <v>83 98854-2049</v>
      </c>
      <c r="E664" s="62" t="str">
        <f>IFERROR(__xludf.DUMMYFUNCTION("""COMPUTED_VALUE"""),"JOÃO PESSOA-PB")</f>
        <v>JOÃO PESSOA-PB</v>
      </c>
      <c r="F664" s="62" t="str">
        <f>IFERROR(__xludf.DUMMYFUNCTION("""COMPUTED_VALUE"""),"COOPERADO")</f>
        <v>COOPERADO</v>
      </c>
    </row>
    <row r="665">
      <c r="A665" s="62" t="str">
        <f>IFERROR(__xludf.DUMMYFUNCTION("""COMPUTED_VALUE"""),"Hugo Leonardo da Silva")</f>
        <v>Hugo Leonardo da Silva</v>
      </c>
      <c r="B665" s="62" t="str">
        <f>IFERROR(__xludf.DUMMYFUNCTION("""COMPUTED_VALUE"""),"Gestor administrativo")</f>
        <v>Gestor administrativo</v>
      </c>
      <c r="C665" s="62" t="str">
        <f>IFERROR(__xludf.DUMMYFUNCTION("""COMPUTED_VALUE"""),"028.131.762-30")</f>
        <v>028.131.762-30</v>
      </c>
      <c r="D665" s="62" t="str">
        <f>IFERROR(__xludf.DUMMYFUNCTION("""COMPUTED_VALUE"""),"(81) 9 9855-2300")</f>
        <v>(81) 9 9855-2300</v>
      </c>
      <c r="E665" s="62" t="str">
        <f>IFERROR(__xludf.DUMMYFUNCTION("""COMPUTED_VALUE"""),"Vitória de S. Antão-PE")</f>
        <v>Vitória de S. Antão-PE</v>
      </c>
      <c r="F665" s="62" t="str">
        <f>IFERROR(__xludf.DUMMYFUNCTION("""COMPUTED_VALUE"""),"CLT")</f>
        <v>CLT</v>
      </c>
    </row>
    <row r="666">
      <c r="A666" s="62" t="str">
        <f>IFERROR(__xludf.DUMMYFUNCTION("""COMPUTED_VALUE"""),"Caroline da Silva Oliveira Santos")</f>
        <v>Caroline da Silva Oliveira Santos</v>
      </c>
      <c r="B666" s="62" t="str">
        <f>IFERROR(__xludf.DUMMYFUNCTION("""COMPUTED_VALUE"""),"Vice Presidente ")</f>
        <v>Vice Presidente </v>
      </c>
      <c r="C666" s="62" t="str">
        <f>IFERROR(__xludf.DUMMYFUNCTION("""COMPUTED_VALUE"""),"053.865.144-07")</f>
        <v>053.865.144-07</v>
      </c>
      <c r="D666" s="62" t="str">
        <f>IFERROR(__xludf.DUMMYFUNCTION("""COMPUTED_VALUE"""),"(81) 9 8704-0918")</f>
        <v>(81) 9 8704-0918</v>
      </c>
      <c r="E666" s="62" t="str">
        <f>IFERROR(__xludf.DUMMYFUNCTION("""COMPUTED_VALUE"""),"Vitória de S. Antão-PE")</f>
        <v>Vitória de S. Antão-PE</v>
      </c>
      <c r="F666" s="62" t="str">
        <f>IFERROR(__xludf.DUMMYFUNCTION("""COMPUTED_VALUE"""),"CLT")</f>
        <v>CLT</v>
      </c>
    </row>
    <row r="667">
      <c r="A667" s="62" t="str">
        <f>IFERROR(__xludf.DUMMYFUNCTION("""COMPUTED_VALUE"""),"Juliane Gomes dos Reis")</f>
        <v>Juliane Gomes dos Reis</v>
      </c>
      <c r="B667" s="62" t="str">
        <f>IFERROR(__xludf.DUMMYFUNCTION("""COMPUTED_VALUE"""),"Assistente Administrativo")</f>
        <v>Assistente Administrativo</v>
      </c>
      <c r="C667" s="62" t="str">
        <f>IFERROR(__xludf.DUMMYFUNCTION("""COMPUTED_VALUE"""),"109.223.974-06")</f>
        <v>109.223.974-06</v>
      </c>
      <c r="D667" s="62" t="str">
        <f>IFERROR(__xludf.DUMMYFUNCTION("""COMPUTED_VALUE"""),"(81) 9 8728-4277")</f>
        <v>(81) 9 8728-4277</v>
      </c>
      <c r="E667" s="62" t="str">
        <f>IFERROR(__xludf.DUMMYFUNCTION("""COMPUTED_VALUE"""),"Vitória de S. Antão-PE")</f>
        <v>Vitória de S. Antão-PE</v>
      </c>
      <c r="F667" s="62" t="str">
        <f>IFERROR(__xludf.DUMMYFUNCTION("""COMPUTED_VALUE"""),"CLT")</f>
        <v>CLT</v>
      </c>
    </row>
    <row r="668">
      <c r="A668" s="62" t="str">
        <f>IFERROR(__xludf.DUMMYFUNCTION("""COMPUTED_VALUE"""),"Luana Emanuelle Borba de Melo")</f>
        <v>Luana Emanuelle Borba de Melo</v>
      </c>
      <c r="B668" s="62" t="str">
        <f>IFERROR(__xludf.DUMMYFUNCTION("""COMPUTED_VALUE"""),"Assistente Administrativo")</f>
        <v>Assistente Administrativo</v>
      </c>
      <c r="C668" s="62" t="str">
        <f>IFERROR(__xludf.DUMMYFUNCTION("""COMPUTED_VALUE"""),"132.927.334-64")</f>
        <v>132.927.334-64</v>
      </c>
      <c r="D668" s="62" t="str">
        <f>IFERROR(__xludf.DUMMYFUNCTION("""COMPUTED_VALUE"""),"(81) 9 8681-9148")</f>
        <v>(81) 9 8681-9148</v>
      </c>
      <c r="E668" s="62" t="str">
        <f>IFERROR(__xludf.DUMMYFUNCTION("""COMPUTED_VALUE"""),"Vitória de S. Antão-PE")</f>
        <v>Vitória de S. Antão-PE</v>
      </c>
      <c r="F668" s="62" t="str">
        <f>IFERROR(__xludf.DUMMYFUNCTION("""COMPUTED_VALUE"""),"CLT")</f>
        <v>CLT</v>
      </c>
    </row>
    <row r="669">
      <c r="A669" s="62" t="str">
        <f>IFERROR(__xludf.DUMMYFUNCTION("""COMPUTED_VALUE"""),"Poliana Maria da Silva")</f>
        <v>Poliana Maria da Silva</v>
      </c>
      <c r="B669" s="62" t="str">
        <f>IFERROR(__xludf.DUMMYFUNCTION("""COMPUTED_VALUE"""),"Enfermeira")</f>
        <v>Enfermeira</v>
      </c>
      <c r="C669" s="62" t="str">
        <f>IFERROR(__xludf.DUMMYFUNCTION("""COMPUTED_VALUE"""),"054.932.414-39")</f>
        <v>054.932.414-39</v>
      </c>
      <c r="D669" s="62" t="str">
        <f>IFERROR(__xludf.DUMMYFUNCTION("""COMPUTED_VALUE"""),"(81) 9 9830-2377")</f>
        <v>(81) 9 9830-2377</v>
      </c>
      <c r="E669" s="62" t="str">
        <f>IFERROR(__xludf.DUMMYFUNCTION("""COMPUTED_VALUE"""),"Vitória de S. Antão-PE")</f>
        <v>Vitória de S. Antão-PE</v>
      </c>
      <c r="F669" s="62" t="str">
        <f>IFERROR(__xludf.DUMMYFUNCTION("""COMPUTED_VALUE"""),"Cooperada")</f>
        <v>Cooperada</v>
      </c>
    </row>
    <row r="670">
      <c r="A670" s="62" t="str">
        <f>IFERROR(__xludf.DUMMYFUNCTION("""COMPUTED_VALUE"""),"Aline Fernanda da Silva Oliveira")</f>
        <v>Aline Fernanda da Silva Oliveira</v>
      </c>
      <c r="B670" s="62" t="str">
        <f>IFERROR(__xludf.DUMMYFUNCTION("""COMPUTED_VALUE"""),"Diretora ")</f>
        <v>Diretora </v>
      </c>
      <c r="C670" s="62" t="str">
        <f>IFERROR(__xludf.DUMMYFUNCTION("""COMPUTED_VALUE"""),"088.775.374-42")</f>
        <v>088.775.374-42</v>
      </c>
      <c r="D670" s="62" t="str">
        <f>IFERROR(__xludf.DUMMYFUNCTION("""COMPUTED_VALUE"""),"(81) 9 8595-7666")</f>
        <v>(81) 9 8595-7666</v>
      </c>
      <c r="E670" s="62" t="str">
        <f>IFERROR(__xludf.DUMMYFUNCTION("""COMPUTED_VALUE"""),"Vitória de S. Antão-PE")</f>
        <v>Vitória de S. Antão-PE</v>
      </c>
      <c r="F670" s="62" t="str">
        <f>IFERROR(__xludf.DUMMYFUNCTION("""COMPUTED_VALUE"""),"CLT")</f>
        <v>CLT</v>
      </c>
    </row>
    <row r="671">
      <c r="A671" s="62" t="str">
        <f>IFERROR(__xludf.DUMMYFUNCTION("""COMPUTED_VALUE"""),"Miguel dos Santos Santana")</f>
        <v>Miguel dos Santos Santana</v>
      </c>
      <c r="B671" s="62" t="str">
        <f>IFERROR(__xludf.DUMMYFUNCTION("""COMPUTED_VALUE"""),"Assistente Administrativo")</f>
        <v>Assistente Administrativo</v>
      </c>
      <c r="C671" s="62" t="str">
        <f>IFERROR(__xludf.DUMMYFUNCTION("""COMPUTED_VALUE"""),"168.159.524-95")</f>
        <v>168.159.524-95</v>
      </c>
      <c r="D671" s="62" t="str">
        <f>IFERROR(__xludf.DUMMYFUNCTION("""COMPUTED_VALUE"""),"(81) 9 8771-8605")</f>
        <v>(81) 9 8771-8605</v>
      </c>
      <c r="E671" s="62" t="str">
        <f>IFERROR(__xludf.DUMMYFUNCTION("""COMPUTED_VALUE"""),"Vitória de S. Antão-PE")</f>
        <v>Vitória de S. Antão-PE</v>
      </c>
      <c r="F671" s="62" t="str">
        <f>IFERROR(__xludf.DUMMYFUNCTION("""COMPUTED_VALUE"""),"CLT")</f>
        <v>CLT</v>
      </c>
    </row>
    <row r="672">
      <c r="A672" s="62" t="str">
        <f>IFERROR(__xludf.DUMMYFUNCTION("""COMPUTED_VALUE"""),"Williane Gabrielly Silva de Oliveira")</f>
        <v>Williane Gabrielly Silva de Oliveira</v>
      </c>
      <c r="B672" s="62" t="str">
        <f>IFERROR(__xludf.DUMMYFUNCTION("""COMPUTED_VALUE"""),"Assistente Administrativo")</f>
        <v>Assistente Administrativo</v>
      </c>
      <c r="C672" s="62" t="str">
        <f>IFERROR(__xludf.DUMMYFUNCTION("""COMPUTED_VALUE"""),"123.027.334-44")</f>
        <v>123.027.334-44</v>
      </c>
      <c r="D672" s="62" t="str">
        <f>IFERROR(__xludf.DUMMYFUNCTION("""COMPUTED_VALUE"""),"(81) 9 9340-3007")</f>
        <v>(81) 9 9340-3007</v>
      </c>
      <c r="E672" s="62" t="str">
        <f>IFERROR(__xludf.DUMMYFUNCTION("""COMPUTED_VALUE"""),"Vitória de S. Antão-PE")</f>
        <v>Vitória de S. Antão-PE</v>
      </c>
      <c r="F672" s="62" t="str">
        <f>IFERROR(__xludf.DUMMYFUNCTION("""COMPUTED_VALUE"""),"CLT")</f>
        <v>CLT</v>
      </c>
    </row>
    <row r="673">
      <c r="A673" s="62" t="str">
        <f>IFERROR(__xludf.DUMMYFUNCTION("""COMPUTED_VALUE"""),"Adrielly Gabriella Campos da Silva Barbosa")</f>
        <v>Adrielly Gabriella Campos da Silva Barbosa</v>
      </c>
      <c r="B673" s="62" t="str">
        <f>IFERROR(__xludf.DUMMYFUNCTION("""COMPUTED_VALUE"""),"Atendimental ao Cooperado")</f>
        <v>Atendimental ao Cooperado</v>
      </c>
      <c r="C673" s="62" t="str">
        <f>IFERROR(__xludf.DUMMYFUNCTION("""COMPUTED_VALUE"""),"082.850.754-60")</f>
        <v>082.850.754-60</v>
      </c>
      <c r="D673" s="62" t="str">
        <f>IFERROR(__xludf.DUMMYFUNCTION("""COMPUTED_VALUE"""),"(81) 9 9257-8241")</f>
        <v>(81) 9 9257-8241</v>
      </c>
      <c r="E673" s="62" t="str">
        <f>IFERROR(__xludf.DUMMYFUNCTION("""COMPUTED_VALUE"""),"Caruaru-PE")</f>
        <v>Caruaru-PE</v>
      </c>
      <c r="F673" s="62" t="str">
        <f>IFERROR(__xludf.DUMMYFUNCTION("""COMPUTED_VALUE"""),"CLT")</f>
        <v>CLT</v>
      </c>
    </row>
    <row r="674">
      <c r="A674" s="62" t="str">
        <f>IFERROR(__xludf.DUMMYFUNCTION("""COMPUTED_VALUE"""),"Renata Sandrelle da Silva Melo")</f>
        <v>Renata Sandrelle da Silva Melo</v>
      </c>
      <c r="B674" s="62" t="str">
        <f>IFERROR(__xludf.DUMMYFUNCTION("""COMPUTED_VALUE"""),"Gestora Financeira")</f>
        <v>Gestora Financeira</v>
      </c>
      <c r="C674" s="62" t="str">
        <f>IFERROR(__xludf.DUMMYFUNCTION("""COMPUTED_VALUE"""),"075.675.054-79")</f>
        <v>075.675.054-79</v>
      </c>
      <c r="D674" s="62" t="str">
        <f>IFERROR(__xludf.DUMMYFUNCTION("""COMPUTED_VALUE"""),"(81) 9 9968-7916")</f>
        <v>(81) 9 9968-7916</v>
      </c>
      <c r="E674" s="62" t="str">
        <f>IFERROR(__xludf.DUMMYFUNCTION("""COMPUTED_VALUE"""),"Vitória de S. Antão-PE")</f>
        <v>Vitória de S. Antão-PE</v>
      </c>
      <c r="F674" s="62" t="str">
        <f>IFERROR(__xludf.DUMMYFUNCTION("""COMPUTED_VALUE"""),"CLT")</f>
        <v>CLT</v>
      </c>
    </row>
  </sheetData>
  <drawing r:id="rId1"/>
</worksheet>
</file>