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325"/>
  </bookViews>
  <sheets>
    <sheet name="Sheet1" sheetId="1" r:id="rId1"/>
    <sheet name="Sheet2" sheetId="2" r:id="rId2"/>
    <sheet name="Sheet3" sheetId="3" r:id="rId3"/>
  </sheets>
  <definedNames>
    <definedName name="_xlchart.0" hidden="1">Sheet1!$B$1438:$B$1446</definedName>
    <definedName name="_xlchart.1" hidden="1">Sheet1!$C$1437</definedName>
    <definedName name="_xlchart.2" hidden="1">Sheet1!$C$1438:$C$1446</definedName>
    <definedName name="_xlchart.3" hidden="1">Sheet1!$B$1438:$B$1446</definedName>
    <definedName name="_xlchart.4" hidden="1">Sheet1!$C$1437</definedName>
    <definedName name="_xlchart.5" hidden="1">Sheet1!$C$1438:$C$1446</definedName>
    <definedName name="_xlchart.6" hidden="1">Sheet1!$B$1438:$B$1446</definedName>
    <definedName name="_xlchart.7" hidden="1">Sheet1!$C$1437</definedName>
    <definedName name="_xlchart.8" hidden="1">Sheet1!$C$1438:$C$1446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<sst xmlns="http://schemas.openxmlformats.org/spreadsheetml/2006/main" count="1441" uniqueCount="288">
  <si>
    <t>盐酸阿霉素浓度mg/ml（水：甲醇=1：1）</t>
  </si>
  <si>
    <t>吸光度</t>
  </si>
  <si>
    <t>0.5mg/ml盐酸阿霉素</t>
  </si>
  <si>
    <t>0.4mM盐酸阿霉素模板</t>
  </si>
  <si>
    <t>吸附实验（吸附后上清液）</t>
  </si>
  <si>
    <t>吸光度1</t>
  </si>
  <si>
    <t>吸光度2</t>
  </si>
  <si>
    <t>吸光度3</t>
  </si>
  <si>
    <t>吸光度均值</t>
  </si>
  <si>
    <t>上清液浓度</t>
  </si>
  <si>
    <t>吸附量（mg/g）</t>
  </si>
  <si>
    <t>MIP/NIP</t>
  </si>
  <si>
    <t>MIP（未包硅）</t>
  </si>
  <si>
    <t>NIP（未包硅）</t>
  </si>
  <si>
    <t>MIP（未包硅模版泄漏）</t>
  </si>
  <si>
    <t>MIP（包硅）</t>
  </si>
  <si>
    <t>NIP（包硅）</t>
  </si>
  <si>
    <t>MIP（包硅模版泄漏）</t>
  </si>
  <si>
    <t>0.6mM盐酸阿霉素模板</t>
  </si>
  <si>
    <t>0.2mM盐酸阿霉素模板</t>
  </si>
  <si>
    <t>0.5mM盐酸阿霉素模板</t>
  </si>
  <si>
    <t>上清液吸光度</t>
  </si>
  <si>
    <t>均值</t>
  </si>
  <si>
    <t>上清液含量mg</t>
  </si>
  <si>
    <t>吸附量mg/g</t>
  </si>
  <si>
    <t>QMIP/QNIP</t>
  </si>
  <si>
    <t>0.3mM盐酸阿霉素模板</t>
  </si>
  <si>
    <t>0.2mg/ml盐酸阿霉素（0.6:2:6）</t>
  </si>
  <si>
    <t>0.2mg/ml盐酸阿霉素（NIP清洗不彻底，1:2:6)</t>
  </si>
  <si>
    <t>MIP（包硅）超声清洗</t>
  </si>
  <si>
    <t>NIP（包硅）超声清洗</t>
  </si>
  <si>
    <t>MIP（包硅）未超声清洗</t>
  </si>
  <si>
    <t>NIP（包硅）未超声清洗</t>
  </si>
  <si>
    <t>MIP（包硅模版泄漏）超声清洗</t>
  </si>
  <si>
    <t>MIP（包硅模版泄漏）未超声清洗</t>
  </si>
  <si>
    <t>NIP（包硅模版泄漏）超声清洗</t>
  </si>
  <si>
    <t>NIP（包硅模版泄漏）未超声清洗</t>
  </si>
  <si>
    <t>0.2mg/ml盐酸阿霉素（NIP重新清洗,但还是偏碱，1:2:6)</t>
  </si>
  <si>
    <t>0.2mg/ml盐酸阿霉素（用KOH：乙醇（1:4）溶液清洗10遍，1:3:6，超声和摇床同时洗)</t>
  </si>
  <si>
    <t>MIP（包硅）摇床清洗</t>
  </si>
  <si>
    <t>NIP（包硅）摇床清洗</t>
  </si>
  <si>
    <t>清洗次数过多，制成材料太少，吸附效果较好，超声清洗无明显优势。</t>
  </si>
  <si>
    <t>0.2mg/ml盐酸阿霉素（用KOH：甲醇（1:4）溶液清洗8遍，1:3:6)</t>
  </si>
  <si>
    <t>MIP（包硅）泄露</t>
  </si>
  <si>
    <t>0.2mg/ml盐酸阿霉素</t>
  </si>
  <si>
    <t>0.2mg/ml盐酸阿霉素（用KOH：甲醇（1:4）溶液清洗8遍，1:4:6)</t>
  </si>
  <si>
    <t>0.2mg/ml盐酸阿霉素（用KOH：甲醇（1:4）溶液，1:5:6)</t>
  </si>
  <si>
    <t>0.2mg/ml盐酸阿霉素（用KOH：甲醇（1:4）溶液清洗9遍，1:1:6)</t>
  </si>
  <si>
    <t>0.2mg/ml盐酸阿霉素（用KOH：甲醇（1:4）溶液清洗11遍，1:6:6)</t>
  </si>
  <si>
    <t>0.2mg/ml盐酸阿霉素（用KOH：甲醇（1:4）溶液，所有NIP吸附实验都重做)</t>
  </si>
  <si>
    <t>比例</t>
  </si>
  <si>
    <t>1:1:6</t>
  </si>
  <si>
    <t>1:2:6</t>
  </si>
  <si>
    <t>1:3:6</t>
  </si>
  <si>
    <t>1:4:6</t>
  </si>
  <si>
    <t>1:5:6</t>
  </si>
  <si>
    <t>1:6:6</t>
  </si>
  <si>
    <t>当时合成材料后立即做吸附试验结果</t>
  </si>
  <si>
    <t>MIP吸附量mg/g</t>
  </si>
  <si>
    <t>NIP吸附量mg/g</t>
  </si>
  <si>
    <t>MIP泄露</t>
  </si>
  <si>
    <t>各比例材料全部合成后，一起做吸附试验结果</t>
  </si>
  <si>
    <t>0.2mg/ml盐酸阿霉素（用KOH：甲醇（1:4）溶液清洗，NIP，1:1:6和1:2:6重做)</t>
  </si>
  <si>
    <t>NIP（1:1:6）</t>
  </si>
  <si>
    <t>NIP（1:2:6）</t>
  </si>
  <si>
    <t>1:1:6和1:2:6NIP重新合成后，重新计算</t>
  </si>
  <si>
    <t>0.2mg/ml盐酸阿霉素（用KOH：甲醇（1:4）溶液清洗9遍，1:2:6)</t>
  </si>
  <si>
    <t>2月8日合成</t>
  </si>
  <si>
    <t>0.152.0.149</t>
  </si>
  <si>
    <t>以前合成</t>
  </si>
  <si>
    <t>以前合成MIP增强清洗后</t>
  </si>
  <si>
    <t>0.2mg/ml盐酸阿霉素（用KOH：甲醇（1:4）溶液清洗10遍，1:2:6)</t>
  </si>
  <si>
    <t>2.13合成</t>
  </si>
  <si>
    <t>0.2mg/ml盐酸阿霉素（用KOH：甲醇（1:4）溶液清洗10遍，过夜，1:2:6)</t>
  </si>
  <si>
    <t>MIP1（包硅）</t>
  </si>
  <si>
    <t>MIP2（包硅）</t>
  </si>
  <si>
    <t>以前合成材料对表柔比星吸附实验(用盐酸阿霉素标准曲线）</t>
  </si>
  <si>
    <t>0.5mg/ml表柔比星</t>
  </si>
  <si>
    <t>表柔比星标准曲线</t>
  </si>
  <si>
    <t>表柔比星浓度mg/ml（水：甲醇=1：1）</t>
  </si>
  <si>
    <t>模板单体交联剂不同比例对表柔比星的吸附量影响</t>
  </si>
  <si>
    <t>0.2mg/ml盐酸阿霉素（用KOH：甲醇（2:3）溶液清洗12遍，1:2:6)。合成材料体积小、硬、数量偏少，吸附量稍微少一点</t>
  </si>
  <si>
    <t>0.2mg/ml盐酸阿霉素（用KOH：甲醇（1:4）溶液清洗12遍，1:2:6)。合成材料体积较多、松软、数量偏较多，吸附量多</t>
  </si>
  <si>
    <t>以前合成材料混合加强清洗后吸附</t>
  </si>
  <si>
    <t>MIP1（包硅）泄露</t>
  </si>
  <si>
    <t>MIP2（包硅）泄露</t>
  </si>
  <si>
    <t>标准曲线</t>
  </si>
  <si>
    <t>静态吸附试验</t>
  </si>
  <si>
    <t>盐酸阿霉素</t>
  </si>
  <si>
    <t>阿霉素浓度</t>
  </si>
  <si>
    <t>MIP吸附量</t>
  </si>
  <si>
    <t>NIP吸附量</t>
  </si>
  <si>
    <t>MIP（0.5mg/ml）</t>
  </si>
  <si>
    <t>NIP（0.5mg/ml）</t>
  </si>
  <si>
    <t>MIP（0.25mg/ml）</t>
  </si>
  <si>
    <t>NIP（0.25mg/ml）</t>
  </si>
  <si>
    <t>MIP（0.1mg/ml）</t>
  </si>
  <si>
    <t>NIP（0.1mg/ml）</t>
  </si>
  <si>
    <t>MIP（0.05mg/ml）</t>
  </si>
  <si>
    <t>NIP（0.05mg/ml）</t>
  </si>
  <si>
    <t>MIP（0.02mg/ml）</t>
  </si>
  <si>
    <t>NIP（0.02mg/ml）</t>
  </si>
  <si>
    <t>MIP（0.01mg/ml）</t>
  </si>
  <si>
    <t>NIP（0.01mg/ml）</t>
  </si>
  <si>
    <t>表柔比星静态吸附试验</t>
  </si>
  <si>
    <t>表柔比星浓度</t>
  </si>
  <si>
    <t>动态吸附试验（50mg+10ml 0.25mg/ml的盐酸阿霉素溶液，室温振荡混匀）</t>
  </si>
  <si>
    <t>0min</t>
  </si>
  <si>
    <t>MIP</t>
  </si>
  <si>
    <t>5min</t>
  </si>
  <si>
    <t>10mim</t>
  </si>
  <si>
    <t>20min</t>
  </si>
  <si>
    <t>30min</t>
  </si>
  <si>
    <t>40min</t>
  </si>
  <si>
    <t>60min</t>
  </si>
  <si>
    <t>80min</t>
  </si>
  <si>
    <t>120min</t>
  </si>
  <si>
    <t>200min</t>
  </si>
  <si>
    <t>300min</t>
  </si>
  <si>
    <t>400min</t>
  </si>
  <si>
    <t>500min</t>
  </si>
  <si>
    <t>600min</t>
  </si>
  <si>
    <t>1200min</t>
  </si>
  <si>
    <t>NIP</t>
  </si>
  <si>
    <t>时间(MIN)</t>
  </si>
  <si>
    <t>动态吸附试验（100mg+10ml 0.2mg/ml的表柔比星溶液，室温振荡混匀）</t>
  </si>
  <si>
    <t>盐表柔比星</t>
  </si>
  <si>
    <t>180min</t>
  </si>
  <si>
    <t>240min</t>
  </si>
  <si>
    <t>表柔比星</t>
  </si>
  <si>
    <t>动态吸附试验（100mg+10ml 0.2mg/ml的盐酸阿霉素溶液，室温振荡混匀）</t>
  </si>
  <si>
    <t>阿霉素标准曲线</t>
  </si>
  <si>
    <t>阿霉素浓度mg/ml（水：甲醇=1：1）</t>
  </si>
  <si>
    <t>静态吸附试验（20mgMIP/NIP+1ml阿霉素溶液振荡12小时）</t>
  </si>
  <si>
    <t>阿霉素</t>
  </si>
  <si>
    <t>阿霉素静态吸附量</t>
  </si>
  <si>
    <t>阿霉素浓度（mg/ml）</t>
  </si>
  <si>
    <t>90min</t>
  </si>
  <si>
    <t>140min</t>
  </si>
  <si>
    <t>淋洗优化(100mg MIP加10ml甲醇，活化，加400ul0.25盐酸阿霉素，加4.6ml血清甲醇处理液，振荡240min，磁分离去上清，加入5ml水甲醇溶液</t>
  </si>
  <si>
    <t>水：甲醇</t>
  </si>
  <si>
    <t>上清液吸光度1</t>
  </si>
  <si>
    <t>上清液吸光度2</t>
  </si>
  <si>
    <t>上清液吸光度3</t>
  </si>
  <si>
    <t>9:1</t>
  </si>
  <si>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:2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</si>
  <si>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:3</t>
    </r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</si>
  <si>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:4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</si>
  <si>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:5</t>
    </r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</si>
  <si>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:6</t>
    </r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</si>
  <si>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:7</t>
    </r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</si>
  <si>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:8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</si>
  <si>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:9</t>
    </r>
  </si>
  <si>
    <t>洗脱优化（淋洗后加入不同比例甲醇和乙酸溶液，振荡60min，测上清阿霉素含量</t>
  </si>
  <si>
    <t>甲醇：乙酸</t>
  </si>
  <si>
    <t>2022.3.30</t>
  </si>
  <si>
    <t>由于以前合成材料清洗不干净，用甲醇：KOH（甲醇：0.1M KOH 溶液；1:1）溶液清洗以前合成的材料36小时，直至上清液无色，材料数量明显减少，偏硬，颗粒状</t>
  </si>
  <si>
    <t>MIP静态吸附量</t>
  </si>
  <si>
    <t>NIP静态吸附量</t>
  </si>
  <si>
    <r>
      <rPr>
        <sz val="11"/>
        <color theme="1"/>
        <rFont val="宋体"/>
        <charset val="134"/>
        <scheme val="minor"/>
      </rPr>
      <t>动态吸附试验（100mg+10</t>
    </r>
    <r>
      <rPr>
        <sz val="11"/>
        <color theme="1"/>
        <rFont val="宋体"/>
        <charset val="134"/>
        <scheme val="minor"/>
      </rPr>
      <t>ml 0.25mg/ml的表柔比星溶液，室温振荡混匀，每次吸出上清液</t>
    </r>
    <r>
      <rPr>
        <sz val="11"/>
        <color theme="1"/>
        <rFont val="宋体"/>
        <charset val="134"/>
        <scheme val="minor"/>
      </rPr>
      <t>1ml测量</t>
    </r>
    <r>
      <rPr>
        <sz val="11"/>
        <color theme="1"/>
        <rFont val="宋体"/>
        <charset val="134"/>
        <scheme val="minor"/>
      </rPr>
      <t>）</t>
    </r>
  </si>
  <si>
    <r>
      <rPr>
        <sz val="11"/>
        <color theme="1"/>
        <rFont val="宋体"/>
        <charset val="134"/>
        <scheme val="minor"/>
      </rPr>
      <t>动态吸附试验（100mg+10</t>
    </r>
    <r>
      <rPr>
        <sz val="11"/>
        <color theme="1"/>
        <rFont val="宋体"/>
        <charset val="134"/>
        <scheme val="minor"/>
      </rPr>
      <t>ml 0.25mg/ml的表柔比星溶液，室温振荡混匀）</t>
    </r>
  </si>
  <si>
    <t>表柔比星动态吸附实验</t>
  </si>
  <si>
    <t>由于以前合成材料清洗不干净，用甲醇：KOH（1:1）溶液清洗以前合成的材料36小时，直至上清液无色，材料数量明显减少，偏硬，颗粒状</t>
  </si>
  <si>
    <t>阿霉素静态吸附试验（20mgMIP/NIP+1ml 0.25mg/ml阿霉素溶液振荡混匀12小时）</t>
  </si>
  <si>
    <r>
      <rPr>
        <sz val="11"/>
        <color theme="1"/>
        <rFont val="宋体"/>
        <charset val="134"/>
        <scheme val="minor"/>
      </rPr>
      <t>动态吸附试验（100mg+10</t>
    </r>
    <r>
      <rPr>
        <sz val="11"/>
        <color theme="1"/>
        <rFont val="宋体"/>
        <charset val="134"/>
        <scheme val="minor"/>
      </rPr>
      <t>ml 0.25mg/ml的阿霉素溶液，室温振荡混匀，每次吸出上清液</t>
    </r>
    <r>
      <rPr>
        <sz val="11"/>
        <color theme="1"/>
        <rFont val="宋体"/>
        <charset val="134"/>
        <scheme val="minor"/>
      </rPr>
      <t>1ml测量</t>
    </r>
    <r>
      <rPr>
        <sz val="11"/>
        <color theme="1"/>
        <rFont val="宋体"/>
        <charset val="134"/>
        <scheme val="minor"/>
      </rPr>
      <t>）</t>
    </r>
  </si>
  <si>
    <t>阿霉素动态吸附实验</t>
  </si>
  <si>
    <t>2022.5.23</t>
  </si>
  <si>
    <t>高效液相色谱标准曲线（乙腈30%，PBS缓冲液（PH2.8）70%）254nm  进样0.5ml/min,保留时间4.6min</t>
  </si>
  <si>
    <t>浓度mg/ml</t>
  </si>
  <si>
    <t>曲线下面积</t>
  </si>
  <si>
    <t>无峰</t>
  </si>
  <si>
    <t>多柔比星</t>
  </si>
  <si>
    <t>2022.6.5</t>
  </si>
  <si>
    <t>干扰实验</t>
  </si>
  <si>
    <t>红霉素干扰实验</t>
  </si>
  <si>
    <t>红霉素标准曲线</t>
  </si>
  <si>
    <r>
      <rPr>
        <sz val="11"/>
        <rFont val="宋体"/>
        <charset val="134"/>
      </rPr>
      <t>红霉素浓度</t>
    </r>
    <r>
      <rPr>
        <sz val="11"/>
        <rFont val="Segoe UI"/>
        <charset val="134"/>
      </rPr>
      <t>mg/ml</t>
    </r>
  </si>
  <si>
    <t>干扰实验方法：称取100mgMMIPs，加入浓度为0.5、0.25、0.1、0.05、0.02、0.01mg/ml的红霉素标准溶液个1ml，振荡混匀12小时，磁分离取上清测量红霉素的浓度，计算含量。</t>
  </si>
  <si>
    <t>加入红霉素总量</t>
  </si>
  <si>
    <t>上清液曲线下面积</t>
  </si>
  <si>
    <t>上清液红霉素含量</t>
  </si>
  <si>
    <t>吸附量</t>
  </si>
  <si>
    <t>2022.6.18</t>
  </si>
  <si>
    <t>多柔比星甲醇乙酸溶液（1:1）标准曲线</t>
  </si>
  <si>
    <t>20220619回收实验A：50μL 0.5mg/ml表柔比星，20mgMIP，加血清处理液A2ml，震荡过夜，弃上清，用甲醇乙酸（1:1)洗脱三遍（1ml，0.5ml，0.5ml），回收体积1.9ml。</t>
  </si>
  <si>
    <t>回收液吸光度</t>
  </si>
  <si>
    <t>计算浓度mg/ml</t>
  </si>
  <si>
    <t>加入总量mg</t>
  </si>
  <si>
    <t>回收率(%)</t>
  </si>
  <si>
    <t>20220621回收实验：10μL 0.5mg/ml表柔比星，20mgMIP，加血清处理液1ml，震荡过夜，弃上清，用甲醇乙酸（1:1)洗脱两遍（0.5ml，0.5ml），回收体积1ml。</t>
  </si>
  <si>
    <t>20220621回收实验：2μL 0.5mg/ml表柔比星，20mgMIP，加血清处理液1ml，震荡过夜，弃上清，用甲醇乙酸（1:1)洗脱两遍（0.5ml，0.5ml），回收体积1ml。</t>
  </si>
  <si>
    <t>20220622回收实验A：50μL 0.5mg/ml表柔比星，30mgMIP，加血清处理液A1.2ml，震荡过夜，弃上清，用甲醇乙酸（1:1)洗脱四遍（每次0.5ml），回收体积1.96ml。</t>
  </si>
  <si>
    <t>终浓度mg/ml</t>
  </si>
  <si>
    <t>20220622回收实验A：125μL 0.5mg/ml表柔比星，35mgMIP，加血清处理液A1.125ml，震荡过夜，弃上清，用甲醇乙酸（1:1)洗脱四遍（每次0.5ml），回收体积2.12ml。</t>
  </si>
  <si>
    <t>20220622回收实验A：250μL 0.5mg/ml表柔比星，40mgMIP，加血清处理液1.0ml，震荡过夜，弃上清，用甲醇乙酸（1:1)洗脱四遍（每次0.5ml），回收体积2.05ml。</t>
  </si>
  <si>
    <t>20220623回收实验A：25μL 0.5mg/ml表柔比星，15mgMIP，加血清处理液A1.225ml，震荡过夜，弃上清，用甲醇乙酸（1:1)洗脱两遍（每次0.5ml），回收体积1ml。</t>
  </si>
  <si>
    <t>20220624回收实验B：25μL 0.5mg/ml表柔比星，15mgMIP，加血清处理液B1.225ml，震荡过夜，弃上清，用甲醇乙酸（1:1)洗脱两遍（每次0.5ml），回收体积1ml。</t>
  </si>
  <si>
    <t>20220624回收实验B：50μL 0.5mg/ml表柔比星，30mgMIP，加血清处理液B1.2ml，震荡过夜，弃上清，用甲醇乙酸（1:1)洗脱四遍（每次0.5ml），回收体积1.96ml。</t>
  </si>
  <si>
    <t>20220624回收实验B：125μL 0.5mg/ml表柔比星，35mgMIP，加血清处理液B1.125ml，震荡过夜，弃上清，用甲醇乙酸（1:1)洗脱四遍（每次0.5ml），回收体积2.12ml。</t>
  </si>
  <si>
    <t>20220624回收实验C：25μL 0.5mg/ml表柔比星，15mgMIP，加血清处理液C1.2250ml，震荡过夜，弃上清，用甲醇乙酸（1:1)洗脱两遍（每次0.5ml），回收体积1ml。</t>
  </si>
  <si>
    <t>20220624回收实验C：50μL 0.5mg/ml表柔比星，30mgMIP，加血清处理液C 1.2ml，震荡过夜，弃上清，用甲醇乙酸（1:1)洗脱四遍（每次0.5ml），回收体积1.96ml。</t>
  </si>
  <si>
    <t>20220624回收实验C：125μL 0.5mg/ml表柔比星，35mgMIP，加血清处理液C 1.125ml，震荡过夜，弃上清，用甲醇乙酸（1:1)洗脱四遍（每次0.5ml），回收体积2.12ml。</t>
  </si>
  <si>
    <t>多阿霉素甲醇乙酸溶液（1:1）标准曲线</t>
  </si>
  <si>
    <t>20220625回收实验A：25μL 0.5mg/ml阿霉素，15mgMIP，加血清处理液A1.225ml，震荡过夜，弃上清，用甲醇乙酸（1:1)洗脱两遍（每次0.5ml），回收体积1ml。</t>
  </si>
  <si>
    <t>20220625回收实验A：50μL 0.5mg/ml阿霉素，30mgMIP，加血清处理液A1.2ml，震荡过夜，弃上清，用甲醇乙酸（1:1)洗脱四遍（每次0.5ml），回收体积1.96ml。</t>
  </si>
  <si>
    <t>20220625回收实验A：125μL 0.5mg/ml阿霉素，35mgMIP，加血清处理液A1.125ml，震荡过夜，弃上清，用甲醇乙酸（1:1)洗脱四遍（每次0.5ml），回收体积2.12ml。</t>
  </si>
  <si>
    <t>20220625回收实验B：25μL 0.5mg/ml阿霉素，15mgMIP，加血清处理液B1.225ml，震荡过夜，弃上清，用甲醇乙酸（1:1)洗脱两遍（每次0.5ml），回收体积1ml。</t>
  </si>
  <si>
    <t>20220624回收实验B：50μL 0.5mg/ml阿霉素，30mgMIP，加血清处理液B1.2ml，震荡过夜，弃上清，用甲醇乙酸（1:1)洗脱四遍（每次0.5ml），回收体积1.96ml。</t>
  </si>
  <si>
    <t>20220624回收实验B：125μL 0.5mg/ml阿霉素，35mgMIP，加血清处理液B1.125ml，震荡过夜，弃上清，用甲醇乙酸（1:1)洗脱四遍（每次0.5ml），回收体积2.12ml。</t>
  </si>
  <si>
    <t>20220624回收实验C：25μL 0.5mg/ml阿霉素，15mgMIP，加血清处理液C1.2250ml，震荡过夜，弃上清，用甲醇乙酸（1:1)洗脱两遍（每次0.5ml），回收体积1ml。</t>
  </si>
  <si>
    <t>20220624回收实验C：50μL 0.5mg/ml阿霉素，30mgMIP，加血清处理液C 1.2ml，震荡过夜，弃上清，用甲醇乙酸（1:1)洗脱四遍（每次0.5ml），回收体积1.96ml。</t>
  </si>
  <si>
    <t>20220624回收实验C：125μL 0.5mg/ml阿霉素，35mgMIP，加血清处理液C 1.125ml，震荡过夜，弃上清，用甲醇乙酸（1:1)洗脱四遍（每次0.5ml），回收体积2.12ml。</t>
  </si>
  <si>
    <t>DOX标准差</t>
  </si>
  <si>
    <t>SD</t>
  </si>
  <si>
    <t>PEI标准差</t>
  </si>
  <si>
    <t>2023.10.14</t>
  </si>
  <si>
    <t>补做NIP淋洗优化和洗脱优化</t>
  </si>
  <si>
    <t>DOX标准曲线</t>
  </si>
  <si>
    <t>甲醇：水（1：1）配置，232nm 波长测定</t>
  </si>
  <si>
    <t>淋洗条件：100mgNIP+400ul 0.25mg/mlDOX+4.6ml血清处理液500转振荡5个小时</t>
  </si>
  <si>
    <t>磁分离测定上清液DOX浓度</t>
  </si>
  <si>
    <t>上清液中DOX含量</t>
  </si>
  <si>
    <t>浓度均值</t>
  </si>
  <si>
    <t>吸光度4</t>
  </si>
  <si>
    <t>吸附后上清液DOX的含量和加入的量相同，说明NIP不吸附DOX</t>
  </si>
  <si>
    <t>淋洗优化：将上述吸附后的NIP磁分离，去上清，然后分别用不同浓度水/甲醇溶液1ml淋洗，测定淋洗上清液中DOX的含量</t>
  </si>
  <si>
    <t>水：甲醇比例</t>
  </si>
  <si>
    <t>淋洗上清液DOX含量</t>
  </si>
  <si>
    <t>8:2</t>
  </si>
  <si>
    <t>7;3</t>
  </si>
  <si>
    <t>6:4</t>
  </si>
  <si>
    <t>5:5</t>
  </si>
  <si>
    <t>4:6</t>
  </si>
  <si>
    <t>3:7</t>
  </si>
  <si>
    <t>2:8</t>
  </si>
  <si>
    <t>1:9</t>
  </si>
  <si>
    <t>洗脱优化：淋洗后去上清，加入不同比例甲醇/乙酸溶液1ml，振荡混匀1小时，磁分离后，476nm波长测上清中DOX的含量</t>
  </si>
  <si>
    <t>甲醇/乙酸比例</t>
  </si>
  <si>
    <t>回收率%</t>
  </si>
  <si>
    <t>洗脱液中DOX含量mg</t>
  </si>
  <si>
    <t>0：10（纯乙酸）</t>
  </si>
  <si>
    <t>EPI标准曲线</t>
  </si>
  <si>
    <t>淋洗条件：100mgNIP+400ul 0.25mg/mlEPI+4.6ml血清处理液500转振荡5个小时</t>
  </si>
  <si>
    <t>磁分离测定上清液EPI浓度</t>
  </si>
  <si>
    <t>上清液中EPI含量</t>
  </si>
  <si>
    <t>吸附后上清液EPI的含量和加入的量相同，说明NIP不吸附EPI</t>
  </si>
  <si>
    <t>淋洗优化：将上述吸附后的NIP磁分离，去上清，然后分别用不同浓度水/甲醇溶液1ml淋洗，测定淋洗上清液中EPI的含量</t>
  </si>
  <si>
    <t>淋洗上清液EPI含量</t>
  </si>
  <si>
    <t>洗脱优化：淋洗后去上清，加入不同比例甲醇/乙酸溶液1ml，振荡混匀1小时，磁分离后，476nm波长测上清中EPI的含量</t>
  </si>
  <si>
    <t>洗脱液中EPI含量mg</t>
  </si>
  <si>
    <t>2023.10.17干扰试验 称取20mgMIP和NIP放入1.5mlEP管中，分别加入0.25mg/ml的罗红霉素、地红霉素、阿奇霉素、克拉霉素、红霉素50ul，振荡12小时</t>
  </si>
  <si>
    <t>罗红霉素ROX标准曲线</t>
  </si>
  <si>
    <t>210nm测量吸光度</t>
  </si>
  <si>
    <t>地红霉素DRI标准曲线</t>
  </si>
  <si>
    <t>阿奇霉素AZI标准曲线</t>
  </si>
  <si>
    <t>克拉霉素CLA标准曲线</t>
  </si>
  <si>
    <t>红霉素ERY标准曲线</t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</si>
  <si>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DOX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</si>
  <si>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EPI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</si>
  <si>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DRI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</si>
  <si>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ROX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</si>
  <si>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REY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</si>
  <si>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AZI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</si>
  <si>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9"/>
        <color rgb="FF000000"/>
        <rFont val="Times New Roman"/>
        <charset val="134"/>
      </rPr>
      <t>Q</t>
    </r>
    <r>
      <rPr>
        <vertAlign val="subscript"/>
        <sz val="9"/>
        <color rgb="FF000000"/>
        <rFont val="Times New Roman"/>
        <charset val="134"/>
      </rPr>
      <t>CLA</t>
    </r>
    <r>
      <rPr>
        <sz val="9"/>
        <color rgb="FF000000"/>
        <rFont val="Times New Roman"/>
        <charset val="134"/>
      </rPr>
      <t xml:space="preserve"> </t>
    </r>
    <r>
      <rPr>
        <sz val="9"/>
        <color rgb="FF000000"/>
        <rFont val="Times New Roman"/>
        <charset val="134"/>
      </rPr>
      <t>(mg g</t>
    </r>
    <r>
      <rPr>
        <i/>
        <sz val="9"/>
        <color rgb="FF000000"/>
        <rFont val="Times New Roman"/>
        <charset val="134"/>
      </rPr>
      <t>−</t>
    </r>
    <r>
      <rPr>
        <sz val="9"/>
        <color rgb="FF000000"/>
        <rFont val="Times New Roman"/>
        <charset val="134"/>
      </rPr>
      <t>1)</t>
    </r>
  </si>
  <si>
    <r>
      <rPr>
        <sz val="12"/>
        <color rgb="FF101214"/>
        <rFont val="Segoe UI"/>
        <charset val="134"/>
      </rPr>
      <t>MMIPs</t>
    </r>
  </si>
  <si>
    <r>
      <rPr>
        <sz val="12"/>
        <color rgb="FF101214"/>
        <rFont val="Segoe UI"/>
        <charset val="134"/>
      </rPr>
      <t>MNIPs</t>
    </r>
  </si>
  <si>
    <t>红霉素液相色谱标准曲线</t>
  </si>
  <si>
    <t>加入1ml红霉素浓度</t>
  </si>
  <si>
    <t>吸附后上清液面积</t>
  </si>
  <si>
    <t>补做MIP用量优化和洗脱时间优化</t>
  </si>
  <si>
    <t>DOX浓度mg/ml（水：甲醇=1：1）</t>
  </si>
  <si>
    <t>EPI浓度mg/ml（水：甲醇=1：1）</t>
  </si>
  <si>
    <t>不同MIP、NIP用量时DOX吸附量和回收率</t>
  </si>
  <si>
    <t>分别称取20、30、50、100、150mg MIP和NIP加10ml甲醇，活化，加400ul0.25mg/mlDOX，加4.6ml血清甲醇处理液，振荡24小时，磁分离测上清DOX的浓度</t>
  </si>
  <si>
    <t>MIP量</t>
  </si>
  <si>
    <t>DOX回收率(%)</t>
  </si>
  <si>
    <t>20mg</t>
  </si>
  <si>
    <t>30mg</t>
  </si>
  <si>
    <t>50mg</t>
  </si>
  <si>
    <t>100mg</t>
  </si>
  <si>
    <t>150mg</t>
  </si>
  <si>
    <t>NIP量</t>
  </si>
  <si>
    <t>不同MIP、NIP用量时EPI吸附量和回收率</t>
  </si>
  <si>
    <t>EPI回收率(%)</t>
  </si>
  <si>
    <t>2025.2.14补做MIP EPI淋洗优化</t>
  </si>
  <si>
    <r>
      <rPr>
        <sz val="11"/>
        <color theme="1"/>
        <rFont val="宋体"/>
        <charset val="134"/>
        <scheme val="minor"/>
      </rPr>
      <t>淋洗优化：将上述吸附后的MIP磁分离，去上清，然后分别用不同浓度水/甲醇溶液5</t>
    </r>
    <r>
      <rPr>
        <sz val="11"/>
        <color theme="1"/>
        <rFont val="宋体"/>
        <charset val="134"/>
        <scheme val="minor"/>
      </rPr>
      <t>ml震荡</t>
    </r>
    <r>
      <rPr>
        <sz val="11"/>
        <color theme="1"/>
        <rFont val="宋体"/>
        <charset val="134"/>
        <scheme val="minor"/>
      </rPr>
      <t>1分钟</t>
    </r>
    <r>
      <rPr>
        <sz val="11"/>
        <color theme="1"/>
        <rFont val="宋体"/>
        <charset val="134"/>
        <scheme val="minor"/>
      </rPr>
      <t>，磁分离测定淋洗上清液中EPI的含量</t>
    </r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</si>
  <si>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:</t>
    </r>
    <r>
      <rPr>
        <sz val="11"/>
        <color theme="1"/>
        <rFont val="宋体"/>
        <charset val="134"/>
        <scheme val="minor"/>
      </rPr>
      <t>3</t>
    </r>
  </si>
  <si>
    <t>以淋洗液（水：甲醇）比例为9:1时，淋洗效果最好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</si>
</sst>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000_ "/>
    <numFmt numFmtId="177" formatCode="0.000000000_ "/>
    <numFmt numFmtId="178" formatCode="0.000_ "/>
    <numFmt numFmtId="179" formatCode="0.0000000000_ "/>
  </numFmts>
  <fonts count="32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name val="Segoe UI"/>
      <charset val="134"/>
    </font>
    <font>
      <b/>
      <sz val="11"/>
      <color theme="1"/>
      <name val="宋体"/>
      <charset val="134"/>
      <scheme val="minor"/>
    </font>
    <font>
      <sz val="9"/>
      <color rgb="FF000000"/>
      <name val="Times New Roman"/>
      <charset val="134"/>
    </font>
    <font>
      <sz val="12"/>
      <color rgb="FF101214"/>
      <name val="Segoe UI"/>
      <charset val="134"/>
    </font>
    <font>
      <sz val="12"/>
      <color rgb="FF10121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9"/>
      <color rgb="FF000000"/>
      <name val="Times New Roman"/>
      <charset val="134"/>
    </font>
    <font>
      <i/>
      <sz val="9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1" applyNumberFormat="0" applyAlignment="0" applyProtection="0">
      <alignment vertical="center"/>
    </xf>
    <xf numFmtId="0" fontId="20" fillId="5" borderId="12" applyNumberFormat="0" applyAlignment="0" applyProtection="0">
      <alignment vertical="center"/>
    </xf>
    <xf numFmtId="0" fontId="21" fillId="5" borderId="11" applyNumberFormat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justify" vertical="center" indent="2"/>
    </xf>
    <xf numFmtId="0" fontId="4" fillId="0" borderId="4" xfId="0" applyFont="1" applyBorder="1" applyAlignment="1">
      <alignment horizontal="justify" vertical="top" wrapText="1"/>
    </xf>
    <xf numFmtId="0" fontId="5" fillId="0" borderId="4" xfId="0" applyFont="1" applyBorder="1" applyAlignment="1">
      <alignment horizontal="justify" vertical="top" wrapText="1"/>
    </xf>
    <xf numFmtId="0" fontId="6" fillId="0" borderId="0" xfId="0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6" fillId="0" borderId="2" xfId="0" applyFont="1" applyBorder="1" applyAlignment="1">
      <alignment horizontal="justify" vertical="top" wrapText="1"/>
    </xf>
    <xf numFmtId="0" fontId="0" fillId="0" borderId="2" xfId="0" applyFont="1" applyBorder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31" fontId="7" fillId="0" borderId="0" xfId="0" applyNumberFormat="1" applyFont="1">
      <alignment vertical="center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8" fillId="0" borderId="0" xfId="0" applyFont="1" applyAlignment="1">
      <alignment horizontal="center" vertical="top" wrapText="1"/>
    </xf>
    <xf numFmtId="0" fontId="0" fillId="0" borderId="5" xfId="0" applyBorder="1">
      <alignment vertical="center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justify" vertical="top" wrapText="1"/>
    </xf>
    <xf numFmtId="0" fontId="10" fillId="0" borderId="6" xfId="0" applyFont="1" applyBorder="1" applyAlignment="1">
      <alignment horizontal="justify" vertical="top" wrapText="1"/>
    </xf>
    <xf numFmtId="0" fontId="0" fillId="0" borderId="6" xfId="0" applyBorder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132983377079"/>
          <c:y val="0.0282524059492563"/>
          <c:w val="0.612053368328959"/>
          <c:h val="0.798225065616799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Sheet1!$B$6:$B$10</c:f>
              <c:numCache>
                <c:formatCode>General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0.125</c:v>
                </c:pt>
                <c:pt idx="3">
                  <c:v>0.0625</c:v>
                </c:pt>
                <c:pt idx="4">
                  <c:v>0.025</c:v>
                </c:pt>
              </c:numCache>
            </c:numRef>
          </c:xVal>
          <c:yVal>
            <c:numRef>
              <c:f>Sheet1!$C$6:$C$10</c:f>
              <c:numCache>
                <c:formatCode>General</c:formatCode>
                <c:ptCount val="5"/>
                <c:pt idx="0">
                  <c:v>1.35666666666667</c:v>
                </c:pt>
                <c:pt idx="1">
                  <c:v>1.18666666666667</c:v>
                </c:pt>
                <c:pt idx="2">
                  <c:v>0.721333333333333</c:v>
                </c:pt>
                <c:pt idx="3">
                  <c:v>0.382333333333333</c:v>
                </c:pt>
                <c:pt idx="4">
                  <c:v>0.176333333333333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0272"/>
        <c:axId val="97671808"/>
      </c:scatterChart>
      <c:valAx>
        <c:axId val="976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71808"/>
        <c:crosses val="autoZero"/>
        <c:crossBetween val="midCat"/>
      </c:valAx>
      <c:valAx>
        <c:axId val="9767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702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28a0e8a-d57b-4500-906a-3e1b1b14c7ec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Sheet1!$L$393:$L$398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Sheet1!$M$393:$M$398</c:f>
              <c:numCache>
                <c:formatCode>General</c:formatCode>
                <c:ptCount val="6"/>
                <c:pt idx="0">
                  <c:v>0.105</c:v>
                </c:pt>
                <c:pt idx="1">
                  <c:v>0.66</c:v>
                </c:pt>
                <c:pt idx="2">
                  <c:v>2.01</c:v>
                </c:pt>
                <c:pt idx="3">
                  <c:v>4.27</c:v>
                </c:pt>
                <c:pt idx="4">
                  <c:v>11.72</c:v>
                </c:pt>
                <c:pt idx="5">
                  <c:v>21.45</c:v>
                </c:pt>
              </c:numCache>
            </c:numRef>
          </c:yVal>
          <c:smooth val="0"/>
        </c:ser>
        <c:ser>
          <c:idx val="1"/>
          <c:order val="1"/>
          <c:dLbls>
            <c:delete val="1"/>
          </c:dLbls>
          <c:xVal>
            <c:numRef>
              <c:f>Sheet1!$L$393:$L$398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Sheet1!$N$393:$N$398</c:f>
              <c:numCache>
                <c:formatCode>General</c:formatCode>
                <c:ptCount val="6"/>
                <c:pt idx="0">
                  <c:v>0.171</c:v>
                </c:pt>
                <c:pt idx="1">
                  <c:v>0.28</c:v>
                </c:pt>
                <c:pt idx="2">
                  <c:v>0.29</c:v>
                </c:pt>
                <c:pt idx="3">
                  <c:v>0.72</c:v>
                </c:pt>
                <c:pt idx="4">
                  <c:v>0.49</c:v>
                </c:pt>
                <c:pt idx="5">
                  <c:v>9.39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98016"/>
        <c:axId val="316999552"/>
      </c:scatterChart>
      <c:valAx>
        <c:axId val="3169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6999552"/>
        <c:crosses val="autoZero"/>
        <c:crossBetween val="midCat"/>
      </c:valAx>
      <c:valAx>
        <c:axId val="31699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6998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275e54e-739a-4d83-ab19-4e5438d0723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Sheet1!$B$459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Sheet1!$A$460:$A$474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1200</c:v>
                </c:pt>
              </c:numCache>
            </c:numRef>
          </c:xVal>
          <c:yVal>
            <c:numRef>
              <c:f>Sheet1!$B$460:$B$474</c:f>
              <c:numCache>
                <c:formatCode>General</c:formatCode>
                <c:ptCount val="15"/>
                <c:pt idx="0">
                  <c:v>1.07</c:v>
                </c:pt>
                <c:pt idx="1">
                  <c:v>5.99</c:v>
                </c:pt>
                <c:pt idx="2">
                  <c:v>8.14</c:v>
                </c:pt>
                <c:pt idx="3">
                  <c:v>8.32</c:v>
                </c:pt>
                <c:pt idx="4">
                  <c:v>8.02</c:v>
                </c:pt>
                <c:pt idx="5">
                  <c:v>8.19</c:v>
                </c:pt>
                <c:pt idx="6">
                  <c:v>9.12</c:v>
                </c:pt>
                <c:pt idx="7">
                  <c:v>9.88</c:v>
                </c:pt>
                <c:pt idx="8">
                  <c:v>10.84</c:v>
                </c:pt>
                <c:pt idx="9">
                  <c:v>12.52</c:v>
                </c:pt>
                <c:pt idx="10">
                  <c:v>13.39</c:v>
                </c:pt>
                <c:pt idx="11">
                  <c:v>15.09</c:v>
                </c:pt>
                <c:pt idx="12">
                  <c:v>16.58</c:v>
                </c:pt>
                <c:pt idx="13">
                  <c:v>17.53</c:v>
                </c:pt>
                <c:pt idx="14">
                  <c:v>23.22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Sheet1!$C$459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Sheet1!$A$460:$A$474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  <c:pt idx="14">
                  <c:v>1200</c:v>
                </c:pt>
              </c:numCache>
            </c:numRef>
          </c:xVal>
          <c:yVal>
            <c:numRef>
              <c:f>Sheet1!$C$460:$C$474</c:f>
              <c:numCache>
                <c:formatCode>General</c:formatCode>
                <c:ptCount val="15"/>
                <c:pt idx="0">
                  <c:v>1.06</c:v>
                </c:pt>
                <c:pt idx="1">
                  <c:v>2.5</c:v>
                </c:pt>
                <c:pt idx="2">
                  <c:v>1.68</c:v>
                </c:pt>
                <c:pt idx="3">
                  <c:v>1.61</c:v>
                </c:pt>
                <c:pt idx="4">
                  <c:v>1.72</c:v>
                </c:pt>
                <c:pt idx="5">
                  <c:v>1.85</c:v>
                </c:pt>
                <c:pt idx="6">
                  <c:v>2.15</c:v>
                </c:pt>
                <c:pt idx="7">
                  <c:v>1.35</c:v>
                </c:pt>
                <c:pt idx="8">
                  <c:v>1.73</c:v>
                </c:pt>
                <c:pt idx="9">
                  <c:v>1.92</c:v>
                </c:pt>
                <c:pt idx="10">
                  <c:v>2.17</c:v>
                </c:pt>
                <c:pt idx="11">
                  <c:v>2.12</c:v>
                </c:pt>
                <c:pt idx="12">
                  <c:v>2.59</c:v>
                </c:pt>
                <c:pt idx="13">
                  <c:v>2.13</c:v>
                </c:pt>
                <c:pt idx="14">
                  <c:v>4.38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032"/>
        <c:axId val="317021568"/>
      </c:scatterChart>
      <c:valAx>
        <c:axId val="317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21568"/>
        <c:crosses val="autoZero"/>
        <c:crossBetween val="midCat"/>
      </c:valAx>
      <c:valAx>
        <c:axId val="3170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200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5f7a8a7-5c18-437f-93cf-82db3eceeefe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Sheet1!$B$459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Sheet1!$A$460:$A$473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</c:numCache>
            </c:numRef>
          </c:xVal>
          <c:yVal>
            <c:numRef>
              <c:f>Sheet1!$B$460:$B$473</c:f>
              <c:numCache>
                <c:formatCode>General</c:formatCode>
                <c:ptCount val="14"/>
                <c:pt idx="0">
                  <c:v>1.07</c:v>
                </c:pt>
                <c:pt idx="1">
                  <c:v>5.99</c:v>
                </c:pt>
                <c:pt idx="2">
                  <c:v>8.14</c:v>
                </c:pt>
                <c:pt idx="3">
                  <c:v>8.32</c:v>
                </c:pt>
                <c:pt idx="4">
                  <c:v>8.02</c:v>
                </c:pt>
                <c:pt idx="5">
                  <c:v>8.19</c:v>
                </c:pt>
                <c:pt idx="6">
                  <c:v>9.12</c:v>
                </c:pt>
                <c:pt idx="7">
                  <c:v>9.88</c:v>
                </c:pt>
                <c:pt idx="8">
                  <c:v>10.84</c:v>
                </c:pt>
                <c:pt idx="9">
                  <c:v>12.52</c:v>
                </c:pt>
                <c:pt idx="10">
                  <c:v>13.39</c:v>
                </c:pt>
                <c:pt idx="11">
                  <c:v>15.09</c:v>
                </c:pt>
                <c:pt idx="12">
                  <c:v>16.58</c:v>
                </c:pt>
                <c:pt idx="13">
                  <c:v>17.53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Sheet1!$C$459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Sheet1!$A$460:$A$473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600</c:v>
                </c:pt>
              </c:numCache>
            </c:numRef>
          </c:xVal>
          <c:yVal>
            <c:numRef>
              <c:f>Sheet1!$C$460:$C$473</c:f>
              <c:numCache>
                <c:formatCode>General</c:formatCode>
                <c:ptCount val="14"/>
                <c:pt idx="0">
                  <c:v>1.06</c:v>
                </c:pt>
                <c:pt idx="1">
                  <c:v>2.5</c:v>
                </c:pt>
                <c:pt idx="2">
                  <c:v>1.68</c:v>
                </c:pt>
                <c:pt idx="3">
                  <c:v>1.61</c:v>
                </c:pt>
                <c:pt idx="4">
                  <c:v>1.72</c:v>
                </c:pt>
                <c:pt idx="5">
                  <c:v>1.85</c:v>
                </c:pt>
                <c:pt idx="6">
                  <c:v>2.15</c:v>
                </c:pt>
                <c:pt idx="7">
                  <c:v>1.35</c:v>
                </c:pt>
                <c:pt idx="8">
                  <c:v>1.73</c:v>
                </c:pt>
                <c:pt idx="9">
                  <c:v>1.92</c:v>
                </c:pt>
                <c:pt idx="10">
                  <c:v>2.17</c:v>
                </c:pt>
                <c:pt idx="11">
                  <c:v>2.12</c:v>
                </c:pt>
                <c:pt idx="12">
                  <c:v>2.59</c:v>
                </c:pt>
                <c:pt idx="13">
                  <c:v>2.13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42048"/>
        <c:axId val="317060224"/>
      </c:scatterChart>
      <c:valAx>
        <c:axId val="3170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60224"/>
        <c:crosses val="autoZero"/>
        <c:crossBetween val="midCat"/>
      </c:valAx>
      <c:valAx>
        <c:axId val="3170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420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78559e9-94f7-42f2-9c75-400b6130550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Sheet1!$B$364:$B$368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Sheet1!$C$364:$C$368</c:f>
              <c:numCache>
                <c:formatCode>General</c:formatCode>
                <c:ptCount val="5"/>
                <c:pt idx="0">
                  <c:v>1.46866666666667</c:v>
                </c:pt>
                <c:pt idx="1">
                  <c:v>0.808666666666667</c:v>
                </c:pt>
                <c:pt idx="2">
                  <c:v>0.420333333333333</c:v>
                </c:pt>
                <c:pt idx="3">
                  <c:v>0.19</c:v>
                </c:pt>
                <c:pt idx="4">
                  <c:v>0.114333333333333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84800"/>
        <c:axId val="317086336"/>
      </c:scatterChart>
      <c:valAx>
        <c:axId val="3170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86336"/>
        <c:crosses val="autoZero"/>
        <c:crossBetween val="midCat"/>
      </c:valAx>
      <c:valAx>
        <c:axId val="31708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0848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5f862d-4a9a-4f3c-95ae-de0e03f4aa7f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Sheet1!$B$510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Sheet1!$A$511:$A$521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Sheet1!$B$511:$B$521</c:f>
              <c:numCache>
                <c:formatCode>General</c:formatCode>
                <c:ptCount val="11"/>
                <c:pt idx="0">
                  <c:v>1.36</c:v>
                </c:pt>
                <c:pt idx="1">
                  <c:v>7.4</c:v>
                </c:pt>
                <c:pt idx="2">
                  <c:v>8.71</c:v>
                </c:pt>
                <c:pt idx="3">
                  <c:v>10.63</c:v>
                </c:pt>
                <c:pt idx="4">
                  <c:v>11.5</c:v>
                </c:pt>
                <c:pt idx="5">
                  <c:v>13.8</c:v>
                </c:pt>
                <c:pt idx="6">
                  <c:v>14.97</c:v>
                </c:pt>
                <c:pt idx="7">
                  <c:v>15.63</c:v>
                </c:pt>
                <c:pt idx="8">
                  <c:v>16.48</c:v>
                </c:pt>
                <c:pt idx="9">
                  <c:v>17.22</c:v>
                </c:pt>
                <c:pt idx="10">
                  <c:v>17.22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Sheet1!$C$510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Sheet1!$A$511:$A$521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Sheet1!$C$511:$C$521</c:f>
              <c:numCache>
                <c:formatCode>General</c:formatCode>
                <c:ptCount val="11"/>
                <c:pt idx="0">
                  <c:v>1.328</c:v>
                </c:pt>
                <c:pt idx="1">
                  <c:v>1.38</c:v>
                </c:pt>
                <c:pt idx="2">
                  <c:v>1.27</c:v>
                </c:pt>
                <c:pt idx="3">
                  <c:v>1.22</c:v>
                </c:pt>
                <c:pt idx="4">
                  <c:v>1.14</c:v>
                </c:pt>
                <c:pt idx="5">
                  <c:v>1.39</c:v>
                </c:pt>
                <c:pt idx="6">
                  <c:v>1.58</c:v>
                </c:pt>
                <c:pt idx="7">
                  <c:v>1.84</c:v>
                </c:pt>
                <c:pt idx="8">
                  <c:v>2.2</c:v>
                </c:pt>
                <c:pt idx="9">
                  <c:v>1.75</c:v>
                </c:pt>
                <c:pt idx="10">
                  <c:v>2.33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36896"/>
        <c:axId val="317538688"/>
      </c:scatterChart>
      <c:valAx>
        <c:axId val="31753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538688"/>
        <c:crosses val="autoZero"/>
        <c:crossBetween val="midCat"/>
      </c:valAx>
      <c:valAx>
        <c:axId val="3175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5368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8104fb-d311-4fb1-ad3d-f7f8beda7d8a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Sheet1!$B$315:$B$319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Sheet1!$C$315:$C$319</c:f>
              <c:numCache>
                <c:formatCode>General</c:formatCode>
                <c:ptCount val="5"/>
                <c:pt idx="0">
                  <c:v>1.803</c:v>
                </c:pt>
                <c:pt idx="1">
                  <c:v>0.861333333333333</c:v>
                </c:pt>
                <c:pt idx="2">
                  <c:v>0.445333333333333</c:v>
                </c:pt>
                <c:pt idx="3">
                  <c:v>0.173333333333333</c:v>
                </c:pt>
                <c:pt idx="4">
                  <c:v>0.0813333333333333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59168"/>
        <c:axId val="317560704"/>
      </c:scatterChart>
      <c:valAx>
        <c:axId val="3175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560704"/>
        <c:crosses val="autoZero"/>
        <c:crossBetween val="midCat"/>
      </c:valAx>
      <c:valAx>
        <c:axId val="3175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5591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bbffaa4-e7eb-4a7c-9be3-e3b32fdbf0f8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Sheet1!$B$560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Sheet1!$A$561:$A$571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Sheet1!$B$561:$B$571</c:f>
              <c:numCache>
                <c:formatCode>General</c:formatCode>
                <c:ptCount val="11"/>
                <c:pt idx="0">
                  <c:v>4.404</c:v>
                </c:pt>
                <c:pt idx="1">
                  <c:v>19.6</c:v>
                </c:pt>
                <c:pt idx="2">
                  <c:v>21.52</c:v>
                </c:pt>
                <c:pt idx="3">
                  <c:v>23.6</c:v>
                </c:pt>
                <c:pt idx="4">
                  <c:v>25.28</c:v>
                </c:pt>
                <c:pt idx="5">
                  <c:v>28.56</c:v>
                </c:pt>
                <c:pt idx="6">
                  <c:v>30.43</c:v>
                </c:pt>
                <c:pt idx="7">
                  <c:v>31.03</c:v>
                </c:pt>
                <c:pt idx="8">
                  <c:v>32.39</c:v>
                </c:pt>
                <c:pt idx="9">
                  <c:v>33.73</c:v>
                </c:pt>
                <c:pt idx="10">
                  <c:v>33.97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Sheet1!$C$560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Sheet1!$A$561:$A$571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Sheet1!$C$561:$C$571</c:f>
              <c:numCache>
                <c:formatCode>General</c:formatCode>
                <c:ptCount val="11"/>
                <c:pt idx="0">
                  <c:v>4.8</c:v>
                </c:pt>
                <c:pt idx="1">
                  <c:v>3.89</c:v>
                </c:pt>
                <c:pt idx="2">
                  <c:v>3.62</c:v>
                </c:pt>
                <c:pt idx="3">
                  <c:v>3.89</c:v>
                </c:pt>
                <c:pt idx="4">
                  <c:v>3.82</c:v>
                </c:pt>
                <c:pt idx="5">
                  <c:v>4.14</c:v>
                </c:pt>
                <c:pt idx="6">
                  <c:v>4.32</c:v>
                </c:pt>
                <c:pt idx="7">
                  <c:v>4.22</c:v>
                </c:pt>
                <c:pt idx="8">
                  <c:v>4.39</c:v>
                </c:pt>
                <c:pt idx="9">
                  <c:v>4.73</c:v>
                </c:pt>
                <c:pt idx="10">
                  <c:v>4.63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392768"/>
        <c:axId val="317394304"/>
      </c:scatterChart>
      <c:valAx>
        <c:axId val="31739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394304"/>
        <c:crosses val="autoZero"/>
        <c:crossBetween val="midCat"/>
      </c:valAx>
      <c:valAx>
        <c:axId val="3173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39276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dc8749-daf4-4bca-a2a8-e285b7991f5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Sheet1!$B$579:$B$584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Sheet1!$C$579:$C$584</c:f>
              <c:numCache>
                <c:formatCode>General</c:formatCode>
                <c:ptCount val="6"/>
                <c:pt idx="0">
                  <c:v>2.29833333333333</c:v>
                </c:pt>
                <c:pt idx="1">
                  <c:v>1.46666666666667</c:v>
                </c:pt>
                <c:pt idx="2">
                  <c:v>0.636333333333333</c:v>
                </c:pt>
                <c:pt idx="3">
                  <c:v>0.322333333333333</c:v>
                </c:pt>
                <c:pt idx="4">
                  <c:v>0.126666666666667</c:v>
                </c:pt>
                <c:pt idx="5">
                  <c:v>0.0653333333333333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418880"/>
        <c:axId val="317432960"/>
      </c:scatterChart>
      <c:valAx>
        <c:axId val="3174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432960"/>
        <c:crosses val="autoZero"/>
        <c:crossBetween val="midCat"/>
      </c:valAx>
      <c:valAx>
        <c:axId val="31743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4188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1ce021-711c-4993-9724-ad4b2ee0c8e3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Sheet1!$B$580:$B$584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Sheet1!$C$580:$C$584</c:f>
              <c:numCache>
                <c:formatCode>General</c:formatCode>
                <c:ptCount val="5"/>
                <c:pt idx="0">
                  <c:v>1.46666666666667</c:v>
                </c:pt>
                <c:pt idx="1">
                  <c:v>0.636333333333333</c:v>
                </c:pt>
                <c:pt idx="2">
                  <c:v>0.322333333333333</c:v>
                </c:pt>
                <c:pt idx="3">
                  <c:v>0.126666666666667</c:v>
                </c:pt>
                <c:pt idx="4">
                  <c:v>0.0653333333333333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62336"/>
        <c:axId val="317663872"/>
      </c:scatterChart>
      <c:valAx>
        <c:axId val="3176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63872"/>
        <c:crosses val="autoZero"/>
        <c:crossBetween val="midCat"/>
      </c:valAx>
      <c:valAx>
        <c:axId val="3176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623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32467bf-7c53-4582-b680-a2c48ab76aa6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Sheet1!$C$613</c:f>
              <c:strCache>
                <c:ptCount val="1"/>
                <c:pt idx="0">
                  <c:v>MIP吸附量</c:v>
                </c:pt>
              </c:strCache>
            </c:strRef>
          </c:tx>
          <c:dLbls>
            <c:delete val="1"/>
          </c:dLbls>
          <c:xVal>
            <c:numRef>
              <c:f>Sheet1!$B$614:$B$619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Sheet1!$C$614:$C$619</c:f>
              <c:numCache>
                <c:formatCode>General</c:formatCode>
                <c:ptCount val="6"/>
                <c:pt idx="0">
                  <c:v>0.05</c:v>
                </c:pt>
                <c:pt idx="1">
                  <c:v>0.394</c:v>
                </c:pt>
                <c:pt idx="2">
                  <c:v>1.893</c:v>
                </c:pt>
                <c:pt idx="3">
                  <c:v>4.902</c:v>
                </c:pt>
                <c:pt idx="4">
                  <c:v>11.84</c:v>
                </c:pt>
                <c:pt idx="5">
                  <c:v>19.72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Sheet1!$D$613</c:f>
              <c:strCache>
                <c:ptCount val="1"/>
                <c:pt idx="0">
                  <c:v>NIP吸附量</c:v>
                </c:pt>
              </c:strCache>
            </c:strRef>
          </c:tx>
          <c:dLbls>
            <c:delete val="1"/>
          </c:dLbls>
          <c:xVal>
            <c:numRef>
              <c:f>Sheet1!$B$614:$B$619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Sheet1!$D$614:$D$619</c:f>
              <c:numCache>
                <c:formatCode>General</c:formatCode>
                <c:ptCount val="6"/>
                <c:pt idx="0">
                  <c:v>0.04</c:v>
                </c:pt>
                <c:pt idx="1">
                  <c:v>0.02</c:v>
                </c:pt>
                <c:pt idx="2">
                  <c:v>0.077</c:v>
                </c:pt>
                <c:pt idx="3">
                  <c:v>0.207</c:v>
                </c:pt>
                <c:pt idx="4">
                  <c:v>0.06</c:v>
                </c:pt>
                <c:pt idx="5">
                  <c:v>1.914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96640"/>
        <c:axId val="317702528"/>
      </c:scatterChart>
      <c:valAx>
        <c:axId val="317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02528"/>
        <c:crosses val="autoZero"/>
        <c:crossBetween val="midCat"/>
      </c:valAx>
      <c:valAx>
        <c:axId val="317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966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03a216f-3fbe-4e08-83d1-f16f251f6884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Sheet1!$B$242:$B$247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0.025</c:v>
                </c:pt>
                <c:pt idx="5">
                  <c:v>0.0125</c:v>
                </c:pt>
              </c:numCache>
            </c:numRef>
          </c:xVal>
          <c:yVal>
            <c:numRef>
              <c:f>Sheet1!$C$242:$C$247</c:f>
              <c:numCache>
                <c:formatCode>General</c:formatCode>
                <c:ptCount val="6"/>
                <c:pt idx="0">
                  <c:v>1.814</c:v>
                </c:pt>
                <c:pt idx="1">
                  <c:v>1.065</c:v>
                </c:pt>
                <c:pt idx="2">
                  <c:v>0.448</c:v>
                </c:pt>
                <c:pt idx="3">
                  <c:v>0.237333333333333</c:v>
                </c:pt>
                <c:pt idx="4">
                  <c:v>0.126666666666667</c:v>
                </c:pt>
                <c:pt idx="5">
                  <c:v>0.068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86944"/>
        <c:axId val="267605120"/>
      </c:scatterChart>
      <c:valAx>
        <c:axId val="2675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605120"/>
        <c:crosses val="autoZero"/>
        <c:crossBetween val="midCat"/>
      </c:valAx>
      <c:valAx>
        <c:axId val="2676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586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27bc259-d29c-4204-a22a-16f3b0dd5ae7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Sheet1!$B$580:$B$584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Sheet1!$C$580:$C$584</c:f>
              <c:numCache>
                <c:formatCode>General</c:formatCode>
                <c:ptCount val="5"/>
                <c:pt idx="0">
                  <c:v>1.46666666666667</c:v>
                </c:pt>
                <c:pt idx="1">
                  <c:v>0.636333333333333</c:v>
                </c:pt>
                <c:pt idx="2">
                  <c:v>0.322333333333333</c:v>
                </c:pt>
                <c:pt idx="3">
                  <c:v>0.126666666666667</c:v>
                </c:pt>
                <c:pt idx="4">
                  <c:v>0.0653333333333333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23008"/>
        <c:axId val="317724544"/>
      </c:scatterChart>
      <c:valAx>
        <c:axId val="317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24544"/>
        <c:crosses val="autoZero"/>
        <c:crossBetween val="midCat"/>
      </c:valAx>
      <c:valAx>
        <c:axId val="3177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230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f0c059-6bfb-4cdd-a825-e587ecdbfe5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Sheet1!$C$662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Sheet1!$B$663:$B$673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90</c:v>
                </c:pt>
                <c:pt idx="6">
                  <c:v>140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Sheet1!$C$663:$C$673</c:f>
              <c:numCache>
                <c:formatCode>General</c:formatCode>
                <c:ptCount val="11"/>
                <c:pt idx="0">
                  <c:v>1.445</c:v>
                </c:pt>
                <c:pt idx="1">
                  <c:v>18.92</c:v>
                </c:pt>
                <c:pt idx="2">
                  <c:v>20.46</c:v>
                </c:pt>
                <c:pt idx="3">
                  <c:v>23.09</c:v>
                </c:pt>
                <c:pt idx="4">
                  <c:v>24.29</c:v>
                </c:pt>
                <c:pt idx="5">
                  <c:v>26.12</c:v>
                </c:pt>
                <c:pt idx="6">
                  <c:v>28.13</c:v>
                </c:pt>
                <c:pt idx="7">
                  <c:v>31.08</c:v>
                </c:pt>
                <c:pt idx="8">
                  <c:v>32.61</c:v>
                </c:pt>
                <c:pt idx="9">
                  <c:v>33.72</c:v>
                </c:pt>
                <c:pt idx="10">
                  <c:v>34.17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Sheet1!$D$662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Sheet1!$B$663:$B$673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90</c:v>
                </c:pt>
                <c:pt idx="6">
                  <c:v>140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</c:numCache>
            </c:numRef>
          </c:xVal>
          <c:yVal>
            <c:numRef>
              <c:f>Sheet1!$D$663:$D$673</c:f>
              <c:numCache>
                <c:formatCode>General</c:formatCode>
                <c:ptCount val="11"/>
                <c:pt idx="0">
                  <c:v>1.55</c:v>
                </c:pt>
                <c:pt idx="1">
                  <c:v>0.58</c:v>
                </c:pt>
                <c:pt idx="2">
                  <c:v>0.75</c:v>
                </c:pt>
                <c:pt idx="3">
                  <c:v>0.64</c:v>
                </c:pt>
                <c:pt idx="4">
                  <c:v>0.51</c:v>
                </c:pt>
                <c:pt idx="5">
                  <c:v>0.05</c:v>
                </c:pt>
                <c:pt idx="6">
                  <c:v>0.47</c:v>
                </c:pt>
                <c:pt idx="7">
                  <c:v>1.34</c:v>
                </c:pt>
                <c:pt idx="8">
                  <c:v>1.42</c:v>
                </c:pt>
                <c:pt idx="9">
                  <c:v>1.48</c:v>
                </c:pt>
                <c:pt idx="10">
                  <c:v>1.81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53600"/>
        <c:axId val="317771776"/>
      </c:scatterChart>
      <c:valAx>
        <c:axId val="3177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71776"/>
        <c:crosses val="autoZero"/>
        <c:crossBetween val="midCat"/>
      </c:valAx>
      <c:valAx>
        <c:axId val="3177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536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ea8bd04-db0b-48ee-a38c-3e2eea1d45b9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Sheet1!$B$316:$B$319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Sheet1!$C$316:$C$319</c:f>
              <c:numCache>
                <c:formatCode>General</c:formatCode>
                <c:ptCount val="4"/>
                <c:pt idx="0">
                  <c:v>0.861333333333333</c:v>
                </c:pt>
                <c:pt idx="1">
                  <c:v>0.445333333333333</c:v>
                </c:pt>
                <c:pt idx="2">
                  <c:v>0.173333333333333</c:v>
                </c:pt>
                <c:pt idx="3">
                  <c:v>0.0813333333333333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16512"/>
        <c:axId val="317618048"/>
      </c:scatterChart>
      <c:valAx>
        <c:axId val="3176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18048"/>
        <c:crosses val="autoZero"/>
        <c:crossBetween val="midCat"/>
      </c:valAx>
      <c:valAx>
        <c:axId val="3176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165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1a14ee-c3dd-4908-bd1d-41dc6fac060e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Sheet1!$B$316:$B$319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Sheet1!$C$316:$C$319</c:f>
              <c:numCache>
                <c:formatCode>General</c:formatCode>
                <c:ptCount val="4"/>
                <c:pt idx="0">
                  <c:v>0.861333333333333</c:v>
                </c:pt>
                <c:pt idx="1">
                  <c:v>0.445333333333333</c:v>
                </c:pt>
                <c:pt idx="2">
                  <c:v>0.173333333333333</c:v>
                </c:pt>
                <c:pt idx="3">
                  <c:v>0.0813333333333333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34816"/>
        <c:axId val="317636608"/>
      </c:scatterChart>
      <c:valAx>
        <c:axId val="3176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36608"/>
        <c:crosses val="autoZero"/>
        <c:crossBetween val="midCat"/>
      </c:valAx>
      <c:valAx>
        <c:axId val="3176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6348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9aa0804-8d51-4c50-9326-7bb6e76afe7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Sheet1!$G$677</c:f>
              <c:strCache>
                <c:ptCount val="1"/>
                <c:pt idx="0">
                  <c:v>上清液含量mg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Sheet1!$B$678:$B$686</c:f>
              <c:strCache>
                <c:ptCount val="9"/>
                <c:pt idx="0" c:formatCode="@">
                  <c:v>9:1</c:v>
                </c:pt>
                <c:pt idx="1" c:formatCode="@">
                  <c:v>8:2</c:v>
                </c:pt>
                <c:pt idx="2" c:formatCode="@">
                  <c:v>7:3</c:v>
                </c:pt>
                <c:pt idx="3" c:formatCode="@">
                  <c:v>6:4</c:v>
                </c:pt>
                <c:pt idx="4" c:formatCode="@">
                  <c:v>5:5</c:v>
                </c:pt>
                <c:pt idx="5" c:formatCode="@">
                  <c:v>4:6</c:v>
                </c:pt>
                <c:pt idx="6" c:formatCode="@">
                  <c:v>3:7</c:v>
                </c:pt>
                <c:pt idx="7" c:formatCode="@">
                  <c:v>2:8</c:v>
                </c:pt>
                <c:pt idx="8" c:formatCode="@">
                  <c:v>1:9</c:v>
                </c:pt>
              </c:strCache>
            </c:strRef>
          </c:cat>
          <c:val>
            <c:numRef>
              <c:f>Sheet1!$G$678:$G$686</c:f>
              <c:numCache>
                <c:formatCode>General</c:formatCode>
                <c:ptCount val="9"/>
                <c:pt idx="0">
                  <c:v>0.010203688729737</c:v>
                </c:pt>
                <c:pt idx="1">
                  <c:v>0.0125139578760926</c:v>
                </c:pt>
                <c:pt idx="2">
                  <c:v>0.0138616148781333</c:v>
                </c:pt>
                <c:pt idx="3">
                  <c:v>0.0155943167379</c:v>
                </c:pt>
                <c:pt idx="4">
                  <c:v>0.0313811559046629</c:v>
                </c:pt>
                <c:pt idx="5">
                  <c:v>0.0319587231912518</c:v>
                </c:pt>
                <c:pt idx="6">
                  <c:v>0.0419698894921258</c:v>
                </c:pt>
                <c:pt idx="7">
                  <c:v>0.0602595202341073</c:v>
                </c:pt>
                <c:pt idx="8">
                  <c:v>0.0671903276731739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856768"/>
        <c:axId val="317866752"/>
      </c:barChart>
      <c:catAx>
        <c:axId val="31785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866752"/>
        <c:crosses val="autoZero"/>
        <c:auto val="1"/>
        <c:lblAlgn val="ctr"/>
        <c:lblOffset val="100"/>
        <c:noMultiLvlLbl val="0"/>
      </c:catAx>
      <c:valAx>
        <c:axId val="3178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85676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4f12131-4228-4db4-98be-ec49cc0eca88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Sheet1!$B$314:$B$317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</c:numCache>
            </c:numRef>
          </c:xVal>
          <c:yVal>
            <c:numRef>
              <c:f>Sheet1!$C$314:$C$317</c:f>
              <c:numCache>
                <c:formatCode>General</c:formatCode>
                <c:ptCount val="4"/>
                <c:pt idx="0">
                  <c:v>2.36433333333333</c:v>
                </c:pt>
                <c:pt idx="1">
                  <c:v>1.803</c:v>
                </c:pt>
                <c:pt idx="2">
                  <c:v>0.861333333333333</c:v>
                </c:pt>
                <c:pt idx="3">
                  <c:v>0.445333333333333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99520"/>
        <c:axId val="317901056"/>
      </c:scatterChart>
      <c:valAx>
        <c:axId val="317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901056"/>
        <c:crosses val="autoZero"/>
        <c:crossBetween val="midCat"/>
      </c:valAx>
      <c:valAx>
        <c:axId val="317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8995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4bc7ce-b52b-47e5-b935-bd2a48c25bed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Sheet1!$G$708</c:f>
              <c:strCache>
                <c:ptCount val="1"/>
                <c:pt idx="0">
                  <c:v>上清液含量mg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Sheet1!$B$709:$B$717</c:f>
              <c:strCache>
                <c:ptCount val="9"/>
                <c:pt idx="0" c:formatCode="@">
                  <c:v>9:1</c:v>
                </c:pt>
                <c:pt idx="1" c:formatCode="@">
                  <c:v>8:2</c:v>
                </c:pt>
                <c:pt idx="2" c:formatCode="@">
                  <c:v>7:3</c:v>
                </c:pt>
                <c:pt idx="3" c:formatCode="@">
                  <c:v>6:4</c:v>
                </c:pt>
                <c:pt idx="4" c:formatCode="@">
                  <c:v>5:5</c:v>
                </c:pt>
                <c:pt idx="5" c:formatCode="@">
                  <c:v>4:6</c:v>
                </c:pt>
                <c:pt idx="6" c:formatCode="@">
                  <c:v>3:7</c:v>
                </c:pt>
                <c:pt idx="7" c:formatCode="@">
                  <c:v>2:8</c:v>
                </c:pt>
                <c:pt idx="8" c:formatCode="@">
                  <c:v>1:9</c:v>
                </c:pt>
              </c:strCache>
            </c:strRef>
          </c:cat>
          <c:val>
            <c:numRef>
              <c:f>Sheet1!$G$709:$G$717</c:f>
              <c:numCache>
                <c:formatCode>General</c:formatCode>
                <c:ptCount val="9"/>
                <c:pt idx="0">
                  <c:v>0.484236670272003</c:v>
                </c:pt>
                <c:pt idx="1">
                  <c:v>0.568922004566759</c:v>
                </c:pt>
                <c:pt idx="2">
                  <c:v>0.622521331570725</c:v>
                </c:pt>
                <c:pt idx="3">
                  <c:v>0.617874454192204</c:v>
                </c:pt>
                <c:pt idx="4">
                  <c:v>0.649921884388896</c:v>
                </c:pt>
                <c:pt idx="5">
                  <c:v>0.575331490606097</c:v>
                </c:pt>
                <c:pt idx="6">
                  <c:v>0.608500580859672</c:v>
                </c:pt>
                <c:pt idx="7">
                  <c:v>0.566278091575532</c:v>
                </c:pt>
                <c:pt idx="8">
                  <c:v>0.60329287345271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797888"/>
        <c:axId val="317799424"/>
      </c:barChart>
      <c:catAx>
        <c:axId val="31779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99424"/>
        <c:crosses val="autoZero"/>
        <c:auto val="1"/>
        <c:lblAlgn val="ctr"/>
        <c:lblOffset val="100"/>
        <c:noMultiLvlLbl val="0"/>
      </c:catAx>
      <c:valAx>
        <c:axId val="3177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77978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188ea4-024e-4adb-99da-e9b9070c4737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132983377078"/>
          <c:y val="0.0745487022455526"/>
          <c:w val="0.726874234470691"/>
          <c:h val="0.79822506561679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Sheet1!$B$741:$B$746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Sheet1!$C$741:$C$746</c:f>
              <c:numCache>
                <c:formatCode>General</c:formatCode>
                <c:ptCount val="6"/>
                <c:pt idx="0">
                  <c:v>2.29066666666667</c:v>
                </c:pt>
                <c:pt idx="1">
                  <c:v>1.476</c:v>
                </c:pt>
                <c:pt idx="2">
                  <c:v>0.749333333333333</c:v>
                </c:pt>
                <c:pt idx="3">
                  <c:v>0.400333333333333</c:v>
                </c:pt>
                <c:pt idx="4">
                  <c:v>0.171666666666667</c:v>
                </c:pt>
                <c:pt idx="5">
                  <c:v>0.106666666666667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31040"/>
        <c:axId val="258647168"/>
      </c:scatterChart>
      <c:valAx>
        <c:axId val="259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8647168"/>
        <c:crosses val="autoZero"/>
        <c:crossBetween val="midCat"/>
      </c:valAx>
      <c:valAx>
        <c:axId val="2586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903104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118855-054c-4cb2-b237-27214f72394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Sheet1!$B$742:$B$747</c:f>
              <c:numCache>
                <c:formatCode>General</c:formatCode>
                <c:ptCount val="6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Sheet1!$C$742:$C$747</c:f>
              <c:numCache>
                <c:formatCode>General</c:formatCode>
                <c:ptCount val="6"/>
                <c:pt idx="0">
                  <c:v>1.476</c:v>
                </c:pt>
                <c:pt idx="1">
                  <c:v>0.749333333333333</c:v>
                </c:pt>
                <c:pt idx="2">
                  <c:v>0.400333333333333</c:v>
                </c:pt>
                <c:pt idx="3">
                  <c:v>0.171666666666667</c:v>
                </c:pt>
                <c:pt idx="4">
                  <c:v>0.106666666666667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87232"/>
        <c:axId val="267085312"/>
      </c:scatterChart>
      <c:valAx>
        <c:axId val="267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085312"/>
        <c:crosses val="autoZero"/>
        <c:crossBetween val="midCat"/>
      </c:valAx>
      <c:valAx>
        <c:axId val="26708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0872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d4ff2bc-4ddb-4e0c-8477-c07302fa0aa0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Sheet1!$C$785</c:f>
              <c:strCache>
                <c:ptCount val="1"/>
                <c:pt idx="0">
                  <c:v>MIP静态吸附量</c:v>
                </c:pt>
              </c:strCache>
            </c:strRef>
          </c:tx>
          <c:dLbls>
            <c:delete val="1"/>
          </c:dLbls>
          <c:xVal>
            <c:numRef>
              <c:f>Sheet1!$B$786:$B$791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Sheet1!$C$786:$C$791</c:f>
              <c:numCache>
                <c:formatCode>General</c:formatCode>
                <c:ptCount val="6"/>
                <c:pt idx="0">
                  <c:v>0.248</c:v>
                </c:pt>
                <c:pt idx="1">
                  <c:v>0.697</c:v>
                </c:pt>
                <c:pt idx="2">
                  <c:v>2.271</c:v>
                </c:pt>
                <c:pt idx="3">
                  <c:v>4.574</c:v>
                </c:pt>
                <c:pt idx="4">
                  <c:v>11.49</c:v>
                </c:pt>
                <c:pt idx="5">
                  <c:v>23.277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Sheet1!$D$785</c:f>
              <c:strCache>
                <c:ptCount val="1"/>
                <c:pt idx="0">
                  <c:v>NIP静态吸附量</c:v>
                </c:pt>
              </c:strCache>
            </c:strRef>
          </c:tx>
          <c:dLbls>
            <c:delete val="1"/>
          </c:dLbls>
          <c:xVal>
            <c:numRef>
              <c:f>Sheet1!$B$786:$B$791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Sheet1!$D$786:$D$791</c:f>
              <c:numCache>
                <c:formatCode>General</c:formatCode>
                <c:ptCount val="6"/>
                <c:pt idx="0">
                  <c:v>0.725</c:v>
                </c:pt>
                <c:pt idx="1">
                  <c:v>0.914</c:v>
                </c:pt>
                <c:pt idx="2">
                  <c:v>0.129</c:v>
                </c:pt>
                <c:pt idx="3">
                  <c:v>0.399</c:v>
                </c:pt>
                <c:pt idx="4">
                  <c:v>3.689</c:v>
                </c:pt>
                <c:pt idx="5">
                  <c:v>9.369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741056"/>
        <c:axId val="329665536"/>
      </c:scatterChart>
      <c:valAx>
        <c:axId val="32974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9665536"/>
        <c:crosses val="autoZero"/>
        <c:crossBetween val="midCat"/>
      </c:valAx>
      <c:valAx>
        <c:axId val="32966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974105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afea82-0d22-4add-9f81-05d4d8150709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Sheet1!$B$315:$B$319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Sheet1!$C$315:$C$319</c:f>
              <c:numCache>
                <c:formatCode>General</c:formatCode>
                <c:ptCount val="5"/>
                <c:pt idx="0">
                  <c:v>1.803</c:v>
                </c:pt>
                <c:pt idx="1">
                  <c:v>0.861333333333333</c:v>
                </c:pt>
                <c:pt idx="2">
                  <c:v>0.445333333333333</c:v>
                </c:pt>
                <c:pt idx="3">
                  <c:v>0.173333333333333</c:v>
                </c:pt>
                <c:pt idx="4">
                  <c:v>0.0813333333333333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17408"/>
        <c:axId val="267618944"/>
      </c:scatterChart>
      <c:valAx>
        <c:axId val="2676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618944"/>
        <c:crosses val="autoZero"/>
        <c:crossBetween val="midCat"/>
      </c:valAx>
      <c:valAx>
        <c:axId val="267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61740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c8f3b3d-1d39-4b86-814c-9a21b3342c73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Sheet1!$B$837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Sheet1!$A$838:$A$848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</c:numCache>
            </c:numRef>
          </c:xVal>
          <c:yVal>
            <c:numRef>
              <c:f>Sheet1!$B$838:$B$848</c:f>
              <c:numCache>
                <c:formatCode>General</c:formatCode>
                <c:ptCount val="11"/>
                <c:pt idx="0">
                  <c:v>0.697</c:v>
                </c:pt>
                <c:pt idx="1">
                  <c:v>21.125</c:v>
                </c:pt>
                <c:pt idx="2">
                  <c:v>22.586</c:v>
                </c:pt>
                <c:pt idx="3">
                  <c:v>23.908</c:v>
                </c:pt>
                <c:pt idx="4">
                  <c:v>23.878</c:v>
                </c:pt>
                <c:pt idx="5">
                  <c:v>24.254</c:v>
                </c:pt>
                <c:pt idx="6">
                  <c:v>24.225</c:v>
                </c:pt>
                <c:pt idx="7">
                  <c:v>24.137</c:v>
                </c:pt>
                <c:pt idx="8">
                  <c:v>23.961</c:v>
                </c:pt>
                <c:pt idx="9">
                  <c:v>23.843</c:v>
                </c:pt>
                <c:pt idx="10">
                  <c:v>23.567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Sheet1!$C$837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Sheet1!$A$838:$A$848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</c:numCache>
            </c:numRef>
          </c:xVal>
          <c:yVal>
            <c:numRef>
              <c:f>Sheet1!$C$838:$C$848</c:f>
              <c:numCache>
                <c:formatCode>General</c:formatCode>
                <c:ptCount val="11"/>
                <c:pt idx="0">
                  <c:v>0.738</c:v>
                </c:pt>
                <c:pt idx="1">
                  <c:v>0.732</c:v>
                </c:pt>
                <c:pt idx="2">
                  <c:v>0.849</c:v>
                </c:pt>
                <c:pt idx="3">
                  <c:v>1.196</c:v>
                </c:pt>
                <c:pt idx="4">
                  <c:v>1.449</c:v>
                </c:pt>
                <c:pt idx="5">
                  <c:v>0.1243</c:v>
                </c:pt>
                <c:pt idx="6">
                  <c:v>0.832</c:v>
                </c:pt>
                <c:pt idx="7">
                  <c:v>0.1307</c:v>
                </c:pt>
                <c:pt idx="8">
                  <c:v>1.126</c:v>
                </c:pt>
                <c:pt idx="9">
                  <c:v>0.991</c:v>
                </c:pt>
                <c:pt idx="10">
                  <c:v>1.273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51680"/>
        <c:axId val="330480256"/>
      </c:scatterChart>
      <c:valAx>
        <c:axId val="33055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0480256"/>
        <c:crosses val="autoZero"/>
        <c:crossBetween val="midCat"/>
      </c:valAx>
      <c:valAx>
        <c:axId val="3304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05516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6f420a8-d429-4c77-b006-712e66810937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Sheet1!$B$855:$B$860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Sheet1!$C$855:$C$860</c:f>
              <c:numCache>
                <c:formatCode>General</c:formatCode>
                <c:ptCount val="6"/>
                <c:pt idx="0">
                  <c:v>2.294</c:v>
                </c:pt>
                <c:pt idx="1">
                  <c:v>1.50666666666667</c:v>
                </c:pt>
                <c:pt idx="2">
                  <c:v>0.7</c:v>
                </c:pt>
                <c:pt idx="3">
                  <c:v>0.359333333333333</c:v>
                </c:pt>
                <c:pt idx="4">
                  <c:v>0.169</c:v>
                </c:pt>
                <c:pt idx="5">
                  <c:v>0.0966666666666667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9104"/>
        <c:axId val="333562240"/>
      </c:scatterChart>
      <c:valAx>
        <c:axId val="333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3562240"/>
        <c:crosses val="autoZero"/>
        <c:crossBetween val="midCat"/>
      </c:valAx>
      <c:valAx>
        <c:axId val="3335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35991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a938d4-fe78-43c5-af48-8bfa604139c6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Sheet1!$B$856:$B$860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Sheet1!$C$856:$C$860</c:f>
              <c:numCache>
                <c:formatCode>General</c:formatCode>
                <c:ptCount val="5"/>
                <c:pt idx="0">
                  <c:v>1.50666666666667</c:v>
                </c:pt>
                <c:pt idx="1">
                  <c:v>0.7</c:v>
                </c:pt>
                <c:pt idx="2">
                  <c:v>0.359333333333333</c:v>
                </c:pt>
                <c:pt idx="3">
                  <c:v>0.169</c:v>
                </c:pt>
                <c:pt idx="4">
                  <c:v>0.0966666666666667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78944"/>
        <c:axId val="260977024"/>
      </c:scatterChart>
      <c:valAx>
        <c:axId val="2609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977024"/>
        <c:crosses val="autoZero"/>
        <c:crossBetween val="midCat"/>
      </c:valAx>
      <c:valAx>
        <c:axId val="2609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097894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ce594cf-44ef-42e8-9897-b811745b29ef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Sheet1!$C$899</c:f>
              <c:strCache>
                <c:ptCount val="1"/>
                <c:pt idx="0">
                  <c:v>MIP静态吸附量</c:v>
                </c:pt>
              </c:strCache>
            </c:strRef>
          </c:tx>
          <c:dLbls>
            <c:delete val="1"/>
          </c:dLbls>
          <c:xVal>
            <c:numRef>
              <c:f>Sheet1!$B$900:$B$905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Sheet1!$C$900:$C$905</c:f>
              <c:numCache>
                <c:formatCode>General</c:formatCode>
                <c:ptCount val="6"/>
                <c:pt idx="0">
                  <c:v>0.218</c:v>
                </c:pt>
                <c:pt idx="1">
                  <c:v>0.789</c:v>
                </c:pt>
                <c:pt idx="2">
                  <c:v>2.087</c:v>
                </c:pt>
                <c:pt idx="3">
                  <c:v>4.279</c:v>
                </c:pt>
                <c:pt idx="4">
                  <c:v>11.677</c:v>
                </c:pt>
                <c:pt idx="5">
                  <c:v>23.248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Sheet1!$D$899</c:f>
              <c:strCache>
                <c:ptCount val="1"/>
                <c:pt idx="0">
                  <c:v>NIP静态吸附量</c:v>
                </c:pt>
              </c:strCache>
            </c:strRef>
          </c:tx>
          <c:dLbls>
            <c:delete val="1"/>
          </c:dLbls>
          <c:xVal>
            <c:numRef>
              <c:f>Sheet1!$B$900:$B$905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Sheet1!$D$900:$D$905</c:f>
              <c:numCache>
                <c:formatCode>General</c:formatCode>
                <c:ptCount val="6"/>
                <c:pt idx="0">
                  <c:v>0.304</c:v>
                </c:pt>
                <c:pt idx="1">
                  <c:v>0.291</c:v>
                </c:pt>
                <c:pt idx="2">
                  <c:v>0.595</c:v>
                </c:pt>
                <c:pt idx="3">
                  <c:v>0.435</c:v>
                </c:pt>
                <c:pt idx="4">
                  <c:v>2.249</c:v>
                </c:pt>
                <c:pt idx="5">
                  <c:v>6.004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832"/>
        <c:axId val="5970944"/>
      </c:scatterChart>
      <c:valAx>
        <c:axId val="59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70944"/>
        <c:crosses val="autoZero"/>
        <c:crossBetween val="midCat"/>
      </c:valAx>
      <c:valAx>
        <c:axId val="59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7683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4abf701-2c1b-4aa0-bdd8-bd009343247c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Sheet1!$B$950</c:f>
              <c:strCache>
                <c:ptCount val="1"/>
                <c:pt idx="0">
                  <c:v>MIP吸附量mg/g</c:v>
                </c:pt>
              </c:strCache>
            </c:strRef>
          </c:tx>
          <c:dLbls>
            <c:delete val="1"/>
          </c:dLbls>
          <c:xVal>
            <c:numRef>
              <c:f>Sheet1!$A$951:$A$961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</c:numCache>
            </c:numRef>
          </c:xVal>
          <c:yVal>
            <c:numRef>
              <c:f>Sheet1!$B$951:$B$961</c:f>
              <c:numCache>
                <c:formatCode>General</c:formatCode>
                <c:ptCount val="11"/>
                <c:pt idx="0">
                  <c:v>0.791</c:v>
                </c:pt>
                <c:pt idx="1">
                  <c:v>20.239</c:v>
                </c:pt>
                <c:pt idx="2">
                  <c:v>22.351</c:v>
                </c:pt>
                <c:pt idx="3">
                  <c:v>23.479</c:v>
                </c:pt>
                <c:pt idx="4">
                  <c:v>23.73</c:v>
                </c:pt>
                <c:pt idx="5">
                  <c:v>23.988</c:v>
                </c:pt>
                <c:pt idx="6">
                  <c:v>24.066</c:v>
                </c:pt>
                <c:pt idx="7">
                  <c:v>23.878</c:v>
                </c:pt>
                <c:pt idx="8">
                  <c:v>24.248</c:v>
                </c:pt>
                <c:pt idx="9">
                  <c:v>24.003</c:v>
                </c:pt>
                <c:pt idx="10">
                  <c:v>24.06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Sheet1!$C$950</c:f>
              <c:strCache>
                <c:ptCount val="1"/>
                <c:pt idx="0">
                  <c:v>NIP吸附量mg/g</c:v>
                </c:pt>
              </c:strCache>
            </c:strRef>
          </c:tx>
          <c:dLbls>
            <c:delete val="1"/>
          </c:dLbls>
          <c:xVal>
            <c:numRef>
              <c:f>Sheet1!$A$951:$A$961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  <c:pt idx="9">
                  <c:v>200</c:v>
                </c:pt>
                <c:pt idx="10">
                  <c:v>300</c:v>
                </c:pt>
              </c:numCache>
            </c:numRef>
          </c:xVal>
          <c:yVal>
            <c:numRef>
              <c:f>Sheet1!$C$951:$C$961</c:f>
              <c:numCache>
                <c:formatCode>General</c:formatCode>
                <c:ptCount val="11"/>
                <c:pt idx="0">
                  <c:v>0.597</c:v>
                </c:pt>
                <c:pt idx="1">
                  <c:v>0.728</c:v>
                </c:pt>
                <c:pt idx="2">
                  <c:v>0.779</c:v>
                </c:pt>
                <c:pt idx="3">
                  <c:v>0.756</c:v>
                </c:pt>
                <c:pt idx="4">
                  <c:v>0.619</c:v>
                </c:pt>
                <c:pt idx="5">
                  <c:v>0.744</c:v>
                </c:pt>
                <c:pt idx="6">
                  <c:v>0.704</c:v>
                </c:pt>
                <c:pt idx="7">
                  <c:v>0.641</c:v>
                </c:pt>
                <c:pt idx="8">
                  <c:v>1.348</c:v>
                </c:pt>
                <c:pt idx="9">
                  <c:v>0.802</c:v>
                </c:pt>
                <c:pt idx="10">
                  <c:v>0.722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57888"/>
        <c:axId val="329511296"/>
      </c:scatterChart>
      <c:valAx>
        <c:axId val="3295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9511296"/>
        <c:crosses val="autoZero"/>
        <c:crossBetween val="midCat"/>
      </c:valAx>
      <c:valAx>
        <c:axId val="3295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95578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46ec77-17d9-48e6-bef6-ed105964d42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Sheet1!$A$951:$A$959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Sheet1!$B$951:$B$959</c:f>
              <c:numCache>
                <c:formatCode>General</c:formatCode>
                <c:ptCount val="9"/>
                <c:pt idx="0">
                  <c:v>0.791</c:v>
                </c:pt>
                <c:pt idx="1">
                  <c:v>20.239</c:v>
                </c:pt>
                <c:pt idx="2">
                  <c:v>22.351</c:v>
                </c:pt>
                <c:pt idx="3">
                  <c:v>23.479</c:v>
                </c:pt>
                <c:pt idx="4">
                  <c:v>23.73</c:v>
                </c:pt>
                <c:pt idx="5">
                  <c:v>23.988</c:v>
                </c:pt>
                <c:pt idx="6">
                  <c:v>24.066</c:v>
                </c:pt>
                <c:pt idx="7">
                  <c:v>23.878</c:v>
                </c:pt>
                <c:pt idx="8">
                  <c:v>24.248</c:v>
                </c:pt>
              </c:numCache>
            </c:numRef>
          </c:yVal>
          <c:smooth val="0"/>
        </c:ser>
        <c:ser>
          <c:idx val="1"/>
          <c:order val="1"/>
          <c:dLbls>
            <c:delete val="1"/>
          </c:dLbls>
          <c:xVal>
            <c:numRef>
              <c:f>Sheet1!$A$951:$A$959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Sheet1!$C$951:$C$959</c:f>
              <c:numCache>
                <c:formatCode>General</c:formatCode>
                <c:ptCount val="9"/>
                <c:pt idx="0">
                  <c:v>0.597</c:v>
                </c:pt>
                <c:pt idx="1">
                  <c:v>0.728</c:v>
                </c:pt>
                <c:pt idx="2">
                  <c:v>0.779</c:v>
                </c:pt>
                <c:pt idx="3">
                  <c:v>0.756</c:v>
                </c:pt>
                <c:pt idx="4">
                  <c:v>0.619</c:v>
                </c:pt>
                <c:pt idx="5">
                  <c:v>0.744</c:v>
                </c:pt>
                <c:pt idx="6">
                  <c:v>0.704</c:v>
                </c:pt>
                <c:pt idx="7">
                  <c:v>0.641</c:v>
                </c:pt>
                <c:pt idx="8">
                  <c:v>1.348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5600"/>
        <c:axId val="142661504"/>
      </c:scatterChart>
      <c:valAx>
        <c:axId val="1606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2661504"/>
        <c:crosses val="autoZero"/>
        <c:crossBetween val="midCat"/>
      </c:valAx>
      <c:valAx>
        <c:axId val="14266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6656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5d33f61-c798-49f5-bf28-94ab6f7f733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dLbls>
            <c:delete val="1"/>
          </c:dLbls>
          <c:xVal>
            <c:numRef>
              <c:f>Sheet1!$A$838:$A$846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Sheet1!$B$838:$B$846</c:f>
              <c:numCache>
                <c:formatCode>General</c:formatCode>
                <c:ptCount val="9"/>
                <c:pt idx="0">
                  <c:v>0.697</c:v>
                </c:pt>
                <c:pt idx="1">
                  <c:v>21.125</c:v>
                </c:pt>
                <c:pt idx="2">
                  <c:v>22.586</c:v>
                </c:pt>
                <c:pt idx="3">
                  <c:v>23.908</c:v>
                </c:pt>
                <c:pt idx="4">
                  <c:v>23.878</c:v>
                </c:pt>
                <c:pt idx="5">
                  <c:v>24.254</c:v>
                </c:pt>
                <c:pt idx="6">
                  <c:v>24.225</c:v>
                </c:pt>
                <c:pt idx="7">
                  <c:v>24.137</c:v>
                </c:pt>
                <c:pt idx="8">
                  <c:v>23.961</c:v>
                </c:pt>
              </c:numCache>
            </c:numRef>
          </c:yVal>
          <c:smooth val="0"/>
        </c:ser>
        <c:ser>
          <c:idx val="1"/>
          <c:order val="1"/>
          <c:dLbls>
            <c:delete val="1"/>
          </c:dLbls>
          <c:xVal>
            <c:numRef>
              <c:f>Sheet1!$A$838:$A$846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  <c:pt idx="8">
                  <c:v>120</c:v>
                </c:pt>
              </c:numCache>
            </c:numRef>
          </c:xVal>
          <c:yVal>
            <c:numRef>
              <c:f>Sheet1!$C$838:$C$846</c:f>
              <c:numCache>
                <c:formatCode>General</c:formatCode>
                <c:ptCount val="9"/>
                <c:pt idx="0">
                  <c:v>0.738</c:v>
                </c:pt>
                <c:pt idx="1">
                  <c:v>0.732</c:v>
                </c:pt>
                <c:pt idx="2">
                  <c:v>0.849</c:v>
                </c:pt>
                <c:pt idx="3">
                  <c:v>1.196</c:v>
                </c:pt>
                <c:pt idx="4">
                  <c:v>1.449</c:v>
                </c:pt>
                <c:pt idx="5">
                  <c:v>0.1243</c:v>
                </c:pt>
                <c:pt idx="6">
                  <c:v>0.832</c:v>
                </c:pt>
                <c:pt idx="7">
                  <c:v>0.1307</c:v>
                </c:pt>
                <c:pt idx="8">
                  <c:v>1.126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73088"/>
        <c:axId val="369271552"/>
      </c:scatterChart>
      <c:valAx>
        <c:axId val="36927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271552"/>
        <c:crosses val="autoZero"/>
        <c:crossBetween val="midCat"/>
      </c:valAx>
      <c:valAx>
        <c:axId val="36927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927308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3a32b0-9633-44bc-a039-f2f9ea900de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表柔比星标准曲线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1117870722433"/>
          <c:y val="0.165625"/>
          <c:w val="0.815422053231939"/>
          <c:h val="0.72196428571428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Sheet1!$A$968:$A$978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  <c:pt idx="6">
                  <c:v>0.005</c:v>
                </c:pt>
                <c:pt idx="7">
                  <c:v>0.002</c:v>
                </c:pt>
                <c:pt idx="8">
                  <c:v>0.001</c:v>
                </c:pt>
                <c:pt idx="9">
                  <c:v>0.0005</c:v>
                </c:pt>
                <c:pt idx="10">
                  <c:v>0.0002</c:v>
                </c:pt>
              </c:numCache>
            </c:numRef>
          </c:xVal>
          <c:yVal>
            <c:numRef>
              <c:f>Sheet1!$B$968:$B$978</c:f>
              <c:numCache>
                <c:formatCode>General</c:formatCode>
                <c:ptCount val="11"/>
                <c:pt idx="0">
                  <c:v>23484531</c:v>
                </c:pt>
                <c:pt idx="1">
                  <c:v>9634745</c:v>
                </c:pt>
                <c:pt idx="2">
                  <c:v>4902823</c:v>
                </c:pt>
                <c:pt idx="3">
                  <c:v>2508571</c:v>
                </c:pt>
                <c:pt idx="4">
                  <c:v>1011549</c:v>
                </c:pt>
                <c:pt idx="5">
                  <c:v>487591</c:v>
                </c:pt>
                <c:pt idx="6">
                  <c:v>234334</c:v>
                </c:pt>
                <c:pt idx="7">
                  <c:v>91139</c:v>
                </c:pt>
                <c:pt idx="8">
                  <c:v>45033</c:v>
                </c:pt>
                <c:pt idx="9">
                  <c:v>23260</c:v>
                </c:pt>
                <c:pt idx="10">
                  <c:v>10489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51757"/>
        <c:axId val="391389825"/>
      </c:scatterChart>
      <c:valAx>
        <c:axId val="3121517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89825"/>
        <c:crosses val="autoZero"/>
        <c:crossBetween val="midCat"/>
      </c:valAx>
      <c:valAx>
        <c:axId val="391389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1517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5d0a533-82ff-46df-b2f6-4f4e91d7ad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多柔比星标准曲线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946768060837"/>
                  <c:y val="-0.0446428571428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Sheet1!$A$991:$A$1002</c:f>
              <c:numCache>
                <c:formatCode>General</c:formatCode>
                <c:ptCount val="12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  <c:pt idx="6">
                  <c:v>0.005</c:v>
                </c:pt>
                <c:pt idx="7">
                  <c:v>0.002</c:v>
                </c:pt>
                <c:pt idx="8">
                  <c:v>0.001</c:v>
                </c:pt>
                <c:pt idx="9">
                  <c:v>0.0005</c:v>
                </c:pt>
                <c:pt idx="10">
                  <c:v>0.0002</c:v>
                </c:pt>
                <c:pt idx="11">
                  <c:v>0.0001</c:v>
                </c:pt>
              </c:numCache>
            </c:numRef>
          </c:xVal>
          <c:yVal>
            <c:numRef>
              <c:f>Sheet1!$B$991:$B$1002</c:f>
              <c:numCache>
                <c:formatCode>General</c:formatCode>
                <c:ptCount val="12"/>
                <c:pt idx="0">
                  <c:v>22611632</c:v>
                </c:pt>
                <c:pt idx="1">
                  <c:v>9207741</c:v>
                </c:pt>
                <c:pt idx="2">
                  <c:v>4723528</c:v>
                </c:pt>
                <c:pt idx="3">
                  <c:v>2425475</c:v>
                </c:pt>
                <c:pt idx="4">
                  <c:v>1027490</c:v>
                </c:pt>
                <c:pt idx="5">
                  <c:v>503671</c:v>
                </c:pt>
                <c:pt idx="6">
                  <c:v>286053</c:v>
                </c:pt>
                <c:pt idx="7">
                  <c:v>124200</c:v>
                </c:pt>
                <c:pt idx="8">
                  <c:v>57827</c:v>
                </c:pt>
                <c:pt idx="9">
                  <c:v>37192</c:v>
                </c:pt>
                <c:pt idx="10">
                  <c:v>25433</c:v>
                </c:pt>
                <c:pt idx="11">
                  <c:v>19037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94868"/>
        <c:axId val="120877585"/>
      </c:scatterChart>
      <c:valAx>
        <c:axId val="2970948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877585"/>
        <c:crosses val="autoZero"/>
        <c:crossBetween val="midCat"/>
      </c:valAx>
      <c:valAx>
        <c:axId val="1208775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0948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31f93ab-a706-49c7-b032-45724f45307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8608321377332"/>
          <c:y val="0.206448117041452"/>
          <c:w val="0.879110473457676"/>
          <c:h val="0.662530479544839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Sheet1!$B$1030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Sheet1!$A$1031:$A$1037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Sheet1!$B$1031:$B$1037</c:f>
              <c:numCache>
                <c:formatCode>General</c:formatCode>
                <c:ptCount val="7"/>
                <c:pt idx="0">
                  <c:v>0.288666666666667</c:v>
                </c:pt>
                <c:pt idx="1">
                  <c:v>0.135333333333333</c:v>
                </c:pt>
                <c:pt idx="2">
                  <c:v>0.0563333333333333</c:v>
                </c:pt>
                <c:pt idx="3">
                  <c:v>0.0296666666666667</c:v>
                </c:pt>
                <c:pt idx="4">
                  <c:v>0.0153333333333333</c:v>
                </c:pt>
                <c:pt idx="5">
                  <c:v>0.00733333333333333</c:v>
                </c:pt>
                <c:pt idx="6">
                  <c:v>0.00433333333333333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2158"/>
        <c:axId val="212019449"/>
      </c:scatterChart>
      <c:valAx>
        <c:axId val="174042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019449"/>
        <c:crosses val="autoZero"/>
        <c:crossBetween val="midCat"/>
      </c:valAx>
      <c:valAx>
        <c:axId val="212019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42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dc36133-dee0-48cb-8ae7-f02cf6d1515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132983377079"/>
          <c:y val="0.0745487022455526"/>
          <c:w val="0.726874234470693"/>
          <c:h val="0.79822506561679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og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Sheet1!$B$314:$B$319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Sheet1!$C$314:$C$319</c:f>
              <c:numCache>
                <c:formatCode>General</c:formatCode>
                <c:ptCount val="6"/>
                <c:pt idx="0">
                  <c:v>2.36433333333333</c:v>
                </c:pt>
                <c:pt idx="1">
                  <c:v>1.803</c:v>
                </c:pt>
                <c:pt idx="2">
                  <c:v>0.861333333333333</c:v>
                </c:pt>
                <c:pt idx="3">
                  <c:v>0.445333333333333</c:v>
                </c:pt>
                <c:pt idx="4">
                  <c:v>0.173333333333333</c:v>
                </c:pt>
                <c:pt idx="5">
                  <c:v>0.0813333333333333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43520"/>
        <c:axId val="268042624"/>
      </c:scatterChart>
      <c:valAx>
        <c:axId val="2676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042624"/>
        <c:crosses val="autoZero"/>
        <c:crossBetween val="midCat"/>
      </c:valAx>
      <c:valAx>
        <c:axId val="2680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764352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63e418c-4fe8-4db2-8d51-d669bdf9f3ff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Sheet1!$A$1098:$A$1104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Sheet1!$B$1098:$B$1104</c:f>
              <c:numCache>
                <c:formatCode>General</c:formatCode>
                <c:ptCount val="7"/>
                <c:pt idx="0">
                  <c:v>0.266</c:v>
                </c:pt>
                <c:pt idx="1">
                  <c:v>0.135</c:v>
                </c:pt>
                <c:pt idx="2">
                  <c:v>0.0593333333333333</c:v>
                </c:pt>
                <c:pt idx="3">
                  <c:v>0.031</c:v>
                </c:pt>
                <c:pt idx="4">
                  <c:v>0.019</c:v>
                </c:pt>
                <c:pt idx="5">
                  <c:v>0.00966666666666667</c:v>
                </c:pt>
                <c:pt idx="6">
                  <c:v>0.006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Sheet1!$A$1098:$A$1104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Sheet1!$C$1098:$C$1104</c:f>
              <c:numCache>
                <c:formatCode>General</c:formatCode>
                <c:ptCount val="7"/>
                <c:pt idx="0">
                  <c:v>0.265</c:v>
                </c:pt>
                <c:pt idx="1">
                  <c:v>0.136</c:v>
                </c:pt>
                <c:pt idx="2">
                  <c:v>0.06</c:v>
                </c:pt>
                <c:pt idx="3">
                  <c:v>0.031</c:v>
                </c:pt>
                <c:pt idx="4">
                  <c:v>0.019</c:v>
                </c:pt>
                <c:pt idx="5">
                  <c:v>0.01</c:v>
                </c:pt>
                <c:pt idx="6">
                  <c:v>0.005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Sheet1!$A$1098:$A$1104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Sheet1!$D$1098:$D$1104</c:f>
              <c:numCache>
                <c:formatCode>General</c:formatCode>
                <c:ptCount val="7"/>
                <c:pt idx="0">
                  <c:v>0.272</c:v>
                </c:pt>
                <c:pt idx="1">
                  <c:v>0.135</c:v>
                </c:pt>
                <c:pt idx="2">
                  <c:v>0.06</c:v>
                </c:pt>
                <c:pt idx="3">
                  <c:v>0.03</c:v>
                </c:pt>
                <c:pt idx="4">
                  <c:v>0.019</c:v>
                </c:pt>
                <c:pt idx="5">
                  <c:v>0.01</c:v>
                </c:pt>
                <c:pt idx="6">
                  <c:v>0.004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Sheet1!$A$1098:$A$1104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Sheet1!$E$1098:$E$1104</c:f>
              <c:numCache>
                <c:formatCode>General</c:formatCode>
                <c:ptCount val="7"/>
                <c:pt idx="0">
                  <c:v>0.261</c:v>
                </c:pt>
                <c:pt idx="1">
                  <c:v>0.134</c:v>
                </c:pt>
                <c:pt idx="2">
                  <c:v>0.058</c:v>
                </c:pt>
                <c:pt idx="3">
                  <c:v>0.032</c:v>
                </c:pt>
                <c:pt idx="4">
                  <c:v>0.019</c:v>
                </c:pt>
                <c:pt idx="5">
                  <c:v>0.009</c:v>
                </c:pt>
                <c:pt idx="6">
                  <c:v>0.009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62240"/>
        <c:axId val="429929504"/>
      </c:scatterChart>
      <c:valAx>
        <c:axId val="2949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29504"/>
        <c:crosses val="autoZero"/>
        <c:crossBetween val="midCat"/>
      </c:valAx>
      <c:valAx>
        <c:axId val="4299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6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c84fbf8-9463-4d7a-b7da-94dcb4e9496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Sheet1!$A$997:$A$1002</c:f>
              <c:numCache>
                <c:formatCode>General</c:formatCode>
                <c:ptCount val="6"/>
                <c:pt idx="0">
                  <c:v>0.005</c:v>
                </c:pt>
                <c:pt idx="1">
                  <c:v>0.002</c:v>
                </c:pt>
                <c:pt idx="2">
                  <c:v>0.001</c:v>
                </c:pt>
                <c:pt idx="3">
                  <c:v>0.0005</c:v>
                </c:pt>
                <c:pt idx="4">
                  <c:v>0.0002</c:v>
                </c:pt>
                <c:pt idx="5">
                  <c:v>0.0001</c:v>
                </c:pt>
              </c:numCache>
            </c:numRef>
          </c:xVal>
          <c:yVal>
            <c:numRef>
              <c:f>Sheet1!$B$997:$B$1002</c:f>
              <c:numCache>
                <c:formatCode>General</c:formatCode>
                <c:ptCount val="6"/>
                <c:pt idx="0">
                  <c:v>286053</c:v>
                </c:pt>
                <c:pt idx="1">
                  <c:v>124200</c:v>
                </c:pt>
                <c:pt idx="2">
                  <c:v>57827</c:v>
                </c:pt>
                <c:pt idx="3">
                  <c:v>37192</c:v>
                </c:pt>
                <c:pt idx="4">
                  <c:v>25433</c:v>
                </c:pt>
                <c:pt idx="5">
                  <c:v>19037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094067"/>
        <c:axId val="226440616"/>
      </c:scatterChart>
      <c:valAx>
        <c:axId val="2550940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440616"/>
        <c:crosses val="autoZero"/>
        <c:crossBetween val="midCat"/>
      </c:valAx>
      <c:valAx>
        <c:axId val="22644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09406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5bec67-f91c-4ff3-ba14-94c0b00c8a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Sheet1!$A$974:$A$978</c:f>
              <c:numCache>
                <c:formatCode>General</c:formatCode>
                <c:ptCount val="5"/>
                <c:pt idx="0">
                  <c:v>0.005</c:v>
                </c:pt>
                <c:pt idx="1">
                  <c:v>0.002</c:v>
                </c:pt>
                <c:pt idx="2">
                  <c:v>0.001</c:v>
                </c:pt>
                <c:pt idx="3">
                  <c:v>0.0005</c:v>
                </c:pt>
                <c:pt idx="4">
                  <c:v>0.0002</c:v>
                </c:pt>
              </c:numCache>
            </c:numRef>
          </c:xVal>
          <c:yVal>
            <c:numRef>
              <c:f>Sheet1!$B$974:$B$978</c:f>
              <c:numCache>
                <c:formatCode>General</c:formatCode>
                <c:ptCount val="5"/>
                <c:pt idx="0">
                  <c:v>234334</c:v>
                </c:pt>
                <c:pt idx="1">
                  <c:v>91139</c:v>
                </c:pt>
                <c:pt idx="2">
                  <c:v>45033</c:v>
                </c:pt>
                <c:pt idx="3">
                  <c:v>23260</c:v>
                </c:pt>
                <c:pt idx="4">
                  <c:v>10489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47352"/>
        <c:axId val="267504302"/>
      </c:scatterChart>
      <c:valAx>
        <c:axId val="34554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504302"/>
        <c:crosses val="autoZero"/>
        <c:crossBetween val="midCat"/>
      </c:valAx>
      <c:valAx>
        <c:axId val="267504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554735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1534e9-f497-4144-91fb-2d7dfbed1f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Sheet1!$A$1161:$A$1165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Sheet1!$B$1161:$B$1165</c:f>
              <c:numCache>
                <c:formatCode>General</c:formatCode>
                <c:ptCount val="5"/>
                <c:pt idx="0">
                  <c:v>1.77333333333333</c:v>
                </c:pt>
                <c:pt idx="1">
                  <c:v>0.799</c:v>
                </c:pt>
                <c:pt idx="2">
                  <c:v>0.418333333333333</c:v>
                </c:pt>
                <c:pt idx="3">
                  <c:v>0.185333333333333</c:v>
                </c:pt>
                <c:pt idx="4">
                  <c:v>0.102666666666667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83356"/>
        <c:axId val="240500494"/>
      </c:scatterChart>
      <c:valAx>
        <c:axId val="9753833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500494"/>
        <c:crosses val="autoZero"/>
        <c:crossBetween val="midCat"/>
      </c:valAx>
      <c:valAx>
        <c:axId val="2405004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38335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3439c49-a832-455b-a901-f1da4a0d59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8608321377332"/>
          <c:y val="0.206448117041452"/>
          <c:w val="0.879110473457676"/>
          <c:h val="0.662530479544839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Sheet1!$B$1030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Sheet1!$A$1031:$A$1037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  <c:pt idx="5">
                  <c:v>0.002</c:v>
                </c:pt>
                <c:pt idx="6">
                  <c:v>0.001</c:v>
                </c:pt>
              </c:numCache>
            </c:numRef>
          </c:xVal>
          <c:yVal>
            <c:numRef>
              <c:f>Sheet1!$B$1031:$B$1037</c:f>
              <c:numCache>
                <c:formatCode>General</c:formatCode>
                <c:ptCount val="7"/>
                <c:pt idx="0">
                  <c:v>0.288666666666667</c:v>
                </c:pt>
                <c:pt idx="1">
                  <c:v>0.135333333333333</c:v>
                </c:pt>
                <c:pt idx="2">
                  <c:v>0.0563333333333333</c:v>
                </c:pt>
                <c:pt idx="3">
                  <c:v>0.0296666666666667</c:v>
                </c:pt>
                <c:pt idx="4">
                  <c:v>0.0153333333333333</c:v>
                </c:pt>
                <c:pt idx="5">
                  <c:v>0.00733333333333333</c:v>
                </c:pt>
                <c:pt idx="6">
                  <c:v>0.00433333333333333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2158"/>
        <c:axId val="212019449"/>
      </c:scatterChart>
      <c:valAx>
        <c:axId val="174042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019449"/>
        <c:crosses val="autoZero"/>
        <c:crossBetween val="midCat"/>
      </c:valAx>
      <c:valAx>
        <c:axId val="212019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42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95f266-6945-4328-a9b0-edc46207f54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98157894736842"/>
          <c:y val="0.174074074074074"/>
          <c:w val="0.901105263157895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Sheet1!$A$1162:$A$1165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Sheet1!$B$1162:$B$1165</c:f>
              <c:numCache>
                <c:formatCode>General</c:formatCode>
                <c:ptCount val="4"/>
                <c:pt idx="0">
                  <c:v>0.799</c:v>
                </c:pt>
                <c:pt idx="1">
                  <c:v>0.418333333333333</c:v>
                </c:pt>
                <c:pt idx="2">
                  <c:v>0.185333333333333</c:v>
                </c:pt>
                <c:pt idx="3">
                  <c:v>0.102666666666667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5111"/>
        <c:axId val="222290054"/>
      </c:scatterChart>
      <c:valAx>
        <c:axId val="5988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290054"/>
        <c:crosses val="autoZero"/>
        <c:crossBetween val="midCat"/>
      </c:valAx>
      <c:valAx>
        <c:axId val="22229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8511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1111304-0faa-47a6-be18-3a54267265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Sheet1!$A$1213:$A$1217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Sheet1!$B$1213:$B$1217</c:f>
              <c:numCache>
                <c:formatCode>General</c:formatCode>
                <c:ptCount val="5"/>
                <c:pt idx="0">
                  <c:v>1.484</c:v>
                </c:pt>
                <c:pt idx="1">
                  <c:v>0.652333333333333</c:v>
                </c:pt>
                <c:pt idx="2">
                  <c:v>0.352666666666667</c:v>
                </c:pt>
                <c:pt idx="3">
                  <c:v>0.158333333333333</c:v>
                </c:pt>
                <c:pt idx="4">
                  <c:v>0.101333333333333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901102"/>
        <c:axId val="618956971"/>
      </c:scatterChart>
      <c:valAx>
        <c:axId val="2759011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956971"/>
        <c:crosses val="autoZero"/>
        <c:crossBetween val="midCat"/>
      </c:valAx>
      <c:valAx>
        <c:axId val="618956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590110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ce71bfd-72fd-46ae-aa09-2a876816c6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Sheet1!$A$1214:$A$1217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Sheet1!$B$1214:$B$1217</c:f>
              <c:numCache>
                <c:formatCode>General</c:formatCode>
                <c:ptCount val="4"/>
                <c:pt idx="0">
                  <c:v>0.652333333333333</c:v>
                </c:pt>
                <c:pt idx="1">
                  <c:v>0.352666666666667</c:v>
                </c:pt>
                <c:pt idx="2">
                  <c:v>0.158333333333333</c:v>
                </c:pt>
                <c:pt idx="3">
                  <c:v>0.101333333333333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096294"/>
        <c:axId val="536324298"/>
      </c:scatterChart>
      <c:valAx>
        <c:axId val="8310962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324298"/>
        <c:crosses val="autoZero"/>
        <c:crossBetween val="midCat"/>
      </c:valAx>
      <c:valAx>
        <c:axId val="5363242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629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46513fb-3c98-4c06-aad7-6f068c4034b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Sheet1!$B$1010</c:f>
              <c:strCache>
                <c:ptCount val="1"/>
                <c:pt idx="0">
                  <c:v>曲线下面积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Sheet1!$A$1011:$A$1015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xVal>
          <c:yVal>
            <c:numRef>
              <c:f>Sheet1!$B$1011:$B$1015</c:f>
              <c:numCache>
                <c:formatCode>General</c:formatCode>
                <c:ptCount val="5"/>
                <c:pt idx="0">
                  <c:v>671270</c:v>
                </c:pt>
                <c:pt idx="1">
                  <c:v>443810</c:v>
                </c:pt>
                <c:pt idx="2">
                  <c:v>326061</c:v>
                </c:pt>
                <c:pt idx="3">
                  <c:v>292441</c:v>
                </c:pt>
                <c:pt idx="4">
                  <c:v>255012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76829"/>
        <c:axId val="29467831"/>
      </c:scatterChart>
      <c:valAx>
        <c:axId val="4619768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67831"/>
        <c:crosses val="autoZero"/>
        <c:crossBetween val="midCat"/>
      </c:valAx>
      <c:valAx>
        <c:axId val="2946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9768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bad64b6-03a7-43b0-94bd-b4dd0fb8f78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Sheet1!$A$1271:$A$1275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</c:numCache>
            </c:numRef>
          </c:xVal>
          <c:yVal>
            <c:numRef>
              <c:f>Sheet1!$B$1271:$B$1275</c:f>
              <c:numCache>
                <c:formatCode>General</c:formatCode>
                <c:ptCount val="5"/>
                <c:pt idx="0">
                  <c:v>0.0896666666666667</c:v>
                </c:pt>
                <c:pt idx="1">
                  <c:v>0.0336666666666667</c:v>
                </c:pt>
                <c:pt idx="2">
                  <c:v>0.0316666666666667</c:v>
                </c:pt>
                <c:pt idx="3">
                  <c:v>0.0303333333333333</c:v>
                </c:pt>
                <c:pt idx="4">
                  <c:v>0.0283333333333333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520"/>
        <c:axId val="756086903"/>
      </c:scatterChart>
      <c:valAx>
        <c:axId val="14187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086903"/>
        <c:crosses val="autoZero"/>
        <c:crossBetween val="midCat"/>
      </c:valAx>
      <c:valAx>
        <c:axId val="75608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87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c7ba7d0-676b-437e-8cf4-8bbaf94c76e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Sheet1!$B$363:$B$368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Sheet1!$C$363:$C$368</c:f>
              <c:numCache>
                <c:formatCode>General</c:formatCode>
                <c:ptCount val="6"/>
                <c:pt idx="0">
                  <c:v>2.25133333333333</c:v>
                </c:pt>
                <c:pt idx="1">
                  <c:v>1.46866666666667</c:v>
                </c:pt>
                <c:pt idx="2">
                  <c:v>0.808666666666667</c:v>
                </c:pt>
                <c:pt idx="3">
                  <c:v>0.420333333333333</c:v>
                </c:pt>
                <c:pt idx="4">
                  <c:v>0.19</c:v>
                </c:pt>
                <c:pt idx="5">
                  <c:v>0.114333333333333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67200"/>
        <c:axId val="268068736"/>
      </c:scatterChart>
      <c:valAx>
        <c:axId val="2680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068736"/>
        <c:crosses val="autoZero"/>
        <c:crossBetween val="midCat"/>
      </c:valAx>
      <c:valAx>
        <c:axId val="26806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06720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65f87c-52e2-4abc-81aa-208d2acee8b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Sheet1!$A$1283:$A$1287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</c:numCache>
            </c:numRef>
          </c:xVal>
          <c:yVal>
            <c:numRef>
              <c:f>Sheet1!$B$1283:$B$1287</c:f>
              <c:numCache>
                <c:formatCode>General</c:formatCode>
                <c:ptCount val="5"/>
                <c:pt idx="0">
                  <c:v>0.0413333333333333</c:v>
                </c:pt>
                <c:pt idx="1">
                  <c:v>0.036</c:v>
                </c:pt>
                <c:pt idx="2">
                  <c:v>0.0303333333333333</c:v>
                </c:pt>
                <c:pt idx="3">
                  <c:v>0.029</c:v>
                </c:pt>
                <c:pt idx="4">
                  <c:v>0.0283333333333333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84665"/>
        <c:axId val="103142175"/>
      </c:scatterChart>
      <c:valAx>
        <c:axId val="1528846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142175"/>
        <c:crosses val="autoZero"/>
        <c:crossBetween val="midCat"/>
      </c:valAx>
      <c:valAx>
        <c:axId val="1031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8846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a1db746-12b6-4e68-9698-4f3a3347230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Sheet1!$A$1295:$A$1299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</c:numCache>
            </c:numRef>
          </c:xVal>
          <c:yVal>
            <c:numRef>
              <c:f>Sheet1!$B$1295:$B$1299</c:f>
              <c:numCache>
                <c:formatCode>General</c:formatCode>
                <c:ptCount val="5"/>
                <c:pt idx="0">
                  <c:v>0.0683333333333333</c:v>
                </c:pt>
                <c:pt idx="1">
                  <c:v>0.054</c:v>
                </c:pt>
                <c:pt idx="2">
                  <c:v>0.0486666666666667</c:v>
                </c:pt>
                <c:pt idx="3">
                  <c:v>0.0486666666666667</c:v>
                </c:pt>
                <c:pt idx="4">
                  <c:v>0.0416666666666667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79278"/>
        <c:axId val="958573123"/>
      </c:scatterChart>
      <c:valAx>
        <c:axId val="8324792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573123"/>
        <c:crosses val="autoZero"/>
        <c:crossBetween val="midCat"/>
      </c:valAx>
      <c:valAx>
        <c:axId val="9585731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4792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3926b15-7289-47df-b3df-5ea17b03790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Sheet1!$A$1307:$A$1311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</c:numCache>
            </c:numRef>
          </c:xVal>
          <c:yVal>
            <c:numRef>
              <c:f>Sheet1!$B$1307:$B$1311</c:f>
              <c:numCache>
                <c:formatCode>General</c:formatCode>
                <c:ptCount val="5"/>
                <c:pt idx="0">
                  <c:v>0.0693333333333333</c:v>
                </c:pt>
                <c:pt idx="1">
                  <c:v>0.0486666666666667</c:v>
                </c:pt>
                <c:pt idx="2">
                  <c:v>0.048</c:v>
                </c:pt>
                <c:pt idx="3">
                  <c:v>0.0466666666666667</c:v>
                </c:pt>
                <c:pt idx="4">
                  <c:v>0.0456666666666667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571205"/>
        <c:axId val="959665964"/>
      </c:scatterChart>
      <c:valAx>
        <c:axId val="9535712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665964"/>
        <c:crosses val="autoZero"/>
        <c:crossBetween val="midCat"/>
      </c:valAx>
      <c:valAx>
        <c:axId val="959665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5712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31d1315-337b-48e9-a526-6d50326bfc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Sheet1!$A$1318:$A$1322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0.005</c:v>
                </c:pt>
              </c:numCache>
            </c:numRef>
          </c:xVal>
          <c:yVal>
            <c:numRef>
              <c:f>Sheet1!$B$1318:$B$1322</c:f>
              <c:numCache>
                <c:formatCode>General</c:formatCode>
                <c:ptCount val="5"/>
                <c:pt idx="0">
                  <c:v>0.0593333333333333</c:v>
                </c:pt>
                <c:pt idx="1">
                  <c:v>0.054</c:v>
                </c:pt>
                <c:pt idx="2">
                  <c:v>0.0483333333333333</c:v>
                </c:pt>
                <c:pt idx="3">
                  <c:v>0.0483333333333333</c:v>
                </c:pt>
                <c:pt idx="4">
                  <c:v>0.048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12690"/>
        <c:axId val="171542578"/>
      </c:scatterChart>
      <c:valAx>
        <c:axId val="3995126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542578"/>
        <c:crosses val="autoZero"/>
        <c:crossBetween val="midCat"/>
      </c:valAx>
      <c:valAx>
        <c:axId val="171542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5126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afb9cfb-367e-43d1-9ff3-fc035dca834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Sheet1!$A$1335:$A$1339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0.01</c:v>
                </c:pt>
              </c:numCache>
            </c:numRef>
          </c:xVal>
          <c:yVal>
            <c:numRef>
              <c:f>Sheet1!$B$1335:$B$1339</c:f>
              <c:numCache>
                <c:formatCode>General</c:formatCode>
                <c:ptCount val="5"/>
                <c:pt idx="0">
                  <c:v>671270</c:v>
                </c:pt>
                <c:pt idx="1">
                  <c:v>443810</c:v>
                </c:pt>
                <c:pt idx="2">
                  <c:v>326061</c:v>
                </c:pt>
                <c:pt idx="3">
                  <c:v>292441</c:v>
                </c:pt>
                <c:pt idx="4">
                  <c:v>285012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699843"/>
        <c:axId val="851175086"/>
      </c:scatterChart>
      <c:valAx>
        <c:axId val="9616998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75086"/>
        <c:crosses val="autoZero"/>
        <c:crossBetween val="midCat"/>
      </c:valAx>
      <c:valAx>
        <c:axId val="8511750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69984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f866581-6282-40c8-9a9a-6e27f5c91a1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176029962547"/>
          <c:y val="0.06664691943127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Sheet1!$B$1356:$B$1361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Sheet1!$C$1356:$C$1361</c:f>
              <c:numCache>
                <c:formatCode>General</c:formatCode>
                <c:ptCount val="6"/>
                <c:pt idx="0">
                  <c:v>2.40233333333333</c:v>
                </c:pt>
                <c:pt idx="1">
                  <c:v>1.711</c:v>
                </c:pt>
                <c:pt idx="2">
                  <c:v>0.824666666666667</c:v>
                </c:pt>
                <c:pt idx="3">
                  <c:v>0.423666666666667</c:v>
                </c:pt>
                <c:pt idx="4">
                  <c:v>0.191</c:v>
                </c:pt>
                <c:pt idx="5">
                  <c:v>0.103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53841"/>
        <c:axId val="399066887"/>
      </c:scatterChart>
      <c:valAx>
        <c:axId val="9828538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066887"/>
        <c:crosses val="autoZero"/>
        <c:crossBetween val="midCat"/>
      </c:valAx>
      <c:valAx>
        <c:axId val="399066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538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bdc1029-1b32-469a-a9c5-30b48b2df9e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158680282797"/>
          <c:y val="0.04922874958976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Sheet1!$B$1378:$B$1383</c:f>
              <c:numCache>
                <c:formatCode>General</c:formatCode>
                <c:ptCount val="6"/>
                <c:pt idx="0">
                  <c:v>0.5</c:v>
                </c:pt>
                <c:pt idx="1">
                  <c:v>0.25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Sheet1!$C$1378:$C$1383</c:f>
              <c:numCache>
                <c:formatCode>General</c:formatCode>
                <c:ptCount val="6"/>
                <c:pt idx="0">
                  <c:v>2.174</c:v>
                </c:pt>
                <c:pt idx="1">
                  <c:v>1.33633333333333</c:v>
                </c:pt>
                <c:pt idx="2">
                  <c:v>0.597</c:v>
                </c:pt>
                <c:pt idx="3">
                  <c:v>0.324666666666667</c:v>
                </c:pt>
                <c:pt idx="4">
                  <c:v>0.139333333333333</c:v>
                </c:pt>
                <c:pt idx="5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28937"/>
        <c:axId val="346851745"/>
      </c:scatterChart>
      <c:valAx>
        <c:axId val="8951289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6851745"/>
        <c:crosses val="autoZero"/>
        <c:crossBetween val="midCat"/>
      </c:valAx>
      <c:valAx>
        <c:axId val="3468517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1289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32b586a-2533-47d5-86e9-801d9337b4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Sheet1!$B$1359:$B$1362</c:f>
              <c:numCache>
                <c:formatCode>General</c:formatCode>
                <c:ptCount val="4"/>
                <c:pt idx="0">
                  <c:v>0.05</c:v>
                </c:pt>
                <c:pt idx="1">
                  <c:v>0.02</c:v>
                </c:pt>
                <c:pt idx="2">
                  <c:v>0.01</c:v>
                </c:pt>
                <c:pt idx="3">
                  <c:v>0.005</c:v>
                </c:pt>
              </c:numCache>
            </c:numRef>
          </c:xVal>
          <c:yVal>
            <c:numRef>
              <c:f>Sheet1!$C$1359:$C$1362</c:f>
              <c:numCache>
                <c:formatCode>General</c:formatCode>
                <c:ptCount val="4"/>
                <c:pt idx="0">
                  <c:v>0.423666666666667</c:v>
                </c:pt>
                <c:pt idx="1">
                  <c:v>0.191</c:v>
                </c:pt>
                <c:pt idx="2">
                  <c:v>0.103</c:v>
                </c:pt>
                <c:pt idx="3">
                  <c:v>0.045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296172"/>
        <c:axId val="547124593"/>
      </c:scatterChart>
      <c:valAx>
        <c:axId val="8632961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124593"/>
        <c:crosses val="autoZero"/>
        <c:crossBetween val="midCat"/>
      </c:valAx>
      <c:valAx>
        <c:axId val="547124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2961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fa5953-3757-4dba-9c60-4845fd7c434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Sheet1!$B$1380:$B$1383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Sheet1!$C$1380:$C$1383</c:f>
              <c:numCache>
                <c:formatCode>General</c:formatCode>
                <c:ptCount val="4"/>
                <c:pt idx="0">
                  <c:v>0.597</c:v>
                </c:pt>
                <c:pt idx="1">
                  <c:v>0.324666666666667</c:v>
                </c:pt>
                <c:pt idx="2">
                  <c:v>0.139333333333333</c:v>
                </c:pt>
                <c:pt idx="3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199650"/>
        <c:axId val="122730709"/>
      </c:scatterChart>
      <c:valAx>
        <c:axId val="8691996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730709"/>
        <c:crosses val="autoZero"/>
        <c:crossBetween val="midCat"/>
      </c:valAx>
      <c:valAx>
        <c:axId val="1227307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1996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fea362e-5b96-4b8e-8e3c-45ea9df4a20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6680446194226"/>
          <c:y val="0.0555555555555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Sheet1!$C$1437</c:f>
              <c:strCache>
                <c:ptCount val="1"/>
                <c:pt idx="0">
                  <c:v>淋洗上清液EPI含量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Sheet1!$B$1438:$B$1446</c:f>
              <c:strCache>
                <c:ptCount val="9"/>
                <c:pt idx="0" c:formatCode="@">
                  <c:v>9:1</c:v>
                </c:pt>
                <c:pt idx="1" c:formatCode="@">
                  <c:v>8:2</c:v>
                </c:pt>
                <c:pt idx="2" c:formatCode="@">
                  <c:v>7:3</c:v>
                </c:pt>
                <c:pt idx="3" c:formatCode="@">
                  <c:v>6:4</c:v>
                </c:pt>
                <c:pt idx="4" c:formatCode="@">
                  <c:v>5:5</c:v>
                </c:pt>
                <c:pt idx="5" c:formatCode="@">
                  <c:v>4:6</c:v>
                </c:pt>
                <c:pt idx="6" c:formatCode="@">
                  <c:v>3:7</c:v>
                </c:pt>
                <c:pt idx="7" c:formatCode="@">
                  <c:v>2:8</c:v>
                </c:pt>
                <c:pt idx="8" c:formatCode="@">
                  <c:v>1:9</c:v>
                </c:pt>
              </c:strCache>
            </c:strRef>
          </c:cat>
          <c:val>
            <c:numRef>
              <c:f>Sheet1!$C$1438:$C$1446</c:f>
              <c:numCache>
                <c:formatCode>0.0000000000_ </c:formatCode>
                <c:ptCount val="9"/>
                <c:pt idx="0">
                  <c:v>0.000487781083849568</c:v>
                </c:pt>
                <c:pt idx="1">
                  <c:v>0.00130074955693218</c:v>
                </c:pt>
                <c:pt idx="2">
                  <c:v>0.0042816339582351</c:v>
                </c:pt>
                <c:pt idx="3">
                  <c:v>0.00726251835953802</c:v>
                </c:pt>
                <c:pt idx="4">
                  <c:v>0.0105143922518685</c:v>
                </c:pt>
                <c:pt idx="5">
                  <c:v>0.0170181400365294</c:v>
                </c:pt>
                <c:pt idx="6">
                  <c:v>0.0251478247673555</c:v>
                </c:pt>
                <c:pt idx="7">
                  <c:v>0.0302966250968787</c:v>
                </c:pt>
                <c:pt idx="8">
                  <c:v>0.0346324569533194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441984"/>
        <c:axId val="259442312"/>
      </c:barChart>
      <c:catAx>
        <c:axId val="25944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42312"/>
        <c:crosses val="autoZero"/>
        <c:auto val="1"/>
        <c:lblAlgn val="ctr"/>
        <c:lblOffset val="100"/>
        <c:noMultiLvlLbl val="0"/>
      </c:catAx>
      <c:valAx>
        <c:axId val="2594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e006482-a880-4f25-84d1-5b29686eb9c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Sheet1!$B$364:$B$368</c:f>
              <c:numCache>
                <c:formatCode>General</c:formatCode>
                <c:ptCount val="5"/>
                <c:pt idx="0">
                  <c:v>0.25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Sheet1!$C$364:$C$368</c:f>
              <c:numCache>
                <c:formatCode>General</c:formatCode>
                <c:ptCount val="5"/>
                <c:pt idx="0">
                  <c:v>1.46866666666667</c:v>
                </c:pt>
                <c:pt idx="1">
                  <c:v>0.808666666666667</c:v>
                </c:pt>
                <c:pt idx="2">
                  <c:v>0.420333333333333</c:v>
                </c:pt>
                <c:pt idx="3">
                  <c:v>0.19</c:v>
                </c:pt>
                <c:pt idx="4">
                  <c:v>0.114333333333333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68096"/>
        <c:axId val="313269632"/>
      </c:scatterChart>
      <c:valAx>
        <c:axId val="3132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269632"/>
        <c:crosses val="autoZero"/>
        <c:crossBetween val="midCat"/>
      </c:valAx>
      <c:valAx>
        <c:axId val="31326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26809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c65d77-61ea-42f4-a5e9-c4a8777c374a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Sheet1!$B$365:$B$368</c:f>
              <c:numCache>
                <c:formatCode>General</c:formatCode>
                <c:ptCount val="4"/>
                <c:pt idx="0">
                  <c:v>0.1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</c:numCache>
            </c:numRef>
          </c:xVal>
          <c:yVal>
            <c:numRef>
              <c:f>Sheet1!$C$365:$C$368</c:f>
              <c:numCache>
                <c:formatCode>General</c:formatCode>
                <c:ptCount val="4"/>
                <c:pt idx="0">
                  <c:v>0.808666666666667</c:v>
                </c:pt>
                <c:pt idx="1">
                  <c:v>0.420333333333333</c:v>
                </c:pt>
                <c:pt idx="2">
                  <c:v>0.19</c:v>
                </c:pt>
                <c:pt idx="3">
                  <c:v>0.114333333333333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86016"/>
        <c:axId val="313300096"/>
      </c:scatterChart>
      <c:valAx>
        <c:axId val="31328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300096"/>
        <c:crosses val="autoZero"/>
        <c:crossBetween val="midCat"/>
      </c:valAx>
      <c:valAx>
        <c:axId val="3133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28601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86dc282-b37e-420a-a990-2e4abf99941f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Sheet1!$M$340</c:f>
              <c:strCache>
                <c:ptCount val="1"/>
                <c:pt idx="0">
                  <c:v>MIP吸附量</c:v>
                </c:pt>
              </c:strCache>
            </c:strRef>
          </c:tx>
          <c:dLbls>
            <c:delete val="1"/>
          </c:dLbls>
          <c:xVal>
            <c:numRef>
              <c:f>Sheet1!$L$341:$L$346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Sheet1!$M$341:$M$346</c:f>
              <c:numCache>
                <c:formatCode>General</c:formatCode>
                <c:ptCount val="6"/>
                <c:pt idx="0">
                  <c:v>0.24</c:v>
                </c:pt>
                <c:pt idx="1">
                  <c:v>0.81</c:v>
                </c:pt>
                <c:pt idx="2">
                  <c:v>2.14</c:v>
                </c:pt>
                <c:pt idx="3">
                  <c:v>4.39</c:v>
                </c:pt>
                <c:pt idx="4">
                  <c:v>11.24</c:v>
                </c:pt>
                <c:pt idx="5">
                  <c:v>19.9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Sheet1!$N$340</c:f>
              <c:strCache>
                <c:ptCount val="1"/>
                <c:pt idx="0">
                  <c:v>NIP吸附量</c:v>
                </c:pt>
              </c:strCache>
            </c:strRef>
          </c:tx>
          <c:dLbls>
            <c:delete val="1"/>
          </c:dLbls>
          <c:xVal>
            <c:numRef>
              <c:f>Sheet1!$L$341:$L$346</c:f>
              <c:numCache>
                <c:formatCode>General</c:formatCode>
                <c:ptCount val="6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</c:numCache>
            </c:numRef>
          </c:xVal>
          <c:yVal>
            <c:numRef>
              <c:f>Sheet1!$N$341:$N$346</c:f>
              <c:numCache>
                <c:formatCode>General</c:formatCode>
                <c:ptCount val="6"/>
                <c:pt idx="0">
                  <c:v>0.31</c:v>
                </c:pt>
                <c:pt idx="1">
                  <c:v>0.39</c:v>
                </c:pt>
                <c:pt idx="2">
                  <c:v>0.28</c:v>
                </c:pt>
                <c:pt idx="3">
                  <c:v>0.54</c:v>
                </c:pt>
                <c:pt idx="4">
                  <c:v>2.64</c:v>
                </c:pt>
                <c:pt idx="5">
                  <c:v>8.76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0576"/>
        <c:axId val="313322112"/>
      </c:scatterChart>
      <c:valAx>
        <c:axId val="3133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322112"/>
        <c:crosses val="autoZero"/>
        <c:crossBetween val="midCat"/>
      </c:valAx>
      <c:valAx>
        <c:axId val="3133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332057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c7f094a-501c-450d-93fe-26f06440744e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Sheet1!$M$392</c:f>
              <c:strCache>
                <c:ptCount val="1"/>
                <c:pt idx="0">
                  <c:v>MIP吸附量</c:v>
                </c:pt>
              </c:strCache>
            </c:strRef>
          </c:tx>
          <c:dLbls>
            <c:delete val="1"/>
          </c:dLbls>
          <c:xVal>
            <c:numRef>
              <c:f>Sheet1!$L$393:$L$397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xVal>
          <c:yVal>
            <c:numRef>
              <c:f>Sheet1!$M$393:$M$397</c:f>
              <c:numCache>
                <c:formatCode>General</c:formatCode>
                <c:ptCount val="5"/>
                <c:pt idx="0">
                  <c:v>0.105</c:v>
                </c:pt>
                <c:pt idx="1">
                  <c:v>0.66</c:v>
                </c:pt>
                <c:pt idx="2">
                  <c:v>2.01</c:v>
                </c:pt>
                <c:pt idx="3">
                  <c:v>4.27</c:v>
                </c:pt>
                <c:pt idx="4">
                  <c:v>11.72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Sheet1!$N$392</c:f>
              <c:strCache>
                <c:ptCount val="1"/>
                <c:pt idx="0">
                  <c:v>NIP吸附量</c:v>
                </c:pt>
              </c:strCache>
            </c:strRef>
          </c:tx>
          <c:dLbls>
            <c:delete val="1"/>
          </c:dLbls>
          <c:xVal>
            <c:numRef>
              <c:f>Sheet1!$L$393:$L$397</c:f>
              <c:numCache>
                <c:formatCode>General</c:formatCode>
                <c:ptCount val="5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</c:numCache>
            </c:numRef>
          </c:xVal>
          <c:yVal>
            <c:numRef>
              <c:f>Sheet1!$N$393:$N$397</c:f>
              <c:numCache>
                <c:formatCode>General</c:formatCode>
                <c:ptCount val="5"/>
                <c:pt idx="0">
                  <c:v>0.171</c:v>
                </c:pt>
                <c:pt idx="1">
                  <c:v>0.28</c:v>
                </c:pt>
                <c:pt idx="2">
                  <c:v>0.29</c:v>
                </c:pt>
                <c:pt idx="3">
                  <c:v>0.72</c:v>
                </c:pt>
                <c:pt idx="4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401280"/>
        <c:axId val="268407168"/>
      </c:scatterChart>
      <c:valAx>
        <c:axId val="26840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407168"/>
        <c:crosses val="autoZero"/>
        <c:crossBetween val="midCat"/>
      </c:valAx>
      <c:valAx>
        <c:axId val="268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401280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4dc5a0-17ae-47c6-8954-0fe593cf2b07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9" Type="http://schemas.openxmlformats.org/officeDocument/2006/relationships/chart" Target="../charts/chart59.xml"/><Relationship Id="rId58" Type="http://schemas.openxmlformats.org/officeDocument/2006/relationships/chart" Target="../charts/chart58.xml"/><Relationship Id="rId57" Type="http://schemas.openxmlformats.org/officeDocument/2006/relationships/chart" Target="../charts/chart57.xml"/><Relationship Id="rId56" Type="http://schemas.openxmlformats.org/officeDocument/2006/relationships/chart" Target="../charts/chart56.xml"/><Relationship Id="rId55" Type="http://schemas.openxmlformats.org/officeDocument/2006/relationships/chart" Target="../charts/chart55.xml"/><Relationship Id="rId54" Type="http://schemas.openxmlformats.org/officeDocument/2006/relationships/chart" Target="../charts/chart54.xml"/><Relationship Id="rId53" Type="http://schemas.openxmlformats.org/officeDocument/2006/relationships/chart" Target="../charts/chart53.xml"/><Relationship Id="rId52" Type="http://schemas.openxmlformats.org/officeDocument/2006/relationships/chart" Target="../charts/chart52.xml"/><Relationship Id="rId51" Type="http://schemas.openxmlformats.org/officeDocument/2006/relationships/chart" Target="../charts/chart51.xml"/><Relationship Id="rId50" Type="http://schemas.openxmlformats.org/officeDocument/2006/relationships/chart" Target="../charts/chart50.xml"/><Relationship Id="rId5" Type="http://schemas.openxmlformats.org/officeDocument/2006/relationships/chart" Target="../charts/chart5.xml"/><Relationship Id="rId49" Type="http://schemas.openxmlformats.org/officeDocument/2006/relationships/chart" Target="../charts/chart49.xml"/><Relationship Id="rId48" Type="http://schemas.openxmlformats.org/officeDocument/2006/relationships/chart" Target="../charts/chart48.xml"/><Relationship Id="rId47" Type="http://schemas.openxmlformats.org/officeDocument/2006/relationships/chart" Target="../charts/chart47.xml"/><Relationship Id="rId46" Type="http://schemas.openxmlformats.org/officeDocument/2006/relationships/chart" Target="../charts/chart46.xml"/><Relationship Id="rId45" Type="http://schemas.openxmlformats.org/officeDocument/2006/relationships/chart" Target="../charts/chart45.xml"/><Relationship Id="rId44" Type="http://schemas.openxmlformats.org/officeDocument/2006/relationships/chart" Target="../charts/chart44.xml"/><Relationship Id="rId43" Type="http://schemas.openxmlformats.org/officeDocument/2006/relationships/chart" Target="../charts/chart43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40" Type="http://schemas.openxmlformats.org/officeDocument/2006/relationships/chart" Target="../charts/chart40.xml"/><Relationship Id="rId4" Type="http://schemas.openxmlformats.org/officeDocument/2006/relationships/chart" Target="../charts/chart4.xml"/><Relationship Id="rId39" Type="http://schemas.openxmlformats.org/officeDocument/2006/relationships/chart" Target="../charts/chart39.xml"/><Relationship Id="rId38" Type="http://schemas.openxmlformats.org/officeDocument/2006/relationships/chart" Target="../charts/chart38.xml"/><Relationship Id="rId37" Type="http://schemas.openxmlformats.org/officeDocument/2006/relationships/chart" Target="../charts/chart37.xml"/><Relationship Id="rId36" Type="http://schemas.openxmlformats.org/officeDocument/2006/relationships/chart" Target="../charts/chart36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619125</xdr:colOff>
      <xdr:row>10</xdr:row>
      <xdr:rowOff>123825</xdr:rowOff>
    </xdr:from>
    <xdr:to>
      <xdr:col>7</xdr:col>
      <xdr:colOff>228600</xdr:colOff>
      <xdr:row>26</xdr:row>
      <xdr:rowOff>123825</xdr:rowOff>
    </xdr:to>
    <xdr:graphicFrame>
      <xdr:nvGraphicFramePr>
        <xdr:cNvPr id="4" name="图表 3"/>
        <xdr:cNvGraphicFramePr/>
      </xdr:nvGraphicFramePr>
      <xdr:xfrm>
        <a:off x="5417820" y="1838325"/>
        <a:ext cx="59963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248</xdr:row>
      <xdr:rowOff>95250</xdr:rowOff>
    </xdr:from>
    <xdr:to>
      <xdr:col>6</xdr:col>
      <xdr:colOff>457200</xdr:colOff>
      <xdr:row>264</xdr:row>
      <xdr:rowOff>95250</xdr:rowOff>
    </xdr:to>
    <xdr:graphicFrame>
      <xdr:nvGraphicFramePr>
        <xdr:cNvPr id="3" name="图表 2"/>
        <xdr:cNvGraphicFramePr/>
      </xdr:nvGraphicFramePr>
      <xdr:xfrm>
        <a:off x="4979670" y="42614850"/>
        <a:ext cx="51111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733425</xdr:colOff>
      <xdr:row>320</xdr:row>
      <xdr:rowOff>66675</xdr:rowOff>
    </xdr:from>
    <xdr:to>
      <xdr:col>8</xdr:col>
      <xdr:colOff>438150</xdr:colOff>
      <xdr:row>336</xdr:row>
      <xdr:rowOff>66675</xdr:rowOff>
    </xdr:to>
    <xdr:graphicFrame>
      <xdr:nvGraphicFramePr>
        <xdr:cNvPr id="6" name="图表 5"/>
        <xdr:cNvGraphicFramePr/>
      </xdr:nvGraphicFramePr>
      <xdr:xfrm>
        <a:off x="8249920" y="54949725"/>
        <a:ext cx="4826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319</xdr:row>
      <xdr:rowOff>161925</xdr:rowOff>
    </xdr:from>
    <xdr:to>
      <xdr:col>3</xdr:col>
      <xdr:colOff>809625</xdr:colOff>
      <xdr:row>335</xdr:row>
      <xdr:rowOff>161925</xdr:rowOff>
    </xdr:to>
    <xdr:graphicFrame>
      <xdr:nvGraphicFramePr>
        <xdr:cNvPr id="7" name="图表 6"/>
        <xdr:cNvGraphicFramePr/>
      </xdr:nvGraphicFramePr>
      <xdr:xfrm>
        <a:off x="2056130" y="54873525"/>
        <a:ext cx="5202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504825</xdr:colOff>
      <xdr:row>369</xdr:row>
      <xdr:rowOff>76200</xdr:rowOff>
    </xdr:from>
    <xdr:to>
      <xdr:col>4</xdr:col>
      <xdr:colOff>152400</xdr:colOff>
      <xdr:row>385</xdr:row>
      <xdr:rowOff>76200</xdr:rowOff>
    </xdr:to>
    <xdr:graphicFrame>
      <xdr:nvGraphicFramePr>
        <xdr:cNvPr id="8" name="图表 7"/>
        <xdr:cNvGraphicFramePr/>
      </xdr:nvGraphicFramePr>
      <xdr:xfrm>
        <a:off x="2522855" y="63360300"/>
        <a:ext cx="5146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752475</xdr:colOff>
      <xdr:row>369</xdr:row>
      <xdr:rowOff>76200</xdr:rowOff>
    </xdr:from>
    <xdr:to>
      <xdr:col>9</xdr:col>
      <xdr:colOff>657225</xdr:colOff>
      <xdr:row>385</xdr:row>
      <xdr:rowOff>76200</xdr:rowOff>
    </xdr:to>
    <xdr:graphicFrame>
      <xdr:nvGraphicFramePr>
        <xdr:cNvPr id="9" name="图表 8"/>
        <xdr:cNvGraphicFramePr/>
      </xdr:nvGraphicFramePr>
      <xdr:xfrm>
        <a:off x="9318625" y="63360300"/>
        <a:ext cx="4889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219075</xdr:colOff>
      <xdr:row>372</xdr:row>
      <xdr:rowOff>85725</xdr:rowOff>
    </xdr:from>
    <xdr:to>
      <xdr:col>16</xdr:col>
      <xdr:colOff>676275</xdr:colOff>
      <xdr:row>388</xdr:row>
      <xdr:rowOff>85725</xdr:rowOff>
    </xdr:to>
    <xdr:graphicFrame>
      <xdr:nvGraphicFramePr>
        <xdr:cNvPr id="10" name="图表 9"/>
        <xdr:cNvGraphicFramePr/>
      </xdr:nvGraphicFramePr>
      <xdr:xfrm>
        <a:off x="14427200" y="63884175"/>
        <a:ext cx="5709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347</xdr:row>
      <xdr:rowOff>95250</xdr:rowOff>
    </xdr:from>
    <xdr:to>
      <xdr:col>14</xdr:col>
      <xdr:colOff>161925</xdr:colOff>
      <xdr:row>363</xdr:row>
      <xdr:rowOff>95250</xdr:rowOff>
    </xdr:to>
    <xdr:graphicFrame>
      <xdr:nvGraphicFramePr>
        <xdr:cNvPr id="14" name="图表 13"/>
        <xdr:cNvGraphicFramePr/>
      </xdr:nvGraphicFramePr>
      <xdr:xfrm>
        <a:off x="14076680" y="59607450"/>
        <a:ext cx="42849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190500</xdr:colOff>
      <xdr:row>399</xdr:row>
      <xdr:rowOff>38100</xdr:rowOff>
    </xdr:from>
    <xdr:to>
      <xdr:col>14</xdr:col>
      <xdr:colOff>523875</xdr:colOff>
      <xdr:row>415</xdr:row>
      <xdr:rowOff>38100</xdr:rowOff>
    </xdr:to>
    <xdr:graphicFrame>
      <xdr:nvGraphicFramePr>
        <xdr:cNvPr id="15" name="图表 14"/>
        <xdr:cNvGraphicFramePr/>
      </xdr:nvGraphicFramePr>
      <xdr:xfrm>
        <a:off x="14398625" y="68465700"/>
        <a:ext cx="43249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457200</xdr:colOff>
      <xdr:row>403</xdr:row>
      <xdr:rowOff>19050</xdr:rowOff>
    </xdr:from>
    <xdr:to>
      <xdr:col>9</xdr:col>
      <xdr:colOff>361950</xdr:colOff>
      <xdr:row>419</xdr:row>
      <xdr:rowOff>19050</xdr:rowOff>
    </xdr:to>
    <xdr:graphicFrame>
      <xdr:nvGraphicFramePr>
        <xdr:cNvPr id="11" name="图表 10"/>
        <xdr:cNvGraphicFramePr/>
      </xdr:nvGraphicFramePr>
      <xdr:xfrm>
        <a:off x="9023350" y="69132450"/>
        <a:ext cx="49009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533400</xdr:colOff>
      <xdr:row>458</xdr:row>
      <xdr:rowOff>57150</xdr:rowOff>
    </xdr:from>
    <xdr:to>
      <xdr:col>7</xdr:col>
      <xdr:colOff>657225</xdr:colOff>
      <xdr:row>474</xdr:row>
      <xdr:rowOff>57150</xdr:rowOff>
    </xdr:to>
    <xdr:graphicFrame>
      <xdr:nvGraphicFramePr>
        <xdr:cNvPr id="12" name="图表 11"/>
        <xdr:cNvGraphicFramePr/>
      </xdr:nvGraphicFramePr>
      <xdr:xfrm>
        <a:off x="6982460" y="78600300"/>
        <a:ext cx="48602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1000125</xdr:colOff>
      <xdr:row>459</xdr:row>
      <xdr:rowOff>0</xdr:rowOff>
    </xdr:from>
    <xdr:to>
      <xdr:col>12</xdr:col>
      <xdr:colOff>876300</xdr:colOff>
      <xdr:row>475</xdr:row>
      <xdr:rowOff>0</xdr:rowOff>
    </xdr:to>
    <xdr:graphicFrame>
      <xdr:nvGraphicFramePr>
        <xdr:cNvPr id="13" name="图表 12"/>
        <xdr:cNvGraphicFramePr/>
      </xdr:nvGraphicFramePr>
      <xdr:xfrm>
        <a:off x="12185650" y="78714600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479</xdr:row>
      <xdr:rowOff>47625</xdr:rowOff>
    </xdr:from>
    <xdr:to>
      <xdr:col>14</xdr:col>
      <xdr:colOff>304800</xdr:colOff>
      <xdr:row>495</xdr:row>
      <xdr:rowOff>47625</xdr:rowOff>
    </xdr:to>
    <xdr:graphicFrame>
      <xdr:nvGraphicFramePr>
        <xdr:cNvPr id="18" name="图表 17"/>
        <xdr:cNvGraphicFramePr/>
      </xdr:nvGraphicFramePr>
      <xdr:xfrm>
        <a:off x="14208125" y="82191225"/>
        <a:ext cx="42964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485775</xdr:colOff>
      <xdr:row>507</xdr:row>
      <xdr:rowOff>142875</xdr:rowOff>
    </xdr:from>
    <xdr:to>
      <xdr:col>7</xdr:col>
      <xdr:colOff>609600</xdr:colOff>
      <xdr:row>523</xdr:row>
      <xdr:rowOff>142875</xdr:rowOff>
    </xdr:to>
    <xdr:graphicFrame>
      <xdr:nvGraphicFramePr>
        <xdr:cNvPr id="19" name="图表 18"/>
        <xdr:cNvGraphicFramePr/>
      </xdr:nvGraphicFramePr>
      <xdr:xfrm>
        <a:off x="6934835" y="87087075"/>
        <a:ext cx="48602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314325</xdr:colOff>
      <xdr:row>527</xdr:row>
      <xdr:rowOff>114300</xdr:rowOff>
    </xdr:from>
    <xdr:to>
      <xdr:col>13</xdr:col>
      <xdr:colOff>1085850</xdr:colOff>
      <xdr:row>543</xdr:row>
      <xdr:rowOff>114300</xdr:rowOff>
    </xdr:to>
    <xdr:graphicFrame>
      <xdr:nvGraphicFramePr>
        <xdr:cNvPr id="16" name="图表 15"/>
        <xdr:cNvGraphicFramePr/>
      </xdr:nvGraphicFramePr>
      <xdr:xfrm>
        <a:off x="13876655" y="90487500"/>
        <a:ext cx="432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981075</xdr:colOff>
      <xdr:row>558</xdr:row>
      <xdr:rowOff>19050</xdr:rowOff>
    </xdr:from>
    <xdr:to>
      <xdr:col>7</xdr:col>
      <xdr:colOff>1104900</xdr:colOff>
      <xdr:row>574</xdr:row>
      <xdr:rowOff>19050</xdr:rowOff>
    </xdr:to>
    <xdr:graphicFrame>
      <xdr:nvGraphicFramePr>
        <xdr:cNvPr id="20" name="图表 19"/>
        <xdr:cNvGraphicFramePr/>
      </xdr:nvGraphicFramePr>
      <xdr:xfrm>
        <a:off x="7430135" y="95707200"/>
        <a:ext cx="48602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333375</xdr:colOff>
      <xdr:row>574</xdr:row>
      <xdr:rowOff>76200</xdr:rowOff>
    </xdr:from>
    <xdr:to>
      <xdr:col>12</xdr:col>
      <xdr:colOff>209550</xdr:colOff>
      <xdr:row>590</xdr:row>
      <xdr:rowOff>76200</xdr:rowOff>
    </xdr:to>
    <xdr:graphicFrame>
      <xdr:nvGraphicFramePr>
        <xdr:cNvPr id="21" name="图表 20"/>
        <xdr:cNvGraphicFramePr/>
      </xdr:nvGraphicFramePr>
      <xdr:xfrm>
        <a:off x="11518900" y="98507550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533400</xdr:colOff>
      <xdr:row>590</xdr:row>
      <xdr:rowOff>66675</xdr:rowOff>
    </xdr:from>
    <xdr:to>
      <xdr:col>14</xdr:col>
      <xdr:colOff>180975</xdr:colOff>
      <xdr:row>606</xdr:row>
      <xdr:rowOff>66675</xdr:rowOff>
    </xdr:to>
    <xdr:graphicFrame>
      <xdr:nvGraphicFramePr>
        <xdr:cNvPr id="23" name="图表 22"/>
        <xdr:cNvGraphicFramePr/>
      </xdr:nvGraphicFramePr>
      <xdr:xfrm>
        <a:off x="14095730" y="101241225"/>
        <a:ext cx="42849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161925</xdr:colOff>
      <xdr:row>610</xdr:row>
      <xdr:rowOff>95250</xdr:rowOff>
    </xdr:from>
    <xdr:to>
      <xdr:col>9</xdr:col>
      <xdr:colOff>66675</xdr:colOff>
      <xdr:row>626</xdr:row>
      <xdr:rowOff>95250</xdr:rowOff>
    </xdr:to>
    <xdr:graphicFrame>
      <xdr:nvGraphicFramePr>
        <xdr:cNvPr id="24" name="图表 23"/>
        <xdr:cNvGraphicFramePr/>
      </xdr:nvGraphicFramePr>
      <xdr:xfrm>
        <a:off x="8728075" y="104698800"/>
        <a:ext cx="49009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638</xdr:row>
      <xdr:rowOff>0</xdr:rowOff>
    </xdr:from>
    <xdr:to>
      <xdr:col>15</xdr:col>
      <xdr:colOff>333375</xdr:colOff>
      <xdr:row>654</xdr:row>
      <xdr:rowOff>0</xdr:rowOff>
    </xdr:to>
    <xdr:graphicFrame>
      <xdr:nvGraphicFramePr>
        <xdr:cNvPr id="25" name="图表 24"/>
        <xdr:cNvGraphicFramePr/>
      </xdr:nvGraphicFramePr>
      <xdr:xfrm>
        <a:off x="14853920" y="109404150"/>
        <a:ext cx="43249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619125</xdr:colOff>
      <xdr:row>658</xdr:row>
      <xdr:rowOff>152400</xdr:rowOff>
    </xdr:from>
    <xdr:to>
      <xdr:col>9</xdr:col>
      <xdr:colOff>523875</xdr:colOff>
      <xdr:row>674</xdr:row>
      <xdr:rowOff>152400</xdr:rowOff>
    </xdr:to>
    <xdr:graphicFrame>
      <xdr:nvGraphicFramePr>
        <xdr:cNvPr id="27" name="图表 26"/>
        <xdr:cNvGraphicFramePr/>
      </xdr:nvGraphicFramePr>
      <xdr:xfrm>
        <a:off x="9185275" y="112985550"/>
        <a:ext cx="49009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304800</xdr:colOff>
      <xdr:row>320</xdr:row>
      <xdr:rowOff>76200</xdr:rowOff>
    </xdr:from>
    <xdr:to>
      <xdr:col>13</xdr:col>
      <xdr:colOff>1076325</xdr:colOff>
      <xdr:row>336</xdr:row>
      <xdr:rowOff>76200</xdr:rowOff>
    </xdr:to>
    <xdr:graphicFrame>
      <xdr:nvGraphicFramePr>
        <xdr:cNvPr id="29" name="图表 28"/>
        <xdr:cNvGraphicFramePr/>
      </xdr:nvGraphicFramePr>
      <xdr:xfrm>
        <a:off x="13867130" y="54959250"/>
        <a:ext cx="43326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752475</xdr:colOff>
      <xdr:row>676</xdr:row>
      <xdr:rowOff>104775</xdr:rowOff>
    </xdr:from>
    <xdr:to>
      <xdr:col>12</xdr:col>
      <xdr:colOff>628650</xdr:colOff>
      <xdr:row>692</xdr:row>
      <xdr:rowOff>104775</xdr:rowOff>
    </xdr:to>
    <xdr:graphicFrame>
      <xdr:nvGraphicFramePr>
        <xdr:cNvPr id="30" name="图表 29"/>
        <xdr:cNvGraphicFramePr/>
      </xdr:nvGraphicFramePr>
      <xdr:xfrm>
        <a:off x="11938000" y="116024025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2628900</xdr:colOff>
      <xdr:row>686</xdr:row>
      <xdr:rowOff>85725</xdr:rowOff>
    </xdr:from>
    <xdr:to>
      <xdr:col>6</xdr:col>
      <xdr:colOff>257175</xdr:colOff>
      <xdr:row>702</xdr:row>
      <xdr:rowOff>85725</xdr:rowOff>
    </xdr:to>
    <xdr:graphicFrame>
      <xdr:nvGraphicFramePr>
        <xdr:cNvPr id="36" name="图表 35"/>
        <xdr:cNvGraphicFramePr/>
      </xdr:nvGraphicFramePr>
      <xdr:xfrm>
        <a:off x="4646930" y="117719475"/>
        <a:ext cx="52438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628650</xdr:colOff>
      <xdr:row>705</xdr:row>
      <xdr:rowOff>76200</xdr:rowOff>
    </xdr:from>
    <xdr:to>
      <xdr:col>13</xdr:col>
      <xdr:colOff>714375</xdr:colOff>
      <xdr:row>721</xdr:row>
      <xdr:rowOff>76200</xdr:rowOff>
    </xdr:to>
    <xdr:graphicFrame>
      <xdr:nvGraphicFramePr>
        <xdr:cNvPr id="40" name="图表 39"/>
        <xdr:cNvGraphicFramePr/>
      </xdr:nvGraphicFramePr>
      <xdr:xfrm>
        <a:off x="13267055" y="120967500"/>
        <a:ext cx="45885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590550</xdr:colOff>
      <xdr:row>718</xdr:row>
      <xdr:rowOff>133350</xdr:rowOff>
    </xdr:from>
    <xdr:to>
      <xdr:col>6</xdr:col>
      <xdr:colOff>866775</xdr:colOff>
      <xdr:row>734</xdr:row>
      <xdr:rowOff>133350</xdr:rowOff>
    </xdr:to>
    <xdr:graphicFrame>
      <xdr:nvGraphicFramePr>
        <xdr:cNvPr id="41" name="图表 40"/>
        <xdr:cNvGraphicFramePr/>
      </xdr:nvGraphicFramePr>
      <xdr:xfrm>
        <a:off x="5389245" y="123253500"/>
        <a:ext cx="51111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257175</xdr:colOff>
      <xdr:row>746</xdr:row>
      <xdr:rowOff>95250</xdr:rowOff>
    </xdr:from>
    <xdr:to>
      <xdr:col>3</xdr:col>
      <xdr:colOff>1028700</xdr:colOff>
      <xdr:row>762</xdr:row>
      <xdr:rowOff>95250</xdr:rowOff>
    </xdr:to>
    <xdr:graphicFrame>
      <xdr:nvGraphicFramePr>
        <xdr:cNvPr id="35" name="图表 34"/>
        <xdr:cNvGraphicFramePr/>
      </xdr:nvGraphicFramePr>
      <xdr:xfrm>
        <a:off x="2275205" y="128016000"/>
        <a:ext cx="5202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323850</xdr:colOff>
      <xdr:row>746</xdr:row>
      <xdr:rowOff>114300</xdr:rowOff>
    </xdr:from>
    <xdr:to>
      <xdr:col>7</xdr:col>
      <xdr:colOff>1228725</xdr:colOff>
      <xdr:row>762</xdr:row>
      <xdr:rowOff>114300</xdr:rowOff>
    </xdr:to>
    <xdr:graphicFrame>
      <xdr:nvGraphicFramePr>
        <xdr:cNvPr id="37" name="图表 36"/>
        <xdr:cNvGraphicFramePr/>
      </xdr:nvGraphicFramePr>
      <xdr:xfrm>
        <a:off x="7840345" y="128035050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609600</xdr:colOff>
      <xdr:row>784</xdr:row>
      <xdr:rowOff>19050</xdr:rowOff>
    </xdr:from>
    <xdr:to>
      <xdr:col>7</xdr:col>
      <xdr:colOff>1514475</xdr:colOff>
      <xdr:row>800</xdr:row>
      <xdr:rowOff>19050</xdr:rowOff>
    </xdr:to>
    <xdr:graphicFrame>
      <xdr:nvGraphicFramePr>
        <xdr:cNvPr id="42" name="图表 41"/>
        <xdr:cNvGraphicFramePr/>
      </xdr:nvGraphicFramePr>
      <xdr:xfrm>
        <a:off x="8126095" y="134454900"/>
        <a:ext cx="45123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704850</xdr:colOff>
      <xdr:row>834</xdr:row>
      <xdr:rowOff>38100</xdr:rowOff>
    </xdr:from>
    <xdr:to>
      <xdr:col>7</xdr:col>
      <xdr:colOff>485775</xdr:colOff>
      <xdr:row>850</xdr:row>
      <xdr:rowOff>38100</xdr:rowOff>
    </xdr:to>
    <xdr:graphicFrame>
      <xdr:nvGraphicFramePr>
        <xdr:cNvPr id="45" name="图表 44"/>
        <xdr:cNvGraphicFramePr/>
      </xdr:nvGraphicFramePr>
      <xdr:xfrm>
        <a:off x="7153910" y="143046450"/>
        <a:ext cx="45173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657225</xdr:colOff>
      <xdr:row>860</xdr:row>
      <xdr:rowOff>123825</xdr:rowOff>
    </xdr:from>
    <xdr:to>
      <xdr:col>4</xdr:col>
      <xdr:colOff>304800</xdr:colOff>
      <xdr:row>876</xdr:row>
      <xdr:rowOff>123825</xdr:rowOff>
    </xdr:to>
    <xdr:graphicFrame>
      <xdr:nvGraphicFramePr>
        <xdr:cNvPr id="46" name="图表 45"/>
        <xdr:cNvGraphicFramePr/>
      </xdr:nvGraphicFramePr>
      <xdr:xfrm>
        <a:off x="2675255" y="147589875"/>
        <a:ext cx="5146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161925</xdr:colOff>
      <xdr:row>860</xdr:row>
      <xdr:rowOff>104775</xdr:rowOff>
    </xdr:from>
    <xdr:to>
      <xdr:col>8</xdr:col>
      <xdr:colOff>409575</xdr:colOff>
      <xdr:row>876</xdr:row>
      <xdr:rowOff>104775</xdr:rowOff>
    </xdr:to>
    <xdr:graphicFrame>
      <xdr:nvGraphicFramePr>
        <xdr:cNvPr id="47" name="图表 46"/>
        <xdr:cNvGraphicFramePr/>
      </xdr:nvGraphicFramePr>
      <xdr:xfrm>
        <a:off x="8728075" y="147570825"/>
        <a:ext cx="4319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676275</xdr:colOff>
      <xdr:row>898</xdr:row>
      <xdr:rowOff>133350</xdr:rowOff>
    </xdr:from>
    <xdr:to>
      <xdr:col>8</xdr:col>
      <xdr:colOff>38100</xdr:colOff>
      <xdr:row>914</xdr:row>
      <xdr:rowOff>133350</xdr:rowOff>
    </xdr:to>
    <xdr:graphicFrame>
      <xdr:nvGraphicFramePr>
        <xdr:cNvPr id="48" name="图表 47"/>
        <xdr:cNvGraphicFramePr/>
      </xdr:nvGraphicFramePr>
      <xdr:xfrm>
        <a:off x="8192770" y="154114500"/>
        <a:ext cx="44837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47625</xdr:colOff>
      <xdr:row>946</xdr:row>
      <xdr:rowOff>66675</xdr:rowOff>
    </xdr:from>
    <xdr:to>
      <xdr:col>7</xdr:col>
      <xdr:colOff>952500</xdr:colOff>
      <xdr:row>962</xdr:row>
      <xdr:rowOff>66675</xdr:rowOff>
    </xdr:to>
    <xdr:graphicFrame>
      <xdr:nvGraphicFramePr>
        <xdr:cNvPr id="49" name="图表 48"/>
        <xdr:cNvGraphicFramePr/>
      </xdr:nvGraphicFramePr>
      <xdr:xfrm>
        <a:off x="7564120" y="162277425"/>
        <a:ext cx="45739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1323975</xdr:colOff>
      <xdr:row>946</xdr:row>
      <xdr:rowOff>57150</xdr:rowOff>
    </xdr:from>
    <xdr:to>
      <xdr:col>12</xdr:col>
      <xdr:colOff>1200150</xdr:colOff>
      <xdr:row>962</xdr:row>
      <xdr:rowOff>57150</xdr:rowOff>
    </xdr:to>
    <xdr:graphicFrame>
      <xdr:nvGraphicFramePr>
        <xdr:cNvPr id="50" name="图表 49"/>
        <xdr:cNvGraphicFramePr/>
      </xdr:nvGraphicFramePr>
      <xdr:xfrm>
        <a:off x="12509500" y="162267900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666750</xdr:colOff>
      <xdr:row>834</xdr:row>
      <xdr:rowOff>38100</xdr:rowOff>
    </xdr:from>
    <xdr:to>
      <xdr:col>12</xdr:col>
      <xdr:colOff>542925</xdr:colOff>
      <xdr:row>850</xdr:row>
      <xdr:rowOff>38100</xdr:rowOff>
    </xdr:to>
    <xdr:graphicFrame>
      <xdr:nvGraphicFramePr>
        <xdr:cNvPr id="52" name="图表 51"/>
        <xdr:cNvGraphicFramePr/>
      </xdr:nvGraphicFramePr>
      <xdr:xfrm>
        <a:off x="11852275" y="143046450"/>
        <a:ext cx="45758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104140</xdr:colOff>
      <xdr:row>965</xdr:row>
      <xdr:rowOff>92075</xdr:rowOff>
    </xdr:from>
    <xdr:to>
      <xdr:col>9</xdr:col>
      <xdr:colOff>136525</xdr:colOff>
      <xdr:row>979</xdr:row>
      <xdr:rowOff>123825</xdr:rowOff>
    </xdr:to>
    <xdr:graphicFrame>
      <xdr:nvGraphicFramePr>
        <xdr:cNvPr id="5" name="图表 4"/>
        <xdr:cNvGraphicFramePr/>
      </xdr:nvGraphicFramePr>
      <xdr:xfrm>
        <a:off x="9737725" y="165560375"/>
        <a:ext cx="3961130" cy="2432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441325</xdr:colOff>
      <xdr:row>989</xdr:row>
      <xdr:rowOff>107950</xdr:rowOff>
    </xdr:from>
    <xdr:to>
      <xdr:col>6</xdr:col>
      <xdr:colOff>130175</xdr:colOff>
      <xdr:row>1004</xdr:row>
      <xdr:rowOff>6350</xdr:rowOff>
    </xdr:to>
    <xdr:graphicFrame>
      <xdr:nvGraphicFramePr>
        <xdr:cNvPr id="17" name="图表 16"/>
        <xdr:cNvGraphicFramePr/>
      </xdr:nvGraphicFramePr>
      <xdr:xfrm>
        <a:off x="5240020" y="169691050"/>
        <a:ext cx="4523740" cy="247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746125</xdr:colOff>
      <xdr:row>1026</xdr:row>
      <xdr:rowOff>2540</xdr:rowOff>
    </xdr:from>
    <xdr:to>
      <xdr:col>9</xdr:col>
      <xdr:colOff>307975</xdr:colOff>
      <xdr:row>1039</xdr:row>
      <xdr:rowOff>34925</xdr:rowOff>
    </xdr:to>
    <xdr:graphicFrame>
      <xdr:nvGraphicFramePr>
        <xdr:cNvPr id="2" name="图表 1"/>
        <xdr:cNvGraphicFramePr/>
      </xdr:nvGraphicFramePr>
      <xdr:xfrm>
        <a:off x="9312275" y="176443640"/>
        <a:ext cx="4558030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596900</xdr:colOff>
      <xdr:row>1093</xdr:row>
      <xdr:rowOff>111125</xdr:rowOff>
    </xdr:from>
    <xdr:to>
      <xdr:col>9</xdr:col>
      <xdr:colOff>158750</xdr:colOff>
      <xdr:row>1110</xdr:row>
      <xdr:rowOff>111125</xdr:rowOff>
    </xdr:to>
    <xdr:graphicFrame>
      <xdr:nvGraphicFramePr>
        <xdr:cNvPr id="22" name="图表 21"/>
        <xdr:cNvGraphicFramePr/>
      </xdr:nvGraphicFramePr>
      <xdr:xfrm>
        <a:off x="9163050" y="188039375"/>
        <a:ext cx="4558030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469900</xdr:colOff>
      <xdr:row>989</xdr:row>
      <xdr:rowOff>6350</xdr:rowOff>
    </xdr:from>
    <xdr:to>
      <xdr:col>9</xdr:col>
      <xdr:colOff>504825</xdr:colOff>
      <xdr:row>1003</xdr:row>
      <xdr:rowOff>95250</xdr:rowOff>
    </xdr:to>
    <xdr:graphicFrame>
      <xdr:nvGraphicFramePr>
        <xdr:cNvPr id="31" name="图表 30"/>
        <xdr:cNvGraphicFramePr/>
      </xdr:nvGraphicFramePr>
      <xdr:xfrm>
        <a:off x="10103485" y="169589450"/>
        <a:ext cx="3963670" cy="248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431800</xdr:colOff>
      <xdr:row>965</xdr:row>
      <xdr:rowOff>108585</xdr:rowOff>
    </xdr:from>
    <xdr:to>
      <xdr:col>5</xdr:col>
      <xdr:colOff>991235</xdr:colOff>
      <xdr:row>979</xdr:row>
      <xdr:rowOff>107950</xdr:rowOff>
    </xdr:to>
    <xdr:graphicFrame>
      <xdr:nvGraphicFramePr>
        <xdr:cNvPr id="26" name="图表 25"/>
        <xdr:cNvGraphicFramePr/>
      </xdr:nvGraphicFramePr>
      <xdr:xfrm>
        <a:off x="5230495" y="165576885"/>
        <a:ext cx="4326890" cy="2399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590550</xdr:colOff>
      <xdr:row>1165</xdr:row>
      <xdr:rowOff>69215</xdr:rowOff>
    </xdr:from>
    <xdr:to>
      <xdr:col>3</xdr:col>
      <xdr:colOff>74930</xdr:colOff>
      <xdr:row>1176</xdr:row>
      <xdr:rowOff>101600</xdr:rowOff>
    </xdr:to>
    <xdr:graphicFrame>
      <xdr:nvGraphicFramePr>
        <xdr:cNvPr id="34" name="图表 33"/>
        <xdr:cNvGraphicFramePr/>
      </xdr:nvGraphicFramePr>
      <xdr:xfrm>
        <a:off x="590550" y="200341865"/>
        <a:ext cx="5933440" cy="1918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246380</xdr:colOff>
      <xdr:row>1196</xdr:row>
      <xdr:rowOff>88900</xdr:rowOff>
    </xdr:from>
    <xdr:to>
      <xdr:col>12</xdr:col>
      <xdr:colOff>96520</xdr:colOff>
      <xdr:row>1209</xdr:row>
      <xdr:rowOff>121285</xdr:rowOff>
    </xdr:to>
    <xdr:graphicFrame>
      <xdr:nvGraphicFramePr>
        <xdr:cNvPr id="38" name="图表 37"/>
        <xdr:cNvGraphicFramePr/>
      </xdr:nvGraphicFramePr>
      <xdr:xfrm>
        <a:off x="11431905" y="205676500"/>
        <a:ext cx="4549775" cy="2261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</xdr:col>
      <xdr:colOff>749300</xdr:colOff>
      <xdr:row>1165</xdr:row>
      <xdr:rowOff>63500</xdr:rowOff>
    </xdr:from>
    <xdr:to>
      <xdr:col>6</xdr:col>
      <xdr:colOff>1499235</xdr:colOff>
      <xdr:row>1176</xdr:row>
      <xdr:rowOff>120650</xdr:rowOff>
    </xdr:to>
    <xdr:graphicFrame>
      <xdr:nvGraphicFramePr>
        <xdr:cNvPr id="39" name="图表 38"/>
        <xdr:cNvGraphicFramePr/>
      </xdr:nvGraphicFramePr>
      <xdr:xfrm>
        <a:off x="7198360" y="200336150"/>
        <a:ext cx="3934460" cy="194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374650</xdr:colOff>
      <xdr:row>1218</xdr:row>
      <xdr:rowOff>63500</xdr:rowOff>
    </xdr:from>
    <xdr:to>
      <xdr:col>2</xdr:col>
      <xdr:colOff>664210</xdr:colOff>
      <xdr:row>1230</xdr:row>
      <xdr:rowOff>127000</xdr:rowOff>
    </xdr:to>
    <xdr:graphicFrame>
      <xdr:nvGraphicFramePr>
        <xdr:cNvPr id="43" name="图表 42"/>
        <xdr:cNvGraphicFramePr/>
      </xdr:nvGraphicFramePr>
      <xdr:xfrm>
        <a:off x="374650" y="209423000"/>
        <a:ext cx="5088255" cy="212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1149350</xdr:colOff>
      <xdr:row>1218</xdr:row>
      <xdr:rowOff>102235</xdr:rowOff>
    </xdr:from>
    <xdr:to>
      <xdr:col>6</xdr:col>
      <xdr:colOff>815340</xdr:colOff>
      <xdr:row>1230</xdr:row>
      <xdr:rowOff>95885</xdr:rowOff>
    </xdr:to>
    <xdr:graphicFrame>
      <xdr:nvGraphicFramePr>
        <xdr:cNvPr id="44" name="图表 43"/>
        <xdr:cNvGraphicFramePr/>
      </xdr:nvGraphicFramePr>
      <xdr:xfrm>
        <a:off x="5948045" y="209461735"/>
        <a:ext cx="4500880" cy="2051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1142365</xdr:colOff>
      <xdr:row>1006</xdr:row>
      <xdr:rowOff>38100</xdr:rowOff>
    </xdr:from>
    <xdr:to>
      <xdr:col>6</xdr:col>
      <xdr:colOff>565150</xdr:colOff>
      <xdr:row>1014</xdr:row>
      <xdr:rowOff>219075</xdr:rowOff>
    </xdr:to>
    <xdr:graphicFrame>
      <xdr:nvGraphicFramePr>
        <xdr:cNvPr id="28" name="图表 27"/>
        <xdr:cNvGraphicFramePr/>
      </xdr:nvGraphicFramePr>
      <xdr:xfrm>
        <a:off x="5941060" y="172535850"/>
        <a:ext cx="4257675" cy="1762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202565</xdr:colOff>
      <xdr:row>1266</xdr:row>
      <xdr:rowOff>50800</xdr:rowOff>
    </xdr:from>
    <xdr:to>
      <xdr:col>8</xdr:col>
      <xdr:colOff>86995</xdr:colOff>
      <xdr:row>1278</xdr:row>
      <xdr:rowOff>162560</xdr:rowOff>
    </xdr:to>
    <xdr:graphicFrame>
      <xdr:nvGraphicFramePr>
        <xdr:cNvPr id="32" name="图表 31"/>
        <xdr:cNvGraphicFramePr/>
      </xdr:nvGraphicFramePr>
      <xdr:xfrm>
        <a:off x="9836150" y="217639900"/>
        <a:ext cx="2889250" cy="2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228600</xdr:colOff>
      <xdr:row>1279</xdr:row>
      <xdr:rowOff>81915</xdr:rowOff>
    </xdr:from>
    <xdr:to>
      <xdr:col>8</xdr:col>
      <xdr:colOff>111125</xdr:colOff>
      <xdr:row>1290</xdr:row>
      <xdr:rowOff>31115</xdr:rowOff>
    </xdr:to>
    <xdr:graphicFrame>
      <xdr:nvGraphicFramePr>
        <xdr:cNvPr id="33" name="图表 32"/>
        <xdr:cNvGraphicFramePr/>
      </xdr:nvGraphicFramePr>
      <xdr:xfrm>
        <a:off x="9862185" y="219899865"/>
        <a:ext cx="2887345" cy="1835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263525</xdr:colOff>
      <xdr:row>1291</xdr:row>
      <xdr:rowOff>57150</xdr:rowOff>
    </xdr:from>
    <xdr:to>
      <xdr:col>8</xdr:col>
      <xdr:colOff>156845</xdr:colOff>
      <xdr:row>1302</xdr:row>
      <xdr:rowOff>6985</xdr:rowOff>
    </xdr:to>
    <xdr:graphicFrame>
      <xdr:nvGraphicFramePr>
        <xdr:cNvPr id="51" name="图表 50"/>
        <xdr:cNvGraphicFramePr/>
      </xdr:nvGraphicFramePr>
      <xdr:xfrm>
        <a:off x="9897110" y="221932500"/>
        <a:ext cx="2898140" cy="1835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171450</xdr:colOff>
      <xdr:row>1303</xdr:row>
      <xdr:rowOff>92075</xdr:rowOff>
    </xdr:from>
    <xdr:to>
      <xdr:col>8</xdr:col>
      <xdr:colOff>321310</xdr:colOff>
      <xdr:row>1313</xdr:row>
      <xdr:rowOff>99060</xdr:rowOff>
    </xdr:to>
    <xdr:graphicFrame>
      <xdr:nvGraphicFramePr>
        <xdr:cNvPr id="53" name="图表 52"/>
        <xdr:cNvGraphicFramePr/>
      </xdr:nvGraphicFramePr>
      <xdr:xfrm>
        <a:off x="9805035" y="224024825"/>
        <a:ext cx="3154680" cy="1721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139700</xdr:colOff>
      <xdr:row>1314</xdr:row>
      <xdr:rowOff>95250</xdr:rowOff>
    </xdr:from>
    <xdr:to>
      <xdr:col>8</xdr:col>
      <xdr:colOff>280035</xdr:colOff>
      <xdr:row>1323</xdr:row>
      <xdr:rowOff>137160</xdr:rowOff>
    </xdr:to>
    <xdr:graphicFrame>
      <xdr:nvGraphicFramePr>
        <xdr:cNvPr id="55" name="图表 54"/>
        <xdr:cNvGraphicFramePr/>
      </xdr:nvGraphicFramePr>
      <xdr:xfrm>
        <a:off x="9773285" y="225913950"/>
        <a:ext cx="3145155" cy="15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374650</xdr:colOff>
      <xdr:row>1329</xdr:row>
      <xdr:rowOff>107315</xdr:rowOff>
    </xdr:from>
    <xdr:to>
      <xdr:col>6</xdr:col>
      <xdr:colOff>304800</xdr:colOff>
      <xdr:row>1343</xdr:row>
      <xdr:rowOff>85725</xdr:rowOff>
    </xdr:to>
    <xdr:graphicFrame>
      <xdr:nvGraphicFramePr>
        <xdr:cNvPr id="54" name="图表 53"/>
        <xdr:cNvGraphicFramePr/>
      </xdr:nvGraphicFramePr>
      <xdr:xfrm>
        <a:off x="5173345" y="228678740"/>
        <a:ext cx="4765040" cy="2378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266700</xdr:colOff>
      <xdr:row>1351</xdr:row>
      <xdr:rowOff>78740</xdr:rowOff>
    </xdr:from>
    <xdr:to>
      <xdr:col>8</xdr:col>
      <xdr:colOff>466090</xdr:colOff>
      <xdr:row>1363</xdr:row>
      <xdr:rowOff>165100</xdr:rowOff>
    </xdr:to>
    <xdr:graphicFrame>
      <xdr:nvGraphicFramePr>
        <xdr:cNvPr id="57" name="图表 56"/>
        <xdr:cNvGraphicFramePr/>
      </xdr:nvGraphicFramePr>
      <xdr:xfrm>
        <a:off x="9900285" y="232422065"/>
        <a:ext cx="3204210" cy="214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692150</xdr:colOff>
      <xdr:row>1373</xdr:row>
      <xdr:rowOff>31115</xdr:rowOff>
    </xdr:from>
    <xdr:to>
      <xdr:col>8</xdr:col>
      <xdr:colOff>734695</xdr:colOff>
      <xdr:row>1384</xdr:row>
      <xdr:rowOff>80010</xdr:rowOff>
    </xdr:to>
    <xdr:graphicFrame>
      <xdr:nvGraphicFramePr>
        <xdr:cNvPr id="59" name="图表 58"/>
        <xdr:cNvGraphicFramePr/>
      </xdr:nvGraphicFramePr>
      <xdr:xfrm>
        <a:off x="10325735" y="236146340"/>
        <a:ext cx="3047365" cy="1934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</xdr:col>
      <xdr:colOff>625475</xdr:colOff>
      <xdr:row>1362</xdr:row>
      <xdr:rowOff>62865</xdr:rowOff>
    </xdr:from>
    <xdr:to>
      <xdr:col>5</xdr:col>
      <xdr:colOff>270510</xdr:colOff>
      <xdr:row>1373</xdr:row>
      <xdr:rowOff>111760</xdr:rowOff>
    </xdr:to>
    <xdr:graphicFrame>
      <xdr:nvGraphicFramePr>
        <xdr:cNvPr id="62" name="图表 61"/>
        <xdr:cNvGraphicFramePr/>
      </xdr:nvGraphicFramePr>
      <xdr:xfrm>
        <a:off x="5424170" y="234292140"/>
        <a:ext cx="3412490" cy="1934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901700</xdr:colOff>
      <xdr:row>1385</xdr:row>
      <xdr:rowOff>24765</xdr:rowOff>
    </xdr:from>
    <xdr:to>
      <xdr:col>2</xdr:col>
      <xdr:colOff>200660</xdr:colOff>
      <xdr:row>1396</xdr:row>
      <xdr:rowOff>92075</xdr:rowOff>
    </xdr:to>
    <xdr:graphicFrame>
      <xdr:nvGraphicFramePr>
        <xdr:cNvPr id="73" name="图表 72"/>
        <xdr:cNvGraphicFramePr/>
      </xdr:nvGraphicFramePr>
      <xdr:xfrm>
        <a:off x="901700" y="238197390"/>
        <a:ext cx="4097655" cy="1953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1128712</xdr:colOff>
      <xdr:row>1448</xdr:row>
      <xdr:rowOff>0</xdr:rowOff>
    </xdr:from>
    <xdr:to>
      <xdr:col>3</xdr:col>
      <xdr:colOff>876300</xdr:colOff>
      <xdr:row>1461</xdr:row>
      <xdr:rowOff>38100</xdr:rowOff>
    </xdr:to>
    <xdr:graphicFrame>
      <xdr:nvGraphicFramePr>
        <xdr:cNvPr id="58" name="图表 57"/>
        <xdr:cNvGraphicFramePr/>
      </xdr:nvGraphicFramePr>
      <xdr:xfrm>
        <a:off x="3146425" y="248973975"/>
        <a:ext cx="4178935" cy="2266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47"/>
  <sheetViews>
    <sheetView tabSelected="1" topLeftCell="C1103" workbookViewId="0">
      <selection activeCell="I1121" sqref="I1121"/>
    </sheetView>
  </sheetViews>
  <sheetFormatPr defaultColWidth="9" defaultRowHeight="13.5"/>
  <cols>
    <col min="1" max="1" width="28.1238938053097" customWidth="1"/>
    <col min="2" max="2" width="38.7522123893805" customWidth="1"/>
    <col min="3" max="3" width="23" customWidth="1"/>
    <col min="4" max="4" width="14.8761061946903" customWidth="1"/>
    <col min="5" max="5" width="14.6283185840708" customWidth="1"/>
    <col min="6" max="6" width="14.8761061946903" customWidth="1"/>
    <col min="7" max="7" width="21.6283185840708" customWidth="1"/>
    <col min="8" max="8" width="20.2477876106195" customWidth="1"/>
    <col min="9" max="9" width="12.8761061946903"/>
    <col min="12" max="12" width="14.3716814159292" customWidth="1"/>
    <col min="13" max="13" width="17.5044247787611" customWidth="1"/>
    <col min="14" max="14" width="14.7522123893805" customWidth="1"/>
  </cols>
  <sheetData>
    <row r="1" customHeight="1"/>
    <row r="4" spans="2:6">
      <c r="B4" t="s">
        <v>0</v>
      </c>
      <c r="C4" s="1" t="s">
        <v>1</v>
      </c>
      <c r="D4" s="1"/>
      <c r="E4" s="1"/>
      <c r="F4" s="1"/>
    </row>
    <row r="5" spans="2:6">
      <c r="B5">
        <v>0.5</v>
      </c>
      <c r="C5">
        <f>AVERAGE(D5:F5)</f>
        <v>2.145</v>
      </c>
      <c r="D5">
        <v>2.148</v>
      </c>
      <c r="E5">
        <v>2.152</v>
      </c>
      <c r="F5">
        <v>2.135</v>
      </c>
    </row>
    <row r="6" spans="2:6">
      <c r="B6">
        <v>0.25</v>
      </c>
      <c r="C6">
        <f t="shared" ref="C6:C10" si="0">AVERAGE(D6:F6)</f>
        <v>1.35666666666667</v>
      </c>
      <c r="D6">
        <v>1.386</v>
      </c>
      <c r="E6">
        <v>1.355</v>
      </c>
      <c r="F6">
        <v>1.329</v>
      </c>
    </row>
    <row r="7" spans="2:6">
      <c r="B7">
        <v>0.2</v>
      </c>
      <c r="C7">
        <f t="shared" si="0"/>
        <v>1.18666666666667</v>
      </c>
      <c r="D7">
        <v>1.19</v>
      </c>
      <c r="E7">
        <v>1.2</v>
      </c>
      <c r="F7">
        <v>1.17</v>
      </c>
    </row>
    <row r="8" spans="2:6">
      <c r="B8">
        <v>0.125</v>
      </c>
      <c r="C8">
        <f t="shared" si="0"/>
        <v>0.721333333333333</v>
      </c>
      <c r="D8">
        <v>0.717</v>
      </c>
      <c r="E8">
        <v>0.724</v>
      </c>
      <c r="F8">
        <v>0.723</v>
      </c>
    </row>
    <row r="9" spans="2:6">
      <c r="B9">
        <v>0.0625</v>
      </c>
      <c r="C9">
        <f t="shared" si="0"/>
        <v>0.382333333333333</v>
      </c>
      <c r="D9">
        <v>0.382</v>
      </c>
      <c r="E9">
        <v>0.382</v>
      </c>
      <c r="F9">
        <v>0.383</v>
      </c>
    </row>
    <row r="10" spans="2:6">
      <c r="B10">
        <v>0.025</v>
      </c>
      <c r="C10">
        <f t="shared" si="0"/>
        <v>0.176333333333333</v>
      </c>
      <c r="D10">
        <v>0.17</v>
      </c>
      <c r="E10">
        <v>0.175</v>
      </c>
      <c r="F10">
        <v>0.184</v>
      </c>
    </row>
    <row r="28" spans="2:8">
      <c r="B28" s="1" t="s">
        <v>2</v>
      </c>
      <c r="C28" s="1"/>
      <c r="D28" s="1"/>
      <c r="E28" s="1"/>
      <c r="F28" s="1"/>
      <c r="G28" s="1"/>
      <c r="H28" s="1"/>
    </row>
    <row r="29" spans="2:2">
      <c r="B29" t="s">
        <v>3</v>
      </c>
    </row>
    <row r="30" spans="2:9">
      <c r="B30" t="s">
        <v>4</v>
      </c>
      <c r="C30" t="s">
        <v>5</v>
      </c>
      <c r="D30" t="s">
        <v>6</v>
      </c>
      <c r="E30" t="s">
        <v>7</v>
      </c>
      <c r="F30" t="s">
        <v>8</v>
      </c>
      <c r="G30" t="s">
        <v>9</v>
      </c>
      <c r="H30" t="s">
        <v>10</v>
      </c>
      <c r="I30" t="s">
        <v>11</v>
      </c>
    </row>
    <row r="31" spans="2:8">
      <c r="B31" t="s">
        <v>12</v>
      </c>
      <c r="C31">
        <v>1.78</v>
      </c>
      <c r="D31">
        <v>1.808</v>
      </c>
      <c r="E31">
        <v>1.77</v>
      </c>
      <c r="F31">
        <f>AVERAGE(C31:E31)</f>
        <v>1.786</v>
      </c>
      <c r="G31">
        <f>(F31-0.049)/5.401</f>
        <v>0.321607109794483</v>
      </c>
      <c r="H31">
        <f>(0.5-G31)*50</f>
        <v>8.91964451027587</v>
      </c>
    </row>
    <row r="32" spans="2:9">
      <c r="B32" t="s">
        <v>13</v>
      </c>
      <c r="C32">
        <v>1.53</v>
      </c>
      <c r="D32">
        <v>1.542</v>
      </c>
      <c r="E32">
        <v>1.517</v>
      </c>
      <c r="F32">
        <f t="shared" ref="F32:F33" si="1">AVERAGE(C32:E32)</f>
        <v>1.52966666666667</v>
      </c>
      <c r="G32">
        <f t="shared" ref="G32:G33" si="2">(F32-0.049)/5.401</f>
        <v>0.274146762945134</v>
      </c>
      <c r="H32">
        <f t="shared" ref="H32:H36" si="3">(0.5-G32)*50</f>
        <v>11.2926618527433</v>
      </c>
      <c r="I32">
        <f>H31/H32</f>
        <v>0.789862003005875</v>
      </c>
    </row>
    <row r="33" spans="2:7">
      <c r="B33" t="s">
        <v>14</v>
      </c>
      <c r="C33">
        <v>0.382</v>
      </c>
      <c r="D33">
        <v>0.382</v>
      </c>
      <c r="E33">
        <v>0.383</v>
      </c>
      <c r="F33">
        <f t="shared" si="1"/>
        <v>0.382333333333333</v>
      </c>
      <c r="G33">
        <f t="shared" si="2"/>
        <v>0.0617169659939517</v>
      </c>
    </row>
    <row r="35" spans="2:8">
      <c r="B35" t="s">
        <v>15</v>
      </c>
      <c r="C35">
        <v>0.555</v>
      </c>
      <c r="D35">
        <v>0.558</v>
      </c>
      <c r="E35">
        <v>0.544</v>
      </c>
      <c r="F35">
        <f>AVERAGE(C35:E35)</f>
        <v>0.552333333333333</v>
      </c>
      <c r="G35">
        <f>(F35-0.049)/5.401</f>
        <v>0.0931926186508671</v>
      </c>
      <c r="H35">
        <f t="shared" si="3"/>
        <v>20.3403690674566</v>
      </c>
    </row>
    <row r="36" spans="2:9">
      <c r="B36" t="s">
        <v>16</v>
      </c>
      <c r="C36">
        <v>1.073</v>
      </c>
      <c r="D36">
        <v>1.137</v>
      </c>
      <c r="E36">
        <v>1.073</v>
      </c>
      <c r="F36">
        <f t="shared" ref="F36:F37" si="4">AVERAGE(C36:E36)</f>
        <v>1.09433333333333</v>
      </c>
      <c r="G36">
        <f t="shared" ref="G36:G37" si="5">(F36-0.049)/5.401</f>
        <v>0.193544405357033</v>
      </c>
      <c r="H36">
        <f t="shared" si="3"/>
        <v>15.3227797321484</v>
      </c>
      <c r="I36">
        <f t="shared" ref="I36:I61" si="6">H35/H36</f>
        <v>1.32745947034538</v>
      </c>
    </row>
    <row r="37" spans="2:7">
      <c r="B37" t="s">
        <v>17</v>
      </c>
      <c r="C37">
        <v>0.054</v>
      </c>
      <c r="D37">
        <v>0.04</v>
      </c>
      <c r="E37">
        <v>0.047</v>
      </c>
      <c r="F37">
        <f t="shared" si="4"/>
        <v>0.047</v>
      </c>
      <c r="G37">
        <f t="shared" si="5"/>
        <v>-0.000370301795963709</v>
      </c>
    </row>
    <row r="39" spans="2:2">
      <c r="B39" t="s">
        <v>18</v>
      </c>
    </row>
    <row r="40" spans="2:8">
      <c r="B40" t="s">
        <v>4</v>
      </c>
      <c r="C40" t="s">
        <v>5</v>
      </c>
      <c r="D40" t="s">
        <v>6</v>
      </c>
      <c r="E40" t="s">
        <v>7</v>
      </c>
      <c r="F40" t="s">
        <v>8</v>
      </c>
      <c r="G40" t="s">
        <v>9</v>
      </c>
      <c r="H40" t="s">
        <v>10</v>
      </c>
    </row>
    <row r="41" spans="2:8">
      <c r="B41" t="s">
        <v>15</v>
      </c>
      <c r="C41">
        <v>0.793</v>
      </c>
      <c r="D41">
        <v>0.751</v>
      </c>
      <c r="E41">
        <v>0.765</v>
      </c>
      <c r="F41">
        <f>AVERAGE(C41:E41)</f>
        <v>0.769666666666667</v>
      </c>
      <c r="G41">
        <f>(F41-0.049)/5.401</f>
        <v>0.133432080478924</v>
      </c>
      <c r="H41">
        <f t="shared" ref="H41:H42" si="7">(0.5-G41)*50</f>
        <v>18.3283959760538</v>
      </c>
    </row>
    <row r="42" spans="2:9">
      <c r="B42" t="s">
        <v>16</v>
      </c>
      <c r="C42">
        <v>1.064</v>
      </c>
      <c r="D42">
        <v>1.06</v>
      </c>
      <c r="E42">
        <v>1.049</v>
      </c>
      <c r="F42">
        <f t="shared" ref="F42:F43" si="8">AVERAGE(C42:E42)</f>
        <v>1.05766666666667</v>
      </c>
      <c r="G42">
        <f t="shared" ref="G42:G43" si="9">(F42-0.049)/5.401</f>
        <v>0.186755539097698</v>
      </c>
      <c r="H42">
        <f t="shared" si="7"/>
        <v>15.6622230451151</v>
      </c>
      <c r="I42">
        <f t="shared" si="6"/>
        <v>1.17022953403606</v>
      </c>
    </row>
    <row r="43" spans="2:7">
      <c r="B43" t="s">
        <v>17</v>
      </c>
      <c r="C43">
        <v>0.07</v>
      </c>
      <c r="D43">
        <v>0.067</v>
      </c>
      <c r="E43">
        <v>0.064</v>
      </c>
      <c r="F43">
        <f t="shared" si="8"/>
        <v>0.067</v>
      </c>
      <c r="G43">
        <f t="shared" si="9"/>
        <v>0.00333271616367339</v>
      </c>
    </row>
    <row r="45" spans="2:2">
      <c r="B45" t="s">
        <v>19</v>
      </c>
    </row>
    <row r="46" spans="2:8">
      <c r="B46" t="s">
        <v>4</v>
      </c>
      <c r="C46" t="s">
        <v>5</v>
      </c>
      <c r="D46" t="s">
        <v>6</v>
      </c>
      <c r="E46" t="s">
        <v>7</v>
      </c>
      <c r="F46" t="s">
        <v>8</v>
      </c>
      <c r="G46" t="s">
        <v>9</v>
      </c>
      <c r="H46" t="s">
        <v>10</v>
      </c>
    </row>
    <row r="47" spans="2:8">
      <c r="B47" t="s">
        <v>15</v>
      </c>
      <c r="C47">
        <v>0.501</v>
      </c>
      <c r="D47">
        <v>0.531</v>
      </c>
      <c r="E47">
        <v>0.521</v>
      </c>
      <c r="F47">
        <f>AVERAGE(C47:E47)</f>
        <v>0.517666666666667</v>
      </c>
      <c r="G47">
        <f>(F47-0.049)/5.401</f>
        <v>0.0867740541874961</v>
      </c>
      <c r="H47">
        <f t="shared" ref="H47:H48" si="10">(0.5-G47)*50</f>
        <v>20.6612972906252</v>
      </c>
    </row>
    <row r="48" spans="2:9">
      <c r="B48" t="s">
        <v>16</v>
      </c>
      <c r="C48">
        <v>0.863</v>
      </c>
      <c r="D48">
        <v>0.849</v>
      </c>
      <c r="E48">
        <v>0.856</v>
      </c>
      <c r="F48">
        <f t="shared" ref="F48:F49" si="11">AVERAGE(C48:E48)</f>
        <v>0.856</v>
      </c>
      <c r="G48">
        <f t="shared" ref="G48:G49" si="12">(F48-0.049)/5.401</f>
        <v>0.149416774671357</v>
      </c>
      <c r="H48">
        <f t="shared" si="10"/>
        <v>17.5291612664321</v>
      </c>
      <c r="I48">
        <f t="shared" si="6"/>
        <v>1.17868145409735</v>
      </c>
    </row>
    <row r="49" spans="2:7">
      <c r="B49" t="s">
        <v>17</v>
      </c>
      <c r="C49">
        <v>0.05</v>
      </c>
      <c r="D49">
        <v>0.041</v>
      </c>
      <c r="E49">
        <v>0.039</v>
      </c>
      <c r="F49">
        <f t="shared" si="11"/>
        <v>0.0433333333333333</v>
      </c>
      <c r="G49">
        <f t="shared" si="12"/>
        <v>-0.00104918842189718</v>
      </c>
    </row>
    <row r="52" spans="2:9">
      <c r="B52" t="s">
        <v>20</v>
      </c>
      <c r="C52" t="s">
        <v>21</v>
      </c>
      <c r="D52" t="s">
        <v>21</v>
      </c>
      <c r="E52" t="s">
        <v>21</v>
      </c>
      <c r="F52" t="s">
        <v>22</v>
      </c>
      <c r="G52" t="s">
        <v>23</v>
      </c>
      <c r="H52" t="s">
        <v>24</v>
      </c>
      <c r="I52" s="1" t="s">
        <v>25</v>
      </c>
    </row>
    <row r="53" spans="2:8">
      <c r="B53" t="s">
        <v>4</v>
      </c>
      <c r="C53" t="s">
        <v>5</v>
      </c>
      <c r="D53" t="s">
        <v>6</v>
      </c>
      <c r="E53" t="s">
        <v>7</v>
      </c>
      <c r="F53" t="s">
        <v>8</v>
      </c>
      <c r="G53" t="s">
        <v>9</v>
      </c>
      <c r="H53" t="s">
        <v>10</v>
      </c>
    </row>
    <row r="54" spans="2:8">
      <c r="B54" t="s">
        <v>15</v>
      </c>
      <c r="C54">
        <v>0.89</v>
      </c>
      <c r="D54">
        <v>0.894</v>
      </c>
      <c r="E54">
        <v>0.906</v>
      </c>
      <c r="F54">
        <f>AVERAGE(C54:E54)</f>
        <v>0.896666666666667</v>
      </c>
      <c r="G54">
        <f>(F54-0.049)/5.401</f>
        <v>0.156946244522619</v>
      </c>
      <c r="H54">
        <f t="shared" ref="H54:H55" si="13">(0.5-G54)*50</f>
        <v>17.152687773869</v>
      </c>
    </row>
    <row r="55" spans="2:9">
      <c r="B55" t="s">
        <v>16</v>
      </c>
      <c r="C55">
        <v>1.361</v>
      </c>
      <c r="D55">
        <v>1.34</v>
      </c>
      <c r="E55">
        <v>1.36</v>
      </c>
      <c r="F55">
        <f t="shared" ref="F55:F56" si="14">AVERAGE(C55:E55)</f>
        <v>1.35366666666667</v>
      </c>
      <c r="G55">
        <f t="shared" ref="G55:G56" si="15">(F55-0.049)/5.401</f>
        <v>0.241560204900327</v>
      </c>
      <c r="H55">
        <f t="shared" si="13"/>
        <v>12.9219897549836</v>
      </c>
      <c r="I55">
        <f t="shared" si="6"/>
        <v>1.32740298507463</v>
      </c>
    </row>
    <row r="56" spans="2:7">
      <c r="B56" t="s">
        <v>17</v>
      </c>
      <c r="C56">
        <v>0.207</v>
      </c>
      <c r="D56">
        <v>0.179</v>
      </c>
      <c r="E56">
        <v>0.171</v>
      </c>
      <c r="F56">
        <f t="shared" si="14"/>
        <v>0.185666666666667</v>
      </c>
      <c r="G56">
        <f t="shared" si="15"/>
        <v>0.0253039560575202</v>
      </c>
    </row>
    <row r="58" spans="2:9">
      <c r="B58" t="s">
        <v>26</v>
      </c>
      <c r="C58" t="s">
        <v>21</v>
      </c>
      <c r="D58" t="s">
        <v>21</v>
      </c>
      <c r="E58" t="s">
        <v>21</v>
      </c>
      <c r="F58" t="s">
        <v>22</v>
      </c>
      <c r="G58" t="s">
        <v>23</v>
      </c>
      <c r="H58" t="s">
        <v>24</v>
      </c>
      <c r="I58" s="1" t="s">
        <v>25</v>
      </c>
    </row>
    <row r="59" spans="2:8">
      <c r="B59" t="s">
        <v>4</v>
      </c>
      <c r="C59" t="s">
        <v>5</v>
      </c>
      <c r="D59" t="s">
        <v>6</v>
      </c>
      <c r="E59" t="s">
        <v>7</v>
      </c>
      <c r="F59" t="s">
        <v>8</v>
      </c>
      <c r="G59" t="s">
        <v>9</v>
      </c>
      <c r="H59" t="s">
        <v>10</v>
      </c>
    </row>
    <row r="60" spans="2:8">
      <c r="B60" t="s">
        <v>15</v>
      </c>
      <c r="C60">
        <v>1</v>
      </c>
      <c r="D60">
        <v>1.003</v>
      </c>
      <c r="E60">
        <v>1.014</v>
      </c>
      <c r="F60">
        <f>AVERAGE(C60:E60)</f>
        <v>1.00566666666667</v>
      </c>
      <c r="G60">
        <f>(F60-0.049)/5.401</f>
        <v>0.177127692402641</v>
      </c>
      <c r="H60">
        <f t="shared" ref="H60:H61" si="16">(0.5-G60)*50</f>
        <v>16.1436153798679</v>
      </c>
    </row>
    <row r="61" spans="2:9">
      <c r="B61" t="s">
        <v>16</v>
      </c>
      <c r="C61">
        <v>1.398</v>
      </c>
      <c r="D61">
        <v>1.384</v>
      </c>
      <c r="E61">
        <v>1.386</v>
      </c>
      <c r="F61">
        <f t="shared" ref="F61:F62" si="17">AVERAGE(C61:E61)</f>
        <v>1.38933333333333</v>
      </c>
      <c r="G61">
        <f t="shared" ref="G61:G62" si="18">(F61-0.049)/5.401</f>
        <v>0.24816392026168</v>
      </c>
      <c r="H61">
        <f t="shared" si="16"/>
        <v>12.591803986916</v>
      </c>
      <c r="I61">
        <f t="shared" si="6"/>
        <v>1.28207327533391</v>
      </c>
    </row>
    <row r="62" spans="2:7">
      <c r="B62" t="s">
        <v>17</v>
      </c>
      <c r="C62">
        <v>0.133</v>
      </c>
      <c r="D62">
        <v>0.103</v>
      </c>
      <c r="E62">
        <v>0.095</v>
      </c>
      <c r="F62">
        <f t="shared" si="17"/>
        <v>0.110333333333333</v>
      </c>
      <c r="G62">
        <f t="shared" si="18"/>
        <v>0.0113559217428871</v>
      </c>
    </row>
    <row r="64" spans="2:9">
      <c r="B64" s="1" t="s">
        <v>27</v>
      </c>
      <c r="C64" s="1"/>
      <c r="D64" s="1"/>
      <c r="E64" s="1"/>
      <c r="F64" s="1"/>
      <c r="G64" s="1"/>
      <c r="H64" s="1"/>
      <c r="I64" s="1"/>
    </row>
    <row r="65" spans="2:9">
      <c r="B65" s="1" t="s">
        <v>18</v>
      </c>
      <c r="C65" t="s">
        <v>21</v>
      </c>
      <c r="D65" t="s">
        <v>21</v>
      </c>
      <c r="E65" t="s">
        <v>21</v>
      </c>
      <c r="F65" t="s">
        <v>22</v>
      </c>
      <c r="G65" t="s">
        <v>23</v>
      </c>
      <c r="H65" t="s">
        <v>24</v>
      </c>
      <c r="I65" s="1" t="s">
        <v>25</v>
      </c>
    </row>
    <row r="66" spans="2:8">
      <c r="B66" t="s">
        <v>15</v>
      </c>
      <c r="C66">
        <v>0.245</v>
      </c>
      <c r="D66">
        <v>0.243</v>
      </c>
      <c r="E66">
        <v>0.24</v>
      </c>
      <c r="F66">
        <f>AVERAGE(C66:E66)</f>
        <v>0.242666666666667</v>
      </c>
      <c r="G66">
        <f>(F66-0.049)/5.401</f>
        <v>0.035857557242486</v>
      </c>
      <c r="H66">
        <f>(0.2-G66)*50</f>
        <v>8.2071221378757</v>
      </c>
    </row>
    <row r="67" spans="2:9">
      <c r="B67" t="s">
        <v>16</v>
      </c>
      <c r="C67">
        <v>0.545</v>
      </c>
      <c r="D67">
        <v>0.549</v>
      </c>
      <c r="E67">
        <v>0.556</v>
      </c>
      <c r="F67">
        <f t="shared" ref="F67:F68" si="19">AVERAGE(C67:E67)</f>
        <v>0.55</v>
      </c>
      <c r="G67">
        <f t="shared" ref="G67:G68" si="20">(F67-0.049)/5.401</f>
        <v>0.0927605998889095</v>
      </c>
      <c r="H67">
        <f>(0.2-G67)*50</f>
        <v>5.36197000555453</v>
      </c>
      <c r="I67">
        <f t="shared" ref="I67" si="21">H66/H67</f>
        <v>1.53061694290976</v>
      </c>
    </row>
    <row r="68" spans="2:7">
      <c r="B68" t="s">
        <v>17</v>
      </c>
      <c r="C68">
        <v>0.054</v>
      </c>
      <c r="D68">
        <v>0.04</v>
      </c>
      <c r="E68">
        <v>0.047</v>
      </c>
      <c r="F68">
        <f t="shared" si="19"/>
        <v>0.047</v>
      </c>
      <c r="G68">
        <f t="shared" si="20"/>
        <v>-0.000370301795963709</v>
      </c>
    </row>
    <row r="72" spans="2:9">
      <c r="B72" s="1" t="s">
        <v>28</v>
      </c>
      <c r="C72" s="1"/>
      <c r="D72" s="1"/>
      <c r="E72" s="1"/>
      <c r="F72" s="1"/>
      <c r="G72" s="1"/>
      <c r="H72" s="1"/>
      <c r="I72" s="1"/>
    </row>
    <row r="73" spans="1:9">
      <c r="A73">
        <v>20220106</v>
      </c>
      <c r="B73" s="1" t="s">
        <v>18</v>
      </c>
      <c r="C73" t="s">
        <v>21</v>
      </c>
      <c r="D73" t="s">
        <v>21</v>
      </c>
      <c r="E73" t="s">
        <v>21</v>
      </c>
      <c r="F73" t="s">
        <v>22</v>
      </c>
      <c r="G73" t="s">
        <v>23</v>
      </c>
      <c r="H73" t="s">
        <v>24</v>
      </c>
      <c r="I73" s="1" t="s">
        <v>25</v>
      </c>
    </row>
    <row r="74" spans="2:8">
      <c r="B74" t="s">
        <v>29</v>
      </c>
      <c r="C74">
        <v>0.234</v>
      </c>
      <c r="D74">
        <v>0.241</v>
      </c>
      <c r="E74">
        <v>0.245</v>
      </c>
      <c r="F74">
        <f>AVERAGE(C74:E74)</f>
        <v>0.24</v>
      </c>
      <c r="G74">
        <f>(F74-0.049)/5.401</f>
        <v>0.0353638215145343</v>
      </c>
      <c r="H74">
        <f>(0.2-G74)*50</f>
        <v>8.23180892427328</v>
      </c>
    </row>
    <row r="75" spans="2:9">
      <c r="B75" t="s">
        <v>30</v>
      </c>
      <c r="C75">
        <v>1.117</v>
      </c>
      <c r="D75">
        <v>1.116</v>
      </c>
      <c r="E75">
        <v>1.14</v>
      </c>
      <c r="F75">
        <f>AVERAGE(C75:E75)</f>
        <v>1.12433333333333</v>
      </c>
      <c r="G75">
        <f t="shared" ref="G75:G81" si="22">(F75-0.049)/5.401</f>
        <v>0.199098932296488</v>
      </c>
      <c r="H75">
        <f>(0.2-G75)*50</f>
        <v>0.0450533851755835</v>
      </c>
      <c r="I75">
        <f>H74/H75</f>
        <v>182.712328767128</v>
      </c>
    </row>
    <row r="76" spans="2:8">
      <c r="B76" t="s">
        <v>31</v>
      </c>
      <c r="C76">
        <v>0.22</v>
      </c>
      <c r="D76">
        <v>0.232</v>
      </c>
      <c r="E76">
        <v>0.227</v>
      </c>
      <c r="F76">
        <f>AVERAGE(C76:E76)</f>
        <v>0.226333333333333</v>
      </c>
      <c r="G76">
        <f t="shared" si="22"/>
        <v>0.0328334259087823</v>
      </c>
      <c r="H76">
        <f>(0.2-G76)*50</f>
        <v>8.35832870456088</v>
      </c>
    </row>
    <row r="77" spans="2:9">
      <c r="B77" t="s">
        <v>32</v>
      </c>
      <c r="C77">
        <v>1.138</v>
      </c>
      <c r="D77">
        <v>1.136</v>
      </c>
      <c r="E77">
        <v>1.127</v>
      </c>
      <c r="F77">
        <f>AVERAGE(C77:E77)</f>
        <v>1.13366666666667</v>
      </c>
      <c r="G77">
        <f t="shared" si="22"/>
        <v>0.200827007344319</v>
      </c>
      <c r="H77">
        <f>(0.2-G77)*50</f>
        <v>-0.0413503672159476</v>
      </c>
      <c r="I77">
        <f t="shared" ref="I77" si="23">H76/H77</f>
        <v>-202.134328358209</v>
      </c>
    </row>
    <row r="78" spans="2:7">
      <c r="B78" t="s">
        <v>33</v>
      </c>
      <c r="C78">
        <v>0.049</v>
      </c>
      <c r="D78">
        <v>0.048</v>
      </c>
      <c r="E78">
        <v>0.053</v>
      </c>
      <c r="F78">
        <f t="shared" ref="F78" si="24">AVERAGE(C78:E78)</f>
        <v>0.05</v>
      </c>
      <c r="G78">
        <f t="shared" si="22"/>
        <v>0.000185150897981854</v>
      </c>
    </row>
    <row r="79" spans="2:7">
      <c r="B79" t="s">
        <v>34</v>
      </c>
      <c r="C79">
        <v>0.058</v>
      </c>
      <c r="D79">
        <v>0.052</v>
      </c>
      <c r="E79">
        <v>0.055</v>
      </c>
      <c r="F79">
        <f t="shared" ref="F79:F81" si="25">AVERAGE(C79:E79)</f>
        <v>0.055</v>
      </c>
      <c r="G79">
        <f t="shared" si="22"/>
        <v>0.00111090538789113</v>
      </c>
    </row>
    <row r="80" spans="2:7">
      <c r="B80" t="s">
        <v>35</v>
      </c>
      <c r="C80">
        <v>0.014</v>
      </c>
      <c r="D80">
        <v>0.006</v>
      </c>
      <c r="F80">
        <f t="shared" si="25"/>
        <v>0.01</v>
      </c>
      <c r="G80">
        <f t="shared" si="22"/>
        <v>-0.00722088502129235</v>
      </c>
    </row>
    <row r="81" spans="2:7">
      <c r="B81" t="s">
        <v>36</v>
      </c>
      <c r="C81">
        <v>0.007</v>
      </c>
      <c r="D81">
        <v>0.005</v>
      </c>
      <c r="F81">
        <f t="shared" si="25"/>
        <v>0.006</v>
      </c>
      <c r="G81">
        <f t="shared" si="22"/>
        <v>-0.00796148861321977</v>
      </c>
    </row>
    <row r="83" spans="1:9">
      <c r="A83">
        <v>20220107</v>
      </c>
      <c r="B83" s="1" t="s">
        <v>37</v>
      </c>
      <c r="C83" s="1"/>
      <c r="D83" s="1"/>
      <c r="E83" s="1"/>
      <c r="F83" s="1"/>
      <c r="G83" s="1"/>
      <c r="H83" s="1"/>
      <c r="I83" s="1"/>
    </row>
    <row r="84" spans="2:9">
      <c r="B84" s="1" t="s">
        <v>18</v>
      </c>
      <c r="C84" t="s">
        <v>21</v>
      </c>
      <c r="D84" t="s">
        <v>21</v>
      </c>
      <c r="E84" t="s">
        <v>21</v>
      </c>
      <c r="F84" t="s">
        <v>22</v>
      </c>
      <c r="G84" t="s">
        <v>23</v>
      </c>
      <c r="H84" t="s">
        <v>24</v>
      </c>
      <c r="I84" s="1" t="s">
        <v>25</v>
      </c>
    </row>
    <row r="85" spans="2:8">
      <c r="B85" t="s">
        <v>29</v>
      </c>
      <c r="C85">
        <v>0.234</v>
      </c>
      <c r="D85">
        <v>0.241</v>
      </c>
      <c r="E85">
        <v>0.245</v>
      </c>
      <c r="F85">
        <f>AVERAGE(C85:E85)</f>
        <v>0.24</v>
      </c>
      <c r="G85">
        <f>(F85-0.049)/5.401</f>
        <v>0.0353638215145343</v>
      </c>
      <c r="H85">
        <f>(0.2-G85)*50</f>
        <v>8.23180892427328</v>
      </c>
    </row>
    <row r="86" spans="2:9">
      <c r="B86" t="s">
        <v>30</v>
      </c>
      <c r="C86">
        <v>0.915</v>
      </c>
      <c r="D86">
        <v>0.872</v>
      </c>
      <c r="E86">
        <v>0.863</v>
      </c>
      <c r="F86">
        <f>AVERAGE(C86:E86)</f>
        <v>0.883333333333333</v>
      </c>
      <c r="G86">
        <f t="shared" ref="G86:G87" si="26">(F86-0.049)/5.401</f>
        <v>0.154477565882861</v>
      </c>
      <c r="H86">
        <f>(0.2-G86)*50</f>
        <v>2.27612170585694</v>
      </c>
      <c r="I86">
        <f>H85/H86</f>
        <v>3.61659436008677</v>
      </c>
    </row>
    <row r="87" spans="2:9">
      <c r="B87" t="s">
        <v>32</v>
      </c>
      <c r="C87">
        <v>0.646</v>
      </c>
      <c r="D87">
        <v>0.655</v>
      </c>
      <c r="E87">
        <v>0.672</v>
      </c>
      <c r="F87">
        <f>AVERAGE(C87:E87)</f>
        <v>0.657666666666667</v>
      </c>
      <c r="G87">
        <f t="shared" si="26"/>
        <v>0.112695179904956</v>
      </c>
      <c r="H87">
        <f t="shared" ref="H87" si="27">(0.2-G87)*50</f>
        <v>4.36524100475221</v>
      </c>
      <c r="I87">
        <f>H85/H87</f>
        <v>1.88576275979075</v>
      </c>
    </row>
    <row r="89" spans="1:9">
      <c r="A89">
        <v>20220110</v>
      </c>
      <c r="B89" s="1" t="s">
        <v>38</v>
      </c>
      <c r="C89" s="1"/>
      <c r="D89" s="1"/>
      <c r="E89" s="1"/>
      <c r="F89" s="1"/>
      <c r="G89" s="1"/>
      <c r="H89" s="1"/>
      <c r="I89" s="1"/>
    </row>
    <row r="90" spans="2:9">
      <c r="B90" s="1" t="s">
        <v>18</v>
      </c>
      <c r="C90" t="s">
        <v>21</v>
      </c>
      <c r="D90" t="s">
        <v>21</v>
      </c>
      <c r="E90" t="s">
        <v>21</v>
      </c>
      <c r="F90" t="s">
        <v>22</v>
      </c>
      <c r="G90" t="s">
        <v>23</v>
      </c>
      <c r="H90" t="s">
        <v>24</v>
      </c>
      <c r="I90" s="1" t="s">
        <v>25</v>
      </c>
    </row>
    <row r="91" spans="2:8">
      <c r="B91" t="s">
        <v>29</v>
      </c>
      <c r="C91">
        <v>0.171</v>
      </c>
      <c r="D91">
        <v>0.179</v>
      </c>
      <c r="E91">
        <v>0.181</v>
      </c>
      <c r="F91">
        <f>AVERAGE(C91:E91)</f>
        <v>0.177</v>
      </c>
      <c r="G91">
        <f>(F91-0.049)/5.401</f>
        <v>0.0236993149416775</v>
      </c>
      <c r="H91">
        <f>(0.2-G91)*50</f>
        <v>8.81503425291613</v>
      </c>
    </row>
    <row r="92" spans="2:9">
      <c r="B92" t="s">
        <v>30</v>
      </c>
      <c r="C92">
        <v>1.068</v>
      </c>
      <c r="D92">
        <v>1.091</v>
      </c>
      <c r="E92">
        <v>1.095</v>
      </c>
      <c r="F92">
        <f>AVERAGE(C92:E92)</f>
        <v>1.08466666666667</v>
      </c>
      <c r="G92">
        <f t="shared" ref="G92:G96" si="28">(F92-0.049)/5.401</f>
        <v>0.191754613343208</v>
      </c>
      <c r="H92">
        <f>(0.2-G92)*50</f>
        <v>0.412269332839599</v>
      </c>
      <c r="I92">
        <f>H91/H92</f>
        <v>21.381736526946</v>
      </c>
    </row>
    <row r="93" spans="2:8">
      <c r="B93" t="s">
        <v>39</v>
      </c>
      <c r="C93">
        <v>0.159</v>
      </c>
      <c r="D93">
        <v>0.165</v>
      </c>
      <c r="E93">
        <v>0.163</v>
      </c>
      <c r="F93">
        <f>AVERAGE(C93:E93)</f>
        <v>0.162333333333333</v>
      </c>
      <c r="G93">
        <f t="shared" si="28"/>
        <v>0.0209837684379436</v>
      </c>
      <c r="H93">
        <f t="shared" ref="H93:H94" si="29">(0.2-G93)*50</f>
        <v>8.95081157810282</v>
      </c>
    </row>
    <row r="94" spans="2:9">
      <c r="B94" t="s">
        <v>40</v>
      </c>
      <c r="C94">
        <v>1.046</v>
      </c>
      <c r="D94">
        <v>1.065</v>
      </c>
      <c r="E94">
        <v>1.082</v>
      </c>
      <c r="F94">
        <f>AVERAGE(C94:E94)</f>
        <v>1.06433333333333</v>
      </c>
      <c r="G94">
        <f t="shared" si="28"/>
        <v>0.187989878417577</v>
      </c>
      <c r="H94">
        <f t="shared" si="29"/>
        <v>0.600506079121152</v>
      </c>
      <c r="I94">
        <f t="shared" ref="I94" si="30">H93/H94</f>
        <v>14.9054470709147</v>
      </c>
    </row>
    <row r="95" spans="2:7">
      <c r="B95" t="s">
        <v>33</v>
      </c>
      <c r="C95">
        <v>0.154</v>
      </c>
      <c r="D95">
        <v>0.158</v>
      </c>
      <c r="E95">
        <v>0.163</v>
      </c>
      <c r="F95">
        <f t="shared" ref="F95:F96" si="31">AVERAGE(C95:E95)</f>
        <v>0.158333333333333</v>
      </c>
      <c r="G95">
        <f t="shared" si="28"/>
        <v>0.0202431648460162</v>
      </c>
    </row>
    <row r="96" spans="2:7">
      <c r="B96" t="s">
        <v>34</v>
      </c>
      <c r="C96">
        <v>0.086</v>
      </c>
      <c r="D96">
        <v>0.082</v>
      </c>
      <c r="E96">
        <v>0.083</v>
      </c>
      <c r="F96">
        <f t="shared" si="31"/>
        <v>0.0836666666666667</v>
      </c>
      <c r="G96">
        <f t="shared" si="28"/>
        <v>0.00641856446337098</v>
      </c>
    </row>
    <row r="97" spans="1:9">
      <c r="A97" s="1" t="s">
        <v>41</v>
      </c>
      <c r="B97" s="1"/>
      <c r="C97" s="1"/>
      <c r="D97" s="1"/>
      <c r="E97" s="1"/>
      <c r="F97" s="1"/>
      <c r="G97" s="1"/>
      <c r="H97" s="1"/>
      <c r="I97" s="1"/>
    </row>
    <row r="99" spans="1:9">
      <c r="A99">
        <v>20220116</v>
      </c>
      <c r="B99" s="1" t="s">
        <v>42</v>
      </c>
      <c r="C99" s="1"/>
      <c r="D99" s="1"/>
      <c r="E99" s="1"/>
      <c r="F99" s="1"/>
      <c r="G99" s="1"/>
      <c r="H99" s="1"/>
      <c r="I99" s="1"/>
    </row>
    <row r="100" spans="2:9">
      <c r="B100" s="1" t="s">
        <v>18</v>
      </c>
      <c r="C100" t="s">
        <v>21</v>
      </c>
      <c r="D100" t="s">
        <v>21</v>
      </c>
      <c r="E100" t="s">
        <v>21</v>
      </c>
      <c r="F100" t="s">
        <v>22</v>
      </c>
      <c r="G100" t="s">
        <v>23</v>
      </c>
      <c r="H100" t="s">
        <v>24</v>
      </c>
      <c r="I100" s="1" t="s">
        <v>25</v>
      </c>
    </row>
    <row r="101" spans="2:8">
      <c r="B101" t="s">
        <v>15</v>
      </c>
      <c r="C101">
        <v>0.187</v>
      </c>
      <c r="D101">
        <v>0.19</v>
      </c>
      <c r="E101">
        <v>0.185</v>
      </c>
      <c r="F101">
        <f>AVERAGE(C101:E101)</f>
        <v>0.187333333333333</v>
      </c>
      <c r="G101">
        <f>(F101-0.049)/5.401</f>
        <v>0.02561254088749</v>
      </c>
      <c r="H101">
        <f>(0.2-G101)*50</f>
        <v>8.7193729556255</v>
      </c>
    </row>
    <row r="102" spans="2:9">
      <c r="B102" t="s">
        <v>16</v>
      </c>
      <c r="C102">
        <v>1.119</v>
      </c>
      <c r="D102">
        <v>1.121</v>
      </c>
      <c r="E102">
        <v>1.118</v>
      </c>
      <c r="F102">
        <f>AVERAGE(C102:E102)</f>
        <v>1.11933333333333</v>
      </c>
      <c r="G102">
        <f t="shared" ref="G102:G104" si="32">(F102-0.049)/5.401</f>
        <v>0.198173177806579</v>
      </c>
      <c r="H102">
        <f>(0.2-G102)*50</f>
        <v>0.0913411096710462</v>
      </c>
      <c r="I102">
        <f>H101/H102</f>
        <v>95.4594594594619</v>
      </c>
    </row>
    <row r="103" spans="2:7">
      <c r="B103" t="s">
        <v>43</v>
      </c>
      <c r="C103">
        <v>0.095</v>
      </c>
      <c r="D103">
        <v>0.088</v>
      </c>
      <c r="E103">
        <v>0.09</v>
      </c>
      <c r="F103">
        <f>AVERAGE(C103:E103)</f>
        <v>0.091</v>
      </c>
      <c r="G103">
        <f t="shared" si="32"/>
        <v>0.00777633771523792</v>
      </c>
    </row>
    <row r="104" spans="2:7">
      <c r="B104" t="s">
        <v>44</v>
      </c>
      <c r="C104">
        <v>1.25</v>
      </c>
      <c r="D104">
        <v>1.247</v>
      </c>
      <c r="E104">
        <v>1.118</v>
      </c>
      <c r="F104">
        <f>AVERAGE(C104:E104)</f>
        <v>1.205</v>
      </c>
      <c r="G104">
        <f t="shared" si="32"/>
        <v>0.214034438067025</v>
      </c>
    </row>
    <row r="109" spans="1:9">
      <c r="A109">
        <v>20220115</v>
      </c>
      <c r="B109" s="1" t="s">
        <v>45</v>
      </c>
      <c r="C109" s="1"/>
      <c r="D109" s="1"/>
      <c r="E109" s="1"/>
      <c r="F109" s="1"/>
      <c r="G109" s="1"/>
      <c r="H109" s="1"/>
      <c r="I109" s="1"/>
    </row>
    <row r="110" spans="2:9">
      <c r="B110" s="1" t="s">
        <v>18</v>
      </c>
      <c r="C110" t="s">
        <v>21</v>
      </c>
      <c r="D110" t="s">
        <v>21</v>
      </c>
      <c r="E110" t="s">
        <v>21</v>
      </c>
      <c r="F110" t="s">
        <v>22</v>
      </c>
      <c r="G110" t="s">
        <v>23</v>
      </c>
      <c r="H110" t="s">
        <v>24</v>
      </c>
      <c r="I110" s="1" t="s">
        <v>25</v>
      </c>
    </row>
    <row r="111" spans="2:8">
      <c r="B111" t="s">
        <v>15</v>
      </c>
      <c r="C111">
        <v>0.159</v>
      </c>
      <c r="D111">
        <v>0.155</v>
      </c>
      <c r="E111">
        <v>0.157</v>
      </c>
      <c r="F111">
        <f>AVERAGE(C111:E111)</f>
        <v>0.157</v>
      </c>
      <c r="G111">
        <f>(F111-0.049)/5.401</f>
        <v>0.0199962969820404</v>
      </c>
      <c r="H111">
        <f>(0.2-G111)*50</f>
        <v>9.00018515089798</v>
      </c>
    </row>
    <row r="112" spans="2:9">
      <c r="B112" t="s">
        <v>16</v>
      </c>
      <c r="C112">
        <v>0.496</v>
      </c>
      <c r="D112">
        <v>0.525</v>
      </c>
      <c r="E112">
        <v>0.522</v>
      </c>
      <c r="F112">
        <f>AVERAGE(C112:E112)</f>
        <v>0.514333333333333</v>
      </c>
      <c r="G112">
        <f t="shared" ref="G112:G114" si="33">(F112-0.049)/5.401</f>
        <v>0.0861568845275566</v>
      </c>
      <c r="H112">
        <f>(0.2-G112)*50</f>
        <v>5.69215577362217</v>
      </c>
      <c r="I112">
        <f>H111/H112</f>
        <v>1.58115580613683</v>
      </c>
    </row>
    <row r="113" spans="2:7">
      <c r="B113" t="s">
        <v>43</v>
      </c>
      <c r="C113">
        <v>0.161</v>
      </c>
      <c r="D113">
        <v>0.146</v>
      </c>
      <c r="E113">
        <v>0.143</v>
      </c>
      <c r="F113">
        <f>AVERAGE(C113:E113)</f>
        <v>0.15</v>
      </c>
      <c r="G113">
        <f t="shared" si="33"/>
        <v>0.0187002406961674</v>
      </c>
    </row>
    <row r="114" spans="2:7">
      <c r="B114" t="s">
        <v>44</v>
      </c>
      <c r="C114">
        <v>1.271</v>
      </c>
      <c r="D114">
        <v>1.281</v>
      </c>
      <c r="E114">
        <v>1.251</v>
      </c>
      <c r="F114">
        <f>AVERAGE(C114:E114)</f>
        <v>1.26766666666667</v>
      </c>
      <c r="G114">
        <f t="shared" si="33"/>
        <v>0.225637227673888</v>
      </c>
    </row>
    <row r="117" spans="1:9">
      <c r="A117">
        <v>20220120</v>
      </c>
      <c r="B117" s="1" t="s">
        <v>46</v>
      </c>
      <c r="C117" s="1"/>
      <c r="D117" s="1"/>
      <c r="E117" s="1"/>
      <c r="F117" s="1"/>
      <c r="G117" s="1"/>
      <c r="H117" s="1"/>
      <c r="I117" s="1"/>
    </row>
    <row r="118" spans="2:9">
      <c r="B118" s="1" t="s">
        <v>18</v>
      </c>
      <c r="C118" t="s">
        <v>21</v>
      </c>
      <c r="D118" t="s">
        <v>21</v>
      </c>
      <c r="E118" t="s">
        <v>21</v>
      </c>
      <c r="F118" t="s">
        <v>22</v>
      </c>
      <c r="G118" t="s">
        <v>23</v>
      </c>
      <c r="H118" t="s">
        <v>24</v>
      </c>
      <c r="I118" s="1" t="s">
        <v>25</v>
      </c>
    </row>
    <row r="119" spans="2:8">
      <c r="B119" t="s">
        <v>15</v>
      </c>
      <c r="C119">
        <v>0.117</v>
      </c>
      <c r="D119">
        <v>0.125</v>
      </c>
      <c r="E119">
        <v>0.131</v>
      </c>
      <c r="F119">
        <f>AVERAGE(C119:E119)</f>
        <v>0.124333333333333</v>
      </c>
      <c r="G119">
        <f>(F119-0.049)/5.401</f>
        <v>0.0139480343146331</v>
      </c>
      <c r="H119">
        <f>(0.2-G119)*50</f>
        <v>9.30259828426835</v>
      </c>
    </row>
    <row r="120" spans="2:9">
      <c r="B120" t="s">
        <v>16</v>
      </c>
      <c r="C120">
        <v>0.611</v>
      </c>
      <c r="D120">
        <v>0.635</v>
      </c>
      <c r="E120">
        <v>0.627</v>
      </c>
      <c r="F120">
        <f>AVERAGE(C120:E120)</f>
        <v>0.624333333333333</v>
      </c>
      <c r="G120">
        <f t="shared" ref="G120:G122" si="34">(F120-0.049)/5.401</f>
        <v>0.106523483305561</v>
      </c>
      <c r="H120">
        <f>(0.2-G120)*50</f>
        <v>4.67382583472197</v>
      </c>
      <c r="I120">
        <f>H119/H120</f>
        <v>1.9903604912188</v>
      </c>
    </row>
    <row r="121" spans="2:7">
      <c r="B121" t="s">
        <v>43</v>
      </c>
      <c r="C121">
        <v>0.097</v>
      </c>
      <c r="D121">
        <v>0.096</v>
      </c>
      <c r="E121">
        <v>0.103</v>
      </c>
      <c r="F121">
        <f>AVERAGE(C121:E121)</f>
        <v>0.0986666666666667</v>
      </c>
      <c r="G121">
        <f t="shared" si="34"/>
        <v>0.00919582793309881</v>
      </c>
    </row>
    <row r="122" spans="2:7">
      <c r="B122" t="s">
        <v>44</v>
      </c>
      <c r="C122">
        <v>1.201</v>
      </c>
      <c r="D122">
        <v>1.119</v>
      </c>
      <c r="E122">
        <v>1.215</v>
      </c>
      <c r="F122">
        <f>AVERAGE(C122:E122)</f>
        <v>1.17833333333333</v>
      </c>
      <c r="G122">
        <f t="shared" si="34"/>
        <v>0.209097080787509</v>
      </c>
    </row>
    <row r="126" spans="1:9">
      <c r="A126">
        <v>20220124</v>
      </c>
      <c r="B126" s="1" t="s">
        <v>47</v>
      </c>
      <c r="C126" s="1"/>
      <c r="D126" s="1"/>
      <c r="E126" s="1"/>
      <c r="F126" s="1"/>
      <c r="G126" s="1"/>
      <c r="H126" s="1"/>
      <c r="I126" s="1"/>
    </row>
    <row r="127" spans="2:9">
      <c r="B127" s="1" t="s">
        <v>18</v>
      </c>
      <c r="C127" t="s">
        <v>21</v>
      </c>
      <c r="D127" t="s">
        <v>21</v>
      </c>
      <c r="E127" t="s">
        <v>21</v>
      </c>
      <c r="F127" t="s">
        <v>22</v>
      </c>
      <c r="G127" t="s">
        <v>23</v>
      </c>
      <c r="H127" t="s">
        <v>24</v>
      </c>
      <c r="I127" s="1" t="s">
        <v>25</v>
      </c>
    </row>
    <row r="128" spans="2:8">
      <c r="B128" t="s">
        <v>15</v>
      </c>
      <c r="C128">
        <v>0.334</v>
      </c>
      <c r="D128">
        <v>0.34</v>
      </c>
      <c r="E128">
        <v>0.332</v>
      </c>
      <c r="F128">
        <f>AVERAGE(C128:E128)</f>
        <v>0.335333333333333</v>
      </c>
      <c r="G128">
        <f>(F128-0.049)/5.401</f>
        <v>0.0530148737888045</v>
      </c>
      <c r="H128">
        <f>(0.2-G128)*50</f>
        <v>7.34925631055977</v>
      </c>
    </row>
    <row r="129" spans="2:9">
      <c r="B129" t="s">
        <v>16</v>
      </c>
      <c r="C129">
        <v>1.161</v>
      </c>
      <c r="D129">
        <v>1.167</v>
      </c>
      <c r="E129">
        <v>1.164</v>
      </c>
      <c r="F129">
        <f>AVERAGE(C129:E129)</f>
        <v>1.164</v>
      </c>
      <c r="G129">
        <f>(F129-0.049)/5.401</f>
        <v>0.206443251249769</v>
      </c>
      <c r="H129">
        <f>(0.2-G129)*50</f>
        <v>-0.322162562488428</v>
      </c>
      <c r="I129">
        <f>H128/H129</f>
        <v>-22.8122605363985</v>
      </c>
    </row>
    <row r="130" spans="2:7">
      <c r="B130" t="s">
        <v>43</v>
      </c>
      <c r="C130">
        <v>0.274</v>
      </c>
      <c r="D130">
        <v>0.271</v>
      </c>
      <c r="E130">
        <v>0.275</v>
      </c>
      <c r="F130">
        <f>AVERAGE(C130:E130)</f>
        <v>0.273333333333333</v>
      </c>
      <c r="G130">
        <f t="shared" ref="G130:G131" si="35">(F130-0.049)/5.401</f>
        <v>0.0415355181139295</v>
      </c>
    </row>
    <row r="131" spans="2:7">
      <c r="B131" t="s">
        <v>44</v>
      </c>
      <c r="C131">
        <v>1.23</v>
      </c>
      <c r="D131">
        <v>1.223</v>
      </c>
      <c r="E131">
        <v>1.195</v>
      </c>
      <c r="F131">
        <f>AVERAGE(C131:E131)</f>
        <v>1.216</v>
      </c>
      <c r="G131">
        <f t="shared" si="35"/>
        <v>0.216071097944825</v>
      </c>
    </row>
    <row r="134" spans="1:9">
      <c r="A134">
        <v>20220125</v>
      </c>
      <c r="B134" s="1" t="s">
        <v>48</v>
      </c>
      <c r="C134" s="1"/>
      <c r="D134" s="1"/>
      <c r="E134" s="1"/>
      <c r="F134" s="1"/>
      <c r="G134" s="1"/>
      <c r="H134" s="1"/>
      <c r="I134" s="1"/>
    </row>
    <row r="135" spans="2:9">
      <c r="B135" s="1" t="s">
        <v>18</v>
      </c>
      <c r="C135" t="s">
        <v>21</v>
      </c>
      <c r="D135" t="s">
        <v>21</v>
      </c>
      <c r="E135" t="s">
        <v>21</v>
      </c>
      <c r="F135" t="s">
        <v>22</v>
      </c>
      <c r="G135" t="s">
        <v>23</v>
      </c>
      <c r="H135" t="s">
        <v>24</v>
      </c>
      <c r="I135" s="1" t="s">
        <v>25</v>
      </c>
    </row>
    <row r="136" spans="2:8">
      <c r="B136" t="s">
        <v>15</v>
      </c>
      <c r="C136">
        <v>0.489</v>
      </c>
      <c r="D136">
        <v>0.487</v>
      </c>
      <c r="E136">
        <v>0.487</v>
      </c>
      <c r="F136">
        <f>AVERAGE(C136:E136)</f>
        <v>0.487666666666667</v>
      </c>
      <c r="G136">
        <f>(F136-0.049)/5.401</f>
        <v>0.0812195272480405</v>
      </c>
      <c r="H136">
        <f>(0.2-G136)*50</f>
        <v>5.93902363759798</v>
      </c>
    </row>
    <row r="137" spans="2:9">
      <c r="B137" t="s">
        <v>16</v>
      </c>
      <c r="C137">
        <v>0.921</v>
      </c>
      <c r="D137">
        <v>0.928</v>
      </c>
      <c r="E137">
        <v>0.917</v>
      </c>
      <c r="F137">
        <f>AVERAGE(C137:E137)</f>
        <v>0.922</v>
      </c>
      <c r="G137">
        <f t="shared" ref="G137:G139" si="36">(F137-0.049)/5.401</f>
        <v>0.16163673393816</v>
      </c>
      <c r="H137">
        <f>(0.2-G137)*50</f>
        <v>1.91816330309202</v>
      </c>
      <c r="I137">
        <f>H136/H137</f>
        <v>3.09620334620335</v>
      </c>
    </row>
    <row r="138" spans="2:7">
      <c r="B138" t="s">
        <v>43</v>
      </c>
      <c r="C138">
        <v>0.3</v>
      </c>
      <c r="D138">
        <v>0.296</v>
      </c>
      <c r="E138">
        <v>0.605</v>
      </c>
      <c r="F138">
        <f>AVERAGE(C138:E138)</f>
        <v>0.400333333333333</v>
      </c>
      <c r="G138">
        <f t="shared" si="36"/>
        <v>0.0650496821576251</v>
      </c>
    </row>
    <row r="139" spans="2:7">
      <c r="B139" t="s">
        <v>44</v>
      </c>
      <c r="C139">
        <v>1.222</v>
      </c>
      <c r="D139">
        <v>1.233</v>
      </c>
      <c r="E139">
        <v>1.242</v>
      </c>
      <c r="F139">
        <f>AVERAGE(C139:E139)</f>
        <v>1.23233333333333</v>
      </c>
      <c r="G139">
        <f t="shared" si="36"/>
        <v>0.219095229278529</v>
      </c>
    </row>
    <row r="141" spans="1:9">
      <c r="A141">
        <v>20220127</v>
      </c>
      <c r="B141" s="1" t="s">
        <v>49</v>
      </c>
      <c r="C141" s="1"/>
      <c r="D141" s="1"/>
      <c r="E141" s="1"/>
      <c r="F141" s="1"/>
      <c r="G141" s="1"/>
      <c r="H141" s="1"/>
      <c r="I141" s="1"/>
    </row>
    <row r="142" spans="2:8">
      <c r="B142" t="s">
        <v>50</v>
      </c>
      <c r="C142" t="s">
        <v>21</v>
      </c>
      <c r="D142" t="s">
        <v>21</v>
      </c>
      <c r="E142" t="s">
        <v>21</v>
      </c>
      <c r="F142" t="s">
        <v>22</v>
      </c>
      <c r="G142" t="s">
        <v>23</v>
      </c>
      <c r="H142" t="s">
        <v>24</v>
      </c>
    </row>
    <row r="143" spans="2:8">
      <c r="B143" s="2" t="s">
        <v>51</v>
      </c>
      <c r="C143">
        <v>1.122</v>
      </c>
      <c r="D143">
        <v>1.116</v>
      </c>
      <c r="E143">
        <v>1.115</v>
      </c>
      <c r="F143">
        <f>AVERAGE(C143:E143)</f>
        <v>1.11766666666667</v>
      </c>
      <c r="G143">
        <f t="shared" ref="G143:G148" si="37">(F143-0.049)/5.401</f>
        <v>0.197864592976609</v>
      </c>
      <c r="H143">
        <f>(0.2-G143)*50</f>
        <v>0.106770351169534</v>
      </c>
    </row>
    <row r="144" spans="2:8">
      <c r="B144" s="2" t="s">
        <v>52</v>
      </c>
      <c r="C144">
        <v>0.339</v>
      </c>
      <c r="D144">
        <v>0.331</v>
      </c>
      <c r="E144">
        <v>0.335</v>
      </c>
      <c r="F144">
        <f t="shared" ref="F144:F148" si="38">AVERAGE(C144:E144)</f>
        <v>0.335</v>
      </c>
      <c r="G144">
        <f t="shared" si="37"/>
        <v>0.0529531568228106</v>
      </c>
      <c r="H144">
        <f t="shared" ref="H144:H148" si="39">(0.2-G144)*50</f>
        <v>7.35234215885947</v>
      </c>
    </row>
    <row r="145" spans="2:8">
      <c r="B145" s="2" t="s">
        <v>53</v>
      </c>
      <c r="C145">
        <v>0.993</v>
      </c>
      <c r="D145">
        <v>1.01</v>
      </c>
      <c r="E145">
        <v>1.023</v>
      </c>
      <c r="F145">
        <f t="shared" si="38"/>
        <v>1.00866666666667</v>
      </c>
      <c r="G145">
        <f t="shared" si="37"/>
        <v>0.177683145096587</v>
      </c>
      <c r="H145">
        <f t="shared" si="39"/>
        <v>1.11584274517065</v>
      </c>
    </row>
    <row r="146" spans="2:8">
      <c r="B146" s="2" t="s">
        <v>54</v>
      </c>
      <c r="C146">
        <v>0.88</v>
      </c>
      <c r="D146">
        <v>0.879</v>
      </c>
      <c r="E146">
        <v>0.871</v>
      </c>
      <c r="F146">
        <f t="shared" si="38"/>
        <v>0.876666666666667</v>
      </c>
      <c r="G146">
        <f t="shared" si="37"/>
        <v>0.153243226562982</v>
      </c>
      <c r="H146">
        <f t="shared" si="39"/>
        <v>2.33783867185089</v>
      </c>
    </row>
    <row r="147" spans="2:8">
      <c r="B147" s="2" t="s">
        <v>55</v>
      </c>
      <c r="C147">
        <v>0.466</v>
      </c>
      <c r="D147">
        <v>0.46</v>
      </c>
      <c r="E147">
        <v>0.456</v>
      </c>
      <c r="F147">
        <f t="shared" si="38"/>
        <v>0.460666666666667</v>
      </c>
      <c r="G147">
        <f t="shared" si="37"/>
        <v>0.0762204530025304</v>
      </c>
      <c r="H147">
        <f t="shared" si="39"/>
        <v>6.18897734987348</v>
      </c>
    </row>
    <row r="148" spans="2:8">
      <c r="B148" s="2" t="s">
        <v>56</v>
      </c>
      <c r="C148">
        <v>0.422</v>
      </c>
      <c r="D148">
        <v>0.41</v>
      </c>
      <c r="E148">
        <v>0.403</v>
      </c>
      <c r="F148">
        <f t="shared" si="38"/>
        <v>0.411666666666667</v>
      </c>
      <c r="G148">
        <f t="shared" si="37"/>
        <v>0.0671480590014195</v>
      </c>
      <c r="H148">
        <f t="shared" si="39"/>
        <v>6.64259704992903</v>
      </c>
    </row>
    <row r="149" spans="2:2">
      <c r="B149" s="2"/>
    </row>
    <row r="152" spans="2:7">
      <c r="B152" s="1" t="s">
        <v>57</v>
      </c>
      <c r="C152" s="1"/>
      <c r="D152" s="1"/>
      <c r="E152" s="1"/>
      <c r="F152" s="1"/>
      <c r="G152" s="1"/>
    </row>
    <row r="153" spans="2:7">
      <c r="B153" t="s">
        <v>50</v>
      </c>
      <c r="C153" t="s">
        <v>58</v>
      </c>
      <c r="D153" t="s">
        <v>59</v>
      </c>
      <c r="F153" t="s">
        <v>25</v>
      </c>
      <c r="G153" t="s">
        <v>60</v>
      </c>
    </row>
    <row r="154" spans="2:7">
      <c r="B154" s="2" t="s">
        <v>51</v>
      </c>
      <c r="C154">
        <v>5.939</v>
      </c>
      <c r="D154">
        <v>0.006</v>
      </c>
      <c r="F154">
        <f>C154/D154</f>
        <v>989.833333333333</v>
      </c>
      <c r="G154">
        <v>0.04</v>
      </c>
    </row>
    <row r="155" spans="2:7">
      <c r="B155" s="2" t="s">
        <v>52</v>
      </c>
      <c r="C155">
        <v>8.359</v>
      </c>
      <c r="D155">
        <v>2.276</v>
      </c>
      <c r="F155">
        <f t="shared" ref="F155:F159" si="40">C155/D155</f>
        <v>3.67267135325132</v>
      </c>
      <c r="G155">
        <v>0.001</v>
      </c>
    </row>
    <row r="156" spans="2:7">
      <c r="B156" s="2" t="s">
        <v>53</v>
      </c>
      <c r="C156">
        <v>8.719</v>
      </c>
      <c r="D156">
        <v>0.09</v>
      </c>
      <c r="F156">
        <f t="shared" si="40"/>
        <v>96.8777777777778</v>
      </c>
      <c r="G156">
        <v>0.008</v>
      </c>
    </row>
    <row r="157" spans="2:7">
      <c r="B157" s="2" t="s">
        <v>54</v>
      </c>
      <c r="C157">
        <v>9</v>
      </c>
      <c r="D157">
        <v>5.692</v>
      </c>
      <c r="F157">
        <f t="shared" si="40"/>
        <v>1.58116654954322</v>
      </c>
      <c r="G157">
        <v>0.04</v>
      </c>
    </row>
    <row r="158" spans="2:7">
      <c r="B158" s="2" t="s">
        <v>55</v>
      </c>
      <c r="C158">
        <v>9.303</v>
      </c>
      <c r="D158">
        <v>4.673</v>
      </c>
      <c r="F158">
        <f t="shared" si="40"/>
        <v>1.99079820243955</v>
      </c>
      <c r="G158">
        <v>0.009</v>
      </c>
    </row>
    <row r="159" spans="2:7">
      <c r="B159" s="2" t="s">
        <v>56</v>
      </c>
      <c r="C159">
        <v>5.939</v>
      </c>
      <c r="D159">
        <v>1.918</v>
      </c>
      <c r="F159">
        <f t="shared" si="40"/>
        <v>3.09645464025026</v>
      </c>
      <c r="G159">
        <v>0.065</v>
      </c>
    </row>
    <row r="163" spans="1:7">
      <c r="A163">
        <v>20220127</v>
      </c>
      <c r="B163" s="1" t="s">
        <v>61</v>
      </c>
      <c r="C163" s="1"/>
      <c r="D163" s="1"/>
      <c r="E163" s="1"/>
      <c r="F163" s="1"/>
      <c r="G163" s="1"/>
    </row>
    <row r="164" spans="2:7">
      <c r="B164" t="s">
        <v>50</v>
      </c>
      <c r="C164" t="s">
        <v>58</v>
      </c>
      <c r="D164" t="s">
        <v>59</v>
      </c>
      <c r="F164" t="s">
        <v>25</v>
      </c>
      <c r="G164" t="s">
        <v>60</v>
      </c>
    </row>
    <row r="165" spans="2:7">
      <c r="B165" s="2" t="s">
        <v>51</v>
      </c>
      <c r="C165">
        <v>5.939</v>
      </c>
      <c r="D165">
        <v>0.107</v>
      </c>
      <c r="F165">
        <f>C165/D165</f>
        <v>55.5046728971963</v>
      </c>
      <c r="G165">
        <v>0.04</v>
      </c>
    </row>
    <row r="166" spans="2:7">
      <c r="B166" s="2" t="s">
        <v>52</v>
      </c>
      <c r="C166">
        <v>8.359</v>
      </c>
      <c r="D166">
        <v>7.352</v>
      </c>
      <c r="F166">
        <f t="shared" ref="F166:F170" si="41">C166/D166</f>
        <v>1.13696953210011</v>
      </c>
      <c r="G166">
        <v>0.001</v>
      </c>
    </row>
    <row r="167" spans="2:7">
      <c r="B167" s="2" t="s">
        <v>53</v>
      </c>
      <c r="C167">
        <v>8.719</v>
      </c>
      <c r="D167">
        <v>1.116</v>
      </c>
      <c r="F167">
        <f t="shared" si="41"/>
        <v>7.81272401433692</v>
      </c>
      <c r="G167">
        <v>0.008</v>
      </c>
    </row>
    <row r="168" spans="2:7">
      <c r="B168" s="2" t="s">
        <v>54</v>
      </c>
      <c r="C168">
        <v>9</v>
      </c>
      <c r="D168">
        <v>2.338</v>
      </c>
      <c r="F168">
        <f t="shared" si="41"/>
        <v>3.84944396920445</v>
      </c>
      <c r="G168">
        <v>0.04</v>
      </c>
    </row>
    <row r="169" spans="2:7">
      <c r="B169" s="2" t="s">
        <v>55</v>
      </c>
      <c r="C169">
        <v>9.303</v>
      </c>
      <c r="D169">
        <v>6.189</v>
      </c>
      <c r="F169">
        <f t="shared" si="41"/>
        <v>1.50315075133301</v>
      </c>
      <c r="G169">
        <v>0.009</v>
      </c>
    </row>
    <row r="170" spans="2:7">
      <c r="B170" s="2" t="s">
        <v>56</v>
      </c>
      <c r="C170">
        <v>5.939</v>
      </c>
      <c r="D170">
        <v>6.643</v>
      </c>
      <c r="F170">
        <f t="shared" si="41"/>
        <v>0.894023784434743</v>
      </c>
      <c r="G170">
        <v>0.065</v>
      </c>
    </row>
    <row r="173" spans="1:9">
      <c r="A173">
        <v>20220129</v>
      </c>
      <c r="B173" s="1" t="s">
        <v>62</v>
      </c>
      <c r="C173" s="1"/>
      <c r="D173" s="1"/>
      <c r="E173" s="1"/>
      <c r="F173" s="1"/>
      <c r="G173" s="1"/>
      <c r="H173" s="1"/>
      <c r="I173" s="1"/>
    </row>
    <row r="174" spans="2:9">
      <c r="B174" s="1" t="s">
        <v>18</v>
      </c>
      <c r="C174" t="s">
        <v>21</v>
      </c>
      <c r="D174" t="s">
        <v>21</v>
      </c>
      <c r="E174" t="s">
        <v>21</v>
      </c>
      <c r="F174" t="s">
        <v>22</v>
      </c>
      <c r="G174" t="s">
        <v>23</v>
      </c>
      <c r="H174" t="s">
        <v>24</v>
      </c>
      <c r="I174" s="1" t="s">
        <v>25</v>
      </c>
    </row>
    <row r="175" spans="2:8">
      <c r="B175" t="s">
        <v>63</v>
      </c>
      <c r="C175">
        <v>1.072</v>
      </c>
      <c r="D175">
        <v>1.098</v>
      </c>
      <c r="E175">
        <v>1.083</v>
      </c>
      <c r="F175">
        <f>AVERAGE(C175:E175)</f>
        <v>1.08433333333333</v>
      </c>
      <c r="G175">
        <f>(F175-0.049)/5.401</f>
        <v>0.191692896377214</v>
      </c>
      <c r="H175">
        <f>(0.2-G175)*50</f>
        <v>0.415355181139294</v>
      </c>
    </row>
    <row r="176" spans="2:8">
      <c r="B176" t="s">
        <v>64</v>
      </c>
      <c r="C176">
        <v>1.1</v>
      </c>
      <c r="D176">
        <v>1.105</v>
      </c>
      <c r="E176">
        <v>1.104</v>
      </c>
      <c r="F176">
        <f>AVERAGE(C176:E176)</f>
        <v>1.103</v>
      </c>
      <c r="G176">
        <f t="shared" ref="G176:G177" si="42">(F176-0.049)/5.401</f>
        <v>0.195149046472875</v>
      </c>
      <c r="H176">
        <f>(0.2-G176)*50</f>
        <v>0.242547676356231</v>
      </c>
    </row>
    <row r="177" spans="2:7">
      <c r="B177" t="s">
        <v>44</v>
      </c>
      <c r="C177">
        <v>1.244</v>
      </c>
      <c r="D177">
        <v>1.237</v>
      </c>
      <c r="E177">
        <v>1.232</v>
      </c>
      <c r="F177">
        <f>AVERAGE(C177:E177)</f>
        <v>1.23766666666667</v>
      </c>
      <c r="G177">
        <f t="shared" si="42"/>
        <v>0.220082700734432</v>
      </c>
    </row>
    <row r="180" spans="1:7">
      <c r="A180">
        <v>20220129</v>
      </c>
      <c r="B180" s="1" t="s">
        <v>65</v>
      </c>
      <c r="C180" s="1"/>
      <c r="D180" s="1"/>
      <c r="E180" s="1"/>
      <c r="F180" s="1"/>
      <c r="G180" s="1"/>
    </row>
    <row r="181" spans="2:7">
      <c r="B181" t="s">
        <v>50</v>
      </c>
      <c r="C181" t="s">
        <v>58</v>
      </c>
      <c r="D181" t="s">
        <v>59</v>
      </c>
      <c r="F181" t="s">
        <v>25</v>
      </c>
      <c r="G181" t="s">
        <v>60</v>
      </c>
    </row>
    <row r="182" spans="2:7">
      <c r="B182" s="2" t="s">
        <v>51</v>
      </c>
      <c r="C182">
        <v>5.939</v>
      </c>
      <c r="D182">
        <v>0.415</v>
      </c>
      <c r="F182">
        <f>C182/D182</f>
        <v>14.310843373494</v>
      </c>
      <c r="G182">
        <v>0.04</v>
      </c>
    </row>
    <row r="183" spans="2:7">
      <c r="B183" s="2" t="s">
        <v>52</v>
      </c>
      <c r="C183">
        <v>8.359</v>
      </c>
      <c r="D183">
        <v>0.243</v>
      </c>
      <c r="F183">
        <f t="shared" ref="F183:F187" si="43">C183/D183</f>
        <v>34.3991769547325</v>
      </c>
      <c r="G183">
        <v>0.001</v>
      </c>
    </row>
    <row r="184" spans="2:7">
      <c r="B184" s="2" t="s">
        <v>53</v>
      </c>
      <c r="C184">
        <v>8.719</v>
      </c>
      <c r="D184">
        <v>1.116</v>
      </c>
      <c r="F184">
        <f t="shared" si="43"/>
        <v>7.81272401433692</v>
      </c>
      <c r="G184">
        <v>0.008</v>
      </c>
    </row>
    <row r="185" spans="2:7">
      <c r="B185" s="2" t="s">
        <v>54</v>
      </c>
      <c r="C185">
        <v>9</v>
      </c>
      <c r="D185">
        <v>2.338</v>
      </c>
      <c r="F185">
        <f t="shared" si="43"/>
        <v>3.84944396920445</v>
      </c>
      <c r="G185">
        <v>0.04</v>
      </c>
    </row>
    <row r="186" spans="2:7">
      <c r="B186" s="2" t="s">
        <v>55</v>
      </c>
      <c r="C186">
        <v>9.303</v>
      </c>
      <c r="D186">
        <v>6.189</v>
      </c>
      <c r="F186">
        <f t="shared" si="43"/>
        <v>1.50315075133301</v>
      </c>
      <c r="G186">
        <v>0.009</v>
      </c>
    </row>
    <row r="187" spans="2:7">
      <c r="B187" s="2" t="s">
        <v>56</v>
      </c>
      <c r="C187">
        <v>5.939</v>
      </c>
      <c r="D187">
        <v>6.643</v>
      </c>
      <c r="F187">
        <f t="shared" si="43"/>
        <v>0.894023784434743</v>
      </c>
      <c r="G187">
        <v>0.065</v>
      </c>
    </row>
    <row r="190" spans="1:9">
      <c r="A190">
        <v>20220208</v>
      </c>
      <c r="B190" s="1" t="s">
        <v>66</v>
      </c>
      <c r="C190" s="1"/>
      <c r="D190" s="1"/>
      <c r="E190" s="1"/>
      <c r="F190" s="1"/>
      <c r="G190" s="1"/>
      <c r="H190" s="1"/>
      <c r="I190" s="1"/>
    </row>
    <row r="191" spans="2:9">
      <c r="B191" s="1" t="s">
        <v>18</v>
      </c>
      <c r="C191" t="s">
        <v>21</v>
      </c>
      <c r="D191" t="s">
        <v>21</v>
      </c>
      <c r="E191" t="s">
        <v>21</v>
      </c>
      <c r="F191" t="s">
        <v>22</v>
      </c>
      <c r="G191" t="s">
        <v>23</v>
      </c>
      <c r="H191" t="s">
        <v>24</v>
      </c>
      <c r="I191" s="1" t="s">
        <v>25</v>
      </c>
    </row>
    <row r="192" spans="2:8">
      <c r="B192" t="s">
        <v>15</v>
      </c>
      <c r="C192">
        <v>0.128</v>
      </c>
      <c r="D192">
        <v>0.1</v>
      </c>
      <c r="E192">
        <v>0.109</v>
      </c>
      <c r="F192">
        <f>AVERAGE(C192:E192)</f>
        <v>0.112333333333333</v>
      </c>
      <c r="G192">
        <f>(F192-0.049)/5.401</f>
        <v>0.0117262235388508</v>
      </c>
      <c r="H192">
        <f>(0.2-G192)*50</f>
        <v>9.41368882305746</v>
      </c>
    </row>
    <row r="193" spans="2:9">
      <c r="B193" t="s">
        <v>16</v>
      </c>
      <c r="C193">
        <v>0.815</v>
      </c>
      <c r="D193">
        <v>0.795</v>
      </c>
      <c r="E193">
        <v>0.803</v>
      </c>
      <c r="F193">
        <f>AVERAGE(C193:E193)</f>
        <v>0.804333333333333</v>
      </c>
      <c r="G193">
        <f t="shared" ref="G193:G195" si="44">(F193-0.049)/5.401</f>
        <v>0.139850644942295</v>
      </c>
      <c r="H193">
        <f>(0.2-G193)*50</f>
        <v>3.00746775288527</v>
      </c>
      <c r="I193">
        <f>H192/H193</f>
        <v>3.13010465832136</v>
      </c>
    </row>
    <row r="194" spans="2:7">
      <c r="B194" t="s">
        <v>43</v>
      </c>
      <c r="C194">
        <v>0.05</v>
      </c>
      <c r="D194">
        <v>0.048</v>
      </c>
      <c r="E194">
        <v>0.047</v>
      </c>
      <c r="F194">
        <f>AVERAGE(C194:E194)</f>
        <v>0.0483333333333333</v>
      </c>
      <c r="G194">
        <f t="shared" si="44"/>
        <v>-0.000123433931987903</v>
      </c>
    </row>
    <row r="195" spans="2:7">
      <c r="B195" t="s">
        <v>44</v>
      </c>
      <c r="C195">
        <v>1.228</v>
      </c>
      <c r="D195">
        <v>1.27</v>
      </c>
      <c r="E195">
        <v>1.257</v>
      </c>
      <c r="F195">
        <f>AVERAGE(C195:E195)</f>
        <v>1.25166666666667</v>
      </c>
      <c r="G195">
        <f t="shared" si="44"/>
        <v>0.222674813306178</v>
      </c>
    </row>
    <row r="198" spans="1:9">
      <c r="A198">
        <v>20220211</v>
      </c>
      <c r="B198" s="1" t="s">
        <v>66</v>
      </c>
      <c r="C198" s="1"/>
      <c r="D198" s="1"/>
      <c r="E198" s="1"/>
      <c r="F198" s="1"/>
      <c r="G198" s="1"/>
      <c r="H198" s="1"/>
      <c r="I198" s="1"/>
    </row>
    <row r="199" spans="2:9">
      <c r="B199" s="1" t="s">
        <v>18</v>
      </c>
      <c r="C199" t="s">
        <v>21</v>
      </c>
      <c r="D199" t="s">
        <v>21</v>
      </c>
      <c r="E199" t="s">
        <v>21</v>
      </c>
      <c r="F199" t="s">
        <v>22</v>
      </c>
      <c r="G199" t="s">
        <v>23</v>
      </c>
      <c r="H199" t="s">
        <v>24</v>
      </c>
      <c r="I199" s="1" t="s">
        <v>25</v>
      </c>
    </row>
    <row r="200" spans="1:8">
      <c r="A200" t="s">
        <v>67</v>
      </c>
      <c r="B200" t="s">
        <v>15</v>
      </c>
      <c r="C200">
        <v>0.17</v>
      </c>
      <c r="D200" t="s">
        <v>68</v>
      </c>
      <c r="E200">
        <v>0.109</v>
      </c>
      <c r="F200">
        <f>AVERAGE(C200:E200)</f>
        <v>0.1395</v>
      </c>
      <c r="G200">
        <f>(F200-0.049)/5.401</f>
        <v>0.0167561562673579</v>
      </c>
      <c r="H200">
        <f>(0.2-G200)*50</f>
        <v>9.1621921866321</v>
      </c>
    </row>
    <row r="201" spans="2:9">
      <c r="B201" t="s">
        <v>16</v>
      </c>
      <c r="C201">
        <v>0.947</v>
      </c>
      <c r="D201">
        <v>0.978</v>
      </c>
      <c r="E201">
        <v>0.984</v>
      </c>
      <c r="F201">
        <f>AVERAGE(C201:E201)</f>
        <v>0.969666666666667</v>
      </c>
      <c r="G201">
        <f t="shared" ref="G201:G203" si="45">(F201-0.049)/5.401</f>
        <v>0.170462260075295</v>
      </c>
      <c r="H201">
        <f>(0.2-G201)*50</f>
        <v>1.47688699623527</v>
      </c>
      <c r="I201">
        <f>H200/H201</f>
        <v>6.20371918094442</v>
      </c>
    </row>
    <row r="202" spans="2:7">
      <c r="B202" t="s">
        <v>43</v>
      </c>
      <c r="C202">
        <v>0.236</v>
      </c>
      <c r="D202">
        <v>0.233</v>
      </c>
      <c r="E202">
        <v>0.242</v>
      </c>
      <c r="F202">
        <f>AVERAGE(C202:E202)</f>
        <v>0.237</v>
      </c>
      <c r="G202">
        <f t="shared" si="45"/>
        <v>0.0348083688205888</v>
      </c>
    </row>
    <row r="203" spans="2:7">
      <c r="B203" t="s">
        <v>44</v>
      </c>
      <c r="C203">
        <v>1.246</v>
      </c>
      <c r="D203">
        <v>1.246</v>
      </c>
      <c r="E203">
        <v>1.234</v>
      </c>
      <c r="F203">
        <f>AVERAGE(C203:E203)</f>
        <v>1.242</v>
      </c>
      <c r="G203">
        <f t="shared" si="45"/>
        <v>0.220885021292353</v>
      </c>
    </row>
    <row r="205" spans="2:9">
      <c r="B205" s="1" t="s">
        <v>18</v>
      </c>
      <c r="C205" t="s">
        <v>21</v>
      </c>
      <c r="D205" t="s">
        <v>21</v>
      </c>
      <c r="E205" t="s">
        <v>21</v>
      </c>
      <c r="F205" t="s">
        <v>22</v>
      </c>
      <c r="G205" t="s">
        <v>23</v>
      </c>
      <c r="H205" t="s">
        <v>24</v>
      </c>
      <c r="I205" s="1" t="s">
        <v>25</v>
      </c>
    </row>
    <row r="206" spans="1:8">
      <c r="A206" t="s">
        <v>69</v>
      </c>
      <c r="B206" t="s">
        <v>15</v>
      </c>
      <c r="C206">
        <v>0.242</v>
      </c>
      <c r="D206">
        <v>0.247</v>
      </c>
      <c r="E206">
        <v>0.244</v>
      </c>
      <c r="F206">
        <f>AVERAGE(C206:E206)</f>
        <v>0.244333333333333</v>
      </c>
      <c r="G206">
        <f>(F206-0.049)/5.401</f>
        <v>0.0361661420724557</v>
      </c>
      <c r="H206">
        <f>(0.2-G206)*50</f>
        <v>8.19169289637721</v>
      </c>
    </row>
    <row r="207" spans="2:9">
      <c r="B207" t="s">
        <v>16</v>
      </c>
      <c r="C207">
        <v>1.012</v>
      </c>
      <c r="D207">
        <v>1.021</v>
      </c>
      <c r="E207">
        <v>1.024</v>
      </c>
      <c r="F207">
        <f>AVERAGE(C207:E207)</f>
        <v>1.019</v>
      </c>
      <c r="G207">
        <f t="shared" ref="G207:G209" si="46">(F207-0.049)/5.401</f>
        <v>0.1795963710424</v>
      </c>
      <c r="H207">
        <f>(0.2-G207)*50</f>
        <v>1.02018144788002</v>
      </c>
      <c r="I207">
        <f>H206/H207</f>
        <v>8.02964307320023</v>
      </c>
    </row>
    <row r="208" spans="2:7">
      <c r="B208" t="s">
        <v>43</v>
      </c>
      <c r="C208">
        <v>0.053</v>
      </c>
      <c r="D208">
        <v>0.06</v>
      </c>
      <c r="E208">
        <v>0.055</v>
      </c>
      <c r="F208">
        <f>AVERAGE(C208:E208)</f>
        <v>0.056</v>
      </c>
      <c r="G208">
        <f t="shared" si="46"/>
        <v>0.00129605628587299</v>
      </c>
    </row>
    <row r="209" spans="2:7">
      <c r="B209" t="s">
        <v>44</v>
      </c>
      <c r="C209">
        <v>1.246</v>
      </c>
      <c r="D209">
        <v>1.246</v>
      </c>
      <c r="E209">
        <v>1.234</v>
      </c>
      <c r="F209">
        <f>AVERAGE(C209:E209)</f>
        <v>1.242</v>
      </c>
      <c r="G209">
        <f t="shared" si="46"/>
        <v>0.220885021292353</v>
      </c>
    </row>
    <row r="211" spans="1:2">
      <c r="A211">
        <v>20220213</v>
      </c>
      <c r="B211" t="s">
        <v>70</v>
      </c>
    </row>
    <row r="212" spans="2:9">
      <c r="B212" s="1" t="s">
        <v>18</v>
      </c>
      <c r="C212" t="s">
        <v>21</v>
      </c>
      <c r="D212" t="s">
        <v>21</v>
      </c>
      <c r="E212" t="s">
        <v>21</v>
      </c>
      <c r="F212" t="s">
        <v>22</v>
      </c>
      <c r="G212" t="s">
        <v>23</v>
      </c>
      <c r="H212" t="s">
        <v>24</v>
      </c>
      <c r="I212" s="1" t="s">
        <v>25</v>
      </c>
    </row>
    <row r="213" spans="1:8">
      <c r="A213" t="s">
        <v>69</v>
      </c>
      <c r="B213" t="s">
        <v>15</v>
      </c>
      <c r="C213">
        <v>0.22</v>
      </c>
      <c r="D213">
        <v>0.23</v>
      </c>
      <c r="E213">
        <v>0.231</v>
      </c>
      <c r="F213">
        <f>AVERAGE(C213:E213)</f>
        <v>0.227</v>
      </c>
      <c r="G213">
        <f>(F213-0.049)/5.401</f>
        <v>0.0329568598407702</v>
      </c>
      <c r="H213">
        <f>(0.2-G213)*50</f>
        <v>8.35215700796149</v>
      </c>
    </row>
    <row r="214" spans="2:9">
      <c r="B214" t="s">
        <v>16</v>
      </c>
      <c r="C214">
        <v>1.012</v>
      </c>
      <c r="D214">
        <v>1.021</v>
      </c>
      <c r="E214">
        <v>1.024</v>
      </c>
      <c r="F214">
        <f>AVERAGE(C214:E214)</f>
        <v>1.019</v>
      </c>
      <c r="G214">
        <f t="shared" ref="G214:G215" si="47">(F214-0.049)/5.401</f>
        <v>0.1795963710424</v>
      </c>
      <c r="H214">
        <f>(0.2-G214)*50</f>
        <v>1.02018144788002</v>
      </c>
      <c r="I214">
        <f>H213/H214</f>
        <v>8.18693284936478</v>
      </c>
    </row>
    <row r="215" spans="2:7">
      <c r="B215" t="s">
        <v>43</v>
      </c>
      <c r="C215">
        <v>0.084</v>
      </c>
      <c r="D215">
        <v>0.094</v>
      </c>
      <c r="E215">
        <v>0.09</v>
      </c>
      <c r="F215">
        <f>AVERAGE(C215:E215)</f>
        <v>0.0893333333333333</v>
      </c>
      <c r="G215">
        <f t="shared" si="47"/>
        <v>0.00746775288526816</v>
      </c>
    </row>
    <row r="217" spans="1:9">
      <c r="A217">
        <v>20220214</v>
      </c>
      <c r="B217" s="1" t="s">
        <v>71</v>
      </c>
      <c r="C217" s="1"/>
      <c r="D217" s="1"/>
      <c r="E217" s="1"/>
      <c r="F217" s="1"/>
      <c r="G217" s="1"/>
      <c r="H217" s="1"/>
      <c r="I217" s="1"/>
    </row>
    <row r="218" spans="2:9">
      <c r="B218" s="1" t="s">
        <v>18</v>
      </c>
      <c r="C218" t="s">
        <v>21</v>
      </c>
      <c r="D218" t="s">
        <v>21</v>
      </c>
      <c r="E218" t="s">
        <v>21</v>
      </c>
      <c r="F218" t="s">
        <v>22</v>
      </c>
      <c r="G218" t="s">
        <v>23</v>
      </c>
      <c r="H218" t="s">
        <v>24</v>
      </c>
      <c r="I218" s="1" t="s">
        <v>25</v>
      </c>
    </row>
    <row r="219" spans="1:8">
      <c r="A219" t="s">
        <v>72</v>
      </c>
      <c r="B219" t="s">
        <v>15</v>
      </c>
      <c r="C219">
        <v>0.138</v>
      </c>
      <c r="D219">
        <v>0.139</v>
      </c>
      <c r="E219">
        <v>0.144</v>
      </c>
      <c r="F219">
        <f>AVERAGE(C219:E219)</f>
        <v>0.140333333333333</v>
      </c>
      <c r="G219">
        <f>(F219-0.049)/5.401</f>
        <v>0.0169104486823428</v>
      </c>
      <c r="H219">
        <f>(0.2-G219)*50</f>
        <v>9.15447756588286</v>
      </c>
    </row>
    <row r="220" spans="2:9">
      <c r="B220" t="s">
        <v>16</v>
      </c>
      <c r="C220">
        <v>0.868</v>
      </c>
      <c r="D220">
        <v>0.889</v>
      </c>
      <c r="E220">
        <v>0.878</v>
      </c>
      <c r="F220">
        <f>AVERAGE(C220:E220)</f>
        <v>0.878333333333333</v>
      </c>
      <c r="G220">
        <f t="shared" ref="G220:G221" si="48">(F220-0.049)/5.401</f>
        <v>0.153551811392952</v>
      </c>
      <c r="H220">
        <f>(0.2-G220)*50</f>
        <v>2.3224094303524</v>
      </c>
      <c r="I220">
        <f>H219/H220</f>
        <v>3.94180175391974</v>
      </c>
    </row>
    <row r="221" spans="2:7">
      <c r="B221" t="s">
        <v>43</v>
      </c>
      <c r="C221">
        <v>0.106</v>
      </c>
      <c r="D221">
        <v>0.108</v>
      </c>
      <c r="E221">
        <v>0.104</v>
      </c>
      <c r="F221">
        <f>AVERAGE(C221:E221)</f>
        <v>0.106</v>
      </c>
      <c r="G221">
        <f t="shared" si="48"/>
        <v>0.0105536011849657</v>
      </c>
    </row>
    <row r="224" spans="1:9">
      <c r="A224">
        <v>20220218</v>
      </c>
      <c r="B224" s="1" t="s">
        <v>73</v>
      </c>
      <c r="C224" s="1"/>
      <c r="D224" s="1"/>
      <c r="E224" s="1"/>
      <c r="F224" s="1"/>
      <c r="G224" s="1"/>
      <c r="H224" s="1"/>
      <c r="I224" s="1"/>
    </row>
    <row r="225" spans="2:9">
      <c r="B225" s="1" t="s">
        <v>18</v>
      </c>
      <c r="C225" t="s">
        <v>21</v>
      </c>
      <c r="D225" t="s">
        <v>21</v>
      </c>
      <c r="E225" t="s">
        <v>21</v>
      </c>
      <c r="F225" t="s">
        <v>22</v>
      </c>
      <c r="G225" t="s">
        <v>23</v>
      </c>
      <c r="H225" t="s">
        <v>24</v>
      </c>
      <c r="I225" s="1" t="s">
        <v>25</v>
      </c>
    </row>
    <row r="226" spans="2:8">
      <c r="B226" t="s">
        <v>74</v>
      </c>
      <c r="C226">
        <v>0.159</v>
      </c>
      <c r="D226">
        <v>0.164</v>
      </c>
      <c r="E226">
        <v>0.172</v>
      </c>
      <c r="F226">
        <f>AVERAGE(C226:E226)</f>
        <v>0.165</v>
      </c>
      <c r="G226">
        <f>(F226-0.049)/5.401</f>
        <v>0.0214775041658952</v>
      </c>
      <c r="H226">
        <f>(0.2-G226)*50</f>
        <v>8.92612479170524</v>
      </c>
    </row>
    <row r="227" spans="2:9">
      <c r="B227" t="s">
        <v>16</v>
      </c>
      <c r="C227">
        <v>0.868</v>
      </c>
      <c r="D227">
        <v>0.889</v>
      </c>
      <c r="E227">
        <v>0.878</v>
      </c>
      <c r="F227">
        <f>AVERAGE(C227:E227)</f>
        <v>0.878333333333333</v>
      </c>
      <c r="G227">
        <f>(F227-0.049)/5.401</f>
        <v>0.153551811392952</v>
      </c>
      <c r="H227">
        <f>(0.2-G227)*50</f>
        <v>2.3224094303524</v>
      </c>
      <c r="I227">
        <f>H226/H227</f>
        <v>3.84347595003986</v>
      </c>
    </row>
    <row r="228" spans="2:8">
      <c r="B228" t="s">
        <v>75</v>
      </c>
      <c r="C228">
        <v>0.162</v>
      </c>
      <c r="D228">
        <v>0.168</v>
      </c>
      <c r="E228">
        <v>0.163</v>
      </c>
      <c r="F228">
        <f t="shared" ref="F228:F231" si="49">AVERAGE(C228:E228)</f>
        <v>0.164333333333333</v>
      </c>
      <c r="G228">
        <f t="shared" ref="G228:G231" si="50">(F228-0.049)/5.401</f>
        <v>0.0213540702339073</v>
      </c>
      <c r="H228">
        <f>(0.2-G228)*50</f>
        <v>8.93229648830463</v>
      </c>
    </row>
    <row r="229" spans="2:9">
      <c r="B229" t="s">
        <v>16</v>
      </c>
      <c r="C229">
        <v>0.868</v>
      </c>
      <c r="D229">
        <v>0.889</v>
      </c>
      <c r="E229">
        <v>0.878</v>
      </c>
      <c r="F229">
        <f t="shared" si="49"/>
        <v>0.878333333333333</v>
      </c>
      <c r="G229">
        <f t="shared" si="50"/>
        <v>0.153551811392952</v>
      </c>
      <c r="H229">
        <f>(0.2-G229)*50</f>
        <v>2.3224094303524</v>
      </c>
      <c r="I229">
        <f>H228/H229</f>
        <v>3.84613340419878</v>
      </c>
    </row>
    <row r="230" spans="2:7">
      <c r="B230" t="s">
        <v>43</v>
      </c>
      <c r="C230">
        <v>0.104</v>
      </c>
      <c r="D230">
        <v>0.105</v>
      </c>
      <c r="E230">
        <v>0.103</v>
      </c>
      <c r="F230">
        <f t="shared" si="49"/>
        <v>0.104</v>
      </c>
      <c r="G230">
        <f t="shared" si="50"/>
        <v>0.010183299389002</v>
      </c>
    </row>
    <row r="231" spans="2:7">
      <c r="B231" t="s">
        <v>44</v>
      </c>
      <c r="C231">
        <v>1.249</v>
      </c>
      <c r="D231">
        <v>1.266</v>
      </c>
      <c r="E231">
        <v>1.283</v>
      </c>
      <c r="F231">
        <f t="shared" si="49"/>
        <v>1.266</v>
      </c>
      <c r="G231">
        <f t="shared" si="50"/>
        <v>0.225328642843918</v>
      </c>
    </row>
    <row r="233" spans="1:6">
      <c r="A233">
        <v>20220221</v>
      </c>
      <c r="C233" s="1" t="s">
        <v>76</v>
      </c>
      <c r="D233" s="1"/>
      <c r="E233" s="1"/>
      <c r="F233" s="1"/>
    </row>
    <row r="234" spans="2:9">
      <c r="B234" s="1" t="s">
        <v>73</v>
      </c>
      <c r="C234" s="1"/>
      <c r="D234" s="1"/>
      <c r="E234" s="1"/>
      <c r="F234" s="1"/>
      <c r="G234" s="1"/>
      <c r="H234" s="1"/>
      <c r="I234" s="1"/>
    </row>
    <row r="235" spans="2:9">
      <c r="B235" s="1" t="s">
        <v>18</v>
      </c>
      <c r="C235" t="s">
        <v>21</v>
      </c>
      <c r="D235" t="s">
        <v>21</v>
      </c>
      <c r="E235" t="s">
        <v>21</v>
      </c>
      <c r="F235" t="s">
        <v>22</v>
      </c>
      <c r="G235" t="s">
        <v>23</v>
      </c>
      <c r="H235" t="s">
        <v>24</v>
      </c>
      <c r="I235" s="1" t="s">
        <v>25</v>
      </c>
    </row>
    <row r="236" spans="2:8">
      <c r="B236" t="s">
        <v>15</v>
      </c>
      <c r="C236">
        <v>0.298</v>
      </c>
      <c r="D236">
        <v>0.298</v>
      </c>
      <c r="E236">
        <v>0.297</v>
      </c>
      <c r="F236">
        <f>AVERAGE(C236:E236)</f>
        <v>0.297666666666667</v>
      </c>
      <c r="G236">
        <f>(F236-0.063)/3.606</f>
        <v>0.0650767239785543</v>
      </c>
      <c r="H236">
        <f>(0.5-G236)*50</f>
        <v>21.7461638010723</v>
      </c>
    </row>
    <row r="237" spans="2:9">
      <c r="B237" t="s">
        <v>16</v>
      </c>
      <c r="C237">
        <v>1.606</v>
      </c>
      <c r="D237">
        <v>1.594</v>
      </c>
      <c r="E237">
        <v>1.637</v>
      </c>
      <c r="F237">
        <f>AVERAGE(C237:E237)</f>
        <v>1.61233333333333</v>
      </c>
      <c r="G237">
        <f t="shared" ref="G237:G238" si="51">(F237-0.063)/3.606</f>
        <v>0.429654279903864</v>
      </c>
      <c r="H237">
        <f>(0.5-G237)*50</f>
        <v>3.5172860048068</v>
      </c>
      <c r="I237">
        <f>H236/H237</f>
        <v>6.18265440210249</v>
      </c>
    </row>
    <row r="238" spans="2:7">
      <c r="B238" t="s">
        <v>77</v>
      </c>
      <c r="C238">
        <v>1.853</v>
      </c>
      <c r="D238">
        <v>1.849</v>
      </c>
      <c r="E238">
        <v>1.859</v>
      </c>
      <c r="F238">
        <f t="shared" ref="F238" si="52">AVERAGE(C238:E238)</f>
        <v>1.85366666666667</v>
      </c>
      <c r="G238">
        <f t="shared" si="51"/>
        <v>0.496579774449991</v>
      </c>
    </row>
    <row r="240" spans="2:2">
      <c r="B240" t="s">
        <v>78</v>
      </c>
    </row>
    <row r="241" spans="2:6">
      <c r="B241" t="s">
        <v>79</v>
      </c>
      <c r="C241" s="1" t="s">
        <v>1</v>
      </c>
      <c r="D241" s="1"/>
      <c r="E241" s="1"/>
      <c r="F241" s="1"/>
    </row>
    <row r="242" spans="2:6">
      <c r="B242">
        <v>0.5</v>
      </c>
      <c r="C242">
        <f>AVERAGE(D242:F242)</f>
        <v>1.814</v>
      </c>
      <c r="D242">
        <v>1.812</v>
      </c>
      <c r="E242">
        <v>1.819</v>
      </c>
      <c r="F242">
        <v>1.811</v>
      </c>
    </row>
    <row r="243" spans="2:6">
      <c r="B243">
        <v>0.25</v>
      </c>
      <c r="C243">
        <f t="shared" ref="C243:C247" si="53">AVERAGE(D243:F243)</f>
        <v>1.065</v>
      </c>
      <c r="D243">
        <v>1.069</v>
      </c>
      <c r="E243">
        <v>1.062</v>
      </c>
      <c r="F243">
        <v>1.064</v>
      </c>
    </row>
    <row r="244" spans="2:6">
      <c r="B244">
        <v>0.1</v>
      </c>
      <c r="C244">
        <f t="shared" si="53"/>
        <v>0.448</v>
      </c>
      <c r="D244">
        <v>0.444</v>
      </c>
      <c r="E244">
        <v>0.451</v>
      </c>
      <c r="F244">
        <v>0.449</v>
      </c>
    </row>
    <row r="245" spans="2:6">
      <c r="B245">
        <v>0.05</v>
      </c>
      <c r="C245">
        <f t="shared" si="53"/>
        <v>0.237333333333333</v>
      </c>
      <c r="D245">
        <v>0.237</v>
      </c>
      <c r="E245">
        <v>0.237</v>
      </c>
      <c r="F245">
        <v>0.238</v>
      </c>
    </row>
    <row r="246" spans="2:6">
      <c r="B246">
        <v>0.025</v>
      </c>
      <c r="C246">
        <f t="shared" si="53"/>
        <v>0.126666666666667</v>
      </c>
      <c r="D246">
        <v>0.127</v>
      </c>
      <c r="E246">
        <v>0.129</v>
      </c>
      <c r="F246">
        <v>0.124</v>
      </c>
    </row>
    <row r="247" spans="2:6">
      <c r="B247">
        <v>0.0125</v>
      </c>
      <c r="C247">
        <f t="shared" si="53"/>
        <v>0.068</v>
      </c>
      <c r="D247">
        <v>0.065</v>
      </c>
      <c r="E247">
        <v>0.067</v>
      </c>
      <c r="F247">
        <v>0.072</v>
      </c>
    </row>
    <row r="267" spans="1:7">
      <c r="A267">
        <v>20220222</v>
      </c>
      <c r="B267" s="1" t="s">
        <v>80</v>
      </c>
      <c r="C267" s="1"/>
      <c r="D267" s="1"/>
      <c r="E267" s="1"/>
      <c r="F267" s="1"/>
      <c r="G267" s="1"/>
    </row>
    <row r="268" ht="14.25" spans="2:6">
      <c r="B268" t="s">
        <v>50</v>
      </c>
      <c r="C268" t="s">
        <v>58</v>
      </c>
      <c r="D268" t="s">
        <v>59</v>
      </c>
      <c r="F268" t="s">
        <v>25</v>
      </c>
    </row>
    <row r="269" spans="2:6">
      <c r="B269" s="2" t="s">
        <v>51</v>
      </c>
      <c r="C269" s="3">
        <v>6.27</v>
      </c>
      <c r="D269" s="3">
        <v>0.89</v>
      </c>
      <c r="F269">
        <f t="shared" ref="F269:F274" si="54">C269/D269</f>
        <v>7.04494382022472</v>
      </c>
    </row>
    <row r="270" spans="2:6">
      <c r="B270" s="2" t="s">
        <v>52</v>
      </c>
      <c r="C270" s="4">
        <v>8.19</v>
      </c>
      <c r="D270" s="4">
        <v>1.02</v>
      </c>
      <c r="F270">
        <f t="shared" si="54"/>
        <v>8.02941176470588</v>
      </c>
    </row>
    <row r="271" spans="2:6">
      <c r="B271" s="2" t="s">
        <v>53</v>
      </c>
      <c r="C271" s="4">
        <v>8.52</v>
      </c>
      <c r="D271" s="4">
        <v>1.68</v>
      </c>
      <c r="F271">
        <f t="shared" si="54"/>
        <v>5.07142857142857</v>
      </c>
    </row>
    <row r="272" spans="2:6">
      <c r="B272" s="2" t="s">
        <v>54</v>
      </c>
      <c r="C272" s="4">
        <v>8.97</v>
      </c>
      <c r="D272" s="4">
        <v>3.16</v>
      </c>
      <c r="F272">
        <f t="shared" si="54"/>
        <v>2.83860759493671</v>
      </c>
    </row>
    <row r="273" spans="2:6">
      <c r="B273" s="2" t="s">
        <v>55</v>
      </c>
      <c r="C273" s="4">
        <v>9.18</v>
      </c>
      <c r="D273" s="4">
        <v>7.64</v>
      </c>
      <c r="F273">
        <f t="shared" si="54"/>
        <v>1.20157068062827</v>
      </c>
    </row>
    <row r="274" ht="14.25" spans="2:6">
      <c r="B274" s="2" t="s">
        <v>56</v>
      </c>
      <c r="C274" s="5">
        <v>5.7</v>
      </c>
      <c r="D274" s="5">
        <v>6.39</v>
      </c>
      <c r="F274">
        <f t="shared" si="54"/>
        <v>0.892018779342723</v>
      </c>
    </row>
    <row r="279" spans="1:9">
      <c r="A279">
        <v>20220223</v>
      </c>
      <c r="B279" s="1" t="s">
        <v>81</v>
      </c>
      <c r="C279" s="1"/>
      <c r="D279" s="1"/>
      <c r="E279" s="1"/>
      <c r="F279" s="1"/>
      <c r="G279" s="1"/>
      <c r="H279" s="1"/>
      <c r="I279" s="1"/>
    </row>
    <row r="280" spans="2:9">
      <c r="B280" s="1" t="s">
        <v>18</v>
      </c>
      <c r="C280" t="s">
        <v>21</v>
      </c>
      <c r="D280" t="s">
        <v>21</v>
      </c>
      <c r="E280" t="s">
        <v>21</v>
      </c>
      <c r="F280" t="s">
        <v>22</v>
      </c>
      <c r="G280" t="s">
        <v>23</v>
      </c>
      <c r="H280" t="s">
        <v>24</v>
      </c>
      <c r="I280" s="1" t="s">
        <v>25</v>
      </c>
    </row>
    <row r="281" spans="2:8">
      <c r="B281" t="s">
        <v>15</v>
      </c>
      <c r="C281">
        <v>0.253</v>
      </c>
      <c r="D281">
        <v>0.254</v>
      </c>
      <c r="E281">
        <v>0.254</v>
      </c>
      <c r="F281">
        <f>AVERAGE(C281:E281)</f>
        <v>0.253666666666667</v>
      </c>
      <c r="G281">
        <f>(F281-0.049)/5.401</f>
        <v>0.0378942171202864</v>
      </c>
      <c r="H281">
        <f>(0.2-G281)*50</f>
        <v>8.10528914398568</v>
      </c>
    </row>
    <row r="282" spans="2:9">
      <c r="B282" t="s">
        <v>16</v>
      </c>
      <c r="C282">
        <v>0.868</v>
      </c>
      <c r="D282">
        <v>0.889</v>
      </c>
      <c r="E282">
        <v>0.878</v>
      </c>
      <c r="F282">
        <f>AVERAGE(C282:E282)</f>
        <v>0.878333333333333</v>
      </c>
      <c r="G282">
        <f t="shared" ref="G282:G284" si="55">(F282-0.049)/5.401</f>
        <v>0.153551811392952</v>
      </c>
      <c r="H282">
        <f>(0.2-G282)*50</f>
        <v>2.3224094303524</v>
      </c>
      <c r="I282">
        <f>H281/H282</f>
        <v>3.49003454690407</v>
      </c>
    </row>
    <row r="283" spans="2:7">
      <c r="B283" t="s">
        <v>43</v>
      </c>
      <c r="C283">
        <v>0.271</v>
      </c>
      <c r="D283">
        <v>0.272</v>
      </c>
      <c r="E283">
        <v>0.267</v>
      </c>
      <c r="F283">
        <f>AVERAGE(C283:E283)</f>
        <v>0.27</v>
      </c>
      <c r="G283">
        <f t="shared" si="55"/>
        <v>0.04091834845399</v>
      </c>
    </row>
    <row r="284" spans="2:7">
      <c r="B284" t="s">
        <v>44</v>
      </c>
      <c r="C284">
        <v>1.137</v>
      </c>
      <c r="D284">
        <v>1.17</v>
      </c>
      <c r="E284">
        <v>1.167</v>
      </c>
      <c r="F284">
        <f t="shared" ref="F284" si="56">AVERAGE(C284:E284)</f>
        <v>1.158</v>
      </c>
      <c r="G284">
        <f t="shared" si="55"/>
        <v>0.205332345861877</v>
      </c>
    </row>
    <row r="287" spans="1:9">
      <c r="A287">
        <v>20220228</v>
      </c>
      <c r="B287" s="1" t="s">
        <v>82</v>
      </c>
      <c r="C287" s="1"/>
      <c r="D287" s="1"/>
      <c r="E287" s="1"/>
      <c r="F287" s="1"/>
      <c r="G287" s="1"/>
      <c r="H287" s="1"/>
      <c r="I287" s="1"/>
    </row>
    <row r="288" spans="2:9">
      <c r="B288" s="1" t="s">
        <v>18</v>
      </c>
      <c r="C288" t="s">
        <v>21</v>
      </c>
      <c r="D288" t="s">
        <v>21</v>
      </c>
      <c r="E288" t="s">
        <v>21</v>
      </c>
      <c r="F288" t="s">
        <v>22</v>
      </c>
      <c r="G288" t="s">
        <v>23</v>
      </c>
      <c r="H288" t="s">
        <v>24</v>
      </c>
      <c r="I288" s="1" t="s">
        <v>25</v>
      </c>
    </row>
    <row r="289" spans="2:8">
      <c r="B289" t="s">
        <v>15</v>
      </c>
      <c r="C289">
        <v>0.08</v>
      </c>
      <c r="D289">
        <v>0.087</v>
      </c>
      <c r="E289">
        <v>0.084</v>
      </c>
      <c r="F289">
        <f>AVERAGE(C289:E289)</f>
        <v>0.0836666666666667</v>
      </c>
      <c r="G289">
        <f>(F289-0.049)/5.401</f>
        <v>0.00641856446337098</v>
      </c>
      <c r="H289">
        <f>(0.2-G289)*50</f>
        <v>9.67907177683145</v>
      </c>
    </row>
    <row r="290" spans="2:9">
      <c r="B290" t="s">
        <v>16</v>
      </c>
      <c r="C290">
        <v>0.868</v>
      </c>
      <c r="D290">
        <v>0.889</v>
      </c>
      <c r="E290">
        <v>0.878</v>
      </c>
      <c r="F290">
        <f>AVERAGE(C290:E290)</f>
        <v>0.878333333333333</v>
      </c>
      <c r="G290">
        <f t="shared" ref="G290:G292" si="57">(F290-0.049)/5.401</f>
        <v>0.153551811392952</v>
      </c>
      <c r="H290">
        <f>(0.2-G290)*50</f>
        <v>2.3224094303524</v>
      </c>
      <c r="I290">
        <f>H289/H290</f>
        <v>4.16768535742758</v>
      </c>
    </row>
    <row r="291" spans="2:7">
      <c r="B291" t="s">
        <v>43</v>
      </c>
      <c r="C291">
        <v>0.062</v>
      </c>
      <c r="D291">
        <v>0.055</v>
      </c>
      <c r="E291">
        <v>0.055</v>
      </c>
      <c r="F291">
        <f>AVERAGE(C291:E291)</f>
        <v>0.0573333333333333</v>
      </c>
      <c r="G291">
        <f t="shared" si="57"/>
        <v>0.00154292414984879</v>
      </c>
    </row>
    <row r="292" spans="2:7">
      <c r="B292" t="s">
        <v>44</v>
      </c>
      <c r="C292">
        <v>1.148</v>
      </c>
      <c r="D292">
        <v>1.182</v>
      </c>
      <c r="E292">
        <v>1.188</v>
      </c>
      <c r="F292">
        <f t="shared" ref="F292" si="58">AVERAGE(C292:E292)</f>
        <v>1.17266666666667</v>
      </c>
      <c r="G292">
        <f t="shared" si="57"/>
        <v>0.208047892365611</v>
      </c>
    </row>
    <row r="294" spans="1:9">
      <c r="A294">
        <v>20220308</v>
      </c>
      <c r="B294" s="1" t="s">
        <v>82</v>
      </c>
      <c r="C294" s="1"/>
      <c r="D294" s="1"/>
      <c r="E294" s="1"/>
      <c r="F294" s="1"/>
      <c r="G294" s="1"/>
      <c r="H294" s="1"/>
      <c r="I294" s="1"/>
    </row>
    <row r="295" spans="2:9">
      <c r="B295" s="1" t="s">
        <v>18</v>
      </c>
      <c r="C295" t="s">
        <v>21</v>
      </c>
      <c r="D295" t="s">
        <v>21</v>
      </c>
      <c r="E295" t="s">
        <v>21</v>
      </c>
      <c r="F295" t="s">
        <v>22</v>
      </c>
      <c r="G295" t="s">
        <v>23</v>
      </c>
      <c r="H295" t="s">
        <v>24</v>
      </c>
      <c r="I295" s="1" t="s">
        <v>25</v>
      </c>
    </row>
    <row r="296" spans="2:8">
      <c r="B296" t="s">
        <v>15</v>
      </c>
      <c r="C296">
        <v>0.169</v>
      </c>
      <c r="D296">
        <v>0.169</v>
      </c>
      <c r="E296">
        <v>0.166</v>
      </c>
      <c r="F296">
        <f>AVERAGE(C296:E296)</f>
        <v>0.168</v>
      </c>
      <c r="G296">
        <f>(F296-0.049)/5.401</f>
        <v>0.0220329568598408</v>
      </c>
      <c r="H296">
        <f>(0.2-G296)*50</f>
        <v>8.89835215700796</v>
      </c>
    </row>
    <row r="297" spans="2:9">
      <c r="B297" t="s">
        <v>16</v>
      </c>
      <c r="C297">
        <v>0.868</v>
      </c>
      <c r="D297">
        <v>0.889</v>
      </c>
      <c r="E297">
        <v>0.878</v>
      </c>
      <c r="F297">
        <f>AVERAGE(C297:E297)</f>
        <v>0.878333333333333</v>
      </c>
      <c r="G297">
        <f t="shared" ref="G297:G298" si="59">(F297-0.049)/5.401</f>
        <v>0.153551811392952</v>
      </c>
      <c r="H297">
        <f>(0.2-G297)*50</f>
        <v>2.3224094303524</v>
      </c>
      <c r="I297">
        <f>H296/H297</f>
        <v>3.83151740632474</v>
      </c>
    </row>
    <row r="298" spans="2:7">
      <c r="B298" t="s">
        <v>43</v>
      </c>
      <c r="C298">
        <v>0.045</v>
      </c>
      <c r="D298">
        <v>0.047</v>
      </c>
      <c r="E298">
        <v>0.047</v>
      </c>
      <c r="F298">
        <f>AVERAGE(C298:E298)</f>
        <v>0.0463333333333333</v>
      </c>
      <c r="G298">
        <f t="shared" si="59"/>
        <v>-0.000493735727951614</v>
      </c>
    </row>
    <row r="301" spans="1:9">
      <c r="A301">
        <v>20220310</v>
      </c>
      <c r="B301" s="1" t="s">
        <v>83</v>
      </c>
      <c r="C301" s="1"/>
      <c r="D301" s="1"/>
      <c r="E301" s="1"/>
      <c r="F301" s="1"/>
      <c r="G301" s="1"/>
      <c r="H301" s="1"/>
      <c r="I301" s="1"/>
    </row>
    <row r="302" spans="2:9">
      <c r="B302" s="1" t="s">
        <v>18</v>
      </c>
      <c r="C302" t="s">
        <v>21</v>
      </c>
      <c r="D302" t="s">
        <v>21</v>
      </c>
      <c r="E302" t="s">
        <v>21</v>
      </c>
      <c r="F302" t="s">
        <v>22</v>
      </c>
      <c r="G302" t="s">
        <v>23</v>
      </c>
      <c r="H302" t="s">
        <v>24</v>
      </c>
      <c r="I302" s="1" t="s">
        <v>25</v>
      </c>
    </row>
    <row r="303" spans="2:8">
      <c r="B303" t="s">
        <v>74</v>
      </c>
      <c r="C303">
        <v>0.171</v>
      </c>
      <c r="D303">
        <v>0.175</v>
      </c>
      <c r="E303">
        <v>0.178</v>
      </c>
      <c r="F303">
        <f>AVERAGE(C303:E303)</f>
        <v>0.174666666666667</v>
      </c>
      <c r="G303">
        <f>(F303-0.049)/5.401</f>
        <v>0.0232672961797198</v>
      </c>
      <c r="H303">
        <f>(0.2-G303)*50</f>
        <v>8.83663519101401</v>
      </c>
    </row>
    <row r="304" spans="2:9">
      <c r="B304" t="s">
        <v>16</v>
      </c>
      <c r="C304">
        <v>0.868</v>
      </c>
      <c r="D304">
        <v>0.889</v>
      </c>
      <c r="E304">
        <v>0.878</v>
      </c>
      <c r="F304">
        <f>AVERAGE(C304:E304)</f>
        <v>0.878333333333333</v>
      </c>
      <c r="G304">
        <f t="shared" ref="G304:G305" si="60">(F304-0.049)/5.401</f>
        <v>0.153551811392952</v>
      </c>
      <c r="H304">
        <f>(0.2-G304)*50</f>
        <v>2.3224094303524</v>
      </c>
      <c r="I304">
        <f>H303/H304</f>
        <v>3.80494286473558</v>
      </c>
    </row>
    <row r="305" spans="2:7">
      <c r="B305" t="s">
        <v>84</v>
      </c>
      <c r="C305">
        <v>0.076</v>
      </c>
      <c r="D305">
        <v>0.082</v>
      </c>
      <c r="E305">
        <v>0.077</v>
      </c>
      <c r="F305">
        <f>AVERAGE(C305:E305)</f>
        <v>0.0783333333333333</v>
      </c>
      <c r="G305">
        <f t="shared" si="60"/>
        <v>0.00543109300746775</v>
      </c>
    </row>
    <row r="307" spans="2:8">
      <c r="B307" t="s">
        <v>75</v>
      </c>
      <c r="C307">
        <v>0.172</v>
      </c>
      <c r="D307">
        <v>0.174</v>
      </c>
      <c r="E307">
        <v>0.174</v>
      </c>
      <c r="F307">
        <f>AVERAGE(C307:E307)</f>
        <v>0.173333333333333</v>
      </c>
      <c r="G307">
        <f>(F307-0.049)/5.401</f>
        <v>0.023020428315744</v>
      </c>
      <c r="H307">
        <f>(0.2-G307)*50</f>
        <v>8.8489785842128</v>
      </c>
    </row>
    <row r="308" spans="2:9">
      <c r="B308" t="s">
        <v>16</v>
      </c>
      <c r="C308">
        <v>0.868</v>
      </c>
      <c r="D308">
        <v>0.889</v>
      </c>
      <c r="E308">
        <v>0.878</v>
      </c>
      <c r="F308">
        <f>AVERAGE(C308:E308)</f>
        <v>0.878333333333333</v>
      </c>
      <c r="G308">
        <f t="shared" ref="G308:G309" si="61">(F308-0.049)/5.401</f>
        <v>0.153551811392952</v>
      </c>
      <c r="H308">
        <f>(0.2-G308)*50</f>
        <v>2.3224094303524</v>
      </c>
      <c r="I308">
        <f>H307/H308</f>
        <v>3.81025777305342</v>
      </c>
    </row>
    <row r="309" spans="2:7">
      <c r="B309" t="s">
        <v>85</v>
      </c>
      <c r="C309">
        <v>0.078</v>
      </c>
      <c r="D309">
        <v>0.074</v>
      </c>
      <c r="E309">
        <v>0.076</v>
      </c>
      <c r="F309">
        <f>AVERAGE(C309:E309)</f>
        <v>0.076</v>
      </c>
      <c r="G309">
        <f t="shared" si="61"/>
        <v>0.00499907424551009</v>
      </c>
    </row>
    <row r="312" spans="1:2">
      <c r="A312">
        <v>20220311</v>
      </c>
      <c r="B312" t="s">
        <v>86</v>
      </c>
    </row>
    <row r="313" spans="2:6">
      <c r="B313" t="s">
        <v>0</v>
      </c>
      <c r="C313" s="1" t="s">
        <v>1</v>
      </c>
      <c r="D313" s="1"/>
      <c r="E313" s="1"/>
      <c r="F313" s="1"/>
    </row>
    <row r="314" spans="2:6">
      <c r="B314">
        <v>0.5</v>
      </c>
      <c r="C314">
        <f>AVERAGE(D314:F314)</f>
        <v>2.36433333333333</v>
      </c>
      <c r="D314">
        <v>2.39</v>
      </c>
      <c r="E314">
        <v>2.319</v>
      </c>
      <c r="F314">
        <v>2.384</v>
      </c>
    </row>
    <row r="315" spans="2:6">
      <c r="B315">
        <v>0.25</v>
      </c>
      <c r="C315">
        <f t="shared" ref="C315:C319" si="62">AVERAGE(D315:F315)</f>
        <v>1.803</v>
      </c>
      <c r="D315">
        <v>1.771</v>
      </c>
      <c r="E315">
        <v>1.827</v>
      </c>
      <c r="F315">
        <v>1.811</v>
      </c>
    </row>
    <row r="316" spans="2:6">
      <c r="B316">
        <v>0.1</v>
      </c>
      <c r="C316">
        <f t="shared" si="62"/>
        <v>0.861333333333333</v>
      </c>
      <c r="D316">
        <v>0.864</v>
      </c>
      <c r="E316">
        <v>0.853</v>
      </c>
      <c r="F316">
        <v>0.867</v>
      </c>
    </row>
    <row r="317" spans="2:6">
      <c r="B317">
        <v>0.05</v>
      </c>
      <c r="C317">
        <f t="shared" si="62"/>
        <v>0.445333333333333</v>
      </c>
      <c r="D317">
        <v>0.442</v>
      </c>
      <c r="E317">
        <v>0.443</v>
      </c>
      <c r="F317">
        <v>0.451</v>
      </c>
    </row>
    <row r="318" spans="2:6">
      <c r="B318">
        <v>0.02</v>
      </c>
      <c r="C318">
        <f t="shared" si="62"/>
        <v>0.173333333333333</v>
      </c>
      <c r="D318">
        <v>0.19</v>
      </c>
      <c r="E318">
        <v>0.172</v>
      </c>
      <c r="F318">
        <v>0.158</v>
      </c>
    </row>
    <row r="319" spans="2:6">
      <c r="B319">
        <v>0.01</v>
      </c>
      <c r="C319">
        <f t="shared" si="62"/>
        <v>0.0813333333333333</v>
      </c>
      <c r="D319">
        <v>0.08</v>
      </c>
      <c r="E319">
        <v>0.08</v>
      </c>
      <c r="F319">
        <v>0.084</v>
      </c>
    </row>
    <row r="339" spans="1:9">
      <c r="A339">
        <v>20220311</v>
      </c>
      <c r="B339" s="1" t="s">
        <v>87</v>
      </c>
      <c r="C339" s="1"/>
      <c r="D339" s="1"/>
      <c r="E339" s="1"/>
      <c r="F339" s="1"/>
      <c r="G339" s="1"/>
      <c r="H339" s="1"/>
      <c r="I339" s="1"/>
    </row>
    <row r="340" spans="1:14">
      <c r="A340" t="s">
        <v>88</v>
      </c>
      <c r="B340" s="1" t="s">
        <v>18</v>
      </c>
      <c r="C340" t="s">
        <v>21</v>
      </c>
      <c r="D340" t="s">
        <v>21</v>
      </c>
      <c r="E340" t="s">
        <v>21</v>
      </c>
      <c r="F340" t="s">
        <v>22</v>
      </c>
      <c r="G340" t="s">
        <v>23</v>
      </c>
      <c r="H340" t="s">
        <v>24</v>
      </c>
      <c r="I340" s="1" t="s">
        <v>25</v>
      </c>
      <c r="L340" t="s">
        <v>89</v>
      </c>
      <c r="M340" t="s">
        <v>90</v>
      </c>
      <c r="N340" t="s">
        <v>91</v>
      </c>
    </row>
    <row r="341" spans="2:14">
      <c r="B341" t="s">
        <v>92</v>
      </c>
      <c r="C341">
        <v>0.78</v>
      </c>
      <c r="D341">
        <v>0.783</v>
      </c>
      <c r="E341">
        <v>0.794</v>
      </c>
      <c r="F341">
        <f>AVERAGE(C341:E341)</f>
        <v>0.785666666666667</v>
      </c>
      <c r="G341">
        <f>(F341-0.06)/7.115</f>
        <v>0.101991098617943</v>
      </c>
      <c r="H341">
        <f>(0.5-G341)*50</f>
        <v>19.9004450691028</v>
      </c>
      <c r="L341">
        <v>0.01</v>
      </c>
      <c r="M341">
        <v>0.24</v>
      </c>
      <c r="N341">
        <v>0.31</v>
      </c>
    </row>
    <row r="342" spans="2:14">
      <c r="B342" t="s">
        <v>93</v>
      </c>
      <c r="C342">
        <v>2.344</v>
      </c>
      <c r="D342">
        <v>2.446</v>
      </c>
      <c r="E342">
        <v>2.32</v>
      </c>
      <c r="F342">
        <f>AVERAGE(C342:E342)</f>
        <v>2.37</v>
      </c>
      <c r="G342">
        <f t="shared" ref="G342:G357" si="63">(F342-0.06)/7.115</f>
        <v>0.324666198172874</v>
      </c>
      <c r="H342">
        <f>(0.5-G342)*50</f>
        <v>8.76669009135629</v>
      </c>
      <c r="I342">
        <f>H341/H342</f>
        <v>2.27000668002672</v>
      </c>
      <c r="L342">
        <v>0.02</v>
      </c>
      <c r="M342">
        <v>0.81</v>
      </c>
      <c r="N342">
        <v>0.39</v>
      </c>
    </row>
    <row r="343" spans="12:14">
      <c r="L343">
        <v>0.05</v>
      </c>
      <c r="M343">
        <v>2.14</v>
      </c>
      <c r="N343">
        <v>0.28</v>
      </c>
    </row>
    <row r="344" spans="2:14">
      <c r="B344" t="s">
        <v>94</v>
      </c>
      <c r="C344">
        <v>0.239</v>
      </c>
      <c r="D344">
        <v>0.241</v>
      </c>
      <c r="E344">
        <v>0.238</v>
      </c>
      <c r="F344">
        <f>AVERAGE(C344:E344)</f>
        <v>0.239333333333333</v>
      </c>
      <c r="G344">
        <f t="shared" si="63"/>
        <v>0.0252049660342</v>
      </c>
      <c r="H344">
        <f>(0.25-G344)*50</f>
        <v>11.23975169829</v>
      </c>
      <c r="L344">
        <v>0.1</v>
      </c>
      <c r="M344">
        <v>4.39</v>
      </c>
      <c r="N344">
        <v>0.54</v>
      </c>
    </row>
    <row r="345" spans="2:14">
      <c r="B345" t="s">
        <v>95</v>
      </c>
      <c r="C345">
        <v>1.475</v>
      </c>
      <c r="D345">
        <v>1.449</v>
      </c>
      <c r="E345">
        <v>1.465</v>
      </c>
      <c r="F345">
        <f>AVERAGE(C345:E345)</f>
        <v>1.463</v>
      </c>
      <c r="G345">
        <f t="shared" si="63"/>
        <v>0.197189037245256</v>
      </c>
      <c r="H345">
        <f>(0.25-G345)*50</f>
        <v>2.64054813773718</v>
      </c>
      <c r="I345">
        <f>H344/H345</f>
        <v>4.25659791528055</v>
      </c>
      <c r="L345">
        <v>0.25</v>
      </c>
      <c r="M345">
        <v>11.24</v>
      </c>
      <c r="N345">
        <v>2.64</v>
      </c>
    </row>
    <row r="346" spans="12:14">
      <c r="L346">
        <v>0.5</v>
      </c>
      <c r="M346">
        <v>19.9</v>
      </c>
      <c r="N346">
        <v>8.76</v>
      </c>
    </row>
    <row r="347" spans="2:8">
      <c r="B347" t="s">
        <v>96</v>
      </c>
      <c r="C347">
        <v>0.15</v>
      </c>
      <c r="D347">
        <v>0.144</v>
      </c>
      <c r="E347">
        <v>0.148</v>
      </c>
      <c r="F347">
        <f>AVERAGE(C347:E347)</f>
        <v>0.147333333333333</v>
      </c>
      <c r="G347">
        <f t="shared" si="63"/>
        <v>0.0122745373623799</v>
      </c>
      <c r="H347">
        <f>(0.1-G347)*50</f>
        <v>4.386273131881</v>
      </c>
    </row>
    <row r="348" spans="2:9">
      <c r="B348" t="s">
        <v>97</v>
      </c>
      <c r="C348">
        <v>0.684</v>
      </c>
      <c r="D348">
        <v>0.693</v>
      </c>
      <c r="E348">
        <v>0.706</v>
      </c>
      <c r="F348">
        <f>AVERAGE(C348:E348)</f>
        <v>0.694333333333333</v>
      </c>
      <c r="G348">
        <f t="shared" si="63"/>
        <v>0.0891543687046147</v>
      </c>
      <c r="H348">
        <f>(0.1-G348)*50</f>
        <v>0.542281564769267</v>
      </c>
      <c r="I348">
        <f>H347/H348</f>
        <v>8.08855291576674</v>
      </c>
    </row>
    <row r="350" spans="2:8">
      <c r="B350" t="s">
        <v>98</v>
      </c>
      <c r="C350">
        <v>0.109</v>
      </c>
      <c r="D350">
        <v>0.111</v>
      </c>
      <c r="E350">
        <v>0.114</v>
      </c>
      <c r="F350">
        <f>AVERAGE(C350:E350)</f>
        <v>0.111333333333333</v>
      </c>
      <c r="G350">
        <f t="shared" si="63"/>
        <v>0.00721480440384165</v>
      </c>
      <c r="H350">
        <f>(0.05-G350)*50</f>
        <v>2.13925977980792</v>
      </c>
    </row>
    <row r="351" spans="2:9">
      <c r="B351" t="s">
        <v>99</v>
      </c>
      <c r="C351">
        <v>0.371</v>
      </c>
      <c r="D351">
        <v>0.374</v>
      </c>
      <c r="E351">
        <v>0.382</v>
      </c>
      <c r="F351">
        <f>AVERAGE(C351:E351)</f>
        <v>0.375666666666667</v>
      </c>
      <c r="G351">
        <f t="shared" si="63"/>
        <v>0.0443663621457016</v>
      </c>
      <c r="H351">
        <f>(0.05-G351)*50</f>
        <v>0.281681892714922</v>
      </c>
      <c r="I351">
        <f>H350/H351</f>
        <v>7.59459459459459</v>
      </c>
    </row>
    <row r="353" spans="2:8">
      <c r="B353" t="s">
        <v>100</v>
      </c>
      <c r="C353">
        <v>0.089</v>
      </c>
      <c r="D353">
        <v>0.087</v>
      </c>
      <c r="E353">
        <v>0.087</v>
      </c>
      <c r="F353">
        <f>AVERAGE(C353:E353)</f>
        <v>0.0876666666666667</v>
      </c>
      <c r="G353">
        <f t="shared" si="63"/>
        <v>0.00388849847739518</v>
      </c>
      <c r="H353">
        <f>(0.02-G353)*50</f>
        <v>0.805575076130241</v>
      </c>
    </row>
    <row r="354" spans="2:9">
      <c r="B354" t="s">
        <v>101</v>
      </c>
      <c r="C354">
        <v>0.144</v>
      </c>
      <c r="D354">
        <v>0.147</v>
      </c>
      <c r="E354">
        <v>0.147</v>
      </c>
      <c r="F354">
        <f>AVERAGE(C354:E354)</f>
        <v>0.146</v>
      </c>
      <c r="G354">
        <f t="shared" si="63"/>
        <v>0.012087139845397</v>
      </c>
      <c r="H354">
        <f>(0.02-G354)*50</f>
        <v>0.395643007730148</v>
      </c>
      <c r="I354">
        <f>H353/H354</f>
        <v>2.03611604499704</v>
      </c>
    </row>
    <row r="356" spans="2:8">
      <c r="B356" t="s">
        <v>102</v>
      </c>
      <c r="C356">
        <v>0.102</v>
      </c>
      <c r="D356">
        <v>0.091</v>
      </c>
      <c r="E356">
        <v>0.095</v>
      </c>
      <c r="F356">
        <f>AVERAGE(C356:E356)</f>
        <v>0.096</v>
      </c>
      <c r="G356">
        <f t="shared" si="63"/>
        <v>0.0050597329585383</v>
      </c>
      <c r="H356">
        <f>(0.01-G356)*50</f>
        <v>0.247013352073085</v>
      </c>
    </row>
    <row r="357" spans="2:9">
      <c r="B357" t="s">
        <v>103</v>
      </c>
      <c r="C357">
        <v>0.084</v>
      </c>
      <c r="D357">
        <v>0.086</v>
      </c>
      <c r="E357">
        <v>0.087</v>
      </c>
      <c r="F357">
        <f>AVERAGE(C357:E357)</f>
        <v>0.0856666666666667</v>
      </c>
      <c r="G357">
        <f t="shared" si="63"/>
        <v>0.00360740220192083</v>
      </c>
      <c r="H357">
        <f>(0.01-G357)*50</f>
        <v>0.319629889903959</v>
      </c>
      <c r="I357">
        <f>H356/H357</f>
        <v>0.772810553316233</v>
      </c>
    </row>
    <row r="361" spans="1:2">
      <c r="A361">
        <v>20220311</v>
      </c>
      <c r="B361" t="s">
        <v>86</v>
      </c>
    </row>
    <row r="362" spans="2:6">
      <c r="B362" t="s">
        <v>79</v>
      </c>
      <c r="C362" s="1" t="s">
        <v>1</v>
      </c>
      <c r="D362" s="1"/>
      <c r="E362" s="1"/>
      <c r="F362" s="1"/>
    </row>
    <row r="363" spans="2:6">
      <c r="B363">
        <v>0.5</v>
      </c>
      <c r="C363">
        <f>AVERAGE(D363:F363)</f>
        <v>2.25133333333333</v>
      </c>
      <c r="D363">
        <v>2.223</v>
      </c>
      <c r="E363">
        <v>2.275</v>
      </c>
      <c r="F363">
        <v>2.256</v>
      </c>
    </row>
    <row r="364" spans="2:6">
      <c r="B364">
        <v>0.25</v>
      </c>
      <c r="C364">
        <f>AVERAGE(D364:F364)</f>
        <v>1.46866666666667</v>
      </c>
      <c r="D364">
        <v>1.471</v>
      </c>
      <c r="E364">
        <v>1.465</v>
      </c>
      <c r="F364">
        <v>1.47</v>
      </c>
    </row>
    <row r="365" spans="2:6">
      <c r="B365">
        <v>0.1</v>
      </c>
      <c r="C365">
        <f t="shared" ref="C365:C368" si="64">AVERAGE(D365:F365)</f>
        <v>0.808666666666667</v>
      </c>
      <c r="D365">
        <v>0.803</v>
      </c>
      <c r="E365">
        <v>0.811</v>
      </c>
      <c r="F365">
        <v>0.812</v>
      </c>
    </row>
    <row r="366" spans="2:6">
      <c r="B366">
        <v>0.05</v>
      </c>
      <c r="C366">
        <f t="shared" si="64"/>
        <v>0.420333333333333</v>
      </c>
      <c r="D366">
        <v>0.416</v>
      </c>
      <c r="E366">
        <v>0.421</v>
      </c>
      <c r="F366">
        <v>0.424</v>
      </c>
    </row>
    <row r="367" spans="2:6">
      <c r="B367">
        <v>0.02</v>
      </c>
      <c r="C367">
        <f t="shared" si="64"/>
        <v>0.19</v>
      </c>
      <c r="D367">
        <v>0.193</v>
      </c>
      <c r="E367">
        <v>0.189</v>
      </c>
      <c r="F367">
        <v>0.188</v>
      </c>
    </row>
    <row r="368" spans="2:6">
      <c r="B368">
        <v>0.01</v>
      </c>
      <c r="C368">
        <f t="shared" si="64"/>
        <v>0.114333333333333</v>
      </c>
      <c r="D368">
        <v>0.119</v>
      </c>
      <c r="E368">
        <v>0.117</v>
      </c>
      <c r="F368">
        <v>0.107</v>
      </c>
    </row>
    <row r="388" spans="1:9">
      <c r="A388">
        <v>20220311</v>
      </c>
      <c r="B388" s="1" t="s">
        <v>104</v>
      </c>
      <c r="C388" s="1"/>
      <c r="D388" s="1"/>
      <c r="E388" s="1"/>
      <c r="F388" s="1"/>
      <c r="G388" s="1"/>
      <c r="H388" s="1"/>
      <c r="I388" s="1"/>
    </row>
    <row r="389" spans="2:9">
      <c r="B389" s="1" t="s">
        <v>18</v>
      </c>
      <c r="C389" t="s">
        <v>21</v>
      </c>
      <c r="D389" t="s">
        <v>21</v>
      </c>
      <c r="E389" t="s">
        <v>21</v>
      </c>
      <c r="F389" t="s">
        <v>22</v>
      </c>
      <c r="G389" t="s">
        <v>23</v>
      </c>
      <c r="H389" t="s">
        <v>24</v>
      </c>
      <c r="I389" s="1" t="s">
        <v>25</v>
      </c>
    </row>
    <row r="390" spans="2:8">
      <c r="B390" t="s">
        <v>92</v>
      </c>
      <c r="C390">
        <v>0.51</v>
      </c>
      <c r="D390">
        <v>0.517</v>
      </c>
      <c r="E390">
        <v>0.52</v>
      </c>
      <c r="F390">
        <f>AVERAGE(C390:E390)</f>
        <v>0.515666666666667</v>
      </c>
      <c r="G390">
        <f>(F390-0.118)/5.602</f>
        <v>0.0709865524217541</v>
      </c>
      <c r="H390">
        <f>(0.5-G390)*50</f>
        <v>21.4506723789123</v>
      </c>
    </row>
    <row r="391" spans="2:9">
      <c r="B391" t="s">
        <v>93</v>
      </c>
      <c r="C391">
        <v>1.873</v>
      </c>
      <c r="D391">
        <v>1.859</v>
      </c>
      <c r="E391">
        <v>1.868</v>
      </c>
      <c r="F391">
        <f>AVERAGE(C391:E391)</f>
        <v>1.86666666666667</v>
      </c>
      <c r="G391">
        <f t="shared" ref="G391:G394" si="65">(F391-0.118)/5.602</f>
        <v>0.312150422468166</v>
      </c>
      <c r="H391">
        <f>(0.5-G391)*50</f>
        <v>9.39247887659169</v>
      </c>
      <c r="I391">
        <f>H390/H391</f>
        <v>2.28381374722838</v>
      </c>
    </row>
    <row r="392" spans="12:14">
      <c r="L392" t="s">
        <v>105</v>
      </c>
      <c r="M392" t="s">
        <v>90</v>
      </c>
      <c r="N392" t="s">
        <v>91</v>
      </c>
    </row>
    <row r="393" spans="2:14">
      <c r="B393" t="s">
        <v>94</v>
      </c>
      <c r="C393">
        <v>0.206</v>
      </c>
      <c r="D393">
        <v>0.206</v>
      </c>
      <c r="E393">
        <v>0.204</v>
      </c>
      <c r="F393">
        <f>AVERAGE(C393:E393)</f>
        <v>0.205333333333333</v>
      </c>
      <c r="G393">
        <f t="shared" si="65"/>
        <v>0.0155896703558253</v>
      </c>
      <c r="H393">
        <f>(0.25-G393)*50</f>
        <v>11.7205164822087</v>
      </c>
      <c r="L393">
        <v>0.01</v>
      </c>
      <c r="M393">
        <v>0.105</v>
      </c>
      <c r="N393">
        <v>0.171</v>
      </c>
    </row>
    <row r="394" spans="2:14">
      <c r="B394" t="s">
        <v>95</v>
      </c>
      <c r="C394">
        <v>1.475</v>
      </c>
      <c r="D394">
        <v>1.449</v>
      </c>
      <c r="E394">
        <v>1.465</v>
      </c>
      <c r="F394">
        <f>AVERAGE(C394:E394)</f>
        <v>1.463</v>
      </c>
      <c r="G394">
        <f t="shared" si="65"/>
        <v>0.240092823991432</v>
      </c>
      <c r="H394">
        <f>(0.25-G394)*50</f>
        <v>0.495358800428418</v>
      </c>
      <c r="I394">
        <f>H393/H394</f>
        <v>23.6606606606607</v>
      </c>
      <c r="L394">
        <v>0.02</v>
      </c>
      <c r="M394">
        <v>0.66</v>
      </c>
      <c r="N394">
        <v>0.28</v>
      </c>
    </row>
    <row r="395" spans="12:14">
      <c r="L395">
        <v>0.05</v>
      </c>
      <c r="M395">
        <v>2.01</v>
      </c>
      <c r="N395">
        <v>0.29</v>
      </c>
    </row>
    <row r="396" spans="2:14">
      <c r="B396" t="s">
        <v>96</v>
      </c>
      <c r="C396">
        <v>0.15</v>
      </c>
      <c r="D396">
        <v>0.144</v>
      </c>
      <c r="E396">
        <v>0.148</v>
      </c>
      <c r="F396">
        <f>AVERAGE(C396:E396)</f>
        <v>0.147333333333333</v>
      </c>
      <c r="G396">
        <f>(F396-0.035)/7.719</f>
        <v>0.0145528349958976</v>
      </c>
      <c r="H396">
        <f>(0.1-G396)*50</f>
        <v>4.27235825020512</v>
      </c>
      <c r="L396">
        <v>0.1</v>
      </c>
      <c r="M396">
        <v>4.27</v>
      </c>
      <c r="N396">
        <v>0.72</v>
      </c>
    </row>
    <row r="397" spans="2:14">
      <c r="B397" t="s">
        <v>97</v>
      </c>
      <c r="C397">
        <v>0.684</v>
      </c>
      <c r="D397">
        <v>0.693</v>
      </c>
      <c r="E397">
        <v>0.706</v>
      </c>
      <c r="F397">
        <f>AVERAGE(C397:E397)</f>
        <v>0.694333333333333</v>
      </c>
      <c r="G397">
        <f t="shared" ref="G397:G406" si="66">(F397-0.035)/7.719</f>
        <v>0.0854169365634581</v>
      </c>
      <c r="H397">
        <f>(0.1-G397)*50</f>
        <v>0.729153171827094</v>
      </c>
      <c r="I397">
        <f>H396/H397</f>
        <v>5.8593426117856</v>
      </c>
      <c r="L397">
        <v>0.25</v>
      </c>
      <c r="M397">
        <v>11.72</v>
      </c>
      <c r="N397">
        <v>0.49</v>
      </c>
    </row>
    <row r="398" spans="12:14">
      <c r="L398">
        <v>0.5</v>
      </c>
      <c r="M398">
        <v>21.45</v>
      </c>
      <c r="N398">
        <v>9.39</v>
      </c>
    </row>
    <row r="399" spans="2:8">
      <c r="B399" t="s">
        <v>98</v>
      </c>
      <c r="C399">
        <v>0.109</v>
      </c>
      <c r="D399">
        <v>0.111</v>
      </c>
      <c r="E399">
        <v>0.114</v>
      </c>
      <c r="F399">
        <f>AVERAGE(C399:E399)</f>
        <v>0.111333333333333</v>
      </c>
      <c r="G399">
        <f t="shared" si="66"/>
        <v>0.00988901843934879</v>
      </c>
      <c r="H399">
        <f>(0.05-G399)*50</f>
        <v>2.00554907803256</v>
      </c>
    </row>
    <row r="400" spans="2:9">
      <c r="B400" t="s">
        <v>99</v>
      </c>
      <c r="C400">
        <v>0.371</v>
      </c>
      <c r="D400">
        <v>0.374</v>
      </c>
      <c r="E400">
        <v>0.382</v>
      </c>
      <c r="F400">
        <f>AVERAGE(C400:E400)</f>
        <v>0.375666666666667</v>
      </c>
      <c r="G400">
        <f t="shared" si="66"/>
        <v>0.0441335233406745</v>
      </c>
      <c r="H400">
        <f>(0.05-G400)*50</f>
        <v>0.293323832966274</v>
      </c>
      <c r="I400">
        <f>H399/H400</f>
        <v>6.83732057416267</v>
      </c>
    </row>
    <row r="402" spans="2:8">
      <c r="B402" t="s">
        <v>100</v>
      </c>
      <c r="C402">
        <v>0.089</v>
      </c>
      <c r="D402">
        <v>0.087</v>
      </c>
      <c r="E402">
        <v>0.087</v>
      </c>
      <c r="F402">
        <f>AVERAGE(C402:E402)</f>
        <v>0.0876666666666667</v>
      </c>
      <c r="G402">
        <f t="shared" si="66"/>
        <v>0.00682299088828432</v>
      </c>
      <c r="H402">
        <f>(0.02-G402)*50</f>
        <v>0.658850455585784</v>
      </c>
    </row>
    <row r="403" spans="2:9">
      <c r="B403" t="s">
        <v>101</v>
      </c>
      <c r="C403">
        <v>0.144</v>
      </c>
      <c r="D403">
        <v>0.147</v>
      </c>
      <c r="E403">
        <v>0.147</v>
      </c>
      <c r="F403">
        <f>AVERAGE(C403:E403)</f>
        <v>0.146</v>
      </c>
      <c r="G403">
        <f t="shared" si="66"/>
        <v>0.0143801010493587</v>
      </c>
      <c r="H403">
        <f>(0.02-G403)*50</f>
        <v>0.280994947532064</v>
      </c>
      <c r="I403">
        <f>H402/H403</f>
        <v>2.34470570155217</v>
      </c>
    </row>
    <row r="405" spans="2:8">
      <c r="B405" t="s">
        <v>102</v>
      </c>
      <c r="C405">
        <v>0.102</v>
      </c>
      <c r="D405">
        <v>0.091</v>
      </c>
      <c r="E405">
        <v>0.095</v>
      </c>
      <c r="F405">
        <f>AVERAGE(C405:E405)</f>
        <v>0.096</v>
      </c>
      <c r="G405">
        <f t="shared" si="66"/>
        <v>0.00790257805415209</v>
      </c>
      <c r="H405">
        <f>(0.01-G405)*50</f>
        <v>0.104871097292395</v>
      </c>
    </row>
    <row r="406" spans="2:9">
      <c r="B406" t="s">
        <v>103</v>
      </c>
      <c r="C406">
        <v>0.084</v>
      </c>
      <c r="D406">
        <v>0.086</v>
      </c>
      <c r="E406">
        <v>0.087</v>
      </c>
      <c r="F406">
        <f>AVERAGE(C406:E406)</f>
        <v>0.0856666666666667</v>
      </c>
      <c r="G406">
        <f t="shared" si="66"/>
        <v>0.00656388996847605</v>
      </c>
      <c r="H406">
        <f>(0.01-G406)*50</f>
        <v>0.171805501576197</v>
      </c>
      <c r="I406">
        <f>H405/H406</f>
        <v>0.610405931883876</v>
      </c>
    </row>
    <row r="422" spans="1:9">
      <c r="A422">
        <v>20220312</v>
      </c>
      <c r="B422" s="1" t="s">
        <v>106</v>
      </c>
      <c r="C422" s="1"/>
      <c r="D422" s="1"/>
      <c r="E422" s="1"/>
      <c r="F422" s="1"/>
      <c r="G422" s="1"/>
      <c r="H422" s="1"/>
      <c r="I422" s="1"/>
    </row>
    <row r="423" spans="1:9">
      <c r="A423" t="s">
        <v>88</v>
      </c>
      <c r="B423" s="1" t="s">
        <v>18</v>
      </c>
      <c r="C423" t="s">
        <v>21</v>
      </c>
      <c r="D423" t="s">
        <v>21</v>
      </c>
      <c r="E423" t="s">
        <v>21</v>
      </c>
      <c r="F423" t="s">
        <v>22</v>
      </c>
      <c r="G423" t="s">
        <v>23</v>
      </c>
      <c r="H423" t="s">
        <v>24</v>
      </c>
      <c r="I423" s="1"/>
    </row>
    <row r="424" spans="1:8">
      <c r="A424" t="s">
        <v>107</v>
      </c>
      <c r="B424" t="s">
        <v>108</v>
      </c>
      <c r="C424">
        <v>1.801</v>
      </c>
      <c r="D424">
        <v>1.798</v>
      </c>
      <c r="E424">
        <v>1.802</v>
      </c>
      <c r="F424">
        <f>AVERAGE(C424:E424)</f>
        <v>1.80033333333333</v>
      </c>
      <c r="G424">
        <f>(F424-0.06)/7.115*10</f>
        <v>2.4460060904193</v>
      </c>
      <c r="H424">
        <f>(2.5-G424)*20</f>
        <v>1.07987819161396</v>
      </c>
    </row>
    <row r="425" spans="1:8">
      <c r="A425" t="s">
        <v>109</v>
      </c>
      <c r="B425" t="s">
        <v>108</v>
      </c>
      <c r="C425">
        <v>1.598</v>
      </c>
      <c r="D425">
        <v>1.632</v>
      </c>
      <c r="E425">
        <v>1.646</v>
      </c>
      <c r="F425">
        <f t="shared" ref="F425:F438" si="67">AVERAGE(C425:E425)</f>
        <v>1.62533333333333</v>
      </c>
      <c r="G425">
        <f t="shared" ref="G425:G438" si="68">(F425-0.06)/7.115*10</f>
        <v>2.20004684937924</v>
      </c>
      <c r="H425">
        <f t="shared" ref="H425:H438" si="69">(2.5-G425)*20</f>
        <v>5.9990630124151</v>
      </c>
    </row>
    <row r="426" spans="1:8">
      <c r="A426" t="s">
        <v>110</v>
      </c>
      <c r="B426" t="s">
        <v>108</v>
      </c>
      <c r="C426">
        <v>1.566</v>
      </c>
      <c r="D426">
        <v>1.544</v>
      </c>
      <c r="E426">
        <v>1.537</v>
      </c>
      <c r="F426">
        <f t="shared" si="67"/>
        <v>1.549</v>
      </c>
      <c r="G426">
        <f t="shared" si="68"/>
        <v>2.09276177090654</v>
      </c>
      <c r="H426">
        <f t="shared" si="69"/>
        <v>8.14476458186929</v>
      </c>
    </row>
    <row r="427" spans="1:8">
      <c r="A427" t="s">
        <v>111</v>
      </c>
      <c r="B427" t="s">
        <v>108</v>
      </c>
      <c r="C427">
        <v>1.547</v>
      </c>
      <c r="D427">
        <v>1.544</v>
      </c>
      <c r="E427">
        <v>1.537</v>
      </c>
      <c r="F427">
        <f t="shared" si="67"/>
        <v>1.54266666666667</v>
      </c>
      <c r="G427">
        <f t="shared" si="68"/>
        <v>2.08386038884985</v>
      </c>
      <c r="H427">
        <f t="shared" si="69"/>
        <v>8.32279222300305</v>
      </c>
    </row>
    <row r="428" spans="1:8">
      <c r="A428" t="s">
        <v>112</v>
      </c>
      <c r="B428" t="s">
        <v>108</v>
      </c>
      <c r="C428">
        <v>1.549</v>
      </c>
      <c r="D428">
        <v>1.56</v>
      </c>
      <c r="E428">
        <v>1.551</v>
      </c>
      <c r="F428">
        <f t="shared" si="67"/>
        <v>1.55333333333333</v>
      </c>
      <c r="G428">
        <f t="shared" si="68"/>
        <v>2.09885219020848</v>
      </c>
      <c r="H428">
        <f t="shared" si="69"/>
        <v>8.02295619583041</v>
      </c>
    </row>
    <row r="429" spans="1:8">
      <c r="A429" t="s">
        <v>113</v>
      </c>
      <c r="B429" t="s">
        <v>108</v>
      </c>
      <c r="C429">
        <v>1.53</v>
      </c>
      <c r="D429">
        <v>1.561</v>
      </c>
      <c r="E429">
        <v>1.551</v>
      </c>
      <c r="F429">
        <f t="shared" si="67"/>
        <v>1.54733333333333</v>
      </c>
      <c r="G429">
        <f t="shared" si="68"/>
        <v>2.09041930194425</v>
      </c>
      <c r="H429">
        <f t="shared" si="69"/>
        <v>8.19161396111501</v>
      </c>
    </row>
    <row r="430" spans="1:8">
      <c r="A430" t="s">
        <v>114</v>
      </c>
      <c r="B430" t="s">
        <v>108</v>
      </c>
      <c r="C430">
        <v>1.519</v>
      </c>
      <c r="D430">
        <v>1.51</v>
      </c>
      <c r="E430">
        <v>1.513</v>
      </c>
      <c r="F430">
        <f t="shared" si="67"/>
        <v>1.514</v>
      </c>
      <c r="G430">
        <f t="shared" si="68"/>
        <v>2.04356992269852</v>
      </c>
      <c r="H430">
        <f t="shared" si="69"/>
        <v>9.12860154602952</v>
      </c>
    </row>
    <row r="431" spans="1:8">
      <c r="A431" t="s">
        <v>115</v>
      </c>
      <c r="B431" t="s">
        <v>108</v>
      </c>
      <c r="C431">
        <v>1.5</v>
      </c>
      <c r="D431">
        <v>1.471</v>
      </c>
      <c r="E431">
        <v>1.491</v>
      </c>
      <c r="F431">
        <f t="shared" si="67"/>
        <v>1.48733333333333</v>
      </c>
      <c r="G431">
        <f t="shared" si="68"/>
        <v>2.00609041930194</v>
      </c>
      <c r="H431">
        <f t="shared" si="69"/>
        <v>9.87819161396112</v>
      </c>
    </row>
    <row r="432" spans="1:8">
      <c r="A432" t="s">
        <v>116</v>
      </c>
      <c r="B432" t="s">
        <v>108</v>
      </c>
      <c r="C432">
        <v>1.448</v>
      </c>
      <c r="D432">
        <v>1.45</v>
      </c>
      <c r="E432">
        <v>1.461</v>
      </c>
      <c r="F432">
        <f t="shared" si="67"/>
        <v>1.453</v>
      </c>
      <c r="G432">
        <f t="shared" si="68"/>
        <v>1.95783555867885</v>
      </c>
      <c r="H432">
        <f t="shared" si="69"/>
        <v>10.8432888264231</v>
      </c>
    </row>
    <row r="433" spans="1:8">
      <c r="A433" t="s">
        <v>117</v>
      </c>
      <c r="B433" t="s">
        <v>108</v>
      </c>
      <c r="C433">
        <v>1.389</v>
      </c>
      <c r="D433">
        <v>1.393</v>
      </c>
      <c r="E433">
        <v>1.397</v>
      </c>
      <c r="F433">
        <f t="shared" si="67"/>
        <v>1.393</v>
      </c>
      <c r="G433">
        <f t="shared" si="68"/>
        <v>1.87350667603654</v>
      </c>
      <c r="H433">
        <f t="shared" si="69"/>
        <v>12.5298664792692</v>
      </c>
    </row>
    <row r="434" spans="1:8">
      <c r="A434" t="s">
        <v>118</v>
      </c>
      <c r="B434" t="s">
        <v>108</v>
      </c>
      <c r="C434">
        <v>1.352</v>
      </c>
      <c r="D434">
        <v>1.358</v>
      </c>
      <c r="E434">
        <v>1.377</v>
      </c>
      <c r="F434">
        <f t="shared" si="67"/>
        <v>1.36233333333333</v>
      </c>
      <c r="G434">
        <f t="shared" si="68"/>
        <v>1.83040524713048</v>
      </c>
      <c r="H434">
        <f t="shared" si="69"/>
        <v>13.3918950573905</v>
      </c>
    </row>
    <row r="435" spans="1:8">
      <c r="A435" t="s">
        <v>119</v>
      </c>
      <c r="B435" t="s">
        <v>108</v>
      </c>
      <c r="C435">
        <v>1.306</v>
      </c>
      <c r="D435">
        <v>1.284</v>
      </c>
      <c r="E435">
        <v>1.315</v>
      </c>
      <c r="F435">
        <f t="shared" si="67"/>
        <v>1.30166666666667</v>
      </c>
      <c r="G435">
        <f t="shared" si="68"/>
        <v>1.74513937690326</v>
      </c>
      <c r="H435">
        <f t="shared" si="69"/>
        <v>15.0972124619349</v>
      </c>
    </row>
    <row r="436" spans="1:8">
      <c r="A436" t="s">
        <v>120</v>
      </c>
      <c r="B436" t="s">
        <v>108</v>
      </c>
      <c r="C436">
        <v>1.254</v>
      </c>
      <c r="D436">
        <v>1.253</v>
      </c>
      <c r="E436">
        <v>1.239</v>
      </c>
      <c r="F436">
        <f t="shared" si="67"/>
        <v>1.24866666666667</v>
      </c>
      <c r="G436">
        <f t="shared" si="68"/>
        <v>1.67064886390255</v>
      </c>
      <c r="H436">
        <f t="shared" si="69"/>
        <v>16.5870227219489</v>
      </c>
    </row>
    <row r="437" spans="1:8">
      <c r="A437" t="s">
        <v>121</v>
      </c>
      <c r="B437" t="s">
        <v>108</v>
      </c>
      <c r="C437">
        <v>1.204</v>
      </c>
      <c r="D437">
        <v>1.213</v>
      </c>
      <c r="E437">
        <v>1.228</v>
      </c>
      <c r="F437">
        <f t="shared" si="67"/>
        <v>1.215</v>
      </c>
      <c r="G437">
        <f t="shared" si="68"/>
        <v>1.62333099086437</v>
      </c>
      <c r="H437">
        <f t="shared" si="69"/>
        <v>17.5333801827126</v>
      </c>
    </row>
    <row r="438" spans="1:8">
      <c r="A438" t="s">
        <v>122</v>
      </c>
      <c r="B438" t="s">
        <v>108</v>
      </c>
      <c r="C438">
        <v>1.013</v>
      </c>
      <c r="D438">
        <v>1.015</v>
      </c>
      <c r="E438">
        <v>1.01</v>
      </c>
      <c r="F438">
        <f t="shared" si="67"/>
        <v>1.01266666666667</v>
      </c>
      <c r="G438">
        <f t="shared" si="68"/>
        <v>1.33895525884282</v>
      </c>
      <c r="H438">
        <f t="shared" si="69"/>
        <v>23.2208948231436</v>
      </c>
    </row>
    <row r="441" spans="1:9">
      <c r="A441">
        <v>20220312</v>
      </c>
      <c r="B441" s="1" t="s">
        <v>106</v>
      </c>
      <c r="C441" s="1"/>
      <c r="D441" s="1"/>
      <c r="E441" s="1"/>
      <c r="F441" s="1"/>
      <c r="G441" s="1"/>
      <c r="H441" s="1"/>
      <c r="I441" s="1"/>
    </row>
    <row r="442" spans="1:9">
      <c r="A442" t="s">
        <v>88</v>
      </c>
      <c r="B442" s="1" t="s">
        <v>18</v>
      </c>
      <c r="C442" t="s">
        <v>21</v>
      </c>
      <c r="D442" t="s">
        <v>21</v>
      </c>
      <c r="E442" t="s">
        <v>21</v>
      </c>
      <c r="F442" t="s">
        <v>22</v>
      </c>
      <c r="G442" t="s">
        <v>23</v>
      </c>
      <c r="H442" t="s">
        <v>24</v>
      </c>
      <c r="I442" s="1"/>
    </row>
    <row r="443" spans="1:8">
      <c r="A443" t="s">
        <v>107</v>
      </c>
      <c r="B443" t="s">
        <v>123</v>
      </c>
      <c r="C443">
        <v>1.801</v>
      </c>
      <c r="D443">
        <v>1.799</v>
      </c>
      <c r="E443">
        <v>1.803</v>
      </c>
      <c r="F443">
        <f>AVERAGE(C443:E443)</f>
        <v>1.801</v>
      </c>
      <c r="G443">
        <f>(F443-0.06)/7.115*10</f>
        <v>2.44694307800422</v>
      </c>
      <c r="H443">
        <f>(2.5-G443)*20</f>
        <v>1.06113843991568</v>
      </c>
    </row>
    <row r="444" spans="1:8">
      <c r="A444" t="s">
        <v>109</v>
      </c>
      <c r="B444" t="s">
        <v>123</v>
      </c>
      <c r="C444">
        <v>1.73</v>
      </c>
      <c r="D444">
        <v>1.76</v>
      </c>
      <c r="E444">
        <v>1.759</v>
      </c>
      <c r="F444">
        <f t="shared" ref="F444:F457" si="70">AVERAGE(C444:E444)</f>
        <v>1.74966666666667</v>
      </c>
      <c r="G444">
        <f t="shared" ref="G444:G457" si="71">(F444-0.06)/7.115*10</f>
        <v>2.3747950339658</v>
      </c>
      <c r="H444">
        <f t="shared" ref="H444:H457" si="72">(2.5-G444)*20</f>
        <v>2.504099320684</v>
      </c>
    </row>
    <row r="445" spans="1:8">
      <c r="A445" t="s">
        <v>110</v>
      </c>
      <c r="B445" t="s">
        <v>123</v>
      </c>
      <c r="C445">
        <v>1.77</v>
      </c>
      <c r="D445">
        <v>1.795</v>
      </c>
      <c r="E445">
        <v>1.772</v>
      </c>
      <c r="F445">
        <f t="shared" si="70"/>
        <v>1.779</v>
      </c>
      <c r="G445">
        <f t="shared" si="71"/>
        <v>2.41602248770204</v>
      </c>
      <c r="H445">
        <f t="shared" si="72"/>
        <v>1.67955024595924</v>
      </c>
    </row>
    <row r="446" spans="1:8">
      <c r="A446" t="s">
        <v>111</v>
      </c>
      <c r="B446" t="s">
        <v>123</v>
      </c>
      <c r="C446">
        <v>1.769</v>
      </c>
      <c r="D446">
        <v>1.795</v>
      </c>
      <c r="E446">
        <v>1.78</v>
      </c>
      <c r="F446">
        <f t="shared" si="70"/>
        <v>1.78133333333333</v>
      </c>
      <c r="G446">
        <f t="shared" si="71"/>
        <v>2.41930194424924</v>
      </c>
      <c r="H446">
        <f t="shared" si="72"/>
        <v>1.61396111501523</v>
      </c>
    </row>
    <row r="447" spans="1:8">
      <c r="A447" t="s">
        <v>112</v>
      </c>
      <c r="B447" t="s">
        <v>123</v>
      </c>
      <c r="C447">
        <v>1.777</v>
      </c>
      <c r="D447">
        <v>1.791</v>
      </c>
      <c r="E447">
        <v>1.765</v>
      </c>
      <c r="F447">
        <f t="shared" si="70"/>
        <v>1.77766666666667</v>
      </c>
      <c r="G447">
        <f t="shared" si="71"/>
        <v>2.41414851253221</v>
      </c>
      <c r="H447">
        <f t="shared" si="72"/>
        <v>1.71702974935583</v>
      </c>
    </row>
    <row r="448" spans="1:8">
      <c r="A448" t="s">
        <v>113</v>
      </c>
      <c r="B448" t="s">
        <v>123</v>
      </c>
      <c r="C448">
        <v>1.773</v>
      </c>
      <c r="D448">
        <v>1.77</v>
      </c>
      <c r="E448">
        <v>1.775</v>
      </c>
      <c r="F448">
        <f t="shared" si="70"/>
        <v>1.77266666666667</v>
      </c>
      <c r="G448">
        <f t="shared" si="71"/>
        <v>2.40712110564535</v>
      </c>
      <c r="H448">
        <f t="shared" si="72"/>
        <v>1.85757788709299</v>
      </c>
    </row>
    <row r="449" spans="1:8">
      <c r="A449" t="s">
        <v>114</v>
      </c>
      <c r="B449" t="s">
        <v>123</v>
      </c>
      <c r="C449">
        <v>1.773</v>
      </c>
      <c r="D449">
        <v>1.752</v>
      </c>
      <c r="E449">
        <v>1.761</v>
      </c>
      <c r="F449">
        <f t="shared" si="70"/>
        <v>1.762</v>
      </c>
      <c r="G449">
        <f t="shared" si="71"/>
        <v>2.39212930428672</v>
      </c>
      <c r="H449">
        <f t="shared" si="72"/>
        <v>2.15741391426564</v>
      </c>
    </row>
    <row r="450" spans="1:8">
      <c r="A450" t="s">
        <v>115</v>
      </c>
      <c r="B450" t="s">
        <v>123</v>
      </c>
      <c r="C450">
        <v>1.813</v>
      </c>
      <c r="D450">
        <v>1.777</v>
      </c>
      <c r="E450">
        <v>1.782</v>
      </c>
      <c r="F450">
        <f t="shared" si="70"/>
        <v>1.79066666666667</v>
      </c>
      <c r="G450">
        <f t="shared" si="71"/>
        <v>2.43241977043804</v>
      </c>
      <c r="H450">
        <f t="shared" si="72"/>
        <v>1.35160459123917</v>
      </c>
    </row>
    <row r="451" spans="1:8">
      <c r="A451" t="s">
        <v>116</v>
      </c>
      <c r="B451" t="s">
        <v>123</v>
      </c>
      <c r="C451">
        <v>1.765</v>
      </c>
      <c r="D451">
        <v>1.782</v>
      </c>
      <c r="E451">
        <v>1.785</v>
      </c>
      <c r="F451">
        <f t="shared" si="70"/>
        <v>1.77733333333333</v>
      </c>
      <c r="G451">
        <f t="shared" si="71"/>
        <v>2.41368001873975</v>
      </c>
      <c r="H451">
        <f t="shared" si="72"/>
        <v>1.72639962520497</v>
      </c>
    </row>
    <row r="452" spans="1:8">
      <c r="A452" t="s">
        <v>117</v>
      </c>
      <c r="B452" t="s">
        <v>123</v>
      </c>
      <c r="C452">
        <v>1.759</v>
      </c>
      <c r="D452">
        <v>1.787</v>
      </c>
      <c r="E452">
        <v>1.765</v>
      </c>
      <c r="F452">
        <f t="shared" si="70"/>
        <v>1.77033333333333</v>
      </c>
      <c r="G452">
        <f t="shared" si="71"/>
        <v>2.40384164909815</v>
      </c>
      <c r="H452">
        <f t="shared" si="72"/>
        <v>1.92316701803701</v>
      </c>
    </row>
    <row r="453" spans="1:8">
      <c r="A453" t="s">
        <v>118</v>
      </c>
      <c r="B453" t="s">
        <v>123</v>
      </c>
      <c r="C453">
        <v>1.768</v>
      </c>
      <c r="D453">
        <v>1.754</v>
      </c>
      <c r="E453">
        <v>1.762</v>
      </c>
      <c r="F453">
        <f t="shared" si="70"/>
        <v>1.76133333333333</v>
      </c>
      <c r="G453">
        <f t="shared" si="71"/>
        <v>2.3911923167018</v>
      </c>
      <c r="H453">
        <f t="shared" si="72"/>
        <v>2.17615366596392</v>
      </c>
    </row>
    <row r="454" spans="1:8">
      <c r="A454" t="s">
        <v>119</v>
      </c>
      <c r="B454" t="s">
        <v>123</v>
      </c>
      <c r="C454">
        <v>1.76</v>
      </c>
      <c r="D454">
        <v>1.759</v>
      </c>
      <c r="E454">
        <v>1.77</v>
      </c>
      <c r="F454">
        <f t="shared" si="70"/>
        <v>1.763</v>
      </c>
      <c r="G454">
        <f t="shared" si="71"/>
        <v>2.39353478566409</v>
      </c>
      <c r="H454">
        <f t="shared" si="72"/>
        <v>2.12930428671821</v>
      </c>
    </row>
    <row r="455" spans="1:8">
      <c r="A455" t="s">
        <v>120</v>
      </c>
      <c r="B455" t="s">
        <v>123</v>
      </c>
      <c r="C455">
        <v>1.761</v>
      </c>
      <c r="D455">
        <v>1.741</v>
      </c>
      <c r="E455">
        <v>1.738</v>
      </c>
      <c r="F455">
        <f t="shared" si="70"/>
        <v>1.74666666666667</v>
      </c>
      <c r="G455">
        <f t="shared" si="71"/>
        <v>2.37057858983368</v>
      </c>
      <c r="H455">
        <f t="shared" si="72"/>
        <v>2.58842820332631</v>
      </c>
    </row>
    <row r="456" spans="1:8">
      <c r="A456" t="s">
        <v>121</v>
      </c>
      <c r="B456" t="s">
        <v>123</v>
      </c>
      <c r="C456">
        <v>1.758</v>
      </c>
      <c r="D456">
        <v>1.776</v>
      </c>
      <c r="E456">
        <v>1.754</v>
      </c>
      <c r="F456">
        <f t="shared" si="70"/>
        <v>1.76266666666667</v>
      </c>
      <c r="G456">
        <f t="shared" si="71"/>
        <v>2.39306629187163</v>
      </c>
      <c r="H456">
        <f t="shared" si="72"/>
        <v>2.13867416256734</v>
      </c>
    </row>
    <row r="457" spans="1:8">
      <c r="A457" t="s">
        <v>122</v>
      </c>
      <c r="B457" t="s">
        <v>108</v>
      </c>
      <c r="C457">
        <v>1.67</v>
      </c>
      <c r="D457">
        <v>1.679</v>
      </c>
      <c r="E457">
        <v>1.7</v>
      </c>
      <c r="F457">
        <f t="shared" si="70"/>
        <v>1.683</v>
      </c>
      <c r="G457">
        <f t="shared" si="71"/>
        <v>2.28109627547435</v>
      </c>
      <c r="H457">
        <f t="shared" si="72"/>
        <v>4.378074490513</v>
      </c>
    </row>
    <row r="459" spans="1:3">
      <c r="A459" t="s">
        <v>124</v>
      </c>
      <c r="B459" t="s">
        <v>58</v>
      </c>
      <c r="C459" t="s">
        <v>59</v>
      </c>
    </row>
    <row r="460" spans="1:3">
      <c r="A460">
        <v>0</v>
      </c>
      <c r="B460">
        <v>1.07</v>
      </c>
      <c r="C460">
        <v>1.06</v>
      </c>
    </row>
    <row r="461" spans="1:3">
      <c r="A461">
        <v>5</v>
      </c>
      <c r="B461">
        <v>5.99</v>
      </c>
      <c r="C461">
        <v>2.5</v>
      </c>
    </row>
    <row r="462" spans="1:3">
      <c r="A462">
        <v>10</v>
      </c>
      <c r="B462">
        <v>8.14</v>
      </c>
      <c r="C462">
        <v>1.68</v>
      </c>
    </row>
    <row r="463" spans="1:3">
      <c r="A463">
        <v>20</v>
      </c>
      <c r="B463">
        <v>8.32</v>
      </c>
      <c r="C463">
        <v>1.61</v>
      </c>
    </row>
    <row r="464" spans="1:3">
      <c r="A464">
        <v>30</v>
      </c>
      <c r="B464">
        <v>8.02</v>
      </c>
      <c r="C464">
        <v>1.72</v>
      </c>
    </row>
    <row r="465" spans="1:3">
      <c r="A465">
        <v>40</v>
      </c>
      <c r="B465">
        <v>8.19</v>
      </c>
      <c r="C465">
        <v>1.85</v>
      </c>
    </row>
    <row r="466" spans="1:3">
      <c r="A466">
        <v>60</v>
      </c>
      <c r="B466">
        <v>9.12</v>
      </c>
      <c r="C466">
        <v>2.15</v>
      </c>
    </row>
    <row r="467" spans="1:3">
      <c r="A467">
        <v>80</v>
      </c>
      <c r="B467">
        <v>9.88</v>
      </c>
      <c r="C467">
        <v>1.35</v>
      </c>
    </row>
    <row r="468" spans="1:3">
      <c r="A468">
        <v>120</v>
      </c>
      <c r="B468">
        <v>10.84</v>
      </c>
      <c r="C468">
        <v>1.73</v>
      </c>
    </row>
    <row r="469" spans="1:3">
      <c r="A469">
        <v>200</v>
      </c>
      <c r="B469">
        <v>12.52</v>
      </c>
      <c r="C469">
        <v>1.92</v>
      </c>
    </row>
    <row r="470" spans="1:3">
      <c r="A470">
        <v>300</v>
      </c>
      <c r="B470">
        <v>13.39</v>
      </c>
      <c r="C470">
        <v>2.17</v>
      </c>
    </row>
    <row r="471" spans="1:3">
      <c r="A471">
        <v>400</v>
      </c>
      <c r="B471">
        <v>15.09</v>
      </c>
      <c r="C471">
        <v>2.12</v>
      </c>
    </row>
    <row r="472" spans="1:3">
      <c r="A472">
        <v>500</v>
      </c>
      <c r="B472">
        <v>16.58</v>
      </c>
      <c r="C472">
        <v>2.59</v>
      </c>
    </row>
    <row r="473" spans="1:3">
      <c r="A473">
        <v>600</v>
      </c>
      <c r="B473">
        <v>17.53</v>
      </c>
      <c r="C473">
        <v>2.13</v>
      </c>
    </row>
    <row r="474" spans="1:3">
      <c r="A474">
        <v>1200</v>
      </c>
      <c r="B474">
        <v>23.22</v>
      </c>
      <c r="C474">
        <v>4.38</v>
      </c>
    </row>
    <row r="478" spans="1:9">
      <c r="A478">
        <v>20220314</v>
      </c>
      <c r="B478" s="1" t="s">
        <v>125</v>
      </c>
      <c r="C478" s="1"/>
      <c r="D478" s="1"/>
      <c r="E478" s="1"/>
      <c r="F478" s="1"/>
      <c r="G478" s="1"/>
      <c r="H478" s="1"/>
      <c r="I478" s="1"/>
    </row>
    <row r="479" spans="1:9">
      <c r="A479" t="s">
        <v>126</v>
      </c>
      <c r="B479" s="1" t="s">
        <v>18</v>
      </c>
      <c r="C479" t="s">
        <v>21</v>
      </c>
      <c r="D479" t="s">
        <v>21</v>
      </c>
      <c r="E479" t="s">
        <v>21</v>
      </c>
      <c r="F479" t="s">
        <v>22</v>
      </c>
      <c r="G479" t="s">
        <v>23</v>
      </c>
      <c r="H479" t="s">
        <v>24</v>
      </c>
      <c r="I479" s="1"/>
    </row>
    <row r="480" spans="1:8">
      <c r="A480" t="s">
        <v>107</v>
      </c>
      <c r="B480" t="s">
        <v>108</v>
      </c>
      <c r="C480">
        <v>1.152</v>
      </c>
      <c r="D480">
        <v>1.163</v>
      </c>
      <c r="E480">
        <v>1.171</v>
      </c>
      <c r="F480">
        <f>AVERAGE(C480:E480)</f>
        <v>1.162</v>
      </c>
      <c r="G480">
        <f>(F480-0.118)/5.602*10</f>
        <v>1.86362013566583</v>
      </c>
      <c r="H480">
        <f>(2-G480)*10</f>
        <v>1.36379864334166</v>
      </c>
    </row>
    <row r="481" spans="1:8">
      <c r="A481" t="s">
        <v>110</v>
      </c>
      <c r="B481" t="s">
        <v>108</v>
      </c>
      <c r="C481">
        <v>0.818</v>
      </c>
      <c r="D481">
        <v>0.823</v>
      </c>
      <c r="E481">
        <v>0.83</v>
      </c>
      <c r="F481">
        <f t="shared" ref="F481:F491" si="73">AVERAGE(C481:E481)</f>
        <v>0.823666666666667</v>
      </c>
      <c r="G481">
        <f t="shared" ref="G481:G491" si="74">(F481-0.118)/5.602*10</f>
        <v>1.25966916577413</v>
      </c>
      <c r="H481">
        <f t="shared" ref="H481:H491" si="75">(2-G481)*10</f>
        <v>7.40330834225872</v>
      </c>
    </row>
    <row r="482" spans="1:8">
      <c r="A482" t="s">
        <v>111</v>
      </c>
      <c r="B482" t="s">
        <v>108</v>
      </c>
      <c r="C482">
        <v>0.733</v>
      </c>
      <c r="D482">
        <v>0.767</v>
      </c>
      <c r="E482">
        <v>0.751</v>
      </c>
      <c r="F482">
        <f t="shared" si="73"/>
        <v>0.750333333333333</v>
      </c>
      <c r="G482">
        <f t="shared" si="74"/>
        <v>1.12876353683208</v>
      </c>
      <c r="H482">
        <f t="shared" si="75"/>
        <v>8.71236463167916</v>
      </c>
    </row>
    <row r="483" spans="1:8">
      <c r="A483" t="s">
        <v>113</v>
      </c>
      <c r="B483" t="s">
        <v>108</v>
      </c>
      <c r="C483">
        <v>0.641</v>
      </c>
      <c r="D483">
        <v>0.644</v>
      </c>
      <c r="E483">
        <v>0.644</v>
      </c>
      <c r="F483">
        <f t="shared" si="73"/>
        <v>0.643</v>
      </c>
      <c r="G483">
        <f t="shared" si="74"/>
        <v>0.937165298107819</v>
      </c>
      <c r="H483">
        <f t="shared" si="75"/>
        <v>10.6283470189218</v>
      </c>
    </row>
    <row r="484" spans="1:8">
      <c r="A484" t="s">
        <v>114</v>
      </c>
      <c r="B484" t="s">
        <v>108</v>
      </c>
      <c r="C484">
        <v>0.594</v>
      </c>
      <c r="D484">
        <v>0.587</v>
      </c>
      <c r="E484">
        <v>0.601</v>
      </c>
      <c r="F484">
        <f t="shared" si="73"/>
        <v>0.594</v>
      </c>
      <c r="G484">
        <f t="shared" si="74"/>
        <v>0.849696536951089</v>
      </c>
      <c r="H484">
        <f t="shared" si="75"/>
        <v>11.5030346304891</v>
      </c>
    </row>
    <row r="485" spans="1:8">
      <c r="A485" t="s">
        <v>116</v>
      </c>
      <c r="B485" t="s">
        <v>108</v>
      </c>
      <c r="C485">
        <v>0.466</v>
      </c>
      <c r="D485">
        <v>0.466</v>
      </c>
      <c r="E485">
        <v>0.457</v>
      </c>
      <c r="F485">
        <f t="shared" si="73"/>
        <v>0.463</v>
      </c>
      <c r="G485">
        <f t="shared" si="74"/>
        <v>0.615851481613709</v>
      </c>
      <c r="H485">
        <f t="shared" si="75"/>
        <v>13.8414851838629</v>
      </c>
    </row>
    <row r="486" spans="1:8">
      <c r="A486" t="s">
        <v>127</v>
      </c>
      <c r="B486" t="s">
        <v>108</v>
      </c>
      <c r="C486">
        <v>0.408</v>
      </c>
      <c r="D486">
        <v>0.392</v>
      </c>
      <c r="E486">
        <v>0.398</v>
      </c>
      <c r="F486">
        <f t="shared" si="73"/>
        <v>0.399333333333333</v>
      </c>
      <c r="G486">
        <f t="shared" si="74"/>
        <v>0.502201594668571</v>
      </c>
      <c r="H486">
        <f t="shared" si="75"/>
        <v>14.9779840533143</v>
      </c>
    </row>
    <row r="487" spans="1:8">
      <c r="A487" t="s">
        <v>128</v>
      </c>
      <c r="B487" t="s">
        <v>108</v>
      </c>
      <c r="C487">
        <v>0.365</v>
      </c>
      <c r="D487">
        <v>0.361</v>
      </c>
      <c r="E487">
        <v>0.362</v>
      </c>
      <c r="F487">
        <f t="shared" si="73"/>
        <v>0.362666666666667</v>
      </c>
      <c r="G487">
        <f t="shared" si="74"/>
        <v>0.436748780197548</v>
      </c>
      <c r="H487">
        <f t="shared" si="75"/>
        <v>15.6325121980245</v>
      </c>
    </row>
    <row r="488" spans="1:8">
      <c r="A488" t="s">
        <v>118</v>
      </c>
      <c r="B488" t="s">
        <v>108</v>
      </c>
      <c r="C488">
        <v>0.333</v>
      </c>
      <c r="D488">
        <v>0.307</v>
      </c>
      <c r="E488">
        <v>0.305</v>
      </c>
      <c r="F488">
        <f t="shared" si="73"/>
        <v>0.315</v>
      </c>
      <c r="G488">
        <f t="shared" si="74"/>
        <v>0.35166012138522</v>
      </c>
      <c r="H488">
        <f t="shared" si="75"/>
        <v>16.4833987861478</v>
      </c>
    </row>
    <row r="489" spans="1:8">
      <c r="A489" t="s">
        <v>119</v>
      </c>
      <c r="B489" t="s">
        <v>108</v>
      </c>
      <c r="C489">
        <v>0.273</v>
      </c>
      <c r="D489">
        <v>0.274</v>
      </c>
      <c r="E489">
        <v>0.273</v>
      </c>
      <c r="F489">
        <f t="shared" si="73"/>
        <v>0.273333333333333</v>
      </c>
      <c r="G489">
        <f t="shared" si="74"/>
        <v>0.277281923122694</v>
      </c>
      <c r="H489">
        <f t="shared" si="75"/>
        <v>17.2271807687731</v>
      </c>
    </row>
    <row r="490" spans="1:8">
      <c r="A490" t="s">
        <v>120</v>
      </c>
      <c r="B490" t="s">
        <v>108</v>
      </c>
      <c r="C490">
        <v>0.275</v>
      </c>
      <c r="D490">
        <v>0.276</v>
      </c>
      <c r="E490">
        <v>0.269</v>
      </c>
      <c r="F490">
        <f t="shared" si="73"/>
        <v>0.273333333333333</v>
      </c>
      <c r="G490">
        <f t="shared" si="74"/>
        <v>0.277281923122694</v>
      </c>
      <c r="H490">
        <f t="shared" si="75"/>
        <v>17.2271807687731</v>
      </c>
    </row>
    <row r="491" spans="1:8">
      <c r="A491" t="s">
        <v>122</v>
      </c>
      <c r="B491" t="s">
        <v>108</v>
      </c>
      <c r="C491">
        <v>0.172</v>
      </c>
      <c r="D491">
        <v>0.175</v>
      </c>
      <c r="E491">
        <v>0.179</v>
      </c>
      <c r="F491">
        <f t="shared" si="73"/>
        <v>0.175333333333333</v>
      </c>
      <c r="G491">
        <f t="shared" si="74"/>
        <v>0.102344400809235</v>
      </c>
      <c r="H491">
        <f t="shared" si="75"/>
        <v>18.9765559919077</v>
      </c>
    </row>
    <row r="494" spans="1:9">
      <c r="A494">
        <v>20220314</v>
      </c>
      <c r="B494" s="1" t="s">
        <v>125</v>
      </c>
      <c r="C494" s="1"/>
      <c r="D494" s="1"/>
      <c r="E494" s="1"/>
      <c r="F494" s="1"/>
      <c r="G494" s="1"/>
      <c r="H494" s="1"/>
      <c r="I494" s="1"/>
    </row>
    <row r="495" spans="1:9">
      <c r="A495" t="s">
        <v>129</v>
      </c>
      <c r="B495" s="1" t="s">
        <v>18</v>
      </c>
      <c r="C495" t="s">
        <v>21</v>
      </c>
      <c r="D495" t="s">
        <v>21</v>
      </c>
      <c r="E495" t="s">
        <v>21</v>
      </c>
      <c r="F495" t="s">
        <v>22</v>
      </c>
      <c r="G495" t="s">
        <v>23</v>
      </c>
      <c r="H495" t="s">
        <v>24</v>
      </c>
      <c r="I495" s="1"/>
    </row>
    <row r="496" spans="1:8">
      <c r="A496" t="s">
        <v>107</v>
      </c>
      <c r="B496" t="s">
        <v>123</v>
      </c>
      <c r="C496">
        <v>1.16</v>
      </c>
      <c r="D496">
        <v>1.164</v>
      </c>
      <c r="E496">
        <v>1.168</v>
      </c>
      <c r="F496">
        <f>AVERAGE(C496:E496)</f>
        <v>1.164</v>
      </c>
      <c r="G496">
        <f>(F496-0.118)/5.602*10</f>
        <v>1.86719028918243</v>
      </c>
      <c r="H496">
        <f>(2-G496)*10</f>
        <v>1.32809710817566</v>
      </c>
    </row>
    <row r="497" spans="1:8">
      <c r="A497" t="s">
        <v>110</v>
      </c>
      <c r="B497" t="s">
        <v>123</v>
      </c>
      <c r="C497">
        <v>1.167</v>
      </c>
      <c r="D497">
        <v>1.17</v>
      </c>
      <c r="E497">
        <v>1.187</v>
      </c>
      <c r="F497">
        <v>1.161</v>
      </c>
      <c r="G497">
        <f t="shared" ref="G497:G507" si="76">(F497-0.118)/5.602*10</f>
        <v>1.86183505890753</v>
      </c>
      <c r="H497">
        <f t="shared" ref="H497:H507" si="77">(2-G497)*10</f>
        <v>1.38164941092467</v>
      </c>
    </row>
    <row r="498" spans="1:8">
      <c r="A498" t="s">
        <v>111</v>
      </c>
      <c r="B498" t="s">
        <v>123</v>
      </c>
      <c r="C498">
        <v>1.161</v>
      </c>
      <c r="D498">
        <v>1.178</v>
      </c>
      <c r="E498">
        <v>1.162</v>
      </c>
      <c r="F498">
        <f t="shared" ref="F498:F507" si="78">AVERAGE(C498:E498)</f>
        <v>1.167</v>
      </c>
      <c r="G498">
        <f t="shared" si="76"/>
        <v>1.87254551945734</v>
      </c>
      <c r="H498">
        <f t="shared" si="77"/>
        <v>1.27454480542664</v>
      </c>
    </row>
    <row r="499" spans="1:8">
      <c r="A499" t="s">
        <v>113</v>
      </c>
      <c r="B499" t="s">
        <v>123</v>
      </c>
      <c r="C499">
        <v>1.171</v>
      </c>
      <c r="D499">
        <v>1.168</v>
      </c>
      <c r="E499">
        <v>1.172</v>
      </c>
      <c r="F499">
        <f t="shared" si="78"/>
        <v>1.17033333333333</v>
      </c>
      <c r="G499">
        <f t="shared" si="76"/>
        <v>1.87849577531834</v>
      </c>
      <c r="H499">
        <f t="shared" si="77"/>
        <v>1.21504224681661</v>
      </c>
    </row>
    <row r="500" spans="1:8">
      <c r="A500" t="s">
        <v>114</v>
      </c>
      <c r="B500" t="s">
        <v>123</v>
      </c>
      <c r="C500">
        <v>1.189</v>
      </c>
      <c r="D500">
        <v>1.148</v>
      </c>
      <c r="E500">
        <v>1.185</v>
      </c>
      <c r="F500">
        <f t="shared" si="78"/>
        <v>1.174</v>
      </c>
      <c r="G500">
        <f t="shared" si="76"/>
        <v>1.88504105676544</v>
      </c>
      <c r="H500">
        <f t="shared" si="77"/>
        <v>1.14958943234559</v>
      </c>
    </row>
    <row r="501" spans="1:8">
      <c r="A501" t="s">
        <v>116</v>
      </c>
      <c r="B501" t="s">
        <v>123</v>
      </c>
      <c r="C501">
        <v>1.155</v>
      </c>
      <c r="D501">
        <v>1.166</v>
      </c>
      <c r="E501">
        <v>1.16</v>
      </c>
      <c r="F501">
        <f t="shared" si="78"/>
        <v>1.16033333333333</v>
      </c>
      <c r="G501">
        <f t="shared" si="76"/>
        <v>1.86064500773533</v>
      </c>
      <c r="H501">
        <f t="shared" si="77"/>
        <v>1.39354992264668</v>
      </c>
    </row>
    <row r="502" spans="1:8">
      <c r="A502" t="s">
        <v>127</v>
      </c>
      <c r="B502" t="s">
        <v>123</v>
      </c>
      <c r="C502">
        <v>1.137</v>
      </c>
      <c r="D502">
        <v>1.159</v>
      </c>
      <c r="E502">
        <v>1.153</v>
      </c>
      <c r="F502">
        <f t="shared" si="78"/>
        <v>1.14966666666667</v>
      </c>
      <c r="G502">
        <f t="shared" si="76"/>
        <v>1.84160418898013</v>
      </c>
      <c r="H502">
        <f t="shared" si="77"/>
        <v>1.58395811019874</v>
      </c>
    </row>
    <row r="503" spans="1:8">
      <c r="A503" t="s">
        <v>128</v>
      </c>
      <c r="B503" t="s">
        <v>123</v>
      </c>
      <c r="C503">
        <v>1.123</v>
      </c>
      <c r="D503">
        <v>1.135</v>
      </c>
      <c r="E503">
        <v>1.149</v>
      </c>
      <c r="F503">
        <f t="shared" si="78"/>
        <v>1.13566666666667</v>
      </c>
      <c r="G503">
        <f t="shared" si="76"/>
        <v>1.81661311436392</v>
      </c>
      <c r="H503">
        <f t="shared" si="77"/>
        <v>1.83386885636083</v>
      </c>
    </row>
    <row r="504" spans="1:8">
      <c r="A504" t="s">
        <v>118</v>
      </c>
      <c r="B504" t="s">
        <v>123</v>
      </c>
      <c r="C504">
        <v>1.11</v>
      </c>
      <c r="D504">
        <v>1.122</v>
      </c>
      <c r="E504">
        <v>1.113</v>
      </c>
      <c r="F504">
        <f t="shared" si="78"/>
        <v>1.115</v>
      </c>
      <c r="G504">
        <f t="shared" si="76"/>
        <v>1.77972152802571</v>
      </c>
      <c r="H504">
        <f t="shared" si="77"/>
        <v>2.20278471974295</v>
      </c>
    </row>
    <row r="505" spans="1:8">
      <c r="A505" t="s">
        <v>119</v>
      </c>
      <c r="B505" t="s">
        <v>123</v>
      </c>
      <c r="C505">
        <v>1.089</v>
      </c>
      <c r="D505">
        <v>1.129</v>
      </c>
      <c r="E505">
        <v>1.203</v>
      </c>
      <c r="F505">
        <f t="shared" si="78"/>
        <v>1.14033333333333</v>
      </c>
      <c r="G505">
        <f t="shared" si="76"/>
        <v>1.82494347256932</v>
      </c>
      <c r="H505">
        <f t="shared" si="77"/>
        <v>1.75056527430679</v>
      </c>
    </row>
    <row r="506" spans="1:8">
      <c r="A506" t="s">
        <v>120</v>
      </c>
      <c r="B506" t="s">
        <v>123</v>
      </c>
      <c r="C506">
        <v>1.107</v>
      </c>
      <c r="D506">
        <v>1.112</v>
      </c>
      <c r="E506">
        <v>1.105</v>
      </c>
      <c r="F506">
        <f t="shared" si="78"/>
        <v>1.108</v>
      </c>
      <c r="G506">
        <f t="shared" si="76"/>
        <v>1.7672259907176</v>
      </c>
      <c r="H506">
        <f t="shared" si="77"/>
        <v>2.32774009282399</v>
      </c>
    </row>
    <row r="507" spans="1:8">
      <c r="A507" t="s">
        <v>122</v>
      </c>
      <c r="B507" t="s">
        <v>123</v>
      </c>
      <c r="C507">
        <v>0.952</v>
      </c>
      <c r="D507">
        <v>0.975</v>
      </c>
      <c r="E507">
        <v>0.983</v>
      </c>
      <c r="F507">
        <f t="shared" si="78"/>
        <v>0.97</v>
      </c>
      <c r="G507">
        <f t="shared" si="76"/>
        <v>1.52088539807212</v>
      </c>
      <c r="H507">
        <f t="shared" si="77"/>
        <v>4.79114601927883</v>
      </c>
    </row>
    <row r="509" spans="2:2">
      <c r="B509" t="s">
        <v>129</v>
      </c>
    </row>
    <row r="510" spans="1:3">
      <c r="A510" t="s">
        <v>124</v>
      </c>
      <c r="B510" t="s">
        <v>58</v>
      </c>
      <c r="C510" t="s">
        <v>59</v>
      </c>
    </row>
    <row r="511" spans="1:3">
      <c r="A511">
        <v>0</v>
      </c>
      <c r="B511">
        <v>1.36</v>
      </c>
      <c r="C511">
        <v>1.328</v>
      </c>
    </row>
    <row r="512" spans="1:3">
      <c r="A512">
        <v>10</v>
      </c>
      <c r="B512">
        <v>7.4</v>
      </c>
      <c r="C512">
        <v>1.38</v>
      </c>
    </row>
    <row r="513" spans="1:3">
      <c r="A513">
        <v>20</v>
      </c>
      <c r="B513">
        <v>8.71</v>
      </c>
      <c r="C513">
        <v>1.27</v>
      </c>
    </row>
    <row r="514" spans="1:3">
      <c r="A514">
        <v>40</v>
      </c>
      <c r="B514">
        <v>10.63</v>
      </c>
      <c r="C514">
        <v>1.22</v>
      </c>
    </row>
    <row r="515" spans="1:3">
      <c r="A515">
        <v>60</v>
      </c>
      <c r="B515">
        <v>11.5</v>
      </c>
      <c r="C515">
        <v>1.14</v>
      </c>
    </row>
    <row r="516" spans="1:3">
      <c r="A516">
        <v>120</v>
      </c>
      <c r="B516">
        <v>13.8</v>
      </c>
      <c r="C516">
        <v>1.39</v>
      </c>
    </row>
    <row r="517" spans="1:3">
      <c r="A517">
        <v>180</v>
      </c>
      <c r="B517">
        <v>14.97</v>
      </c>
      <c r="C517">
        <v>1.58</v>
      </c>
    </row>
    <row r="518" spans="1:3">
      <c r="A518">
        <v>240</v>
      </c>
      <c r="B518">
        <v>15.63</v>
      </c>
      <c r="C518">
        <v>1.84</v>
      </c>
    </row>
    <row r="519" spans="1:3">
      <c r="A519">
        <v>300</v>
      </c>
      <c r="B519">
        <v>16.48</v>
      </c>
      <c r="C519">
        <v>2.2</v>
      </c>
    </row>
    <row r="520" spans="1:3">
      <c r="A520">
        <v>400</v>
      </c>
      <c r="B520">
        <v>17.22</v>
      </c>
      <c r="C520">
        <v>1.75</v>
      </c>
    </row>
    <row r="521" spans="1:3">
      <c r="A521">
        <v>500</v>
      </c>
      <c r="B521">
        <v>17.22</v>
      </c>
      <c r="C521">
        <v>2.33</v>
      </c>
    </row>
    <row r="522" spans="1:3">
      <c r="A522">
        <v>1200</v>
      </c>
      <c r="B522">
        <v>18.98</v>
      </c>
      <c r="C522">
        <v>4.79</v>
      </c>
    </row>
    <row r="527" spans="1:9">
      <c r="A527">
        <v>20220314</v>
      </c>
      <c r="B527" s="1" t="s">
        <v>130</v>
      </c>
      <c r="C527" s="1"/>
      <c r="D527" s="1"/>
      <c r="E527" s="1"/>
      <c r="F527" s="1"/>
      <c r="G527" s="1"/>
      <c r="H527" s="1"/>
      <c r="I527" s="1"/>
    </row>
    <row r="528" spans="1:9">
      <c r="A528" t="s">
        <v>88</v>
      </c>
      <c r="B528" s="1" t="s">
        <v>18</v>
      </c>
      <c r="C528" t="s">
        <v>21</v>
      </c>
      <c r="D528" t="s">
        <v>21</v>
      </c>
      <c r="E528" t="s">
        <v>21</v>
      </c>
      <c r="F528" t="s">
        <v>22</v>
      </c>
      <c r="G528" t="s">
        <v>23</v>
      </c>
      <c r="H528" t="s">
        <v>24</v>
      </c>
      <c r="I528" s="1"/>
    </row>
    <row r="529" spans="1:8">
      <c r="A529" t="s">
        <v>107</v>
      </c>
      <c r="B529" t="s">
        <v>108</v>
      </c>
      <c r="C529">
        <v>1.16</v>
      </c>
      <c r="D529">
        <v>1.17</v>
      </c>
      <c r="E529">
        <v>1.179</v>
      </c>
      <c r="F529">
        <f>AVERAGE(C529:E529)</f>
        <v>1.16966666666667</v>
      </c>
      <c r="G529">
        <f>(F529-0.06)/7.115*10</f>
        <v>1.55961583509018</v>
      </c>
      <c r="H529">
        <f>(2-G529)*10</f>
        <v>4.40384164909815</v>
      </c>
    </row>
    <row r="530" spans="1:8">
      <c r="A530" t="s">
        <v>110</v>
      </c>
      <c r="B530" t="s">
        <v>108</v>
      </c>
      <c r="C530">
        <v>0.777</v>
      </c>
      <c r="D530">
        <v>0.775</v>
      </c>
      <c r="E530">
        <v>0.805</v>
      </c>
      <c r="F530">
        <f t="shared" ref="F530:F540" si="79">AVERAGE(C530:E530)</f>
        <v>0.785666666666667</v>
      </c>
      <c r="G530">
        <f t="shared" ref="G530:G540" si="80">(F530-0.06)/7.115*10</f>
        <v>1.01991098617943</v>
      </c>
      <c r="H530">
        <f t="shared" ref="H530:H540" si="81">(2-G530)*20</f>
        <v>19.6017802764113</v>
      </c>
    </row>
    <row r="531" spans="1:8">
      <c r="A531" t="s">
        <v>111</v>
      </c>
      <c r="B531" t="s">
        <v>108</v>
      </c>
      <c r="C531">
        <v>0.709</v>
      </c>
      <c r="D531">
        <v>0.709</v>
      </c>
      <c r="E531">
        <v>0.734</v>
      </c>
      <c r="F531">
        <f t="shared" si="79"/>
        <v>0.717333333333333</v>
      </c>
      <c r="G531">
        <f t="shared" si="80"/>
        <v>0.923869758725697</v>
      </c>
      <c r="H531">
        <f t="shared" si="81"/>
        <v>21.5226048254861</v>
      </c>
    </row>
    <row r="532" spans="1:8">
      <c r="A532" t="s">
        <v>113</v>
      </c>
      <c r="B532" t="s">
        <v>108</v>
      </c>
      <c r="C532">
        <v>0.64</v>
      </c>
      <c r="D532">
        <v>0.645</v>
      </c>
      <c r="E532">
        <v>0.645</v>
      </c>
      <c r="F532">
        <f t="shared" si="79"/>
        <v>0.643333333333333</v>
      </c>
      <c r="G532">
        <f t="shared" si="80"/>
        <v>0.819864136800188</v>
      </c>
      <c r="H532">
        <f t="shared" si="81"/>
        <v>23.6027172639962</v>
      </c>
    </row>
    <row r="533" spans="1:8">
      <c r="A533" t="s">
        <v>114</v>
      </c>
      <c r="B533" t="s">
        <v>108</v>
      </c>
      <c r="C533">
        <v>0.591</v>
      </c>
      <c r="D533">
        <v>0.58</v>
      </c>
      <c r="E533">
        <v>0.58</v>
      </c>
      <c r="F533">
        <f t="shared" si="79"/>
        <v>0.583666666666667</v>
      </c>
      <c r="G533">
        <f t="shared" si="80"/>
        <v>0.73600374795034</v>
      </c>
      <c r="H533">
        <f t="shared" si="81"/>
        <v>25.2799250409932</v>
      </c>
    </row>
    <row r="534" spans="1:8">
      <c r="A534" t="s">
        <v>116</v>
      </c>
      <c r="B534" t="s">
        <v>108</v>
      </c>
      <c r="C534">
        <v>0.462</v>
      </c>
      <c r="D534">
        <v>0.468</v>
      </c>
      <c r="E534">
        <v>0.471</v>
      </c>
      <c r="F534">
        <f t="shared" si="79"/>
        <v>0.467</v>
      </c>
      <c r="G534">
        <f t="shared" si="80"/>
        <v>0.572030920590302</v>
      </c>
      <c r="H534">
        <f t="shared" si="81"/>
        <v>28.559381588194</v>
      </c>
    </row>
    <row r="535" spans="1:8">
      <c r="A535" t="s">
        <v>127</v>
      </c>
      <c r="B535" t="s">
        <v>108</v>
      </c>
      <c r="C535">
        <v>0.402</v>
      </c>
      <c r="D535">
        <v>0.399</v>
      </c>
      <c r="E535">
        <v>0.4</v>
      </c>
      <c r="F535">
        <f t="shared" si="79"/>
        <v>0.400333333333333</v>
      </c>
      <c r="G535">
        <f t="shared" si="80"/>
        <v>0.478332162098852</v>
      </c>
      <c r="H535">
        <f t="shared" si="81"/>
        <v>30.433356758023</v>
      </c>
    </row>
    <row r="536" spans="1:8">
      <c r="A536" t="s">
        <v>128</v>
      </c>
      <c r="B536" t="s">
        <v>108</v>
      </c>
      <c r="C536">
        <v>0.387</v>
      </c>
      <c r="D536">
        <v>0.388</v>
      </c>
      <c r="E536">
        <v>0.362</v>
      </c>
      <c r="F536">
        <f t="shared" si="79"/>
        <v>0.379</v>
      </c>
      <c r="G536">
        <f t="shared" si="80"/>
        <v>0.448348559381588</v>
      </c>
      <c r="H536">
        <f t="shared" si="81"/>
        <v>31.0330288123682</v>
      </c>
    </row>
    <row r="537" spans="1:8">
      <c r="A537" t="s">
        <v>118</v>
      </c>
      <c r="B537" t="s">
        <v>108</v>
      </c>
      <c r="C537">
        <v>0.339</v>
      </c>
      <c r="D537">
        <v>0.324</v>
      </c>
      <c r="E537">
        <v>0.329</v>
      </c>
      <c r="F537">
        <f t="shared" si="79"/>
        <v>0.330666666666667</v>
      </c>
      <c r="G537">
        <f t="shared" si="80"/>
        <v>0.380416959475287</v>
      </c>
      <c r="H537">
        <f t="shared" si="81"/>
        <v>32.3916608104943</v>
      </c>
    </row>
    <row r="538" spans="1:8">
      <c r="A538" t="s">
        <v>119</v>
      </c>
      <c r="B538" t="s">
        <v>108</v>
      </c>
      <c r="C538">
        <v>0.29</v>
      </c>
      <c r="D538">
        <v>0.286</v>
      </c>
      <c r="E538">
        <v>0.273</v>
      </c>
      <c r="F538">
        <f t="shared" si="79"/>
        <v>0.283</v>
      </c>
      <c r="G538">
        <f t="shared" si="80"/>
        <v>0.3134223471539</v>
      </c>
      <c r="H538">
        <f t="shared" si="81"/>
        <v>33.731553056922</v>
      </c>
    </row>
    <row r="539" spans="1:8">
      <c r="A539" t="s">
        <v>120</v>
      </c>
      <c r="B539" t="s">
        <v>108</v>
      </c>
      <c r="C539">
        <v>0.276</v>
      </c>
      <c r="D539">
        <v>0.279</v>
      </c>
      <c r="E539">
        <v>0.269</v>
      </c>
      <c r="F539">
        <f t="shared" si="79"/>
        <v>0.274666666666667</v>
      </c>
      <c r="G539">
        <f t="shared" si="80"/>
        <v>0.301710002342469</v>
      </c>
      <c r="H539">
        <f t="shared" si="81"/>
        <v>33.9657999531506</v>
      </c>
    </row>
    <row r="540" spans="1:8">
      <c r="A540" t="s">
        <v>122</v>
      </c>
      <c r="B540" t="s">
        <v>108</v>
      </c>
      <c r="C540">
        <v>0.171</v>
      </c>
      <c r="D540">
        <v>0.179</v>
      </c>
      <c r="E540">
        <v>0.172</v>
      </c>
      <c r="F540">
        <f t="shared" si="79"/>
        <v>0.174</v>
      </c>
      <c r="G540">
        <f t="shared" si="80"/>
        <v>0.16022487702038</v>
      </c>
      <c r="H540">
        <f t="shared" si="81"/>
        <v>36.7955024595924</v>
      </c>
    </row>
    <row r="543" spans="1:9">
      <c r="A543">
        <v>20220314</v>
      </c>
      <c r="B543" s="1" t="s">
        <v>130</v>
      </c>
      <c r="C543" s="1"/>
      <c r="D543" s="1"/>
      <c r="E543" s="1"/>
      <c r="F543" s="1"/>
      <c r="G543" s="1"/>
      <c r="H543" s="1"/>
      <c r="I543" s="1"/>
    </row>
    <row r="544" spans="1:9">
      <c r="A544" t="s">
        <v>88</v>
      </c>
      <c r="B544" s="1" t="s">
        <v>18</v>
      </c>
      <c r="C544" t="s">
        <v>21</v>
      </c>
      <c r="D544" t="s">
        <v>21</v>
      </c>
      <c r="E544" t="s">
        <v>21</v>
      </c>
      <c r="F544" t="s">
        <v>22</v>
      </c>
      <c r="G544" t="s">
        <v>23</v>
      </c>
      <c r="H544" t="s">
        <v>24</v>
      </c>
      <c r="I544" s="1"/>
    </row>
    <row r="545" spans="1:8">
      <c r="A545" t="s">
        <v>107</v>
      </c>
      <c r="B545" t="s">
        <v>123</v>
      </c>
      <c r="C545">
        <v>1.193</v>
      </c>
      <c r="D545">
        <v>1.173</v>
      </c>
      <c r="E545">
        <v>1.17</v>
      </c>
      <c r="F545">
        <f>AVERAGE(C545:E545)</f>
        <v>1.17866666666667</v>
      </c>
      <c r="G545">
        <f>(F545-0.06)/7.115*10</f>
        <v>1.57226516748653</v>
      </c>
      <c r="H545">
        <f>(2-G545)*10</f>
        <v>4.27734832513469</v>
      </c>
    </row>
    <row r="546" spans="1:8">
      <c r="A546" t="s">
        <v>110</v>
      </c>
      <c r="B546" t="s">
        <v>123</v>
      </c>
      <c r="C546">
        <v>1.212</v>
      </c>
      <c r="D546">
        <v>1.202</v>
      </c>
      <c r="E546">
        <v>1.206</v>
      </c>
      <c r="F546">
        <f t="shared" ref="F546:F555" si="82">AVERAGE(C546:E546)</f>
        <v>1.20666666666667</v>
      </c>
      <c r="G546">
        <f t="shared" ref="G546:G556" si="83">(F546-0.06)/7.115*10</f>
        <v>1.61161864605294</v>
      </c>
      <c r="H546">
        <f t="shared" ref="H546:H556" si="84">(2-G546)*10</f>
        <v>3.88381353947061</v>
      </c>
    </row>
    <row r="547" spans="1:8">
      <c r="A547" t="s">
        <v>111</v>
      </c>
      <c r="B547" t="s">
        <v>123</v>
      </c>
      <c r="C547">
        <v>1.196</v>
      </c>
      <c r="D547">
        <v>1.269</v>
      </c>
      <c r="E547">
        <v>1.211</v>
      </c>
      <c r="F547">
        <f t="shared" si="82"/>
        <v>1.22533333333333</v>
      </c>
      <c r="G547">
        <f t="shared" si="83"/>
        <v>1.63785429843055</v>
      </c>
      <c r="H547">
        <f t="shared" si="84"/>
        <v>3.62145701569454</v>
      </c>
    </row>
    <row r="548" spans="1:8">
      <c r="A548" t="s">
        <v>113</v>
      </c>
      <c r="B548" t="s">
        <v>123</v>
      </c>
      <c r="C548">
        <v>1.204</v>
      </c>
      <c r="D548">
        <v>1.21</v>
      </c>
      <c r="E548">
        <v>1.203</v>
      </c>
      <c r="F548">
        <f t="shared" si="82"/>
        <v>1.20566666666667</v>
      </c>
      <c r="G548">
        <f t="shared" si="83"/>
        <v>1.61021316467557</v>
      </c>
      <c r="H548">
        <f t="shared" si="84"/>
        <v>3.89786835324432</v>
      </c>
    </row>
    <row r="549" spans="1:8">
      <c r="A549" t="s">
        <v>114</v>
      </c>
      <c r="B549" t="s">
        <v>123</v>
      </c>
      <c r="C549">
        <v>1.202</v>
      </c>
      <c r="D549">
        <v>1.217</v>
      </c>
      <c r="E549">
        <v>1.214</v>
      </c>
      <c r="F549">
        <f t="shared" si="82"/>
        <v>1.211</v>
      </c>
      <c r="G549">
        <f t="shared" si="83"/>
        <v>1.61770906535488</v>
      </c>
      <c r="H549">
        <f t="shared" si="84"/>
        <v>3.82290934645116</v>
      </c>
    </row>
    <row r="550" spans="1:8">
      <c r="A550" t="s">
        <v>116</v>
      </c>
      <c r="B550" t="s">
        <v>123</v>
      </c>
      <c r="C550">
        <v>1.186</v>
      </c>
      <c r="D550">
        <v>1.185</v>
      </c>
      <c r="E550">
        <v>1.194</v>
      </c>
      <c r="F550">
        <f t="shared" si="82"/>
        <v>1.18833333333333</v>
      </c>
      <c r="G550">
        <f t="shared" si="83"/>
        <v>1.58585148746779</v>
      </c>
      <c r="H550">
        <f t="shared" si="84"/>
        <v>4.14148512532209</v>
      </c>
    </row>
    <row r="551" spans="1:8">
      <c r="A551" t="s">
        <v>127</v>
      </c>
      <c r="B551" t="s">
        <v>123</v>
      </c>
      <c r="C551">
        <v>1.175</v>
      </c>
      <c r="D551">
        <v>1.173</v>
      </c>
      <c r="E551">
        <v>1.178</v>
      </c>
      <c r="F551">
        <f t="shared" si="82"/>
        <v>1.17533333333333</v>
      </c>
      <c r="G551">
        <f t="shared" si="83"/>
        <v>1.56758022956196</v>
      </c>
      <c r="H551">
        <f t="shared" si="84"/>
        <v>4.32419770438042</v>
      </c>
    </row>
    <row r="552" spans="1:8">
      <c r="A552" t="s">
        <v>128</v>
      </c>
      <c r="B552" t="s">
        <v>123</v>
      </c>
      <c r="C552">
        <v>1.172</v>
      </c>
      <c r="D552">
        <v>1.194</v>
      </c>
      <c r="E552">
        <v>1.181</v>
      </c>
      <c r="F552">
        <f t="shared" si="82"/>
        <v>1.18233333333333</v>
      </c>
      <c r="G552">
        <f t="shared" si="83"/>
        <v>1.57741859920356</v>
      </c>
      <c r="H552">
        <f t="shared" si="84"/>
        <v>4.2258140079644</v>
      </c>
    </row>
    <row r="553" spans="1:8">
      <c r="A553" t="s">
        <v>118</v>
      </c>
      <c r="B553" t="s">
        <v>123</v>
      </c>
      <c r="C553">
        <v>1.169</v>
      </c>
      <c r="D553">
        <v>1.168</v>
      </c>
      <c r="E553">
        <v>1.175</v>
      </c>
      <c r="F553">
        <f t="shared" si="82"/>
        <v>1.17066666666667</v>
      </c>
      <c r="G553">
        <f t="shared" si="83"/>
        <v>1.56102131646756</v>
      </c>
      <c r="H553">
        <f t="shared" si="84"/>
        <v>4.38978683532443</v>
      </c>
    </row>
    <row r="554" spans="1:8">
      <c r="A554" t="s">
        <v>119</v>
      </c>
      <c r="B554" t="s">
        <v>123</v>
      </c>
      <c r="C554">
        <v>1.137</v>
      </c>
      <c r="D554">
        <v>1.155</v>
      </c>
      <c r="E554">
        <v>1.148</v>
      </c>
      <c r="F554">
        <f t="shared" si="82"/>
        <v>1.14666666666667</v>
      </c>
      <c r="G554">
        <f t="shared" si="83"/>
        <v>1.52728976341063</v>
      </c>
      <c r="H554">
        <f t="shared" si="84"/>
        <v>4.72710236589366</v>
      </c>
    </row>
    <row r="555" spans="1:8">
      <c r="A555" t="s">
        <v>120</v>
      </c>
      <c r="B555" t="s">
        <v>123</v>
      </c>
      <c r="C555">
        <v>1.124</v>
      </c>
      <c r="D555">
        <v>1.162</v>
      </c>
      <c r="E555">
        <v>1.175</v>
      </c>
      <c r="F555">
        <f t="shared" si="82"/>
        <v>1.15366666666667</v>
      </c>
      <c r="G555">
        <f t="shared" si="83"/>
        <v>1.53712813305224</v>
      </c>
      <c r="H555">
        <f t="shared" si="84"/>
        <v>4.62871866947763</v>
      </c>
    </row>
    <row r="556" spans="1:8">
      <c r="A556" t="s">
        <v>122</v>
      </c>
      <c r="B556" t="s">
        <v>108</v>
      </c>
      <c r="C556">
        <v>0.991</v>
      </c>
      <c r="D556">
        <v>1.022</v>
      </c>
      <c r="E556">
        <v>1.026</v>
      </c>
      <c r="F556">
        <f t="shared" ref="F556" si="85">AVERAGE(C556:E556)</f>
        <v>1.013</v>
      </c>
      <c r="G556">
        <f t="shared" si="83"/>
        <v>1.33942375263528</v>
      </c>
      <c r="H556">
        <f t="shared" si="84"/>
        <v>6.60576247364723</v>
      </c>
    </row>
    <row r="559" spans="2:2">
      <c r="B559" t="s">
        <v>88</v>
      </c>
    </row>
    <row r="560" spans="1:3">
      <c r="A560" t="s">
        <v>124</v>
      </c>
      <c r="B560" t="s">
        <v>58</v>
      </c>
      <c r="C560" t="s">
        <v>59</v>
      </c>
    </row>
    <row r="561" spans="1:3">
      <c r="A561">
        <v>0</v>
      </c>
      <c r="B561">
        <v>4.404</v>
      </c>
      <c r="C561">
        <v>4.8</v>
      </c>
    </row>
    <row r="562" spans="1:3">
      <c r="A562">
        <v>10</v>
      </c>
      <c r="B562">
        <v>19.6</v>
      </c>
      <c r="C562">
        <v>3.89</v>
      </c>
    </row>
    <row r="563" spans="1:3">
      <c r="A563">
        <v>20</v>
      </c>
      <c r="B563">
        <v>21.52</v>
      </c>
      <c r="C563">
        <v>3.62</v>
      </c>
    </row>
    <row r="564" spans="1:3">
      <c r="A564">
        <v>40</v>
      </c>
      <c r="B564">
        <v>23.6</v>
      </c>
      <c r="C564">
        <v>3.89</v>
      </c>
    </row>
    <row r="565" spans="1:3">
      <c r="A565">
        <v>60</v>
      </c>
      <c r="B565">
        <v>25.28</v>
      </c>
      <c r="C565">
        <v>3.82</v>
      </c>
    </row>
    <row r="566" spans="1:3">
      <c r="A566">
        <v>120</v>
      </c>
      <c r="B566">
        <v>28.56</v>
      </c>
      <c r="C566">
        <v>4.14</v>
      </c>
    </row>
    <row r="567" spans="1:3">
      <c r="A567">
        <v>180</v>
      </c>
      <c r="B567">
        <v>30.43</v>
      </c>
      <c r="C567">
        <v>4.32</v>
      </c>
    </row>
    <row r="568" spans="1:3">
      <c r="A568">
        <v>240</v>
      </c>
      <c r="B568">
        <v>31.03</v>
      </c>
      <c r="C568">
        <v>4.22</v>
      </c>
    </row>
    <row r="569" spans="1:3">
      <c r="A569">
        <v>300</v>
      </c>
      <c r="B569">
        <v>32.39</v>
      </c>
      <c r="C569">
        <v>4.39</v>
      </c>
    </row>
    <row r="570" spans="1:3">
      <c r="A570">
        <v>400</v>
      </c>
      <c r="B570">
        <v>33.73</v>
      </c>
      <c r="C570">
        <v>4.73</v>
      </c>
    </row>
    <row r="571" spans="1:3">
      <c r="A571">
        <v>500</v>
      </c>
      <c r="B571">
        <v>33.97</v>
      </c>
      <c r="C571">
        <v>4.63</v>
      </c>
    </row>
    <row r="572" spans="1:3">
      <c r="A572">
        <v>1200</v>
      </c>
      <c r="B572">
        <v>36.79</v>
      </c>
      <c r="C572">
        <v>6.6</v>
      </c>
    </row>
    <row r="577" spans="1:2">
      <c r="A577">
        <v>20220317</v>
      </c>
      <c r="B577" t="s">
        <v>131</v>
      </c>
    </row>
    <row r="578" spans="2:6">
      <c r="B578" t="s">
        <v>132</v>
      </c>
      <c r="C578" s="1" t="s">
        <v>1</v>
      </c>
      <c r="D578" s="1"/>
      <c r="E578" s="1"/>
      <c r="F578" s="1"/>
    </row>
    <row r="579" spans="2:6">
      <c r="B579">
        <v>0.5</v>
      </c>
      <c r="C579">
        <f>AVERAGE(D579:F579)</f>
        <v>2.29833333333333</v>
      </c>
      <c r="D579">
        <v>2.293</v>
      </c>
      <c r="E579">
        <v>2.343</v>
      </c>
      <c r="F579">
        <v>2.259</v>
      </c>
    </row>
    <row r="580" spans="2:6">
      <c r="B580">
        <v>0.25</v>
      </c>
      <c r="C580">
        <f>AVERAGE(D580:F580)</f>
        <v>1.46666666666667</v>
      </c>
      <c r="D580">
        <v>1.469</v>
      </c>
      <c r="E580">
        <v>1.472</v>
      </c>
      <c r="F580">
        <v>1.459</v>
      </c>
    </row>
    <row r="581" spans="2:6">
      <c r="B581">
        <v>0.1</v>
      </c>
      <c r="C581">
        <f t="shared" ref="C581:C584" si="86">AVERAGE(D581:F581)</f>
        <v>0.636333333333333</v>
      </c>
      <c r="D581">
        <v>0.636</v>
      </c>
      <c r="E581">
        <v>0.629</v>
      </c>
      <c r="F581">
        <v>0.644</v>
      </c>
    </row>
    <row r="582" spans="2:6">
      <c r="B582">
        <v>0.05</v>
      </c>
      <c r="C582">
        <f t="shared" si="86"/>
        <v>0.322333333333333</v>
      </c>
      <c r="D582">
        <v>0.321</v>
      </c>
      <c r="E582">
        <v>0.328</v>
      </c>
      <c r="F582">
        <v>0.318</v>
      </c>
    </row>
    <row r="583" spans="2:6">
      <c r="B583">
        <v>0.02</v>
      </c>
      <c r="C583">
        <f t="shared" si="86"/>
        <v>0.126666666666667</v>
      </c>
      <c r="D583">
        <v>0.123</v>
      </c>
      <c r="E583">
        <v>0.133</v>
      </c>
      <c r="F583">
        <v>0.124</v>
      </c>
    </row>
    <row r="584" spans="2:6">
      <c r="B584">
        <v>0.01</v>
      </c>
      <c r="C584">
        <f t="shared" si="86"/>
        <v>0.0653333333333333</v>
      </c>
      <c r="D584">
        <v>0.064</v>
      </c>
      <c r="E584">
        <v>0.061</v>
      </c>
      <c r="F584">
        <v>0.071</v>
      </c>
    </row>
    <row r="591" spans="1:9">
      <c r="A591">
        <v>20220317</v>
      </c>
      <c r="B591" s="1" t="s">
        <v>133</v>
      </c>
      <c r="C591" s="1"/>
      <c r="D591" s="1"/>
      <c r="E591" s="1"/>
      <c r="F591" s="1"/>
      <c r="G591" s="1"/>
      <c r="H591" s="1"/>
      <c r="I591" s="1"/>
    </row>
    <row r="592" spans="1:9">
      <c r="A592" t="s">
        <v>134</v>
      </c>
      <c r="B592" s="1" t="s">
        <v>18</v>
      </c>
      <c r="C592" t="s">
        <v>21</v>
      </c>
      <c r="D592" t="s">
        <v>21</v>
      </c>
      <c r="E592" t="s">
        <v>21</v>
      </c>
      <c r="F592" t="s">
        <v>22</v>
      </c>
      <c r="G592" t="s">
        <v>23</v>
      </c>
      <c r="H592" t="s">
        <v>24</v>
      </c>
      <c r="I592" s="1" t="s">
        <v>25</v>
      </c>
    </row>
    <row r="593" spans="2:8">
      <c r="B593" t="s">
        <v>92</v>
      </c>
      <c r="C593">
        <v>0.583</v>
      </c>
      <c r="D593">
        <v>0.598</v>
      </c>
      <c r="E593">
        <v>0.594</v>
      </c>
      <c r="F593">
        <f>AVERAGE(C593:E593)</f>
        <v>0.591666666666667</v>
      </c>
      <c r="G593">
        <f>(F593-0.104)/4.614</f>
        <v>0.105692818956798</v>
      </c>
      <c r="H593">
        <f>(0.5-G593)*50</f>
        <v>19.7153590521601</v>
      </c>
    </row>
    <row r="594" spans="2:9">
      <c r="B594" t="s">
        <v>93</v>
      </c>
      <c r="C594">
        <v>2.214</v>
      </c>
      <c r="D594">
        <v>2.238</v>
      </c>
      <c r="E594">
        <v>2.251</v>
      </c>
      <c r="F594">
        <f>AVERAGE(C594:E594)</f>
        <v>2.23433333333333</v>
      </c>
      <c r="G594">
        <f t="shared" ref="G594:G600" si="87">(F594-0.104)/4.614</f>
        <v>0.461710735442855</v>
      </c>
      <c r="H594">
        <f>(0.5-G594)*50</f>
        <v>1.91446322785725</v>
      </c>
      <c r="I594">
        <f>H593/H594</f>
        <v>10.2981132075472</v>
      </c>
    </row>
    <row r="596" spans="2:8">
      <c r="B596" t="s">
        <v>94</v>
      </c>
      <c r="C596">
        <v>0.161</v>
      </c>
      <c r="D596">
        <v>0.165</v>
      </c>
      <c r="E596">
        <v>0.17</v>
      </c>
      <c r="F596">
        <f>AVERAGE(C596:E596)</f>
        <v>0.165333333333333</v>
      </c>
      <c r="G596">
        <f t="shared" si="87"/>
        <v>0.0132928767519145</v>
      </c>
      <c r="H596">
        <f>(0.25-G596)*50</f>
        <v>11.8353561624043</v>
      </c>
    </row>
    <row r="597" spans="2:9">
      <c r="B597" t="s">
        <v>95</v>
      </c>
      <c r="C597">
        <v>1.255</v>
      </c>
      <c r="D597">
        <v>1.25</v>
      </c>
      <c r="E597">
        <v>1.25</v>
      </c>
      <c r="F597">
        <f>AVERAGE(C597:E597)</f>
        <v>1.25166666666667</v>
      </c>
      <c r="G597">
        <f t="shared" si="87"/>
        <v>0.24873573183066</v>
      </c>
      <c r="H597">
        <f>(0.25-G597)*50</f>
        <v>0.0632134084669847</v>
      </c>
      <c r="I597">
        <f>H596/H597</f>
        <v>187.228571428571</v>
      </c>
    </row>
    <row r="599" spans="2:8">
      <c r="B599" t="s">
        <v>96</v>
      </c>
      <c r="C599">
        <v>0.111</v>
      </c>
      <c r="D599">
        <v>0.114</v>
      </c>
      <c r="E599">
        <v>0.114</v>
      </c>
      <c r="F599">
        <f>AVERAGE(C599:E599)</f>
        <v>0.113</v>
      </c>
      <c r="G599">
        <f t="shared" si="87"/>
        <v>0.00195058517555267</v>
      </c>
      <c r="H599">
        <f>(0.1-G599)*50</f>
        <v>4.90247074122237</v>
      </c>
    </row>
    <row r="600" spans="2:9">
      <c r="B600" t="s">
        <v>97</v>
      </c>
      <c r="C600">
        <v>0.544</v>
      </c>
      <c r="D600">
        <v>0.543</v>
      </c>
      <c r="E600">
        <v>0.552</v>
      </c>
      <c r="F600">
        <f>AVERAGE(C600:E600)</f>
        <v>0.546333333333333</v>
      </c>
      <c r="G600">
        <f t="shared" si="87"/>
        <v>0.095867649183644</v>
      </c>
      <c r="H600">
        <f>(0.1-G600)*50</f>
        <v>0.206617540817799</v>
      </c>
      <c r="I600">
        <f>H599/H600</f>
        <v>23.7272727272729</v>
      </c>
    </row>
    <row r="602" spans="2:8">
      <c r="B602" t="s">
        <v>98</v>
      </c>
      <c r="C602">
        <v>0.093</v>
      </c>
      <c r="D602">
        <v>0.091</v>
      </c>
      <c r="E602">
        <v>0.094</v>
      </c>
      <c r="F602">
        <f>AVERAGE(C602:E602)</f>
        <v>0.0926666666666667</v>
      </c>
      <c r="G602">
        <f>(F602-0.022)/5.828</f>
        <v>0.012125371768474</v>
      </c>
      <c r="H602">
        <f>(0.05-G602)*50</f>
        <v>1.8937314115763</v>
      </c>
    </row>
    <row r="603" spans="2:9">
      <c r="B603" t="s">
        <v>99</v>
      </c>
      <c r="C603">
        <v>0.302</v>
      </c>
      <c r="D603">
        <v>0.312</v>
      </c>
      <c r="E603">
        <v>0.299</v>
      </c>
      <c r="F603">
        <f>AVERAGE(C603:E603)</f>
        <v>0.304333333333333</v>
      </c>
      <c r="G603">
        <f t="shared" ref="G603:G609" si="88">(F603-0.022)/5.828</f>
        <v>0.0484442919240448</v>
      </c>
      <c r="H603">
        <f>(0.05-G603)*50</f>
        <v>0.0777854037977584</v>
      </c>
      <c r="I603">
        <f>H602/H603</f>
        <v>24.345588235294</v>
      </c>
    </row>
    <row r="605" spans="2:8">
      <c r="B605" t="s">
        <v>100</v>
      </c>
      <c r="C605">
        <v>0.094</v>
      </c>
      <c r="D605">
        <v>0.093</v>
      </c>
      <c r="E605">
        <v>0.091</v>
      </c>
      <c r="F605">
        <f>AVERAGE(C605:E605)</f>
        <v>0.0926666666666667</v>
      </c>
      <c r="G605">
        <f t="shared" si="88"/>
        <v>0.012125371768474</v>
      </c>
      <c r="H605">
        <f>(0.02-G605)*50</f>
        <v>0.393731411576298</v>
      </c>
    </row>
    <row r="606" spans="2:9">
      <c r="B606" t="s">
        <v>101</v>
      </c>
      <c r="C606">
        <v>0.135</v>
      </c>
      <c r="D606">
        <v>0.14</v>
      </c>
      <c r="E606">
        <v>0.14</v>
      </c>
      <c r="F606">
        <f>AVERAGE(C606:E606)</f>
        <v>0.138333333333333</v>
      </c>
      <c r="G606">
        <f t="shared" si="88"/>
        <v>0.0199611072981011</v>
      </c>
      <c r="H606">
        <f>(0.02-G606)*50</f>
        <v>0.0019446350949439</v>
      </c>
      <c r="I606">
        <f>H605/H606</f>
        <v>202.470588235299</v>
      </c>
    </row>
    <row r="608" spans="2:8">
      <c r="B608" t="s">
        <v>102</v>
      </c>
      <c r="C608">
        <v>0.085</v>
      </c>
      <c r="D608">
        <v>0.087</v>
      </c>
      <c r="E608">
        <v>0.087</v>
      </c>
      <c r="F608">
        <f>AVERAGE(C608:E608)</f>
        <v>0.0863333333333333</v>
      </c>
      <c r="G608">
        <f t="shared" si="88"/>
        <v>0.0110386639212995</v>
      </c>
      <c r="H608">
        <f>(0.01-G608)*50</f>
        <v>-0.0519331960649736</v>
      </c>
    </row>
    <row r="609" spans="2:9">
      <c r="B609" t="s">
        <v>103</v>
      </c>
      <c r="C609">
        <v>0.085</v>
      </c>
      <c r="D609">
        <v>0.086</v>
      </c>
      <c r="E609">
        <v>0.085</v>
      </c>
      <c r="F609">
        <f>AVERAGE(C609:E609)</f>
        <v>0.0853333333333333</v>
      </c>
      <c r="G609">
        <f t="shared" si="88"/>
        <v>0.0108670784717456</v>
      </c>
      <c r="H609">
        <f>(0.01-G609)*50</f>
        <v>-0.0433539235872797</v>
      </c>
      <c r="I609">
        <f>H608/H609</f>
        <v>1.19788918205805</v>
      </c>
    </row>
    <row r="612" spans="2:4">
      <c r="B612" s="1" t="s">
        <v>135</v>
      </c>
      <c r="C612" s="1"/>
      <c r="D612" s="1"/>
    </row>
    <row r="613" spans="2:4">
      <c r="B613" t="s">
        <v>136</v>
      </c>
      <c r="C613" t="s">
        <v>90</v>
      </c>
      <c r="D613" t="s">
        <v>91</v>
      </c>
    </row>
    <row r="614" spans="2:4">
      <c r="B614">
        <v>0.01</v>
      </c>
      <c r="C614">
        <v>0.05</v>
      </c>
      <c r="D614">
        <v>0.04</v>
      </c>
    </row>
    <row r="615" spans="2:4">
      <c r="B615">
        <v>0.02</v>
      </c>
      <c r="C615">
        <v>0.394</v>
      </c>
      <c r="D615">
        <v>0.02</v>
      </c>
    </row>
    <row r="616" spans="2:4">
      <c r="B616">
        <v>0.05</v>
      </c>
      <c r="C616">
        <v>1.893</v>
      </c>
      <c r="D616">
        <v>0.077</v>
      </c>
    </row>
    <row r="617" spans="2:4">
      <c r="B617">
        <v>0.1</v>
      </c>
      <c r="C617">
        <v>4.902</v>
      </c>
      <c r="D617">
        <v>0.207</v>
      </c>
    </row>
    <row r="618" spans="2:4">
      <c r="B618">
        <v>0.25</v>
      </c>
      <c r="C618">
        <v>11.84</v>
      </c>
      <c r="D618">
        <v>0.06</v>
      </c>
    </row>
    <row r="619" spans="2:4">
      <c r="B619">
        <v>0.5</v>
      </c>
      <c r="C619">
        <v>19.72</v>
      </c>
      <c r="D619">
        <v>1.914</v>
      </c>
    </row>
    <row r="629" spans="1:9">
      <c r="A629">
        <v>20220318</v>
      </c>
      <c r="B629" s="1" t="s">
        <v>130</v>
      </c>
      <c r="C629" s="1"/>
      <c r="D629" s="1"/>
      <c r="E629" s="1"/>
      <c r="F629" s="1"/>
      <c r="G629" s="1"/>
      <c r="H629" s="1"/>
      <c r="I629" s="1"/>
    </row>
    <row r="630" spans="1:9">
      <c r="A630" t="s">
        <v>134</v>
      </c>
      <c r="B630" s="1" t="s">
        <v>18</v>
      </c>
      <c r="C630" t="s">
        <v>21</v>
      </c>
      <c r="D630" t="s">
        <v>21</v>
      </c>
      <c r="E630" t="s">
        <v>21</v>
      </c>
      <c r="F630" t="s">
        <v>22</v>
      </c>
      <c r="G630" t="s">
        <v>23</v>
      </c>
      <c r="H630" t="s">
        <v>24</v>
      </c>
      <c r="I630" s="1"/>
    </row>
    <row r="631" spans="1:8">
      <c r="A631" t="s">
        <v>107</v>
      </c>
      <c r="B631" t="s">
        <v>108</v>
      </c>
      <c r="C631">
        <v>1.19</v>
      </c>
      <c r="D631">
        <v>1.185</v>
      </c>
      <c r="E631">
        <v>1.18</v>
      </c>
      <c r="F631">
        <f>AVERAGE(C631:E631)</f>
        <v>1.185</v>
      </c>
      <c r="G631">
        <f>(F631-0.022)/5.828*10</f>
        <v>1.9955387783116</v>
      </c>
      <c r="H631">
        <f>(2-G631)*10</f>
        <v>0.0446122168840124</v>
      </c>
    </row>
    <row r="632" spans="1:8">
      <c r="A632" t="s">
        <v>110</v>
      </c>
      <c r="B632" t="s">
        <v>108</v>
      </c>
      <c r="C632">
        <v>0.801</v>
      </c>
      <c r="D632">
        <v>0.823</v>
      </c>
      <c r="E632">
        <v>0.806</v>
      </c>
      <c r="F632">
        <f t="shared" ref="F632:F641" si="89">AVERAGE(C632:E632)</f>
        <v>0.81</v>
      </c>
      <c r="G632">
        <f t="shared" ref="G632:G641" si="90">(F632-0.06)/7.115*10</f>
        <v>1.05411103302881</v>
      </c>
      <c r="H632">
        <f t="shared" ref="H632:H641" si="91">(2-G632)*20</f>
        <v>18.9177793394238</v>
      </c>
    </row>
    <row r="633" spans="1:8">
      <c r="A633" t="s">
        <v>111</v>
      </c>
      <c r="B633" t="s">
        <v>108</v>
      </c>
      <c r="C633">
        <v>0.756</v>
      </c>
      <c r="D633">
        <v>0.756</v>
      </c>
      <c r="E633">
        <v>0.753</v>
      </c>
      <c r="F633">
        <f t="shared" si="89"/>
        <v>0.755</v>
      </c>
      <c r="G633">
        <f t="shared" si="90"/>
        <v>0.976809557273366</v>
      </c>
      <c r="H633">
        <f t="shared" si="91"/>
        <v>20.4638088545327</v>
      </c>
    </row>
    <row r="634" spans="1:8">
      <c r="A634" t="s">
        <v>113</v>
      </c>
      <c r="B634" t="s">
        <v>108</v>
      </c>
      <c r="C634">
        <v>0.661</v>
      </c>
      <c r="D634">
        <v>0.659</v>
      </c>
      <c r="E634">
        <v>0.665</v>
      </c>
      <c r="F634">
        <f t="shared" si="89"/>
        <v>0.661666666666667</v>
      </c>
      <c r="G634">
        <f t="shared" si="90"/>
        <v>0.845631295385336</v>
      </c>
      <c r="H634">
        <f t="shared" si="91"/>
        <v>23.0873740922933</v>
      </c>
    </row>
    <row r="635" spans="1:8">
      <c r="A635" t="s">
        <v>114</v>
      </c>
      <c r="B635" t="s">
        <v>108</v>
      </c>
      <c r="C635">
        <v>0.625</v>
      </c>
      <c r="D635">
        <v>0.609</v>
      </c>
      <c r="E635">
        <v>0.622</v>
      </c>
      <c r="F635">
        <f t="shared" si="89"/>
        <v>0.618666666666667</v>
      </c>
      <c r="G635">
        <f t="shared" si="90"/>
        <v>0.785195596158351</v>
      </c>
      <c r="H635">
        <f t="shared" si="91"/>
        <v>24.296088076833</v>
      </c>
    </row>
    <row r="636" spans="1:8">
      <c r="A636" t="s">
        <v>137</v>
      </c>
      <c r="B636" t="s">
        <v>108</v>
      </c>
      <c r="C636">
        <v>0.558</v>
      </c>
      <c r="D636">
        <v>0.555</v>
      </c>
      <c r="E636">
        <v>0.548</v>
      </c>
      <c r="F636">
        <f t="shared" si="89"/>
        <v>0.553666666666667</v>
      </c>
      <c r="G636">
        <f t="shared" si="90"/>
        <v>0.693839306629187</v>
      </c>
      <c r="H636">
        <f t="shared" si="91"/>
        <v>26.1232138674163</v>
      </c>
    </row>
    <row r="637" spans="1:8">
      <c r="A637" t="s">
        <v>138</v>
      </c>
      <c r="B637" t="s">
        <v>108</v>
      </c>
      <c r="C637">
        <v>0.48</v>
      </c>
      <c r="D637">
        <v>0.483</v>
      </c>
      <c r="E637">
        <v>0.484</v>
      </c>
      <c r="F637">
        <f t="shared" si="89"/>
        <v>0.482333333333333</v>
      </c>
      <c r="G637">
        <f t="shared" si="90"/>
        <v>0.593581635043336</v>
      </c>
      <c r="H637">
        <f t="shared" si="91"/>
        <v>28.1283672991333</v>
      </c>
    </row>
    <row r="638" spans="1:8">
      <c r="A638" t="s">
        <v>117</v>
      </c>
      <c r="B638" t="s">
        <v>108</v>
      </c>
      <c r="C638">
        <v>0.378</v>
      </c>
      <c r="D638">
        <v>0.378</v>
      </c>
      <c r="E638">
        <v>0.376</v>
      </c>
      <c r="F638">
        <f t="shared" si="89"/>
        <v>0.377333333333333</v>
      </c>
      <c r="G638">
        <f t="shared" si="90"/>
        <v>0.446006090419302</v>
      </c>
      <c r="H638">
        <f t="shared" si="91"/>
        <v>31.079878191614</v>
      </c>
    </row>
    <row r="639" spans="1:8">
      <c r="A639" t="s">
        <v>118</v>
      </c>
      <c r="B639" t="s">
        <v>108</v>
      </c>
      <c r="C639">
        <v>0.319</v>
      </c>
      <c r="D639">
        <v>0.324</v>
      </c>
      <c r="E639">
        <v>0.326</v>
      </c>
      <c r="F639">
        <f t="shared" si="89"/>
        <v>0.323</v>
      </c>
      <c r="G639">
        <f t="shared" si="90"/>
        <v>0.36964160224877</v>
      </c>
      <c r="H639">
        <f t="shared" si="91"/>
        <v>32.6071679550246</v>
      </c>
    </row>
    <row r="640" spans="1:8">
      <c r="A640" t="s">
        <v>119</v>
      </c>
      <c r="B640" t="s">
        <v>108</v>
      </c>
      <c r="C640">
        <v>0.285</v>
      </c>
      <c r="D640">
        <v>0.288</v>
      </c>
      <c r="E640">
        <v>0.277</v>
      </c>
      <c r="F640">
        <f t="shared" si="89"/>
        <v>0.283333333333333</v>
      </c>
      <c r="G640">
        <f t="shared" si="90"/>
        <v>0.313890840946357</v>
      </c>
      <c r="H640">
        <f t="shared" si="91"/>
        <v>33.7221831810729</v>
      </c>
    </row>
    <row r="641" spans="1:8">
      <c r="A641" t="s">
        <v>120</v>
      </c>
      <c r="B641" t="s">
        <v>108</v>
      </c>
      <c r="C641">
        <v>0.275</v>
      </c>
      <c r="D641">
        <v>0.267</v>
      </c>
      <c r="E641">
        <v>0.26</v>
      </c>
      <c r="F641">
        <f t="shared" si="89"/>
        <v>0.267333333333333</v>
      </c>
      <c r="G641">
        <f t="shared" si="90"/>
        <v>0.29140313890841</v>
      </c>
      <c r="H641">
        <f t="shared" si="91"/>
        <v>34.1719372218318</v>
      </c>
    </row>
    <row r="645" spans="1:9">
      <c r="A645">
        <v>20220318</v>
      </c>
      <c r="B645" s="1" t="s">
        <v>130</v>
      </c>
      <c r="C645" s="1"/>
      <c r="D645" s="1"/>
      <c r="E645" s="1"/>
      <c r="F645" s="1"/>
      <c r="G645" s="1"/>
      <c r="H645" s="1"/>
      <c r="I645" s="1"/>
    </row>
    <row r="646" spans="1:9">
      <c r="A646" t="s">
        <v>88</v>
      </c>
      <c r="B646" s="1" t="s">
        <v>18</v>
      </c>
      <c r="C646" t="s">
        <v>21</v>
      </c>
      <c r="D646" t="s">
        <v>21</v>
      </c>
      <c r="E646" t="s">
        <v>21</v>
      </c>
      <c r="F646" t="s">
        <v>22</v>
      </c>
      <c r="G646" t="s">
        <v>23</v>
      </c>
      <c r="H646" t="s">
        <v>24</v>
      </c>
      <c r="I646" s="1"/>
    </row>
    <row r="647" spans="1:8">
      <c r="A647" t="s">
        <v>107</v>
      </c>
      <c r="B647" t="s">
        <v>123</v>
      </c>
      <c r="C647">
        <v>1.19</v>
      </c>
      <c r="D647">
        <v>1.185</v>
      </c>
      <c r="E647">
        <v>1.18</v>
      </c>
      <c r="F647">
        <f>AVERAGE(C647:E647)</f>
        <v>1.185</v>
      </c>
      <c r="G647">
        <f>(F647-0.022)/5.828*10</f>
        <v>1.9955387783116</v>
      </c>
      <c r="H647">
        <f>(2.15-G647)*10</f>
        <v>1.54461221688401</v>
      </c>
    </row>
    <row r="648" spans="1:8">
      <c r="A648" t="s">
        <v>110</v>
      </c>
      <c r="B648" t="s">
        <v>123</v>
      </c>
      <c r="C648">
        <v>1.231</v>
      </c>
      <c r="D648">
        <v>1.239</v>
      </c>
      <c r="E648">
        <v>1.254</v>
      </c>
      <c r="F648">
        <f t="shared" ref="F648:F657" si="92">AVERAGE(C648:E648)</f>
        <v>1.24133333333333</v>
      </c>
      <c r="G648">
        <f t="shared" ref="G648:G657" si="93">(F648-0.022)/5.828*10</f>
        <v>2.09219858156028</v>
      </c>
      <c r="H648">
        <f t="shared" ref="H648:H657" si="94">(2.15-G648)*10</f>
        <v>0.578014184397162</v>
      </c>
    </row>
    <row r="649" spans="1:8">
      <c r="A649" t="s">
        <v>111</v>
      </c>
      <c r="B649" t="s">
        <v>123</v>
      </c>
      <c r="C649">
        <v>1.228</v>
      </c>
      <c r="D649">
        <v>1.243</v>
      </c>
      <c r="E649">
        <v>1.223</v>
      </c>
      <c r="F649">
        <f t="shared" si="92"/>
        <v>1.23133333333333</v>
      </c>
      <c r="G649">
        <f t="shared" si="93"/>
        <v>2.0750400366049</v>
      </c>
      <c r="H649">
        <f t="shared" si="94"/>
        <v>0.749599633951039</v>
      </c>
    </row>
    <row r="650" spans="1:8">
      <c r="A650" t="s">
        <v>113</v>
      </c>
      <c r="B650" t="s">
        <v>123</v>
      </c>
      <c r="C650">
        <v>1.232</v>
      </c>
      <c r="D650">
        <v>1.24</v>
      </c>
      <c r="E650">
        <v>1.242</v>
      </c>
      <c r="F650">
        <f t="shared" si="92"/>
        <v>1.238</v>
      </c>
      <c r="G650">
        <f t="shared" si="93"/>
        <v>2.08647906657515</v>
      </c>
      <c r="H650">
        <f t="shared" si="94"/>
        <v>0.635209334248459</v>
      </c>
    </row>
    <row r="651" spans="1:8">
      <c r="A651" t="s">
        <v>114</v>
      </c>
      <c r="B651" t="s">
        <v>123</v>
      </c>
      <c r="C651">
        <v>1.245</v>
      </c>
      <c r="D651">
        <v>1.247</v>
      </c>
      <c r="E651">
        <v>1.244</v>
      </c>
      <c r="F651">
        <f t="shared" si="92"/>
        <v>1.24533333333333</v>
      </c>
      <c r="G651">
        <f t="shared" si="93"/>
        <v>2.09906199954244</v>
      </c>
      <c r="H651">
        <f t="shared" si="94"/>
        <v>0.509380004575615</v>
      </c>
    </row>
    <row r="652" spans="1:8">
      <c r="A652" t="s">
        <v>137</v>
      </c>
      <c r="B652" t="s">
        <v>123</v>
      </c>
      <c r="C652">
        <v>1.233</v>
      </c>
      <c r="D652">
        <v>1.279</v>
      </c>
      <c r="E652">
        <v>1.304</v>
      </c>
      <c r="F652">
        <f t="shared" si="92"/>
        <v>1.272</v>
      </c>
      <c r="G652">
        <f t="shared" si="93"/>
        <v>2.14481811942347</v>
      </c>
      <c r="H652">
        <f t="shared" si="94"/>
        <v>0.0518188057652713</v>
      </c>
    </row>
    <row r="653" spans="1:8">
      <c r="A653" t="s">
        <v>138</v>
      </c>
      <c r="B653" t="s">
        <v>123</v>
      </c>
      <c r="C653">
        <v>1.25</v>
      </c>
      <c r="D653">
        <v>1.243</v>
      </c>
      <c r="E653">
        <v>1.25</v>
      </c>
      <c r="F653">
        <f t="shared" si="92"/>
        <v>1.24766666666667</v>
      </c>
      <c r="G653">
        <f t="shared" si="93"/>
        <v>2.10306566003203</v>
      </c>
      <c r="H653">
        <f t="shared" si="94"/>
        <v>0.469343399679709</v>
      </c>
    </row>
    <row r="654" spans="1:8">
      <c r="A654" t="s">
        <v>117</v>
      </c>
      <c r="B654" t="s">
        <v>123</v>
      </c>
      <c r="C654">
        <v>1.188</v>
      </c>
      <c r="D654">
        <v>1.2</v>
      </c>
      <c r="E654">
        <v>1.202</v>
      </c>
      <c r="F654">
        <f t="shared" si="92"/>
        <v>1.19666666666667</v>
      </c>
      <c r="G654">
        <f t="shared" si="93"/>
        <v>2.01555708075955</v>
      </c>
      <c r="H654">
        <f t="shared" si="94"/>
        <v>1.34442919240449</v>
      </c>
    </row>
    <row r="655" spans="1:8">
      <c r="A655" t="s">
        <v>118</v>
      </c>
      <c r="B655" t="s">
        <v>123</v>
      </c>
      <c r="C655">
        <v>1.188</v>
      </c>
      <c r="D655">
        <v>1.183</v>
      </c>
      <c r="E655">
        <v>1.2053</v>
      </c>
      <c r="F655">
        <f t="shared" si="92"/>
        <v>1.1921</v>
      </c>
      <c r="G655">
        <f t="shared" si="93"/>
        <v>2.00772134522992</v>
      </c>
      <c r="H655">
        <f t="shared" si="94"/>
        <v>1.42278654770076</v>
      </c>
    </row>
    <row r="656" spans="1:8">
      <c r="A656" t="s">
        <v>119</v>
      </c>
      <c r="B656" t="s">
        <v>123</v>
      </c>
      <c r="C656">
        <v>1.174</v>
      </c>
      <c r="D656">
        <v>1.183</v>
      </c>
      <c r="E656">
        <v>1.209</v>
      </c>
      <c r="F656">
        <f t="shared" si="92"/>
        <v>1.18866666666667</v>
      </c>
      <c r="G656">
        <f t="shared" si="93"/>
        <v>2.00183024479524</v>
      </c>
      <c r="H656">
        <f t="shared" si="94"/>
        <v>1.48169755204759</v>
      </c>
    </row>
    <row r="657" spans="1:8">
      <c r="A657" t="s">
        <v>120</v>
      </c>
      <c r="B657" t="s">
        <v>123</v>
      </c>
      <c r="C657">
        <v>1.165</v>
      </c>
      <c r="D657">
        <v>1.166</v>
      </c>
      <c r="E657">
        <v>1.178</v>
      </c>
      <c r="F657">
        <f t="shared" si="92"/>
        <v>1.16966666666667</v>
      </c>
      <c r="G657">
        <f t="shared" si="93"/>
        <v>1.96922900938</v>
      </c>
      <c r="H657">
        <f t="shared" si="94"/>
        <v>1.80770990619995</v>
      </c>
    </row>
    <row r="661" spans="2:4">
      <c r="B661" s="6"/>
      <c r="C661" s="6" t="s">
        <v>88</v>
      </c>
      <c r="D661" s="6"/>
    </row>
    <row r="662" spans="2:4">
      <c r="B662" s="6" t="s">
        <v>124</v>
      </c>
      <c r="C662" s="6" t="s">
        <v>58</v>
      </c>
      <c r="D662" s="6" t="s">
        <v>59</v>
      </c>
    </row>
    <row r="663" spans="2:4">
      <c r="B663" s="6">
        <v>0</v>
      </c>
      <c r="C663" s="6">
        <v>1.445</v>
      </c>
      <c r="D663" s="6">
        <v>1.55</v>
      </c>
    </row>
    <row r="664" spans="2:4">
      <c r="B664" s="6">
        <v>10</v>
      </c>
      <c r="C664" s="6">
        <v>18.92</v>
      </c>
      <c r="D664" s="6">
        <v>0.58</v>
      </c>
    </row>
    <row r="665" spans="2:4">
      <c r="B665" s="6">
        <v>20</v>
      </c>
      <c r="C665" s="6">
        <v>20.46</v>
      </c>
      <c r="D665" s="6">
        <v>0.75</v>
      </c>
    </row>
    <row r="666" spans="2:4">
      <c r="B666" s="6">
        <v>40</v>
      </c>
      <c r="C666" s="6">
        <v>23.09</v>
      </c>
      <c r="D666" s="6">
        <v>0.64</v>
      </c>
    </row>
    <row r="667" spans="2:4">
      <c r="B667" s="6">
        <v>60</v>
      </c>
      <c r="C667" s="6">
        <v>24.29</v>
      </c>
      <c r="D667" s="6">
        <v>0.51</v>
      </c>
    </row>
    <row r="668" spans="2:4">
      <c r="B668" s="6">
        <v>90</v>
      </c>
      <c r="C668" s="6">
        <v>26.12</v>
      </c>
      <c r="D668" s="6">
        <v>0.05</v>
      </c>
    </row>
    <row r="669" spans="2:4">
      <c r="B669" s="6">
        <v>140</v>
      </c>
      <c r="C669" s="6">
        <v>28.13</v>
      </c>
      <c r="D669" s="6">
        <v>0.47</v>
      </c>
    </row>
    <row r="670" spans="2:4">
      <c r="B670" s="6">
        <v>200</v>
      </c>
      <c r="C670" s="6">
        <v>31.08</v>
      </c>
      <c r="D670" s="6">
        <v>1.34</v>
      </c>
    </row>
    <row r="671" spans="2:4">
      <c r="B671" s="6">
        <v>300</v>
      </c>
      <c r="C671" s="6">
        <v>32.61</v>
      </c>
      <c r="D671" s="6">
        <v>1.42</v>
      </c>
    </row>
    <row r="672" spans="2:4">
      <c r="B672" s="6">
        <v>400</v>
      </c>
      <c r="C672" s="6">
        <v>33.72</v>
      </c>
      <c r="D672" s="6">
        <v>1.48</v>
      </c>
    </row>
    <row r="673" spans="2:4">
      <c r="B673" s="6">
        <v>500</v>
      </c>
      <c r="C673" s="6">
        <v>34.17</v>
      </c>
      <c r="D673" s="6">
        <v>1.81</v>
      </c>
    </row>
    <row r="676" spans="1:7">
      <c r="A676">
        <v>20220319</v>
      </c>
      <c r="B676" s="7" t="s">
        <v>139</v>
      </c>
      <c r="C676" s="7"/>
      <c r="D676" s="7"/>
      <c r="E676" s="7"/>
      <c r="F676" s="7"/>
      <c r="G676" s="7"/>
    </row>
    <row r="677" spans="2:7">
      <c r="B677" t="s">
        <v>140</v>
      </c>
      <c r="C677" s="8" t="s">
        <v>141</v>
      </c>
      <c r="D677" s="8" t="s">
        <v>142</v>
      </c>
      <c r="E677" s="8" t="s">
        <v>143</v>
      </c>
      <c r="F677" s="8" t="s">
        <v>22</v>
      </c>
      <c r="G677" s="8" t="s">
        <v>23</v>
      </c>
    </row>
    <row r="678" spans="2:7">
      <c r="B678" s="9" t="s">
        <v>144</v>
      </c>
      <c r="C678">
        <v>0.016</v>
      </c>
      <c r="D678">
        <v>0.02</v>
      </c>
      <c r="E678">
        <v>0.017</v>
      </c>
      <c r="F678">
        <f>AVERAGE(C678:E678)</f>
        <v>0.0176666666666667</v>
      </c>
      <c r="G678">
        <f>F678/8.657*5</f>
        <v>0.010203688729737</v>
      </c>
    </row>
    <row r="679" spans="2:7">
      <c r="B679" s="9" t="s">
        <v>145</v>
      </c>
      <c r="C679">
        <v>0.023</v>
      </c>
      <c r="D679">
        <v>0.024</v>
      </c>
      <c r="E679">
        <v>0.018</v>
      </c>
      <c r="F679">
        <f t="shared" ref="F679:F686" si="95">AVERAGE(C679:E679)</f>
        <v>0.0216666666666667</v>
      </c>
      <c r="G679">
        <f t="shared" ref="G679:G686" si="96">F679/8.657*5</f>
        <v>0.0125139578760926</v>
      </c>
    </row>
    <row r="680" spans="2:7">
      <c r="B680" s="9" t="s">
        <v>146</v>
      </c>
      <c r="C680">
        <v>0.029</v>
      </c>
      <c r="D680">
        <v>0.026</v>
      </c>
      <c r="E680">
        <v>0.017</v>
      </c>
      <c r="F680">
        <f t="shared" si="95"/>
        <v>0.024</v>
      </c>
      <c r="G680">
        <f t="shared" si="96"/>
        <v>0.0138616148781333</v>
      </c>
    </row>
    <row r="681" spans="2:7">
      <c r="B681" s="9" t="s">
        <v>147</v>
      </c>
      <c r="C681">
        <v>0.027</v>
      </c>
      <c r="D681">
        <v>0.027</v>
      </c>
      <c r="E681">
        <v>0.027</v>
      </c>
      <c r="F681">
        <f t="shared" si="95"/>
        <v>0.027</v>
      </c>
      <c r="G681">
        <f t="shared" si="96"/>
        <v>0.0155943167379</v>
      </c>
    </row>
    <row r="682" spans="2:7">
      <c r="B682" s="9" t="s">
        <v>148</v>
      </c>
      <c r="C682">
        <v>0.054</v>
      </c>
      <c r="D682">
        <v>0.056</v>
      </c>
      <c r="E682">
        <v>0.053</v>
      </c>
      <c r="F682">
        <f t="shared" si="95"/>
        <v>0.0543333333333333</v>
      </c>
      <c r="G682">
        <f t="shared" si="96"/>
        <v>0.0313811559046629</v>
      </c>
    </row>
    <row r="683" spans="2:7">
      <c r="B683" s="9" t="s">
        <v>149</v>
      </c>
      <c r="C683">
        <v>0.057</v>
      </c>
      <c r="D683">
        <v>0.056</v>
      </c>
      <c r="E683">
        <v>0.053</v>
      </c>
      <c r="F683">
        <f t="shared" si="95"/>
        <v>0.0553333333333333</v>
      </c>
      <c r="G683">
        <f t="shared" si="96"/>
        <v>0.0319587231912518</v>
      </c>
    </row>
    <row r="684" spans="2:7">
      <c r="B684" s="9" t="s">
        <v>150</v>
      </c>
      <c r="C684">
        <v>0.074</v>
      </c>
      <c r="D684">
        <v>0.073</v>
      </c>
      <c r="E684">
        <v>0.071</v>
      </c>
      <c r="F684">
        <f t="shared" si="95"/>
        <v>0.0726666666666667</v>
      </c>
      <c r="G684">
        <f t="shared" si="96"/>
        <v>0.0419698894921258</v>
      </c>
    </row>
    <row r="685" spans="2:7">
      <c r="B685" s="9" t="s">
        <v>151</v>
      </c>
      <c r="C685">
        <v>0.114</v>
      </c>
      <c r="D685">
        <v>0.1</v>
      </c>
      <c r="E685">
        <v>0.099</v>
      </c>
      <c r="F685">
        <f t="shared" si="95"/>
        <v>0.104333333333333</v>
      </c>
      <c r="G685">
        <f t="shared" si="96"/>
        <v>0.0602595202341073</v>
      </c>
    </row>
    <row r="686" spans="2:7">
      <c r="B686" s="9" t="s">
        <v>152</v>
      </c>
      <c r="C686">
        <v>0.122</v>
      </c>
      <c r="D686">
        <v>0.114</v>
      </c>
      <c r="E686">
        <v>0.113</v>
      </c>
      <c r="F686">
        <f t="shared" si="95"/>
        <v>0.116333333333333</v>
      </c>
      <c r="G686">
        <f t="shared" si="96"/>
        <v>0.0671903276731739</v>
      </c>
    </row>
    <row r="707" spans="1:7">
      <c r="A707">
        <v>20220319</v>
      </c>
      <c r="B707" s="10" t="s">
        <v>153</v>
      </c>
      <c r="C707" s="10"/>
      <c r="D707" s="10"/>
      <c r="E707" s="10"/>
      <c r="F707" s="10"/>
      <c r="G707" s="10"/>
    </row>
    <row r="708" spans="2:7">
      <c r="B708" s="8" t="s">
        <v>154</v>
      </c>
      <c r="C708" s="8" t="s">
        <v>141</v>
      </c>
      <c r="D708" s="8" t="s">
        <v>141</v>
      </c>
      <c r="E708" t="s">
        <v>141</v>
      </c>
      <c r="F708" s="8" t="s">
        <v>22</v>
      </c>
      <c r="G708" s="8" t="s">
        <v>23</v>
      </c>
    </row>
    <row r="709" spans="2:7">
      <c r="B709" s="9" t="s">
        <v>144</v>
      </c>
      <c r="C709">
        <v>2.401</v>
      </c>
      <c r="D709">
        <v>2.511</v>
      </c>
      <c r="E709">
        <v>2.428</v>
      </c>
      <c r="F709">
        <f>AVERAGE(C709:E709)</f>
        <v>2.44666666666667</v>
      </c>
      <c r="G709">
        <f>(F709-0.432)/4.1605</f>
        <v>0.484236670272003</v>
      </c>
    </row>
    <row r="710" spans="2:7">
      <c r="B710" s="9" t="s">
        <v>145</v>
      </c>
      <c r="C710">
        <v>2.729</v>
      </c>
      <c r="D710">
        <v>2.869</v>
      </c>
      <c r="E710">
        <v>2.799</v>
      </c>
      <c r="F710">
        <f t="shared" ref="F710:F717" si="97">AVERAGE(C710:E710)</f>
        <v>2.799</v>
      </c>
      <c r="G710">
        <f t="shared" ref="G710:G717" si="98">(F710-0.432)/4.1605</f>
        <v>0.568922004566759</v>
      </c>
    </row>
    <row r="711" spans="2:7">
      <c r="B711" s="9" t="s">
        <v>146</v>
      </c>
      <c r="C711">
        <v>3.022</v>
      </c>
      <c r="D711">
        <v>3.029</v>
      </c>
      <c r="E711">
        <v>3.015</v>
      </c>
      <c r="F711">
        <f t="shared" si="97"/>
        <v>3.022</v>
      </c>
      <c r="G711">
        <f t="shared" si="98"/>
        <v>0.622521331570725</v>
      </c>
    </row>
    <row r="712" spans="2:7">
      <c r="B712" s="9" t="s">
        <v>147</v>
      </c>
      <c r="C712">
        <v>3.063</v>
      </c>
      <c r="D712">
        <v>3.05</v>
      </c>
      <c r="E712">
        <v>2.895</v>
      </c>
      <c r="F712">
        <f t="shared" si="97"/>
        <v>3.00266666666667</v>
      </c>
      <c r="G712">
        <f t="shared" si="98"/>
        <v>0.617874454192204</v>
      </c>
    </row>
    <row r="713" spans="2:7">
      <c r="B713" s="9" t="s">
        <v>148</v>
      </c>
      <c r="C713">
        <v>3.134</v>
      </c>
      <c r="D713">
        <v>3.238</v>
      </c>
      <c r="E713">
        <v>3.036</v>
      </c>
      <c r="F713">
        <f t="shared" si="97"/>
        <v>3.136</v>
      </c>
      <c r="G713">
        <f t="shared" si="98"/>
        <v>0.649921884388896</v>
      </c>
    </row>
    <row r="714" spans="2:7">
      <c r="B714" s="9" t="s">
        <v>149</v>
      </c>
      <c r="C714">
        <v>2.823</v>
      </c>
      <c r="D714">
        <v>2.798</v>
      </c>
      <c r="E714">
        <v>2.856</v>
      </c>
      <c r="F714">
        <f t="shared" si="97"/>
        <v>2.82566666666667</v>
      </c>
      <c r="G714">
        <f t="shared" si="98"/>
        <v>0.575331490606097</v>
      </c>
    </row>
    <row r="715" spans="2:7">
      <c r="B715" s="9" t="s">
        <v>150</v>
      </c>
      <c r="C715">
        <v>2.877</v>
      </c>
      <c r="D715">
        <v>3.067</v>
      </c>
      <c r="E715">
        <v>2.947</v>
      </c>
      <c r="F715">
        <f t="shared" si="97"/>
        <v>2.96366666666667</v>
      </c>
      <c r="G715">
        <f t="shared" si="98"/>
        <v>0.608500580859672</v>
      </c>
    </row>
    <row r="716" spans="2:7">
      <c r="B716" s="9" t="s">
        <v>151</v>
      </c>
      <c r="C716">
        <v>2.789</v>
      </c>
      <c r="D716">
        <v>2.751</v>
      </c>
      <c r="E716">
        <v>2.824</v>
      </c>
      <c r="F716">
        <f t="shared" si="97"/>
        <v>2.788</v>
      </c>
      <c r="G716">
        <f t="shared" si="98"/>
        <v>0.566278091575532</v>
      </c>
    </row>
    <row r="717" spans="2:7">
      <c r="B717" s="9" t="s">
        <v>152</v>
      </c>
      <c r="C717">
        <v>3.062</v>
      </c>
      <c r="D717">
        <v>2.941</v>
      </c>
      <c r="E717">
        <v>2.823</v>
      </c>
      <c r="F717">
        <f t="shared" si="97"/>
        <v>2.942</v>
      </c>
      <c r="G717">
        <f t="shared" si="98"/>
        <v>0.60329287345271</v>
      </c>
    </row>
    <row r="738" spans="1:8">
      <c r="A738" t="s">
        <v>155</v>
      </c>
      <c r="B738" s="11" t="s">
        <v>156</v>
      </c>
      <c r="C738" s="11"/>
      <c r="D738" s="11"/>
      <c r="E738" s="11"/>
      <c r="F738" s="11"/>
      <c r="G738" s="11"/>
      <c r="H738" s="11"/>
    </row>
    <row r="739" spans="2:2">
      <c r="B739" t="s">
        <v>86</v>
      </c>
    </row>
    <row r="740" spans="2:6">
      <c r="B740" t="s">
        <v>79</v>
      </c>
      <c r="C740" s="1" t="s">
        <v>1</v>
      </c>
      <c r="D740" s="1"/>
      <c r="E740" s="1"/>
      <c r="F740" s="1"/>
    </row>
    <row r="741" spans="2:6">
      <c r="B741">
        <v>0.5</v>
      </c>
      <c r="C741">
        <f>AVERAGE(D741:F741)</f>
        <v>2.29066666666667</v>
      </c>
      <c r="D741">
        <v>2.295</v>
      </c>
      <c r="E741">
        <v>2.292</v>
      </c>
      <c r="F741">
        <v>2.285</v>
      </c>
    </row>
    <row r="742" spans="2:6">
      <c r="B742">
        <v>0.25</v>
      </c>
      <c r="C742">
        <f t="shared" ref="C742:C746" si="99">AVERAGE(D742:F742)</f>
        <v>1.476</v>
      </c>
      <c r="D742">
        <v>1.455</v>
      </c>
      <c r="E742">
        <v>1.466</v>
      </c>
      <c r="F742">
        <v>1.507</v>
      </c>
    </row>
    <row r="743" spans="2:6">
      <c r="B743">
        <v>0.1</v>
      </c>
      <c r="C743">
        <f t="shared" si="99"/>
        <v>0.749333333333333</v>
      </c>
      <c r="D743">
        <v>0.755</v>
      </c>
      <c r="E743">
        <v>0.753</v>
      </c>
      <c r="F743">
        <v>0.74</v>
      </c>
    </row>
    <row r="744" spans="2:6">
      <c r="B744">
        <v>0.05</v>
      </c>
      <c r="C744">
        <f t="shared" si="99"/>
        <v>0.400333333333333</v>
      </c>
      <c r="D744">
        <v>0.405</v>
      </c>
      <c r="E744">
        <v>0.398</v>
      </c>
      <c r="F744">
        <v>0.398</v>
      </c>
    </row>
    <row r="745" spans="2:6">
      <c r="B745">
        <v>0.02</v>
      </c>
      <c r="C745">
        <f t="shared" si="99"/>
        <v>0.171666666666667</v>
      </c>
      <c r="D745">
        <v>0.169</v>
      </c>
      <c r="E745">
        <v>0.171</v>
      </c>
      <c r="F745">
        <v>0.175</v>
      </c>
    </row>
    <row r="746" spans="2:6">
      <c r="B746">
        <v>0.01</v>
      </c>
      <c r="C746">
        <f t="shared" si="99"/>
        <v>0.106666666666667</v>
      </c>
      <c r="D746">
        <v>0.102</v>
      </c>
      <c r="E746">
        <v>0.107</v>
      </c>
      <c r="F746">
        <v>0.111</v>
      </c>
    </row>
    <row r="765" spans="1:9">
      <c r="A765">
        <v>20220330</v>
      </c>
      <c r="B765" s="1" t="s">
        <v>104</v>
      </c>
      <c r="C765" s="1"/>
      <c r="D765" s="1"/>
      <c r="E765" s="1"/>
      <c r="F765" s="1"/>
      <c r="G765" s="1"/>
      <c r="H765" s="1"/>
      <c r="I765" s="1"/>
    </row>
    <row r="766" spans="2:9">
      <c r="B766" s="1" t="s">
        <v>18</v>
      </c>
      <c r="C766" t="s">
        <v>21</v>
      </c>
      <c r="D766" t="s">
        <v>21</v>
      </c>
      <c r="E766" t="s">
        <v>21</v>
      </c>
      <c r="F766" t="s">
        <v>22</v>
      </c>
      <c r="G766" t="s">
        <v>23</v>
      </c>
      <c r="H766" t="s">
        <v>24</v>
      </c>
      <c r="I766" s="1" t="s">
        <v>25</v>
      </c>
    </row>
    <row r="767" spans="2:8">
      <c r="B767" t="s">
        <v>92</v>
      </c>
      <c r="C767">
        <v>0.296</v>
      </c>
      <c r="D767">
        <v>0.29</v>
      </c>
      <c r="E767">
        <v>0.277</v>
      </c>
      <c r="F767">
        <f>AVERAGE(C767:E767)</f>
        <v>0.287666666666667</v>
      </c>
      <c r="G767">
        <f>(F767-0.092)/5.677</f>
        <v>0.0344665609770419</v>
      </c>
      <c r="H767">
        <f>(0.5-G767)*50</f>
        <v>23.2766719511479</v>
      </c>
    </row>
    <row r="768" spans="2:9">
      <c r="B768" t="s">
        <v>93</v>
      </c>
      <c r="C768">
        <v>1.873</v>
      </c>
      <c r="D768">
        <v>1.859</v>
      </c>
      <c r="E768">
        <v>1.868</v>
      </c>
      <c r="F768">
        <f>AVERAGE(C768:E768)</f>
        <v>1.86666666666667</v>
      </c>
      <c r="G768">
        <f t="shared" ref="G768:G783" si="100">(F768-0.092)/5.677</f>
        <v>0.31260642358053</v>
      </c>
      <c r="H768">
        <f>(0.5-G768)*50</f>
        <v>9.36967882097352</v>
      </c>
      <c r="I768">
        <f>H767/H768</f>
        <v>2.48425505248316</v>
      </c>
    </row>
    <row r="770" spans="2:8">
      <c r="B770" t="s">
        <v>94</v>
      </c>
      <c r="C770">
        <v>0.209</v>
      </c>
      <c r="D770">
        <v>0.206</v>
      </c>
      <c r="E770">
        <v>0.204</v>
      </c>
      <c r="F770">
        <f>AVERAGE(C770:E770)</f>
        <v>0.206333333333333</v>
      </c>
      <c r="G770">
        <f t="shared" si="100"/>
        <v>0.0201397451705713</v>
      </c>
      <c r="H770">
        <f>(0.25-G770)*50</f>
        <v>11.4930127414714</v>
      </c>
    </row>
    <row r="771" spans="2:9">
      <c r="B771" t="s">
        <v>95</v>
      </c>
      <c r="C771">
        <v>1.079</v>
      </c>
      <c r="D771">
        <v>1.096</v>
      </c>
      <c r="E771">
        <v>1.102</v>
      </c>
      <c r="F771">
        <f>AVERAGE(C771:E771)</f>
        <v>1.09233333333333</v>
      </c>
      <c r="G771">
        <f t="shared" si="100"/>
        <v>0.176208091127943</v>
      </c>
      <c r="H771">
        <f>(0.25-G771)*50</f>
        <v>3.68959544360284</v>
      </c>
      <c r="I771">
        <f>H770/H771</f>
        <v>3.11497911279093</v>
      </c>
    </row>
    <row r="773" spans="2:8">
      <c r="B773" t="s">
        <v>96</v>
      </c>
      <c r="C773">
        <v>0.146</v>
      </c>
      <c r="D773">
        <v>0.135</v>
      </c>
      <c r="E773">
        <v>0.14</v>
      </c>
      <c r="F773">
        <f>AVERAGE(C773:E773)</f>
        <v>0.140333333333333</v>
      </c>
      <c r="G773">
        <f t="shared" si="100"/>
        <v>0.0085138864423698</v>
      </c>
      <c r="H773">
        <f>(0.1-G773)*50</f>
        <v>4.57430567788151</v>
      </c>
    </row>
    <row r="774" spans="2:9">
      <c r="B774" t="s">
        <v>97</v>
      </c>
      <c r="C774">
        <v>0.61</v>
      </c>
      <c r="D774">
        <v>0.618</v>
      </c>
      <c r="E774">
        <v>0.615</v>
      </c>
      <c r="F774">
        <f>AVERAGE(C774:E774)</f>
        <v>0.614333333333333</v>
      </c>
      <c r="G774">
        <f t="shared" si="100"/>
        <v>0.092008690035817</v>
      </c>
      <c r="H774">
        <f>(0.1-G774)*50</f>
        <v>0.399565498209148</v>
      </c>
      <c r="I774">
        <f>H773/H774</f>
        <v>11.4481998530492</v>
      </c>
    </row>
    <row r="776" spans="2:8">
      <c r="B776" t="s">
        <v>98</v>
      </c>
      <c r="C776">
        <v>0.115</v>
      </c>
      <c r="D776">
        <v>0.118</v>
      </c>
      <c r="E776">
        <v>0.121</v>
      </c>
      <c r="F776">
        <f>AVERAGE(C776:E776)</f>
        <v>0.118</v>
      </c>
      <c r="G776">
        <f t="shared" si="100"/>
        <v>0.00457988374141272</v>
      </c>
      <c r="H776">
        <f>(0.05-G776)*50</f>
        <v>2.27100581292936</v>
      </c>
    </row>
    <row r="777" spans="2:9">
      <c r="B777" t="s">
        <v>99</v>
      </c>
      <c r="C777">
        <v>0.337</v>
      </c>
      <c r="D777">
        <v>0.34</v>
      </c>
      <c r="E777">
        <v>0.408</v>
      </c>
      <c r="F777">
        <f>AVERAGE(C777:E777)</f>
        <v>0.361666666666667</v>
      </c>
      <c r="G777">
        <f t="shared" si="100"/>
        <v>0.0475016147026011</v>
      </c>
      <c r="H777">
        <f>(0.05-G777)*50</f>
        <v>0.124919264869943</v>
      </c>
      <c r="I777">
        <f>H776/H777</f>
        <v>18.1797884841363</v>
      </c>
    </row>
    <row r="779" spans="2:8">
      <c r="B779" t="s">
        <v>100</v>
      </c>
      <c r="C779">
        <v>0.128</v>
      </c>
      <c r="D779">
        <v>0.121</v>
      </c>
      <c r="E779">
        <v>0.13</v>
      </c>
      <c r="F779">
        <f>AVERAGE(C779:E779)</f>
        <v>0.126333333333333</v>
      </c>
      <c r="G779">
        <f t="shared" si="100"/>
        <v>0.00604779519699372</v>
      </c>
      <c r="H779">
        <f>(0.02-G779)*50</f>
        <v>0.697610240150314</v>
      </c>
    </row>
    <row r="780" spans="2:9">
      <c r="B780" t="s">
        <v>101</v>
      </c>
      <c r="C780">
        <v>0.102</v>
      </c>
      <c r="D780">
        <v>0.103</v>
      </c>
      <c r="E780">
        <v>0.1</v>
      </c>
      <c r="F780">
        <f>AVERAGE(C780:E780)</f>
        <v>0.101666666666667</v>
      </c>
      <c r="G780">
        <f t="shared" si="100"/>
        <v>0.00170277728847396</v>
      </c>
      <c r="H780">
        <f>(0.02-G780)*50</f>
        <v>0.914861135576302</v>
      </c>
      <c r="I780">
        <f>H779/H780</f>
        <v>0.76253128810731</v>
      </c>
    </row>
    <row r="782" spans="2:8">
      <c r="B782" t="s">
        <v>102</v>
      </c>
      <c r="C782">
        <v>0.125</v>
      </c>
      <c r="D782">
        <v>0.12</v>
      </c>
      <c r="E782">
        <v>0.117</v>
      </c>
      <c r="F782">
        <f>AVERAGE(C782:E782)</f>
        <v>0.120666666666667</v>
      </c>
      <c r="G782">
        <f t="shared" si="100"/>
        <v>0.00504961540719864</v>
      </c>
      <c r="H782">
        <f>(0.01-G782)*50</f>
        <v>0.247519229640068</v>
      </c>
    </row>
    <row r="783" spans="2:9">
      <c r="B783" t="s">
        <v>103</v>
      </c>
      <c r="C783">
        <v>0.096</v>
      </c>
      <c r="D783">
        <v>0.093</v>
      </c>
      <c r="E783">
        <v>0.0103</v>
      </c>
      <c r="F783">
        <f>AVERAGE(C783:E783)</f>
        <v>0.0664333333333333</v>
      </c>
      <c r="G783">
        <f t="shared" si="100"/>
        <v>-0.00450355234572251</v>
      </c>
      <c r="H783">
        <f>(0.01-G783)*50</f>
        <v>0.725177617286125</v>
      </c>
      <c r="I783">
        <f>H782/H783</f>
        <v>0.34132221367556</v>
      </c>
    </row>
    <row r="785" spans="2:4">
      <c r="B785" t="s">
        <v>105</v>
      </c>
      <c r="C785" s="8" t="s">
        <v>157</v>
      </c>
      <c r="D785" s="8" t="s">
        <v>158</v>
      </c>
    </row>
    <row r="786" spans="2:4">
      <c r="B786">
        <v>0.01</v>
      </c>
      <c r="C786">
        <v>0.248</v>
      </c>
      <c r="D786">
        <v>0.725</v>
      </c>
    </row>
    <row r="787" spans="2:4">
      <c r="B787">
        <v>0.02</v>
      </c>
      <c r="C787">
        <v>0.697</v>
      </c>
      <c r="D787">
        <v>0.914</v>
      </c>
    </row>
    <row r="788" spans="2:4">
      <c r="B788">
        <v>0.05</v>
      </c>
      <c r="C788">
        <v>2.271</v>
      </c>
      <c r="D788">
        <v>0.129</v>
      </c>
    </row>
    <row r="789" spans="2:4">
      <c r="B789">
        <v>0.1</v>
      </c>
      <c r="C789">
        <v>4.574</v>
      </c>
      <c r="D789">
        <v>0.399</v>
      </c>
    </row>
    <row r="790" spans="2:4">
      <c r="B790">
        <v>0.25</v>
      </c>
      <c r="C790">
        <v>11.49</v>
      </c>
      <c r="D790">
        <v>3.689</v>
      </c>
    </row>
    <row r="791" spans="2:4">
      <c r="B791">
        <v>0.5</v>
      </c>
      <c r="C791">
        <v>23.277</v>
      </c>
      <c r="D791">
        <v>9.369</v>
      </c>
    </row>
    <row r="803" spans="1:9">
      <c r="A803">
        <v>20220330</v>
      </c>
      <c r="B803" s="10" t="s">
        <v>159</v>
      </c>
      <c r="C803" s="1"/>
      <c r="D803" s="1"/>
      <c r="E803" s="1"/>
      <c r="F803" s="1"/>
      <c r="G803" s="1"/>
      <c r="H803" s="1"/>
      <c r="I803" s="1"/>
    </row>
    <row r="804" spans="1:9">
      <c r="A804" s="8" t="s">
        <v>129</v>
      </c>
      <c r="B804" s="1" t="s">
        <v>18</v>
      </c>
      <c r="C804" t="s">
        <v>21</v>
      </c>
      <c r="D804" t="s">
        <v>21</v>
      </c>
      <c r="E804" t="s">
        <v>21</v>
      </c>
      <c r="F804" t="s">
        <v>22</v>
      </c>
      <c r="G804" t="s">
        <v>23</v>
      </c>
      <c r="H804" t="s">
        <v>24</v>
      </c>
      <c r="I804" s="1"/>
    </row>
    <row r="805" spans="1:8">
      <c r="A805" t="s">
        <v>107</v>
      </c>
      <c r="B805" t="s">
        <v>108</v>
      </c>
      <c r="C805">
        <v>1.475</v>
      </c>
      <c r="D805">
        <v>1.465</v>
      </c>
      <c r="E805">
        <v>1.475</v>
      </c>
      <c r="F805">
        <f>AVERAGE(C805:E805)</f>
        <v>1.47166666666667</v>
      </c>
      <c r="G805">
        <f>(F805-0.092)/5.677*10</f>
        <v>2.4302742058599</v>
      </c>
      <c r="H805">
        <f>(2.5-G805)*10</f>
        <v>0.697257941400968</v>
      </c>
    </row>
    <row r="806" spans="1:8">
      <c r="A806" t="s">
        <v>109</v>
      </c>
      <c r="B806" t="s">
        <v>108</v>
      </c>
      <c r="C806">
        <v>0.316</v>
      </c>
      <c r="D806">
        <v>0.309</v>
      </c>
      <c r="E806">
        <v>0.311</v>
      </c>
      <c r="F806">
        <f t="shared" ref="F806:F815" si="101">AVERAGE(C806:E806)</f>
        <v>0.312</v>
      </c>
      <c r="G806">
        <f t="shared" ref="G806:G815" si="102">(F806-0.092)/5.677*10</f>
        <v>0.387528624273384</v>
      </c>
      <c r="H806">
        <f t="shared" ref="H806:H815" si="103">(2.5-G806)*10</f>
        <v>21.1247137572662</v>
      </c>
    </row>
    <row r="807" spans="1:8">
      <c r="A807" t="s">
        <v>110</v>
      </c>
      <c r="B807" t="s">
        <v>108</v>
      </c>
      <c r="C807">
        <v>0.232</v>
      </c>
      <c r="D807">
        <v>0.226</v>
      </c>
      <c r="E807">
        <v>0.229</v>
      </c>
      <c r="F807">
        <f t="shared" si="101"/>
        <v>0.229</v>
      </c>
      <c r="G807">
        <f t="shared" si="102"/>
        <v>0.241324643297516</v>
      </c>
      <c r="H807">
        <f t="shared" si="103"/>
        <v>22.5867535670248</v>
      </c>
    </row>
    <row r="808" spans="1:8">
      <c r="A808" t="s">
        <v>111</v>
      </c>
      <c r="B808" t="s">
        <v>108</v>
      </c>
      <c r="C808">
        <v>0.158</v>
      </c>
      <c r="D808">
        <v>0.152</v>
      </c>
      <c r="E808">
        <v>0.152</v>
      </c>
      <c r="F808">
        <f t="shared" si="101"/>
        <v>0.154</v>
      </c>
      <c r="G808">
        <f t="shared" si="102"/>
        <v>0.109212612295226</v>
      </c>
      <c r="H808">
        <f t="shared" si="103"/>
        <v>23.9078738770477</v>
      </c>
    </row>
    <row r="809" spans="1:8">
      <c r="A809" t="s">
        <v>112</v>
      </c>
      <c r="B809" t="s">
        <v>108</v>
      </c>
      <c r="C809">
        <v>0.164</v>
      </c>
      <c r="D809">
        <v>0.152</v>
      </c>
      <c r="E809">
        <v>0.151</v>
      </c>
      <c r="F809">
        <f t="shared" si="101"/>
        <v>0.155666666666667</v>
      </c>
      <c r="G809">
        <f t="shared" si="102"/>
        <v>0.112148435206388</v>
      </c>
      <c r="H809">
        <f t="shared" si="103"/>
        <v>23.8785156479361</v>
      </c>
    </row>
    <row r="810" spans="1:8">
      <c r="A810" t="s">
        <v>113</v>
      </c>
      <c r="B810" t="s">
        <v>108</v>
      </c>
      <c r="C810">
        <v>0.138</v>
      </c>
      <c r="D810">
        <v>0.135</v>
      </c>
      <c r="E810">
        <v>0.13</v>
      </c>
      <c r="F810">
        <f t="shared" si="101"/>
        <v>0.134333333333333</v>
      </c>
      <c r="G810">
        <f t="shared" si="102"/>
        <v>0.0745699019435148</v>
      </c>
      <c r="H810">
        <f t="shared" si="103"/>
        <v>24.2543009805648</v>
      </c>
    </row>
    <row r="811" spans="1:8">
      <c r="A811" t="s">
        <v>114</v>
      </c>
      <c r="B811" t="s">
        <v>108</v>
      </c>
      <c r="C811">
        <v>0.138</v>
      </c>
      <c r="D811">
        <v>0.139</v>
      </c>
      <c r="E811">
        <v>0.131</v>
      </c>
      <c r="F811">
        <f t="shared" si="101"/>
        <v>0.136</v>
      </c>
      <c r="G811">
        <f t="shared" si="102"/>
        <v>0.0775057248546768</v>
      </c>
      <c r="H811">
        <f t="shared" si="103"/>
        <v>24.2249427514532</v>
      </c>
    </row>
    <row r="812" spans="1:8">
      <c r="A812" t="s">
        <v>115</v>
      </c>
      <c r="B812" t="s">
        <v>108</v>
      </c>
      <c r="C812">
        <v>0.138</v>
      </c>
      <c r="D812">
        <v>0.145</v>
      </c>
      <c r="E812">
        <v>0.14</v>
      </c>
      <c r="F812">
        <f t="shared" si="101"/>
        <v>0.141</v>
      </c>
      <c r="G812">
        <f t="shared" si="102"/>
        <v>0.0863131935881628</v>
      </c>
      <c r="H812">
        <f t="shared" si="103"/>
        <v>24.1368680641184</v>
      </c>
    </row>
    <row r="813" spans="1:8">
      <c r="A813" t="s">
        <v>116</v>
      </c>
      <c r="B813" t="s">
        <v>108</v>
      </c>
      <c r="C813">
        <v>0.154</v>
      </c>
      <c r="D813">
        <v>0.144</v>
      </c>
      <c r="E813">
        <v>0.155</v>
      </c>
      <c r="F813">
        <f t="shared" si="101"/>
        <v>0.151</v>
      </c>
      <c r="G813">
        <f t="shared" si="102"/>
        <v>0.103928131055135</v>
      </c>
      <c r="H813">
        <f t="shared" si="103"/>
        <v>23.9607186894487</v>
      </c>
    </row>
    <row r="814" spans="1:8">
      <c r="A814" t="s">
        <v>117</v>
      </c>
      <c r="B814" t="s">
        <v>108</v>
      </c>
      <c r="C814">
        <v>0.175</v>
      </c>
      <c r="D814">
        <v>0.158</v>
      </c>
      <c r="E814">
        <v>0.14</v>
      </c>
      <c r="F814">
        <f t="shared" si="101"/>
        <v>0.157666666666667</v>
      </c>
      <c r="G814">
        <f t="shared" si="102"/>
        <v>0.115671422699783</v>
      </c>
      <c r="H814">
        <f t="shared" si="103"/>
        <v>23.8432857730022</v>
      </c>
    </row>
    <row r="815" spans="1:8">
      <c r="A815" t="s">
        <v>118</v>
      </c>
      <c r="B815" t="s">
        <v>108</v>
      </c>
      <c r="C815">
        <v>0.176</v>
      </c>
      <c r="D815">
        <v>0.179</v>
      </c>
      <c r="E815">
        <v>0.165</v>
      </c>
      <c r="F815">
        <f t="shared" si="101"/>
        <v>0.173333333333333</v>
      </c>
      <c r="G815">
        <f t="shared" si="102"/>
        <v>0.143268158064706</v>
      </c>
      <c r="H815">
        <f t="shared" si="103"/>
        <v>23.5673184193529</v>
      </c>
    </row>
    <row r="818" spans="1:9">
      <c r="A818">
        <v>20220330</v>
      </c>
      <c r="B818" s="10" t="s">
        <v>160</v>
      </c>
      <c r="C818" s="1"/>
      <c r="D818" s="1"/>
      <c r="E818" s="1"/>
      <c r="F818" s="1"/>
      <c r="G818" s="1"/>
      <c r="H818" s="1"/>
      <c r="I818" s="1"/>
    </row>
    <row r="819" spans="1:9">
      <c r="A819" t="s">
        <v>88</v>
      </c>
      <c r="B819" s="1" t="s">
        <v>18</v>
      </c>
      <c r="C819" t="s">
        <v>21</v>
      </c>
      <c r="D819" t="s">
        <v>21</v>
      </c>
      <c r="E819" t="s">
        <v>21</v>
      </c>
      <c r="F819" t="s">
        <v>22</v>
      </c>
      <c r="G819" t="s">
        <v>23</v>
      </c>
      <c r="H819" t="s">
        <v>24</v>
      </c>
      <c r="I819" s="1"/>
    </row>
    <row r="820" spans="1:8">
      <c r="A820" t="s">
        <v>107</v>
      </c>
      <c r="B820" t="s">
        <v>123</v>
      </c>
      <c r="C820">
        <v>1.472</v>
      </c>
      <c r="D820">
        <v>1.463</v>
      </c>
      <c r="E820">
        <v>1.473</v>
      </c>
      <c r="F820">
        <f>AVERAGE(C820:E820)</f>
        <v>1.46933333333333</v>
      </c>
      <c r="G820">
        <f>(F820-0.092)/5.677*10</f>
        <v>2.42616405378428</v>
      </c>
      <c r="H820">
        <f>(2.5-G820)*10</f>
        <v>0.738359462157243</v>
      </c>
    </row>
    <row r="821" spans="1:8">
      <c r="A821" t="s">
        <v>109</v>
      </c>
      <c r="B821" t="s">
        <v>123</v>
      </c>
      <c r="C821">
        <v>1.473</v>
      </c>
      <c r="D821">
        <v>1.473</v>
      </c>
      <c r="E821">
        <v>1.463</v>
      </c>
      <c r="F821">
        <f t="shared" ref="F821:F830" si="104">AVERAGE(C821:E821)</f>
        <v>1.46966666666667</v>
      </c>
      <c r="G821">
        <f t="shared" ref="G821:G830" si="105">(F821-0.092)/5.677*10</f>
        <v>2.42675121836651</v>
      </c>
      <c r="H821">
        <f t="shared" ref="H821:H830" si="106">(2.5-G821)*10</f>
        <v>0.732487816334917</v>
      </c>
    </row>
    <row r="822" spans="1:8">
      <c r="A822" t="s">
        <v>110</v>
      </c>
      <c r="B822" t="s">
        <v>123</v>
      </c>
      <c r="C822">
        <v>1.461</v>
      </c>
      <c r="D822">
        <v>1.461</v>
      </c>
      <c r="E822">
        <v>1.467</v>
      </c>
      <c r="F822">
        <f t="shared" si="104"/>
        <v>1.463</v>
      </c>
      <c r="G822">
        <f t="shared" si="105"/>
        <v>2.41500792672186</v>
      </c>
      <c r="H822">
        <f t="shared" si="106"/>
        <v>0.849920732781397</v>
      </c>
    </row>
    <row r="823" spans="1:8">
      <c r="A823" t="s">
        <v>111</v>
      </c>
      <c r="B823" t="s">
        <v>123</v>
      </c>
      <c r="C823">
        <v>1.444</v>
      </c>
      <c r="D823">
        <v>1.441</v>
      </c>
      <c r="E823">
        <v>1.445</v>
      </c>
      <c r="F823">
        <f t="shared" si="104"/>
        <v>1.44333333333333</v>
      </c>
      <c r="G823">
        <f t="shared" si="105"/>
        <v>2.38036521637015</v>
      </c>
      <c r="H823">
        <f t="shared" si="106"/>
        <v>1.19634783629851</v>
      </c>
    </row>
    <row r="824" spans="1:8">
      <c r="A824" t="s">
        <v>112</v>
      </c>
      <c r="B824" t="s">
        <v>123</v>
      </c>
      <c r="C824">
        <v>1.425</v>
      </c>
      <c r="D824">
        <v>1.434</v>
      </c>
      <c r="E824">
        <v>1.428</v>
      </c>
      <c r="F824">
        <f t="shared" si="104"/>
        <v>1.429</v>
      </c>
      <c r="G824">
        <f t="shared" si="105"/>
        <v>2.35511713933416</v>
      </c>
      <c r="H824">
        <f t="shared" si="106"/>
        <v>1.44882860665844</v>
      </c>
    </row>
    <row r="825" spans="1:8">
      <c r="A825" t="s">
        <v>113</v>
      </c>
      <c r="B825" t="s">
        <v>123</v>
      </c>
      <c r="C825">
        <v>1.437</v>
      </c>
      <c r="D825" s="8">
        <v>1.44</v>
      </c>
      <c r="E825">
        <v>1.445</v>
      </c>
      <c r="F825">
        <f t="shared" si="104"/>
        <v>1.44066666666667</v>
      </c>
      <c r="G825">
        <f t="shared" si="105"/>
        <v>2.37566789971229</v>
      </c>
      <c r="H825">
        <f t="shared" si="106"/>
        <v>1.2433210028771</v>
      </c>
    </row>
    <row r="826" spans="1:8">
      <c r="A826" t="s">
        <v>114</v>
      </c>
      <c r="B826" t="s">
        <v>123</v>
      </c>
      <c r="C826">
        <v>1.429</v>
      </c>
      <c r="D826">
        <v>1.433</v>
      </c>
      <c r="E826">
        <v>1.53</v>
      </c>
      <c r="F826">
        <f t="shared" si="104"/>
        <v>1.464</v>
      </c>
      <c r="G826">
        <f t="shared" si="105"/>
        <v>2.41676942046856</v>
      </c>
      <c r="H826">
        <f t="shared" si="106"/>
        <v>0.832305795314423</v>
      </c>
    </row>
    <row r="827" spans="1:8">
      <c r="A827" t="s">
        <v>115</v>
      </c>
      <c r="B827" t="s">
        <v>123</v>
      </c>
      <c r="C827">
        <v>1.443</v>
      </c>
      <c r="D827">
        <v>1.432</v>
      </c>
      <c r="E827">
        <v>1.436</v>
      </c>
      <c r="F827">
        <f t="shared" si="104"/>
        <v>1.437</v>
      </c>
      <c r="G827">
        <f t="shared" si="105"/>
        <v>2.36920908930773</v>
      </c>
      <c r="H827">
        <f t="shared" si="106"/>
        <v>1.30790910692267</v>
      </c>
    </row>
    <row r="828" spans="1:8">
      <c r="A828" t="s">
        <v>116</v>
      </c>
      <c r="B828" t="s">
        <v>123</v>
      </c>
      <c r="C828">
        <v>1.457</v>
      </c>
      <c r="D828">
        <v>1.449</v>
      </c>
      <c r="E828">
        <v>1.436</v>
      </c>
      <c r="F828">
        <f t="shared" si="104"/>
        <v>1.44733333333333</v>
      </c>
      <c r="G828">
        <f t="shared" si="105"/>
        <v>2.38741119135694</v>
      </c>
      <c r="H828">
        <f t="shared" si="106"/>
        <v>1.12588808643062</v>
      </c>
    </row>
    <row r="829" spans="1:8">
      <c r="A829" t="s">
        <v>117</v>
      </c>
      <c r="B829" t="s">
        <v>123</v>
      </c>
      <c r="C829">
        <v>1.444</v>
      </c>
      <c r="D829">
        <v>1.467</v>
      </c>
      <c r="E829">
        <v>1.454</v>
      </c>
      <c r="F829">
        <f t="shared" si="104"/>
        <v>1.455</v>
      </c>
      <c r="G829">
        <f t="shared" si="105"/>
        <v>2.40091597674828</v>
      </c>
      <c r="H829">
        <f t="shared" si="106"/>
        <v>0.990840232517174</v>
      </c>
    </row>
    <row r="830" spans="1:8">
      <c r="A830" t="s">
        <v>118</v>
      </c>
      <c r="B830" t="s">
        <v>123</v>
      </c>
      <c r="C830">
        <v>1.437</v>
      </c>
      <c r="D830">
        <v>1.435</v>
      </c>
      <c r="E830">
        <v>1.445</v>
      </c>
      <c r="F830">
        <f t="shared" si="104"/>
        <v>1.439</v>
      </c>
      <c r="G830">
        <f t="shared" si="105"/>
        <v>2.37273207680113</v>
      </c>
      <c r="H830">
        <f t="shared" si="106"/>
        <v>1.27267923198872</v>
      </c>
    </row>
    <row r="836" spans="2:2">
      <c r="B836" s="8" t="s">
        <v>161</v>
      </c>
    </row>
    <row r="837" spans="1:3">
      <c r="A837" t="s">
        <v>124</v>
      </c>
      <c r="B837" t="s">
        <v>58</v>
      </c>
      <c r="C837" t="s">
        <v>59</v>
      </c>
    </row>
    <row r="838" spans="1:3">
      <c r="A838">
        <v>0</v>
      </c>
      <c r="B838">
        <v>0.697</v>
      </c>
      <c r="C838">
        <v>0.738</v>
      </c>
    </row>
    <row r="839" spans="1:3">
      <c r="A839">
        <v>5</v>
      </c>
      <c r="B839">
        <v>21.125</v>
      </c>
      <c r="C839">
        <v>0.732</v>
      </c>
    </row>
    <row r="840" spans="1:3">
      <c r="A840">
        <v>10</v>
      </c>
      <c r="B840">
        <v>22.586</v>
      </c>
      <c r="C840">
        <v>0.849</v>
      </c>
    </row>
    <row r="841" spans="1:3">
      <c r="A841">
        <v>20</v>
      </c>
      <c r="B841">
        <v>23.908</v>
      </c>
      <c r="C841">
        <v>1.196</v>
      </c>
    </row>
    <row r="842" spans="1:3">
      <c r="A842">
        <v>30</v>
      </c>
      <c r="B842">
        <v>23.878</v>
      </c>
      <c r="C842">
        <v>1.449</v>
      </c>
    </row>
    <row r="843" spans="1:3">
      <c r="A843">
        <v>40</v>
      </c>
      <c r="B843">
        <v>24.254</v>
      </c>
      <c r="C843">
        <v>0.1243</v>
      </c>
    </row>
    <row r="844" spans="1:3">
      <c r="A844">
        <v>60</v>
      </c>
      <c r="B844">
        <v>24.225</v>
      </c>
      <c r="C844">
        <v>0.832</v>
      </c>
    </row>
    <row r="845" spans="1:3">
      <c r="A845">
        <v>80</v>
      </c>
      <c r="B845">
        <v>24.137</v>
      </c>
      <c r="C845">
        <v>0.1307</v>
      </c>
    </row>
    <row r="846" spans="1:3">
      <c r="A846">
        <v>120</v>
      </c>
      <c r="B846">
        <v>23.961</v>
      </c>
      <c r="C846">
        <v>1.126</v>
      </c>
    </row>
    <row r="847" spans="1:3">
      <c r="A847">
        <v>200</v>
      </c>
      <c r="B847">
        <v>23.843</v>
      </c>
      <c r="C847">
        <v>0.991</v>
      </c>
    </row>
    <row r="848" spans="1:3">
      <c r="A848">
        <v>300</v>
      </c>
      <c r="B848">
        <v>23.567</v>
      </c>
      <c r="C848">
        <v>1.273</v>
      </c>
    </row>
    <row r="852" spans="1:8">
      <c r="A852" t="s">
        <v>155</v>
      </c>
      <c r="B852" s="11" t="s">
        <v>162</v>
      </c>
      <c r="C852" s="11"/>
      <c r="D852" s="11"/>
      <c r="E852" s="11"/>
      <c r="F852" s="11"/>
      <c r="G852" s="11"/>
      <c r="H852" s="11"/>
    </row>
    <row r="853" spans="2:2">
      <c r="B853" t="s">
        <v>86</v>
      </c>
    </row>
    <row r="854" spans="2:6">
      <c r="B854" s="8" t="s">
        <v>132</v>
      </c>
      <c r="C854" s="1" t="s">
        <v>1</v>
      </c>
      <c r="D854" s="1"/>
      <c r="E854" s="1"/>
      <c r="F854" s="1"/>
    </row>
    <row r="855" spans="2:6">
      <c r="B855">
        <v>0.5</v>
      </c>
      <c r="C855">
        <f>AVERAGE(D855:F855)</f>
        <v>2.294</v>
      </c>
      <c r="D855">
        <v>2.254</v>
      </c>
      <c r="E855">
        <v>2.326</v>
      </c>
      <c r="F855">
        <v>2.302</v>
      </c>
    </row>
    <row r="856" spans="2:6">
      <c r="B856">
        <v>0.25</v>
      </c>
      <c r="C856">
        <f t="shared" ref="C856:C860" si="107">AVERAGE(D856:F856)</f>
        <v>1.50666666666667</v>
      </c>
      <c r="D856">
        <v>1.51</v>
      </c>
      <c r="E856">
        <v>1.507</v>
      </c>
      <c r="F856">
        <v>1.503</v>
      </c>
    </row>
    <row r="857" spans="2:6">
      <c r="B857">
        <v>0.1</v>
      </c>
      <c r="C857">
        <f t="shared" si="107"/>
        <v>0.7</v>
      </c>
      <c r="D857">
        <v>0.699</v>
      </c>
      <c r="E857">
        <v>0.705</v>
      </c>
      <c r="F857">
        <v>0.696</v>
      </c>
    </row>
    <row r="858" spans="2:6">
      <c r="B858">
        <v>0.05</v>
      </c>
      <c r="C858">
        <f t="shared" si="107"/>
        <v>0.359333333333333</v>
      </c>
      <c r="D858">
        <v>0.356</v>
      </c>
      <c r="E858">
        <v>0.357</v>
      </c>
      <c r="F858">
        <v>0.365</v>
      </c>
    </row>
    <row r="859" spans="2:6">
      <c r="B859">
        <v>0.02</v>
      </c>
      <c r="C859">
        <f t="shared" si="107"/>
        <v>0.169</v>
      </c>
      <c r="D859">
        <v>0.171</v>
      </c>
      <c r="E859">
        <v>0.166</v>
      </c>
      <c r="F859">
        <v>0.17</v>
      </c>
    </row>
    <row r="860" spans="2:6">
      <c r="B860">
        <v>0.01</v>
      </c>
      <c r="C860">
        <f t="shared" si="107"/>
        <v>0.0966666666666667</v>
      </c>
      <c r="D860">
        <v>0.098</v>
      </c>
      <c r="E860">
        <v>0.099</v>
      </c>
      <c r="F860">
        <v>0.093</v>
      </c>
    </row>
    <row r="879" spans="1:9">
      <c r="A879">
        <v>20220330</v>
      </c>
      <c r="B879" s="10" t="s">
        <v>163</v>
      </c>
      <c r="C879" s="1"/>
      <c r="D879" s="1"/>
      <c r="E879" s="1"/>
      <c r="F879" s="1"/>
      <c r="G879" s="1"/>
      <c r="H879" s="1"/>
      <c r="I879" s="1"/>
    </row>
    <row r="880" spans="2:9">
      <c r="B880" s="1" t="s">
        <v>18</v>
      </c>
      <c r="C880" t="s">
        <v>21</v>
      </c>
      <c r="D880" t="s">
        <v>21</v>
      </c>
      <c r="E880" t="s">
        <v>21</v>
      </c>
      <c r="F880" t="s">
        <v>22</v>
      </c>
      <c r="G880" t="s">
        <v>23</v>
      </c>
      <c r="H880" t="s">
        <v>24</v>
      </c>
      <c r="I880" s="1" t="s">
        <v>25</v>
      </c>
    </row>
    <row r="881" spans="2:8">
      <c r="B881" t="s">
        <v>92</v>
      </c>
      <c r="C881">
        <v>0.27</v>
      </c>
      <c r="D881">
        <v>0.264</v>
      </c>
      <c r="E881">
        <v>0.27</v>
      </c>
      <c r="F881">
        <f>AVERAGE(C881:E881)</f>
        <v>0.268</v>
      </c>
      <c r="G881">
        <f>(F881-0.063)/5.853</f>
        <v>0.0350247736203656</v>
      </c>
      <c r="H881">
        <f>(0.5-G881)*50</f>
        <v>23.2487613189817</v>
      </c>
    </row>
    <row r="882" spans="2:9">
      <c r="B882" t="s">
        <v>93</v>
      </c>
      <c r="C882">
        <v>2.244</v>
      </c>
      <c r="D882">
        <v>2.306</v>
      </c>
      <c r="E882">
        <v>2.31</v>
      </c>
      <c r="F882">
        <f>AVERAGE(C882:E882)</f>
        <v>2.28666666666667</v>
      </c>
      <c r="G882">
        <f t="shared" ref="G882:G897" si="108">(F882-0.063)/5.853</f>
        <v>0.37991912979099</v>
      </c>
      <c r="H882">
        <f>(0.5-G882)*50</f>
        <v>6.00404351045048</v>
      </c>
      <c r="I882">
        <f>H881/H882</f>
        <v>3.87218401707375</v>
      </c>
    </row>
    <row r="884" spans="2:8">
      <c r="B884" t="s">
        <v>94</v>
      </c>
      <c r="C884">
        <v>0.159</v>
      </c>
      <c r="D884">
        <v>0.161</v>
      </c>
      <c r="E884">
        <v>0.158</v>
      </c>
      <c r="F884">
        <f>AVERAGE(C884:E884)</f>
        <v>0.159333333333333</v>
      </c>
      <c r="G884">
        <f t="shared" si="108"/>
        <v>0.0164587960590011</v>
      </c>
      <c r="H884">
        <f>(0.25-G884)*50</f>
        <v>11.6770601970499</v>
      </c>
    </row>
    <row r="885" spans="2:9">
      <c r="B885" t="s">
        <v>95</v>
      </c>
      <c r="C885">
        <v>1.275</v>
      </c>
      <c r="D885">
        <v>1.249</v>
      </c>
      <c r="E885">
        <v>1.265</v>
      </c>
      <c r="F885">
        <f>AVERAGE(C885:E885)</f>
        <v>1.263</v>
      </c>
      <c r="G885">
        <f t="shared" si="108"/>
        <v>0.205023065094823</v>
      </c>
      <c r="H885">
        <f>(0.25-G885)*50</f>
        <v>2.24884674525884</v>
      </c>
      <c r="I885">
        <f>H884/H885</f>
        <v>5.19246597024375</v>
      </c>
    </row>
    <row r="887" spans="2:8">
      <c r="B887" t="s">
        <v>96</v>
      </c>
      <c r="C887">
        <v>0.15</v>
      </c>
      <c r="D887">
        <v>0.144</v>
      </c>
      <c r="E887">
        <v>0.148</v>
      </c>
      <c r="F887">
        <f>AVERAGE(C887:E887)</f>
        <v>0.147333333333333</v>
      </c>
      <c r="G887">
        <f t="shared" si="108"/>
        <v>0.0144085654080528</v>
      </c>
      <c r="H887">
        <f>(0.1-G887)*50</f>
        <v>4.27957172959736</v>
      </c>
    </row>
    <row r="888" spans="2:9">
      <c r="B888" t="s">
        <v>97</v>
      </c>
      <c r="C888">
        <v>0.584</v>
      </c>
      <c r="D888">
        <v>0.593</v>
      </c>
      <c r="E888">
        <v>0.615</v>
      </c>
      <c r="F888">
        <f>AVERAGE(C888:E888)</f>
        <v>0.597333333333333</v>
      </c>
      <c r="G888">
        <f t="shared" si="108"/>
        <v>0.0912922148186115</v>
      </c>
      <c r="H888">
        <f>(0.1-G888)*50</f>
        <v>0.435389259069423</v>
      </c>
      <c r="I888">
        <f>H887/H888</f>
        <v>9.82930019620666</v>
      </c>
    </row>
    <row r="890" spans="2:8">
      <c r="B890" t="s">
        <v>98</v>
      </c>
      <c r="C890">
        <v>0.109</v>
      </c>
      <c r="D890">
        <v>0.111</v>
      </c>
      <c r="E890">
        <v>0.114</v>
      </c>
      <c r="F890">
        <f>AVERAGE(C890:E890)</f>
        <v>0.111333333333333</v>
      </c>
      <c r="G890">
        <f t="shared" si="108"/>
        <v>0.00825787345520816</v>
      </c>
      <c r="H890">
        <f>(0.05-G890)*50</f>
        <v>2.08710632723959</v>
      </c>
    </row>
    <row r="891" spans="2:9">
      <c r="B891" t="s">
        <v>99</v>
      </c>
      <c r="C891">
        <v>0.281</v>
      </c>
      <c r="D891">
        <v>0.285</v>
      </c>
      <c r="E891">
        <v>0.292</v>
      </c>
      <c r="F891">
        <f>AVERAGE(C891:E891)</f>
        <v>0.286</v>
      </c>
      <c r="G891">
        <f t="shared" si="108"/>
        <v>0.038100119596788</v>
      </c>
      <c r="H891">
        <f>(0.05-G891)*50</f>
        <v>0.594994020160601</v>
      </c>
      <c r="I891">
        <f>H890/H891</f>
        <v>3.50777698013879</v>
      </c>
    </row>
    <row r="893" spans="2:8">
      <c r="B893" t="s">
        <v>100</v>
      </c>
      <c r="C893">
        <v>0.087</v>
      </c>
      <c r="D893">
        <v>0.089</v>
      </c>
      <c r="E893">
        <v>0.087</v>
      </c>
      <c r="F893">
        <f t="shared" ref="F893:F894" si="109">AVERAGE(C893:E893)</f>
        <v>0.0876666666666667</v>
      </c>
      <c r="G893">
        <f t="shared" si="108"/>
        <v>0.00421436300472692</v>
      </c>
      <c r="H893">
        <f>(0.02-G893)*50</f>
        <v>0.789281849763654</v>
      </c>
    </row>
    <row r="894" spans="2:9">
      <c r="B894" t="s">
        <v>101</v>
      </c>
      <c r="C894">
        <v>0.144</v>
      </c>
      <c r="D894">
        <v>0.147</v>
      </c>
      <c r="E894">
        <v>0.147</v>
      </c>
      <c r="F894">
        <f t="shared" si="109"/>
        <v>0.146</v>
      </c>
      <c r="G894">
        <f t="shared" si="108"/>
        <v>0.0141807620023919</v>
      </c>
      <c r="H894">
        <f>(0.02-G894)*50</f>
        <v>0.290961899880403</v>
      </c>
      <c r="I894">
        <f>H893/H894</f>
        <v>2.71266392640438</v>
      </c>
    </row>
    <row r="896" spans="2:8">
      <c r="B896" t="s">
        <v>102</v>
      </c>
      <c r="C896">
        <v>0.102</v>
      </c>
      <c r="D896">
        <v>0.091</v>
      </c>
      <c r="E896">
        <v>0.095</v>
      </c>
      <c r="F896">
        <f>AVERAGE(C896:E896)</f>
        <v>0.096</v>
      </c>
      <c r="G896">
        <f t="shared" si="108"/>
        <v>0.00563813429010764</v>
      </c>
      <c r="H896">
        <f>(0.01-G896)*50</f>
        <v>0.218093285494618</v>
      </c>
    </row>
    <row r="897" spans="2:9">
      <c r="B897" t="s">
        <v>103</v>
      </c>
      <c r="C897">
        <v>0.085</v>
      </c>
      <c r="D897">
        <v>0.086</v>
      </c>
      <c r="E897">
        <v>0.087</v>
      </c>
      <c r="F897">
        <f>AVERAGE(C897:E897)</f>
        <v>0.086</v>
      </c>
      <c r="G897">
        <f t="shared" si="108"/>
        <v>0.00392960874765078</v>
      </c>
      <c r="H897">
        <f>(0.01-G897)*50</f>
        <v>0.303519562617461</v>
      </c>
      <c r="I897">
        <f>H896/H897</f>
        <v>0.718547706163805</v>
      </c>
    </row>
    <row r="899" spans="2:4">
      <c r="B899" t="s">
        <v>105</v>
      </c>
      <c r="C899" s="8" t="s">
        <v>157</v>
      </c>
      <c r="D899" s="8" t="s">
        <v>158</v>
      </c>
    </row>
    <row r="900" spans="2:4">
      <c r="B900">
        <v>0.01</v>
      </c>
      <c r="C900">
        <v>0.218</v>
      </c>
      <c r="D900">
        <v>0.304</v>
      </c>
    </row>
    <row r="901" spans="2:4">
      <c r="B901">
        <v>0.02</v>
      </c>
      <c r="C901">
        <v>0.789</v>
      </c>
      <c r="D901">
        <v>0.291</v>
      </c>
    </row>
    <row r="902" spans="2:4">
      <c r="B902">
        <v>0.05</v>
      </c>
      <c r="C902">
        <v>2.087</v>
      </c>
      <c r="D902">
        <v>0.595</v>
      </c>
    </row>
    <row r="903" spans="2:4">
      <c r="B903">
        <v>0.1</v>
      </c>
      <c r="C903">
        <v>4.279</v>
      </c>
      <c r="D903">
        <v>0.435</v>
      </c>
    </row>
    <row r="904" spans="2:4">
      <c r="B904">
        <v>0.25</v>
      </c>
      <c r="C904">
        <v>11.677</v>
      </c>
      <c r="D904">
        <v>2.249</v>
      </c>
    </row>
    <row r="905" spans="2:4">
      <c r="B905">
        <v>0.5</v>
      </c>
      <c r="C905">
        <v>23.248</v>
      </c>
      <c r="D905">
        <v>6.004</v>
      </c>
    </row>
    <row r="916" spans="1:9">
      <c r="A916">
        <v>20220330</v>
      </c>
      <c r="B916" s="10" t="s">
        <v>164</v>
      </c>
      <c r="C916" s="1"/>
      <c r="D916" s="1"/>
      <c r="E916" s="1"/>
      <c r="F916" s="1"/>
      <c r="G916" s="1"/>
      <c r="H916" s="1"/>
      <c r="I916" s="1"/>
    </row>
    <row r="917" spans="1:9">
      <c r="A917" s="8" t="s">
        <v>134</v>
      </c>
      <c r="B917" s="1" t="s">
        <v>18</v>
      </c>
      <c r="C917" t="s">
        <v>21</v>
      </c>
      <c r="D917" t="s">
        <v>21</v>
      </c>
      <c r="E917" t="s">
        <v>21</v>
      </c>
      <c r="F917" t="s">
        <v>22</v>
      </c>
      <c r="G917" t="s">
        <v>23</v>
      </c>
      <c r="H917" t="s">
        <v>24</v>
      </c>
      <c r="I917" s="1"/>
    </row>
    <row r="918" spans="1:8">
      <c r="A918" t="s">
        <v>107</v>
      </c>
      <c r="B918" t="s">
        <v>108</v>
      </c>
      <c r="C918">
        <v>1.487</v>
      </c>
      <c r="D918">
        <v>1.473</v>
      </c>
      <c r="E918">
        <v>1.48</v>
      </c>
      <c r="F918">
        <f>AVERAGE(C918:E918)</f>
        <v>1.48</v>
      </c>
      <c r="G918">
        <f>(F918-0.063)/5.853*10</f>
        <v>2.42098069366137</v>
      </c>
      <c r="H918">
        <f>(2.5-G918)*10</f>
        <v>0.790193063386297</v>
      </c>
    </row>
    <row r="919" spans="1:8">
      <c r="A919" t="s">
        <v>109</v>
      </c>
      <c r="B919" t="s">
        <v>108</v>
      </c>
      <c r="C919">
        <v>0.342</v>
      </c>
      <c r="D919">
        <v>0.342</v>
      </c>
      <c r="E919">
        <v>0.341</v>
      </c>
      <c r="F919">
        <f t="shared" ref="F919:F928" si="110">AVERAGE(C919:E919)</f>
        <v>0.341666666666667</v>
      </c>
      <c r="G919">
        <f t="shared" ref="G919:G928" si="111">(F919-0.063)/5.853*10</f>
        <v>0.476109117831312</v>
      </c>
      <c r="H919">
        <f t="shared" ref="H919:H928" si="112">(2.5-G919)*10</f>
        <v>20.2389088216869</v>
      </c>
    </row>
    <row r="920" spans="1:8">
      <c r="A920" t="s">
        <v>110</v>
      </c>
      <c r="B920" t="s">
        <v>108</v>
      </c>
      <c r="C920">
        <v>0.216</v>
      </c>
      <c r="D920">
        <v>0.216</v>
      </c>
      <c r="E920">
        <v>0.222</v>
      </c>
      <c r="F920">
        <f t="shared" si="110"/>
        <v>0.218</v>
      </c>
      <c r="G920">
        <f t="shared" si="111"/>
        <v>0.264821459080813</v>
      </c>
      <c r="H920">
        <f t="shared" si="112"/>
        <v>22.3517854091919</v>
      </c>
    </row>
    <row r="921" spans="1:8">
      <c r="A921" t="s">
        <v>111</v>
      </c>
      <c r="B921" t="s">
        <v>108</v>
      </c>
      <c r="C921">
        <v>0.152</v>
      </c>
      <c r="D921">
        <v>0.153</v>
      </c>
      <c r="E921">
        <v>0.151</v>
      </c>
      <c r="F921">
        <f t="shared" si="110"/>
        <v>0.152</v>
      </c>
      <c r="G921">
        <f t="shared" si="111"/>
        <v>0.152058773278661</v>
      </c>
      <c r="H921">
        <f t="shared" si="112"/>
        <v>23.4794122672134</v>
      </c>
    </row>
    <row r="922" spans="1:8">
      <c r="A922" t="s">
        <v>112</v>
      </c>
      <c r="B922" t="s">
        <v>108</v>
      </c>
      <c r="C922">
        <v>0.141</v>
      </c>
      <c r="D922">
        <v>0.138</v>
      </c>
      <c r="E922">
        <v>0.133</v>
      </c>
      <c r="F922">
        <f t="shared" si="110"/>
        <v>0.137333333333333</v>
      </c>
      <c r="G922">
        <f t="shared" si="111"/>
        <v>0.12700039865596</v>
      </c>
      <c r="H922">
        <f t="shared" si="112"/>
        <v>23.7299960134404</v>
      </c>
    </row>
    <row r="923" spans="1:8">
      <c r="A923" t="s">
        <v>113</v>
      </c>
      <c r="B923" t="s">
        <v>108</v>
      </c>
      <c r="C923">
        <v>0.122</v>
      </c>
      <c r="D923">
        <v>0.122</v>
      </c>
      <c r="E923">
        <v>0.123</v>
      </c>
      <c r="F923">
        <f t="shared" si="110"/>
        <v>0.122333333333333</v>
      </c>
      <c r="G923">
        <f t="shared" si="111"/>
        <v>0.101372515519107</v>
      </c>
      <c r="H923">
        <f t="shared" si="112"/>
        <v>23.9862748448089</v>
      </c>
    </row>
    <row r="924" spans="1:8">
      <c r="A924" t="s">
        <v>114</v>
      </c>
      <c r="B924" t="s">
        <v>108</v>
      </c>
      <c r="C924">
        <v>0.121</v>
      </c>
      <c r="D924">
        <v>0.117</v>
      </c>
      <c r="E924">
        <v>0.115</v>
      </c>
      <c r="F924">
        <f t="shared" si="110"/>
        <v>0.117666666666667</v>
      </c>
      <c r="G924">
        <f t="shared" si="111"/>
        <v>0.093399396320975</v>
      </c>
      <c r="H924">
        <f t="shared" si="112"/>
        <v>24.0660060367902</v>
      </c>
    </row>
    <row r="925" spans="1:8">
      <c r="A925" t="s">
        <v>115</v>
      </c>
      <c r="B925" t="s">
        <v>108</v>
      </c>
      <c r="C925">
        <v>0.144</v>
      </c>
      <c r="D925">
        <v>0.12</v>
      </c>
      <c r="E925">
        <v>0.122</v>
      </c>
      <c r="F925">
        <f t="shared" si="110"/>
        <v>0.128666666666667</v>
      </c>
      <c r="G925">
        <f t="shared" si="111"/>
        <v>0.112193177288</v>
      </c>
      <c r="H925">
        <f t="shared" si="112"/>
        <v>23.87806822712</v>
      </c>
    </row>
    <row r="926" spans="1:8">
      <c r="A926" t="s">
        <v>116</v>
      </c>
      <c r="B926" t="s">
        <v>108</v>
      </c>
      <c r="C926">
        <v>0.107</v>
      </c>
      <c r="D926">
        <v>0.109</v>
      </c>
      <c r="E926">
        <v>0.105</v>
      </c>
      <c r="F926">
        <f t="shared" si="110"/>
        <v>0.107</v>
      </c>
      <c r="G926">
        <f t="shared" si="111"/>
        <v>0.0751751238681018</v>
      </c>
      <c r="H926">
        <f t="shared" si="112"/>
        <v>24.248248761319</v>
      </c>
    </row>
    <row r="927" spans="1:8">
      <c r="A927" t="s">
        <v>117</v>
      </c>
      <c r="B927" t="s">
        <v>108</v>
      </c>
      <c r="C927">
        <v>0.121</v>
      </c>
      <c r="D927">
        <v>0.123</v>
      </c>
      <c r="E927">
        <v>0.12</v>
      </c>
      <c r="F927">
        <f t="shared" si="110"/>
        <v>0.121333333333333</v>
      </c>
      <c r="G927">
        <f t="shared" si="111"/>
        <v>0.0996639899766502</v>
      </c>
      <c r="H927">
        <f t="shared" si="112"/>
        <v>24.0033601002335</v>
      </c>
    </row>
    <row r="928" spans="1:8">
      <c r="A928" t="s">
        <v>118</v>
      </c>
      <c r="B928" t="s">
        <v>108</v>
      </c>
      <c r="C928">
        <v>0.115</v>
      </c>
      <c r="D928">
        <v>0.119</v>
      </c>
      <c r="E928">
        <v>0.12</v>
      </c>
      <c r="F928">
        <f t="shared" si="110"/>
        <v>0.118</v>
      </c>
      <c r="G928">
        <f t="shared" si="111"/>
        <v>0.0939689048351273</v>
      </c>
      <c r="H928">
        <f t="shared" si="112"/>
        <v>24.0603109516487</v>
      </c>
    </row>
    <row r="931" spans="1:9">
      <c r="A931">
        <v>20220330</v>
      </c>
      <c r="B931" s="10" t="s">
        <v>160</v>
      </c>
      <c r="C931" s="1"/>
      <c r="D931" s="1"/>
      <c r="E931" s="1"/>
      <c r="F931" s="1"/>
      <c r="G931" s="1"/>
      <c r="H931" s="1"/>
      <c r="I931" s="1"/>
    </row>
    <row r="932" spans="1:9">
      <c r="A932" s="8" t="s">
        <v>134</v>
      </c>
      <c r="B932" s="1" t="s">
        <v>18</v>
      </c>
      <c r="C932" t="s">
        <v>21</v>
      </c>
      <c r="D932" t="s">
        <v>21</v>
      </c>
      <c r="E932" t="s">
        <v>21</v>
      </c>
      <c r="F932" t="s">
        <v>22</v>
      </c>
      <c r="G932" t="s">
        <v>23</v>
      </c>
      <c r="H932" t="s">
        <v>24</v>
      </c>
      <c r="I932" s="1"/>
    </row>
    <row r="933" spans="1:8">
      <c r="A933" t="s">
        <v>107</v>
      </c>
      <c r="B933" t="s">
        <v>123</v>
      </c>
      <c r="C933">
        <v>1.488</v>
      </c>
      <c r="D933">
        <v>1.493</v>
      </c>
      <c r="E933">
        <v>1.493</v>
      </c>
      <c r="F933">
        <f>AVERAGE(C933:E933)</f>
        <v>1.49133333333333</v>
      </c>
      <c r="G933">
        <f>(F933-0.063)/5.853*10</f>
        <v>2.44034398314255</v>
      </c>
      <c r="H933">
        <f>(2.5-G933)*10</f>
        <v>0.596560168574518</v>
      </c>
    </row>
    <row r="934" spans="1:8">
      <c r="A934" t="s">
        <v>109</v>
      </c>
      <c r="B934" t="s">
        <v>123</v>
      </c>
      <c r="C934">
        <v>1.484</v>
      </c>
      <c r="D934">
        <v>1.482</v>
      </c>
      <c r="E934">
        <v>1.485</v>
      </c>
      <c r="F934">
        <f t="shared" ref="F934:F943" si="113">AVERAGE(C934:E934)</f>
        <v>1.48366666666667</v>
      </c>
      <c r="G934">
        <f t="shared" ref="G934:G943" si="114">(F934-0.063)/5.853*10</f>
        <v>2.42724528731705</v>
      </c>
      <c r="H934">
        <f t="shared" ref="H934:H943" si="115">(2.5-G934)*10</f>
        <v>0.727547126829537</v>
      </c>
    </row>
    <row r="935" spans="1:8">
      <c r="A935" t="s">
        <v>110</v>
      </c>
      <c r="B935" t="s">
        <v>123</v>
      </c>
      <c r="C935">
        <v>1.48</v>
      </c>
      <c r="D935">
        <v>1.481</v>
      </c>
      <c r="E935">
        <v>1.481</v>
      </c>
      <c r="F935">
        <f t="shared" si="113"/>
        <v>1.48066666666667</v>
      </c>
      <c r="G935">
        <f t="shared" si="114"/>
        <v>2.42211971068968</v>
      </c>
      <c r="H935">
        <f t="shared" si="115"/>
        <v>0.778802893103245</v>
      </c>
    </row>
    <row r="936" spans="1:8">
      <c r="A936" t="s">
        <v>111</v>
      </c>
      <c r="B936" t="s">
        <v>123</v>
      </c>
      <c r="C936">
        <v>1.489</v>
      </c>
      <c r="D936">
        <v>1.477</v>
      </c>
      <c r="E936">
        <v>1.48</v>
      </c>
      <c r="F936">
        <f t="shared" si="113"/>
        <v>1.482</v>
      </c>
      <c r="G936">
        <f t="shared" si="114"/>
        <v>2.42439774474628</v>
      </c>
      <c r="H936">
        <f t="shared" si="115"/>
        <v>0.756022552537159</v>
      </c>
    </row>
    <row r="937" spans="1:8">
      <c r="A937" t="s">
        <v>112</v>
      </c>
      <c r="B937" t="s">
        <v>123</v>
      </c>
      <c r="C937" s="8">
        <v>1.49</v>
      </c>
      <c r="D937">
        <v>1.498</v>
      </c>
      <c r="E937">
        <v>1.482</v>
      </c>
      <c r="F937">
        <f t="shared" si="113"/>
        <v>1.49</v>
      </c>
      <c r="G937">
        <f t="shared" si="114"/>
        <v>2.43806594908594</v>
      </c>
      <c r="H937">
        <f t="shared" si="115"/>
        <v>0.619340509140609</v>
      </c>
    </row>
    <row r="938" spans="1:8">
      <c r="A938" t="s">
        <v>113</v>
      </c>
      <c r="B938" t="s">
        <v>123</v>
      </c>
      <c r="C938">
        <v>1.481</v>
      </c>
      <c r="D938" s="8">
        <v>1.477</v>
      </c>
      <c r="E938">
        <v>1.49</v>
      </c>
      <c r="F938">
        <f t="shared" si="113"/>
        <v>1.48266666666667</v>
      </c>
      <c r="G938">
        <f t="shared" si="114"/>
        <v>2.42553676177459</v>
      </c>
      <c r="H938">
        <f t="shared" si="115"/>
        <v>0.744632382254111</v>
      </c>
    </row>
    <row r="939" spans="1:8">
      <c r="A939" t="s">
        <v>114</v>
      </c>
      <c r="B939" t="s">
        <v>123</v>
      </c>
      <c r="C939">
        <v>1.491</v>
      </c>
      <c r="D939">
        <v>1.466</v>
      </c>
      <c r="E939">
        <v>1.498</v>
      </c>
      <c r="F939">
        <f t="shared" si="113"/>
        <v>1.485</v>
      </c>
      <c r="G939">
        <f t="shared" si="114"/>
        <v>2.42952332137365</v>
      </c>
      <c r="H939">
        <f t="shared" si="115"/>
        <v>0.704766786263451</v>
      </c>
    </row>
    <row r="940" spans="1:8">
      <c r="A940" t="s">
        <v>115</v>
      </c>
      <c r="B940" t="s">
        <v>123</v>
      </c>
      <c r="C940">
        <v>1.493</v>
      </c>
      <c r="D940">
        <v>1.494</v>
      </c>
      <c r="E940">
        <v>1.479</v>
      </c>
      <c r="F940">
        <f t="shared" si="113"/>
        <v>1.48866666666667</v>
      </c>
      <c r="G940">
        <f t="shared" si="114"/>
        <v>2.43578791502933</v>
      </c>
      <c r="H940">
        <f t="shared" si="115"/>
        <v>0.6421208497067</v>
      </c>
    </row>
    <row r="941" spans="1:8">
      <c r="A941" t="s">
        <v>116</v>
      </c>
      <c r="B941" t="s">
        <v>123</v>
      </c>
      <c r="C941">
        <v>1.457</v>
      </c>
      <c r="D941">
        <v>1.449</v>
      </c>
      <c r="E941">
        <v>1.436</v>
      </c>
      <c r="F941">
        <f t="shared" si="113"/>
        <v>1.44733333333333</v>
      </c>
      <c r="G941">
        <f t="shared" si="114"/>
        <v>2.36516885927445</v>
      </c>
      <c r="H941">
        <f t="shared" si="115"/>
        <v>1.34831140725553</v>
      </c>
    </row>
    <row r="942" spans="1:8">
      <c r="A942" t="s">
        <v>117</v>
      </c>
      <c r="B942" t="s">
        <v>123</v>
      </c>
      <c r="C942">
        <v>1.47</v>
      </c>
      <c r="D942">
        <v>1.487</v>
      </c>
      <c r="E942">
        <v>1.481</v>
      </c>
      <c r="F942">
        <f t="shared" si="113"/>
        <v>1.47933333333333</v>
      </c>
      <c r="G942">
        <f t="shared" si="114"/>
        <v>2.41984167663307</v>
      </c>
      <c r="H942">
        <f t="shared" si="115"/>
        <v>0.801583233669345</v>
      </c>
    </row>
    <row r="943" spans="1:8">
      <c r="A943" t="s">
        <v>118</v>
      </c>
      <c r="B943" t="s">
        <v>123</v>
      </c>
      <c r="C943" s="8">
        <v>1.466</v>
      </c>
      <c r="D943">
        <v>1.487</v>
      </c>
      <c r="E943">
        <v>1.481</v>
      </c>
      <c r="F943">
        <f t="shared" si="113"/>
        <v>1.478</v>
      </c>
      <c r="G943">
        <f t="shared" si="114"/>
        <v>2.41756364257646</v>
      </c>
      <c r="H943">
        <f t="shared" si="115"/>
        <v>0.824363574235436</v>
      </c>
    </row>
    <row r="949" spans="2:2">
      <c r="B949" s="8" t="s">
        <v>165</v>
      </c>
    </row>
    <row r="950" spans="1:3">
      <c r="A950" t="s">
        <v>124</v>
      </c>
      <c r="B950" t="s">
        <v>58</v>
      </c>
      <c r="C950" t="s">
        <v>59</v>
      </c>
    </row>
    <row r="951" spans="1:3">
      <c r="A951">
        <v>0</v>
      </c>
      <c r="B951">
        <v>0.791</v>
      </c>
      <c r="C951">
        <v>0.597</v>
      </c>
    </row>
    <row r="952" spans="1:3">
      <c r="A952">
        <v>5</v>
      </c>
      <c r="B952">
        <v>20.239</v>
      </c>
      <c r="C952">
        <v>0.728</v>
      </c>
    </row>
    <row r="953" spans="1:3">
      <c r="A953">
        <v>10</v>
      </c>
      <c r="B953">
        <v>22.351</v>
      </c>
      <c r="C953">
        <v>0.779</v>
      </c>
    </row>
    <row r="954" spans="1:3">
      <c r="A954">
        <v>20</v>
      </c>
      <c r="B954">
        <v>23.479</v>
      </c>
      <c r="C954">
        <v>0.756</v>
      </c>
    </row>
    <row r="955" spans="1:3">
      <c r="A955">
        <v>30</v>
      </c>
      <c r="B955">
        <v>23.73</v>
      </c>
      <c r="C955">
        <v>0.619</v>
      </c>
    </row>
    <row r="956" spans="1:3">
      <c r="A956">
        <v>40</v>
      </c>
      <c r="B956">
        <v>23.988</v>
      </c>
      <c r="C956">
        <v>0.744</v>
      </c>
    </row>
    <row r="957" spans="1:3">
      <c r="A957">
        <v>60</v>
      </c>
      <c r="B957">
        <v>24.066</v>
      </c>
      <c r="C957">
        <v>0.704</v>
      </c>
    </row>
    <row r="958" spans="1:3">
      <c r="A958">
        <v>80</v>
      </c>
      <c r="B958">
        <v>23.878</v>
      </c>
      <c r="C958">
        <v>0.641</v>
      </c>
    </row>
    <row r="959" spans="1:3">
      <c r="A959">
        <v>120</v>
      </c>
      <c r="B959">
        <v>24.248</v>
      </c>
      <c r="C959">
        <v>1.348</v>
      </c>
    </row>
    <row r="960" spans="1:3">
      <c r="A960">
        <v>200</v>
      </c>
      <c r="B960">
        <v>24.003</v>
      </c>
      <c r="C960">
        <v>0.802</v>
      </c>
    </row>
    <row r="961" spans="1:3">
      <c r="A961">
        <v>300</v>
      </c>
      <c r="B961">
        <v>24.06</v>
      </c>
      <c r="C961">
        <v>0.722</v>
      </c>
    </row>
    <row r="965" spans="1:7">
      <c r="A965" t="s">
        <v>166</v>
      </c>
      <c r="B965" s="1" t="s">
        <v>167</v>
      </c>
      <c r="C965" s="1"/>
      <c r="D965" s="1"/>
      <c r="E965" s="1"/>
      <c r="F965" s="1"/>
      <c r="G965" s="1"/>
    </row>
    <row r="966" spans="1:1">
      <c r="A966" t="s">
        <v>129</v>
      </c>
    </row>
    <row r="967" spans="1:2">
      <c r="A967" t="s">
        <v>168</v>
      </c>
      <c r="B967" t="s">
        <v>169</v>
      </c>
    </row>
    <row r="968" spans="1:2">
      <c r="A968">
        <v>0.5</v>
      </c>
      <c r="B968">
        <v>23484531</v>
      </c>
    </row>
    <row r="969" spans="1:2">
      <c r="A969">
        <v>0.2</v>
      </c>
      <c r="B969">
        <v>9634745</v>
      </c>
    </row>
    <row r="970" spans="1:2">
      <c r="A970">
        <v>0.1</v>
      </c>
      <c r="B970">
        <v>4902823</v>
      </c>
    </row>
    <row r="971" spans="1:2">
      <c r="A971">
        <v>0.05</v>
      </c>
      <c r="B971">
        <v>2508571</v>
      </c>
    </row>
    <row r="972" spans="1:2">
      <c r="A972">
        <v>0.02</v>
      </c>
      <c r="B972">
        <v>1011549</v>
      </c>
    </row>
    <row r="973" spans="1:2">
      <c r="A973">
        <v>0.01</v>
      </c>
      <c r="B973">
        <v>487591</v>
      </c>
    </row>
    <row r="974" spans="1:2">
      <c r="A974">
        <v>0.005</v>
      </c>
      <c r="B974">
        <v>234334</v>
      </c>
    </row>
    <row r="975" spans="1:2">
      <c r="A975">
        <v>0.002</v>
      </c>
      <c r="B975">
        <v>91139</v>
      </c>
    </row>
    <row r="976" spans="1:2">
      <c r="A976">
        <v>0.001</v>
      </c>
      <c r="B976">
        <v>45033</v>
      </c>
    </row>
    <row r="977" spans="1:2">
      <c r="A977">
        <v>0.0005</v>
      </c>
      <c r="B977">
        <v>23260</v>
      </c>
    </row>
    <row r="978" spans="1:2">
      <c r="A978">
        <v>0.0002</v>
      </c>
      <c r="B978">
        <v>10489</v>
      </c>
    </row>
    <row r="979" spans="1:2">
      <c r="A979">
        <v>0.0001</v>
      </c>
      <c r="B979" t="s">
        <v>170</v>
      </c>
    </row>
    <row r="986" spans="2:7">
      <c r="B986" s="1"/>
      <c r="C986" s="1"/>
      <c r="D986" s="1"/>
      <c r="E986" s="1"/>
      <c r="F986" s="1"/>
      <c r="G986" s="1"/>
    </row>
    <row r="987" spans="2:7">
      <c r="B987" s="1"/>
      <c r="C987" s="1"/>
      <c r="D987" s="1"/>
      <c r="E987" s="1"/>
      <c r="F987" s="1"/>
      <c r="G987" s="1"/>
    </row>
    <row r="988" spans="1:7">
      <c r="A988" t="s">
        <v>166</v>
      </c>
      <c r="B988" s="1" t="s">
        <v>167</v>
      </c>
      <c r="C988" s="1"/>
      <c r="D988" s="1"/>
      <c r="E988" s="1"/>
      <c r="F988" s="1"/>
      <c r="G988" s="1"/>
    </row>
    <row r="989" spans="1:1">
      <c r="A989" t="s">
        <v>171</v>
      </c>
    </row>
    <row r="990" spans="1:2">
      <c r="A990" t="s">
        <v>168</v>
      </c>
      <c r="B990" t="s">
        <v>169</v>
      </c>
    </row>
    <row r="991" spans="1:2">
      <c r="A991">
        <v>0.5</v>
      </c>
      <c r="B991">
        <v>22611632</v>
      </c>
    </row>
    <row r="992" spans="1:2">
      <c r="A992">
        <v>0.2</v>
      </c>
      <c r="B992">
        <v>9207741</v>
      </c>
    </row>
    <row r="993" spans="1:2">
      <c r="A993">
        <v>0.1</v>
      </c>
      <c r="B993">
        <v>4723528</v>
      </c>
    </row>
    <row r="994" spans="1:2">
      <c r="A994">
        <v>0.05</v>
      </c>
      <c r="B994">
        <v>2425475</v>
      </c>
    </row>
    <row r="995" spans="1:2">
      <c r="A995">
        <v>0.02</v>
      </c>
      <c r="B995">
        <v>1027490</v>
      </c>
    </row>
    <row r="996" spans="1:2">
      <c r="A996">
        <v>0.01</v>
      </c>
      <c r="B996">
        <v>503671</v>
      </c>
    </row>
    <row r="997" spans="1:2">
      <c r="A997">
        <v>0.005</v>
      </c>
      <c r="B997">
        <v>286053</v>
      </c>
    </row>
    <row r="998" spans="1:2">
      <c r="A998">
        <v>0.002</v>
      </c>
      <c r="B998">
        <v>124200</v>
      </c>
    </row>
    <row r="999" spans="1:2">
      <c r="A999">
        <v>0.001</v>
      </c>
      <c r="B999">
        <v>57827</v>
      </c>
    </row>
    <row r="1000" spans="1:2">
      <c r="A1000">
        <v>0.0005</v>
      </c>
      <c r="B1000">
        <v>37192</v>
      </c>
    </row>
    <row r="1001" spans="1:2">
      <c r="A1001">
        <v>0.0002</v>
      </c>
      <c r="B1001">
        <v>25433</v>
      </c>
    </row>
    <row r="1002" spans="1:2">
      <c r="A1002">
        <v>0.0001</v>
      </c>
      <c r="B1002">
        <v>19037</v>
      </c>
    </row>
    <row r="1003" spans="1:2">
      <c r="A1003">
        <v>5e-5</v>
      </c>
      <c r="B1003" t="s">
        <v>170</v>
      </c>
    </row>
    <row r="1006" spans="1:2">
      <c r="A1006" t="s">
        <v>172</v>
      </c>
      <c r="B1006" t="s">
        <v>173</v>
      </c>
    </row>
    <row r="1007" spans="1:2">
      <c r="A1007" s="12"/>
      <c r="B1007" s="12"/>
    </row>
    <row r="1008" spans="1:3">
      <c r="A1008" s="13" t="s">
        <v>174</v>
      </c>
      <c r="B1008" s="12"/>
      <c r="C1008" s="8"/>
    </row>
    <row r="1009" ht="14.25" spans="1:3">
      <c r="A1009" s="13" t="s">
        <v>175</v>
      </c>
      <c r="B1009" s="12"/>
      <c r="C1009" s="8"/>
    </row>
    <row r="1010" ht="17.25" spans="1:3">
      <c r="A1010" s="14" t="s">
        <v>176</v>
      </c>
      <c r="B1010" s="14" t="s">
        <v>169</v>
      </c>
      <c r="C1010" s="15"/>
    </row>
    <row r="1011" ht="16.5" spans="1:3">
      <c r="A1011" s="16">
        <v>0.5</v>
      </c>
      <c r="B1011" s="16">
        <v>671270</v>
      </c>
      <c r="C1011" s="17"/>
    </row>
    <row r="1012" ht="16.5" spans="1:3">
      <c r="A1012" s="16">
        <v>0.25</v>
      </c>
      <c r="B1012" s="16">
        <v>443810</v>
      </c>
      <c r="C1012" s="17"/>
    </row>
    <row r="1013" ht="16.5" spans="1:3">
      <c r="A1013" s="16">
        <v>0.1</v>
      </c>
      <c r="B1013" s="16">
        <v>326061</v>
      </c>
      <c r="C1013" s="17"/>
    </row>
    <row r="1014" ht="16.5" spans="1:3">
      <c r="A1014" s="16">
        <v>0.05</v>
      </c>
      <c r="B1014" s="16">
        <v>292441</v>
      </c>
      <c r="C1014" s="17"/>
    </row>
    <row r="1015" ht="17.25" spans="1:3">
      <c r="A1015" s="18">
        <v>0.01</v>
      </c>
      <c r="B1015" s="18">
        <v>255012</v>
      </c>
      <c r="C1015" s="19"/>
    </row>
    <row r="1016" spans="1:3">
      <c r="A1016" s="12"/>
      <c r="B1016" s="12"/>
      <c r="C1016" s="8"/>
    </row>
    <row r="1017" spans="1:6">
      <c r="A1017" s="20" t="s">
        <v>177</v>
      </c>
      <c r="B1017" s="20"/>
      <c r="C1017" s="20"/>
      <c r="D1017" s="20"/>
      <c r="E1017" s="20"/>
      <c r="F1017" s="20"/>
    </row>
    <row r="1018" ht="14.25" spans="1:6">
      <c r="A1018" s="20"/>
      <c r="B1018" s="20"/>
      <c r="C1018" s="20"/>
      <c r="D1018" s="20"/>
      <c r="E1018" s="20"/>
      <c r="F1018" s="20"/>
    </row>
    <row r="1019" ht="14.25" spans="1:5">
      <c r="A1019" s="21" t="s">
        <v>178</v>
      </c>
      <c r="B1019" s="21" t="s">
        <v>179</v>
      </c>
      <c r="C1019" s="21" t="s">
        <v>180</v>
      </c>
      <c r="D1019" s="21" t="s">
        <v>181</v>
      </c>
      <c r="E1019" s="21"/>
    </row>
    <row r="1020" ht="17.25" spans="1:5">
      <c r="A1020" s="22">
        <v>0.5</v>
      </c>
      <c r="B1020" s="23">
        <v>476596</v>
      </c>
      <c r="C1020" s="23">
        <f>(B1020-244293)/843000</f>
        <v>0.275567022538553</v>
      </c>
      <c r="D1020" s="23">
        <f>(A1020-C1020)*50</f>
        <v>11.2216488730724</v>
      </c>
      <c r="E1020" s="23"/>
    </row>
    <row r="1021" ht="17.25" spans="1:5">
      <c r="A1021" s="22">
        <v>0.25</v>
      </c>
      <c r="B1021" s="23">
        <v>439275</v>
      </c>
      <c r="C1021" s="23">
        <f>(B1021-244293)/843000</f>
        <v>0.23129537366548</v>
      </c>
      <c r="D1021" s="23">
        <f>(A1021-C1021)*50</f>
        <v>0.935231316725979</v>
      </c>
      <c r="E1021" s="23"/>
    </row>
    <row r="1022" ht="17.25" spans="1:5">
      <c r="A1022" s="22">
        <v>0.1</v>
      </c>
      <c r="B1022" s="23">
        <v>384921</v>
      </c>
      <c r="C1022" s="23">
        <f>(B1022-244293)/843000</f>
        <v>0.166818505338078</v>
      </c>
      <c r="D1022" s="23">
        <f>(A1022-C1022)*50</f>
        <v>-3.34092526690391</v>
      </c>
      <c r="E1022" s="23"/>
    </row>
    <row r="1023" ht="17.25" spans="1:5">
      <c r="A1023" s="22">
        <v>0.05</v>
      </c>
      <c r="B1023" s="23">
        <v>342431</v>
      </c>
      <c r="C1023" s="23">
        <f>(B1023-244293)/843000</f>
        <v>0.116415183867141</v>
      </c>
      <c r="D1023" s="23">
        <f>(A1023-C1023)*50</f>
        <v>-3.32075919335706</v>
      </c>
      <c r="E1023" s="23"/>
    </row>
    <row r="1024" ht="17.25" spans="1:5">
      <c r="A1024" s="22">
        <v>0.01</v>
      </c>
      <c r="B1024" s="23">
        <v>269106</v>
      </c>
      <c r="C1024" s="23">
        <f>(B1024-244293)/843000</f>
        <v>0.0294341637010676</v>
      </c>
      <c r="D1024" s="23">
        <f>(A1024-C1024)*50</f>
        <v>-0.971708185053381</v>
      </c>
      <c r="E1024" s="24"/>
    </row>
    <row r="1028" spans="1:1">
      <c r="A1028" t="s">
        <v>182</v>
      </c>
    </row>
    <row r="1029" spans="1:3">
      <c r="A1029" s="1" t="s">
        <v>183</v>
      </c>
      <c r="B1029" s="1"/>
      <c r="C1029" s="1"/>
    </row>
    <row r="1030" spans="1:2">
      <c r="A1030" t="s">
        <v>168</v>
      </c>
      <c r="B1030" t="s">
        <v>1</v>
      </c>
    </row>
    <row r="1031" spans="1:5">
      <c r="A1031">
        <v>0.1</v>
      </c>
      <c r="B1031">
        <f>AVERAGE(C1031:E1031)</f>
        <v>0.288666666666667</v>
      </c>
      <c r="C1031">
        <v>0.289</v>
      </c>
      <c r="D1031">
        <v>0.289</v>
      </c>
      <c r="E1031">
        <v>0.288</v>
      </c>
    </row>
    <row r="1032" spans="1:5">
      <c r="A1032">
        <v>0.05</v>
      </c>
      <c r="B1032">
        <f t="shared" ref="B1032:B1037" si="116">AVERAGE(C1032:E1032)</f>
        <v>0.135333333333333</v>
      </c>
      <c r="C1032">
        <v>0.135</v>
      </c>
      <c r="D1032">
        <v>0.135</v>
      </c>
      <c r="E1032">
        <v>0.136</v>
      </c>
    </row>
    <row r="1033" spans="1:5">
      <c r="A1033">
        <v>0.02</v>
      </c>
      <c r="B1033">
        <f t="shared" si="116"/>
        <v>0.0563333333333333</v>
      </c>
      <c r="C1033">
        <v>0.057</v>
      </c>
      <c r="D1033">
        <v>0.056</v>
      </c>
      <c r="E1033">
        <v>0.056</v>
      </c>
    </row>
    <row r="1034" spans="1:5">
      <c r="A1034">
        <v>0.01</v>
      </c>
      <c r="B1034">
        <f t="shared" si="116"/>
        <v>0.0296666666666667</v>
      </c>
      <c r="C1034">
        <v>0.031</v>
      </c>
      <c r="D1034">
        <v>0.028</v>
      </c>
      <c r="E1034">
        <v>0.03</v>
      </c>
    </row>
    <row r="1035" spans="1:5">
      <c r="A1035">
        <v>0.005</v>
      </c>
      <c r="B1035">
        <f t="shared" si="116"/>
        <v>0.0153333333333333</v>
      </c>
      <c r="C1035">
        <v>0.015</v>
      </c>
      <c r="D1035">
        <v>0.016</v>
      </c>
      <c r="E1035">
        <v>0.015</v>
      </c>
    </row>
    <row r="1036" spans="1:5">
      <c r="A1036">
        <v>0.002</v>
      </c>
      <c r="B1036">
        <f t="shared" si="116"/>
        <v>0.00733333333333333</v>
      </c>
      <c r="C1036">
        <v>0.006</v>
      </c>
      <c r="D1036">
        <v>0.008</v>
      </c>
      <c r="E1036">
        <v>0.008</v>
      </c>
    </row>
    <row r="1037" spans="1:5">
      <c r="A1037">
        <v>0.001</v>
      </c>
      <c r="B1037">
        <f t="shared" si="116"/>
        <v>0.00433333333333333</v>
      </c>
      <c r="C1037">
        <v>0.003</v>
      </c>
      <c r="D1037">
        <v>0.005</v>
      </c>
      <c r="E1037">
        <v>0.005</v>
      </c>
    </row>
    <row r="1042" spans="1:8">
      <c r="A1042" s="1" t="s">
        <v>184</v>
      </c>
      <c r="B1042" s="1"/>
      <c r="C1042" s="1"/>
      <c r="D1042" s="1"/>
      <c r="E1042" s="1"/>
      <c r="F1042" s="1"/>
      <c r="G1042" s="1"/>
      <c r="H1042" s="1"/>
    </row>
    <row r="1043" spans="1:7">
      <c r="A1043" s="20" t="s">
        <v>185</v>
      </c>
      <c r="D1043" t="s">
        <v>22</v>
      </c>
      <c r="E1043" s="20" t="s">
        <v>186</v>
      </c>
      <c r="F1043" s="20" t="s">
        <v>187</v>
      </c>
      <c r="G1043" s="20" t="s">
        <v>188</v>
      </c>
    </row>
    <row r="1044" spans="1:7">
      <c r="A1044">
        <v>0.034</v>
      </c>
      <c r="B1044">
        <v>0.03</v>
      </c>
      <c r="C1044">
        <v>0.03</v>
      </c>
      <c r="D1044">
        <f>AVERAGE(A1044:C1044)</f>
        <v>0.0313333333333333</v>
      </c>
      <c r="E1044">
        <f>(D1044-0.00002)/2.8481</f>
        <v>0.0109944641456878</v>
      </c>
      <c r="F1044">
        <v>0.025</v>
      </c>
      <c r="G1044">
        <f>E1044*1.9/0.025*100</f>
        <v>83.557927507227</v>
      </c>
    </row>
    <row r="1046" spans="1:8">
      <c r="A1046" s="1" t="s">
        <v>189</v>
      </c>
      <c r="B1046" s="1"/>
      <c r="C1046" s="1"/>
      <c r="D1046" s="1"/>
      <c r="E1046" s="1"/>
      <c r="F1046" s="1"/>
      <c r="G1046" s="1"/>
      <c r="H1046" s="1"/>
    </row>
    <row r="1047" spans="1:7">
      <c r="A1047" s="20" t="s">
        <v>185</v>
      </c>
      <c r="D1047" t="s">
        <v>22</v>
      </c>
      <c r="E1047" s="20" t="s">
        <v>186</v>
      </c>
      <c r="F1047" s="20" t="s">
        <v>187</v>
      </c>
      <c r="G1047" s="20" t="s">
        <v>188</v>
      </c>
    </row>
    <row r="1048" spans="1:7">
      <c r="A1048">
        <v>0.022</v>
      </c>
      <c r="B1048">
        <v>0.022</v>
      </c>
      <c r="C1048">
        <v>0.022</v>
      </c>
      <c r="D1048">
        <f>AVERAGE(A1048:C1048)</f>
        <v>0.022</v>
      </c>
      <c r="E1048">
        <f>(D1048-0.00002)/2.8481</f>
        <v>0.00771742565218918</v>
      </c>
      <c r="F1048">
        <v>0.005</v>
      </c>
      <c r="G1048">
        <f>E1048*1/0.005*100</f>
        <v>154.348513043784</v>
      </c>
    </row>
    <row r="1050" spans="1:8">
      <c r="A1050" s="1" t="s">
        <v>190</v>
      </c>
      <c r="B1050" s="1"/>
      <c r="C1050" s="1"/>
      <c r="D1050" s="1"/>
      <c r="E1050" s="1"/>
      <c r="F1050" s="1"/>
      <c r="G1050" s="1"/>
      <c r="H1050" s="1"/>
    </row>
    <row r="1051" spans="1:7">
      <c r="A1051" s="20" t="s">
        <v>185</v>
      </c>
      <c r="D1051" t="s">
        <v>22</v>
      </c>
      <c r="E1051" s="20" t="s">
        <v>186</v>
      </c>
      <c r="F1051" s="20" t="s">
        <v>187</v>
      </c>
      <c r="G1051" s="20" t="s">
        <v>188</v>
      </c>
    </row>
    <row r="1052" spans="1:7">
      <c r="A1052">
        <v>0.018</v>
      </c>
      <c r="B1052">
        <v>0.017</v>
      </c>
      <c r="C1052">
        <v>0.017</v>
      </c>
      <c r="D1052">
        <f>AVERAGE(A1052:C1052)</f>
        <v>0.0173333333333333</v>
      </c>
      <c r="E1052">
        <f>(D1052-0.00002)/2.8481</f>
        <v>0.00607890640543989</v>
      </c>
      <c r="F1052">
        <v>0.001</v>
      </c>
      <c r="G1052">
        <f>E1052*1/0.001*100</f>
        <v>607.890640543989</v>
      </c>
    </row>
    <row r="1054" spans="1:8">
      <c r="A1054" s="1" t="s">
        <v>191</v>
      </c>
      <c r="B1054" s="1"/>
      <c r="C1054" s="1"/>
      <c r="D1054" s="1"/>
      <c r="E1054" s="1"/>
      <c r="F1054" s="1"/>
      <c r="G1054" s="1"/>
      <c r="H1054" s="1"/>
    </row>
    <row r="1055" spans="1:8">
      <c r="A1055" s="20" t="s">
        <v>185</v>
      </c>
      <c r="D1055" t="s">
        <v>22</v>
      </c>
      <c r="E1055" s="20" t="s">
        <v>186</v>
      </c>
      <c r="F1055" s="20" t="s">
        <v>187</v>
      </c>
      <c r="G1055" t="s">
        <v>192</v>
      </c>
      <c r="H1055" s="20" t="s">
        <v>188</v>
      </c>
    </row>
    <row r="1056" spans="1:8">
      <c r="A1056">
        <v>0.042</v>
      </c>
      <c r="B1056">
        <v>0.044</v>
      </c>
      <c r="C1056">
        <v>0.045</v>
      </c>
      <c r="D1056">
        <f>AVERAGE(A1056:C1056)</f>
        <v>0.0436666666666667</v>
      </c>
      <c r="E1056">
        <f>(D1056-0.00002)/2.8481</f>
        <v>0.015324836440668</v>
      </c>
      <c r="F1056">
        <v>0.025</v>
      </c>
      <c r="G1056">
        <v>0.02</v>
      </c>
      <c r="H1056">
        <f>E1056*1.96/0.025*100</f>
        <v>120.146717694837</v>
      </c>
    </row>
    <row r="1058" spans="1:8">
      <c r="A1058" s="1" t="s">
        <v>193</v>
      </c>
      <c r="B1058" s="1"/>
      <c r="C1058" s="1"/>
      <c r="D1058" s="1"/>
      <c r="E1058" s="1"/>
      <c r="F1058" s="1"/>
      <c r="G1058" s="1"/>
      <c r="H1058" s="1"/>
    </row>
    <row r="1059" spans="1:8">
      <c r="A1059" s="20" t="s">
        <v>185</v>
      </c>
      <c r="D1059" t="s">
        <v>22</v>
      </c>
      <c r="E1059" s="20" t="s">
        <v>186</v>
      </c>
      <c r="F1059" s="20" t="s">
        <v>187</v>
      </c>
      <c r="G1059" t="s">
        <v>192</v>
      </c>
      <c r="H1059" s="20" t="s">
        <v>188</v>
      </c>
    </row>
    <row r="1060" spans="1:8">
      <c r="A1060">
        <v>0.081</v>
      </c>
      <c r="B1060">
        <v>0.078</v>
      </c>
      <c r="C1060">
        <v>0.079</v>
      </c>
      <c r="D1060">
        <f>AVERAGE(A1060:C1060)</f>
        <v>0.0793333333333333</v>
      </c>
      <c r="E1060">
        <f>(D1060-0.00002)/2.8481</f>
        <v>0.0278478049693948</v>
      </c>
      <c r="F1060">
        <v>0.0625</v>
      </c>
      <c r="G1060">
        <v>0.05</v>
      </c>
      <c r="H1060">
        <f>E1060*2.12/0.0625*100</f>
        <v>94.4597544561872</v>
      </c>
    </row>
    <row r="1062" spans="1:8">
      <c r="A1062" s="1" t="s">
        <v>194</v>
      </c>
      <c r="B1062" s="1"/>
      <c r="C1062" s="1"/>
      <c r="D1062" s="1"/>
      <c r="E1062" s="1"/>
      <c r="F1062" s="1"/>
      <c r="G1062" s="1"/>
      <c r="H1062" s="1"/>
    </row>
    <row r="1063" spans="1:8">
      <c r="A1063" s="20" t="s">
        <v>185</v>
      </c>
      <c r="D1063" t="s">
        <v>22</v>
      </c>
      <c r="E1063" s="20" t="s">
        <v>186</v>
      </c>
      <c r="F1063" s="20" t="s">
        <v>187</v>
      </c>
      <c r="G1063" t="s">
        <v>192</v>
      </c>
      <c r="H1063" s="20" t="s">
        <v>188</v>
      </c>
    </row>
    <row r="1064" spans="1:8">
      <c r="A1064">
        <v>0.136</v>
      </c>
      <c r="B1064">
        <v>0.136</v>
      </c>
      <c r="C1064">
        <v>0.138</v>
      </c>
      <c r="D1064">
        <f>AVERAGE(A1064:C1064)</f>
        <v>0.136666666666667</v>
      </c>
      <c r="E1064">
        <f>(D1064-0.00002)/2.8481</f>
        <v>0.0479781842866004</v>
      </c>
      <c r="F1064">
        <v>0.125</v>
      </c>
      <c r="G1064">
        <v>0.1</v>
      </c>
      <c r="H1064">
        <f>E1064*2.05/0.125*100</f>
        <v>78.6842222300247</v>
      </c>
    </row>
    <row r="1066" spans="1:8">
      <c r="A1066" s="1" t="s">
        <v>195</v>
      </c>
      <c r="B1066" s="1"/>
      <c r="C1066" s="1"/>
      <c r="D1066" s="1"/>
      <c r="E1066" s="1"/>
      <c r="F1066" s="1"/>
      <c r="G1066" s="1"/>
      <c r="H1066" s="1"/>
    </row>
    <row r="1067" spans="1:8">
      <c r="A1067" s="20" t="s">
        <v>185</v>
      </c>
      <c r="D1067" t="s">
        <v>22</v>
      </c>
      <c r="E1067" s="20" t="s">
        <v>186</v>
      </c>
      <c r="F1067" s="20" t="s">
        <v>187</v>
      </c>
      <c r="G1067" t="s">
        <v>192</v>
      </c>
      <c r="H1067" s="20" t="s">
        <v>188</v>
      </c>
    </row>
    <row r="1068" spans="1:8">
      <c r="A1068">
        <v>0.031</v>
      </c>
      <c r="B1068">
        <v>0.03</v>
      </c>
      <c r="C1068">
        <v>0.032</v>
      </c>
      <c r="D1068">
        <f>AVERAGE(A1068:C1068)</f>
        <v>0.031</v>
      </c>
      <c r="E1068">
        <f>(D1068-0.00002)/2.8481</f>
        <v>0.0108774270566342</v>
      </c>
      <c r="F1068">
        <v>0.0125</v>
      </c>
      <c r="G1068">
        <v>0.01</v>
      </c>
      <c r="H1068">
        <f>E1068*1/0.0125*100</f>
        <v>87.019416453074</v>
      </c>
    </row>
    <row r="1071" spans="1:8">
      <c r="A1071" s="1" t="s">
        <v>196</v>
      </c>
      <c r="B1071" s="1"/>
      <c r="C1071" s="1"/>
      <c r="D1071" s="1"/>
      <c r="E1071" s="1"/>
      <c r="F1071" s="1"/>
      <c r="G1071" s="1"/>
      <c r="H1071" s="1"/>
    </row>
    <row r="1072" spans="1:8">
      <c r="A1072" s="20" t="s">
        <v>185</v>
      </c>
      <c r="D1072" t="s">
        <v>22</v>
      </c>
      <c r="E1072" s="20" t="s">
        <v>186</v>
      </c>
      <c r="F1072" s="20" t="s">
        <v>187</v>
      </c>
      <c r="G1072" t="s">
        <v>192</v>
      </c>
      <c r="H1072" s="20" t="s">
        <v>188</v>
      </c>
    </row>
    <row r="1073" spans="1:8">
      <c r="A1073">
        <v>0.034</v>
      </c>
      <c r="B1073">
        <v>0.032</v>
      </c>
      <c r="C1073">
        <v>0.031</v>
      </c>
      <c r="D1073">
        <f>AVERAGE(A1073:C1073)</f>
        <v>0.0323333333333333</v>
      </c>
      <c r="E1073">
        <f>(D1073-0.00002)/2.8481</f>
        <v>0.0113455754128483</v>
      </c>
      <c r="F1073">
        <v>0.0125</v>
      </c>
      <c r="G1073">
        <v>0.01</v>
      </c>
      <c r="H1073">
        <f>E1073*1/0.0125*100</f>
        <v>90.7646033027866</v>
      </c>
    </row>
    <row r="1074" spans="1:8">
      <c r="A1074" s="1" t="s">
        <v>197</v>
      </c>
      <c r="B1074" s="1"/>
      <c r="C1074" s="1"/>
      <c r="D1074" s="1"/>
      <c r="E1074" s="1"/>
      <c r="F1074" s="1"/>
      <c r="G1074" s="1"/>
      <c r="H1074" s="1"/>
    </row>
    <row r="1075" spans="1:8">
      <c r="A1075" s="20" t="s">
        <v>185</v>
      </c>
      <c r="D1075" t="s">
        <v>22</v>
      </c>
      <c r="E1075" s="20" t="s">
        <v>186</v>
      </c>
      <c r="F1075" s="20" t="s">
        <v>187</v>
      </c>
      <c r="G1075" t="s">
        <v>192</v>
      </c>
      <c r="H1075" s="20" t="s">
        <v>188</v>
      </c>
    </row>
    <row r="1076" spans="1:8">
      <c r="A1076">
        <v>0.043</v>
      </c>
      <c r="B1076">
        <v>0.043</v>
      </c>
      <c r="C1076">
        <v>0.042</v>
      </c>
      <c r="D1076">
        <f>AVERAGE(A1076:C1076)</f>
        <v>0.0426666666666667</v>
      </c>
      <c r="E1076">
        <f>(D1076-0.00002)/2.8481</f>
        <v>0.0149737251735075</v>
      </c>
      <c r="F1076">
        <v>0.025</v>
      </c>
      <c r="G1076">
        <v>0.02</v>
      </c>
      <c r="H1076">
        <f>E1076*1.96/0.025*100</f>
        <v>117.394005360299</v>
      </c>
    </row>
    <row r="1078" spans="1:8">
      <c r="A1078" s="1" t="s">
        <v>198</v>
      </c>
      <c r="B1078" s="1"/>
      <c r="C1078" s="1"/>
      <c r="D1078" s="1"/>
      <c r="E1078" s="1"/>
      <c r="F1078" s="1"/>
      <c r="G1078" s="1"/>
      <c r="H1078" s="1"/>
    </row>
    <row r="1079" spans="1:8">
      <c r="A1079" s="20" t="s">
        <v>185</v>
      </c>
      <c r="D1079" t="s">
        <v>22</v>
      </c>
      <c r="E1079" s="20" t="s">
        <v>186</v>
      </c>
      <c r="F1079" s="20" t="s">
        <v>187</v>
      </c>
      <c r="G1079" t="s">
        <v>192</v>
      </c>
      <c r="H1079" s="20" t="s">
        <v>188</v>
      </c>
    </row>
    <row r="1080" spans="1:8">
      <c r="A1080">
        <v>0.079</v>
      </c>
      <c r="B1080">
        <v>0.082</v>
      </c>
      <c r="C1080">
        <v>0.081</v>
      </c>
      <c r="D1080">
        <f>AVERAGE(A1080:C1080)</f>
        <v>0.0806666666666667</v>
      </c>
      <c r="E1080">
        <f>(D1080-0.00002)/2.8481</f>
        <v>0.0283159533256089</v>
      </c>
      <c r="F1080">
        <v>0.0625</v>
      </c>
      <c r="G1080">
        <v>0.05</v>
      </c>
      <c r="H1080">
        <f>E1080*2.12/0.0625*100</f>
        <v>96.0477136804653</v>
      </c>
    </row>
    <row r="1083" spans="1:8">
      <c r="A1083" s="1" t="s">
        <v>199</v>
      </c>
      <c r="B1083" s="1"/>
      <c r="C1083" s="1"/>
      <c r="D1083" s="1"/>
      <c r="E1083" s="1"/>
      <c r="F1083" s="1"/>
      <c r="G1083" s="1"/>
      <c r="H1083" s="1"/>
    </row>
    <row r="1084" spans="1:8">
      <c r="A1084" s="20" t="s">
        <v>185</v>
      </c>
      <c r="D1084" t="s">
        <v>22</v>
      </c>
      <c r="E1084" s="20" t="s">
        <v>186</v>
      </c>
      <c r="F1084" s="20" t="s">
        <v>187</v>
      </c>
      <c r="G1084" t="s">
        <v>192</v>
      </c>
      <c r="H1084" s="20" t="s">
        <v>188</v>
      </c>
    </row>
    <row r="1085" spans="1:8">
      <c r="A1085">
        <v>0.033</v>
      </c>
      <c r="B1085">
        <v>0.033</v>
      </c>
      <c r="C1085">
        <v>0.031</v>
      </c>
      <c r="D1085">
        <f>AVERAGE(A1085:C1085)</f>
        <v>0.0323333333333333</v>
      </c>
      <c r="E1085">
        <f>(D1085-0.00002)/2.8481</f>
        <v>0.0113455754128483</v>
      </c>
      <c r="F1085">
        <v>0.0125</v>
      </c>
      <c r="G1085">
        <v>0.01</v>
      </c>
      <c r="H1085">
        <f>E1085*1/0.0125*100</f>
        <v>90.7646033027866</v>
      </c>
    </row>
    <row r="1086" spans="1:8">
      <c r="A1086" s="1" t="s">
        <v>200</v>
      </c>
      <c r="B1086" s="1"/>
      <c r="C1086" s="1"/>
      <c r="D1086" s="1"/>
      <c r="E1086" s="1"/>
      <c r="F1086" s="1"/>
      <c r="G1086" s="1"/>
      <c r="H1086" s="1"/>
    </row>
    <row r="1087" spans="1:8">
      <c r="A1087" s="20" t="s">
        <v>185</v>
      </c>
      <c r="D1087" t="s">
        <v>22</v>
      </c>
      <c r="E1087" s="20" t="s">
        <v>186</v>
      </c>
      <c r="F1087" s="20" t="s">
        <v>187</v>
      </c>
      <c r="G1087" t="s">
        <v>192</v>
      </c>
      <c r="H1087" s="20" t="s">
        <v>188</v>
      </c>
    </row>
    <row r="1088" spans="1:8">
      <c r="A1088">
        <v>0.038</v>
      </c>
      <c r="B1088">
        <v>0.04</v>
      </c>
      <c r="C1088">
        <v>0.041</v>
      </c>
      <c r="D1088">
        <f>AVERAGE(A1088:C1088)</f>
        <v>0.0396666666666667</v>
      </c>
      <c r="E1088">
        <f>(D1088-0.00002)/2.8481</f>
        <v>0.0139203913720258</v>
      </c>
      <c r="F1088">
        <v>0.025</v>
      </c>
      <c r="G1088">
        <v>0.02</v>
      </c>
      <c r="H1088">
        <f>E1088*1.96/0.025*100</f>
        <v>109.135868356682</v>
      </c>
    </row>
    <row r="1090" spans="1:8">
      <c r="A1090" s="1" t="s">
        <v>201</v>
      </c>
      <c r="B1090" s="1"/>
      <c r="C1090" s="1"/>
      <c r="D1090" s="1"/>
      <c r="E1090" s="1"/>
      <c r="F1090" s="1"/>
      <c r="G1090" s="1"/>
      <c r="H1090" s="1"/>
    </row>
    <row r="1091" spans="1:8">
      <c r="A1091" s="20" t="s">
        <v>185</v>
      </c>
      <c r="D1091" t="s">
        <v>22</v>
      </c>
      <c r="E1091" s="20" t="s">
        <v>186</v>
      </c>
      <c r="F1091" s="20" t="s">
        <v>187</v>
      </c>
      <c r="G1091" t="s">
        <v>192</v>
      </c>
      <c r="H1091" s="20" t="s">
        <v>188</v>
      </c>
    </row>
    <row r="1092" spans="1:8">
      <c r="A1092">
        <v>0.081</v>
      </c>
      <c r="B1092">
        <v>0.083</v>
      </c>
      <c r="C1092">
        <v>0.082</v>
      </c>
      <c r="D1092">
        <f>AVERAGE(A1092:C1092)</f>
        <v>0.082</v>
      </c>
      <c r="E1092">
        <f>(D1092-0.00002)/2.8481</f>
        <v>0.028784101681823</v>
      </c>
      <c r="F1092">
        <v>0.0625</v>
      </c>
      <c r="G1092">
        <v>0.05</v>
      </c>
      <c r="H1092">
        <f>E1092*2.12/0.0625*100</f>
        <v>97.6356729047435</v>
      </c>
    </row>
    <row r="1095" spans="1:1">
      <c r="A1095" t="s">
        <v>182</v>
      </c>
    </row>
    <row r="1096" spans="1:3">
      <c r="A1096" s="1" t="s">
        <v>202</v>
      </c>
      <c r="B1096" s="1"/>
      <c r="C1096" s="1"/>
    </row>
    <row r="1097" spans="1:2">
      <c r="A1097" t="s">
        <v>168</v>
      </c>
      <c r="B1097" t="s">
        <v>1</v>
      </c>
    </row>
    <row r="1098" spans="1:5">
      <c r="A1098">
        <v>0.1</v>
      </c>
      <c r="B1098">
        <f t="shared" ref="B1098:B1104" si="117">AVERAGE(C1098:E1098)</f>
        <v>0.266</v>
      </c>
      <c r="C1098">
        <v>0.265</v>
      </c>
      <c r="D1098">
        <v>0.272</v>
      </c>
      <c r="E1098">
        <v>0.261</v>
      </c>
    </row>
    <row r="1099" spans="1:5">
      <c r="A1099">
        <v>0.05</v>
      </c>
      <c r="B1099">
        <f t="shared" si="117"/>
        <v>0.135</v>
      </c>
      <c r="C1099">
        <v>0.136</v>
      </c>
      <c r="D1099">
        <v>0.135</v>
      </c>
      <c r="E1099">
        <v>0.134</v>
      </c>
    </row>
    <row r="1100" spans="1:5">
      <c r="A1100">
        <v>0.02</v>
      </c>
      <c r="B1100">
        <f t="shared" si="117"/>
        <v>0.0593333333333333</v>
      </c>
      <c r="C1100">
        <v>0.06</v>
      </c>
      <c r="D1100">
        <v>0.06</v>
      </c>
      <c r="E1100">
        <v>0.058</v>
      </c>
    </row>
    <row r="1101" spans="1:5">
      <c r="A1101">
        <v>0.01</v>
      </c>
      <c r="B1101">
        <f t="shared" si="117"/>
        <v>0.031</v>
      </c>
      <c r="C1101">
        <v>0.031</v>
      </c>
      <c r="D1101">
        <v>0.03</v>
      </c>
      <c r="E1101">
        <v>0.032</v>
      </c>
    </row>
    <row r="1102" spans="1:5">
      <c r="A1102">
        <v>0.005</v>
      </c>
      <c r="B1102">
        <f t="shared" si="117"/>
        <v>0.019</v>
      </c>
      <c r="C1102">
        <v>0.019</v>
      </c>
      <c r="D1102">
        <v>0.019</v>
      </c>
      <c r="E1102">
        <v>0.019</v>
      </c>
    </row>
    <row r="1103" spans="1:5">
      <c r="A1103">
        <v>0.002</v>
      </c>
      <c r="B1103">
        <f t="shared" si="117"/>
        <v>0.00966666666666667</v>
      </c>
      <c r="C1103">
        <v>0.01</v>
      </c>
      <c r="D1103">
        <v>0.01</v>
      </c>
      <c r="E1103">
        <v>0.009</v>
      </c>
    </row>
    <row r="1104" spans="1:5">
      <c r="A1104">
        <v>0.001</v>
      </c>
      <c r="B1104">
        <f t="shared" si="117"/>
        <v>0.006</v>
      </c>
      <c r="C1104">
        <v>0.005</v>
      </c>
      <c r="D1104">
        <v>0.004</v>
      </c>
      <c r="E1104">
        <v>0.009</v>
      </c>
    </row>
    <row r="1112" spans="1:8">
      <c r="A1112" s="1" t="s">
        <v>203</v>
      </c>
      <c r="B1112" s="1"/>
      <c r="C1112" s="1"/>
      <c r="D1112" s="1"/>
      <c r="E1112" s="1"/>
      <c r="F1112" s="1"/>
      <c r="G1112" s="1"/>
      <c r="H1112" s="1"/>
    </row>
    <row r="1113" spans="1:8">
      <c r="A1113" s="20" t="s">
        <v>185</v>
      </c>
      <c r="D1113" t="s">
        <v>22</v>
      </c>
      <c r="E1113" s="20" t="s">
        <v>186</v>
      </c>
      <c r="F1113" s="20" t="s">
        <v>187</v>
      </c>
      <c r="G1113" t="s">
        <v>192</v>
      </c>
      <c r="H1113" s="20" t="s">
        <v>188</v>
      </c>
    </row>
    <row r="1114" spans="1:8">
      <c r="A1114">
        <v>0.031</v>
      </c>
      <c r="B1114">
        <v>0.034</v>
      </c>
      <c r="C1114">
        <v>0.032</v>
      </c>
      <c r="D1114">
        <f>AVERAGE(A1114:C1114)</f>
        <v>0.0323333333333333</v>
      </c>
      <c r="E1114">
        <f>(D1114-0.006)/2.5539</f>
        <v>0.0103110275787358</v>
      </c>
      <c r="F1114">
        <v>0.0125</v>
      </c>
      <c r="G1114">
        <v>0.01</v>
      </c>
      <c r="H1114">
        <f>E1114*1/0.0125*100</f>
        <v>82.4882206298863</v>
      </c>
    </row>
    <row r="1115" spans="1:8">
      <c r="A1115" s="1" t="s">
        <v>204</v>
      </c>
      <c r="B1115" s="1"/>
      <c r="C1115" s="1"/>
      <c r="D1115" s="1"/>
      <c r="E1115" s="1"/>
      <c r="F1115" s="1"/>
      <c r="G1115" s="1"/>
      <c r="H1115" s="1"/>
    </row>
    <row r="1116" spans="1:8">
      <c r="A1116" s="20" t="s">
        <v>185</v>
      </c>
      <c r="D1116" t="s">
        <v>22</v>
      </c>
      <c r="E1116" s="20" t="s">
        <v>186</v>
      </c>
      <c r="F1116" s="20" t="s">
        <v>187</v>
      </c>
      <c r="G1116" t="s">
        <v>192</v>
      </c>
      <c r="H1116" s="20" t="s">
        <v>188</v>
      </c>
    </row>
    <row r="1117" spans="1:8">
      <c r="A1117">
        <v>0.042</v>
      </c>
      <c r="B1117">
        <v>0.044</v>
      </c>
      <c r="C1117">
        <v>0.041</v>
      </c>
      <c r="D1117">
        <f>AVERAGE(A1117:C1117)</f>
        <v>0.0423333333333333</v>
      </c>
      <c r="E1117">
        <f>(D1117-0.006)/2.5539</f>
        <v>0.0142266076719266</v>
      </c>
      <c r="F1117">
        <v>0.025</v>
      </c>
      <c r="G1117">
        <v>0.02</v>
      </c>
      <c r="H1117">
        <f>E1117*1.96/0.025*100</f>
        <v>111.536604147905</v>
      </c>
    </row>
    <row r="1119" spans="1:8">
      <c r="A1119" s="1" t="s">
        <v>205</v>
      </c>
      <c r="B1119" s="1"/>
      <c r="C1119" s="1"/>
      <c r="D1119" s="1"/>
      <c r="E1119" s="1"/>
      <c r="F1119" s="1"/>
      <c r="G1119" s="1"/>
      <c r="H1119" s="1"/>
    </row>
    <row r="1120" spans="1:8">
      <c r="A1120" s="20" t="s">
        <v>185</v>
      </c>
      <c r="D1120" t="s">
        <v>22</v>
      </c>
      <c r="E1120" s="20" t="s">
        <v>186</v>
      </c>
      <c r="F1120" s="20" t="s">
        <v>187</v>
      </c>
      <c r="G1120" t="s">
        <v>192</v>
      </c>
      <c r="H1120" s="20" t="s">
        <v>188</v>
      </c>
    </row>
    <row r="1121" spans="1:8">
      <c r="A1121">
        <v>0.077</v>
      </c>
      <c r="B1121">
        <v>0.085</v>
      </c>
      <c r="C1121">
        <v>0.078</v>
      </c>
      <c r="D1121">
        <f>AVERAGE(A1121:C1121)</f>
        <v>0.08</v>
      </c>
      <c r="E1121">
        <f>(D1121-0.006)/2.5539</f>
        <v>0.028975292689612</v>
      </c>
      <c r="F1121">
        <v>0.0625</v>
      </c>
      <c r="G1121">
        <v>0.05</v>
      </c>
      <c r="H1121">
        <f>E1121*2.12/0.0625*100</f>
        <v>98.2841928031638</v>
      </c>
    </row>
    <row r="1123" spans="1:8">
      <c r="A1123" s="1" t="s">
        <v>206</v>
      </c>
      <c r="B1123" s="1"/>
      <c r="C1123" s="1"/>
      <c r="D1123" s="1"/>
      <c r="E1123" s="1"/>
      <c r="F1123" s="1"/>
      <c r="G1123" s="1"/>
      <c r="H1123" s="1"/>
    </row>
    <row r="1124" spans="1:8">
      <c r="A1124" s="20" t="s">
        <v>185</v>
      </c>
      <c r="D1124" t="s">
        <v>22</v>
      </c>
      <c r="E1124" s="20" t="s">
        <v>186</v>
      </c>
      <c r="F1124" s="20" t="s">
        <v>187</v>
      </c>
      <c r="G1124" t="s">
        <v>192</v>
      </c>
      <c r="H1124" s="20" t="s">
        <v>188</v>
      </c>
    </row>
    <row r="1125" spans="1:8">
      <c r="A1125">
        <v>0.033</v>
      </c>
      <c r="B1125">
        <v>0.033</v>
      </c>
      <c r="C1125">
        <v>0.036</v>
      </c>
      <c r="D1125">
        <f>AVERAGE(A1125:C1125)</f>
        <v>0.034</v>
      </c>
      <c r="E1125">
        <f>(D1125-0.006)/2.5539</f>
        <v>0.0109636242609343</v>
      </c>
      <c r="F1125">
        <v>0.0125</v>
      </c>
      <c r="G1125">
        <v>0.01</v>
      </c>
      <c r="H1125">
        <f>E1125*1/0.0125*100</f>
        <v>87.7089940874741</v>
      </c>
    </row>
    <row r="1126" spans="1:8">
      <c r="A1126" s="1" t="s">
        <v>207</v>
      </c>
      <c r="B1126" s="1"/>
      <c r="C1126" s="1"/>
      <c r="D1126" s="1"/>
      <c r="E1126" s="1"/>
      <c r="F1126" s="1"/>
      <c r="G1126" s="1"/>
      <c r="H1126" s="1"/>
    </row>
    <row r="1127" spans="1:8">
      <c r="A1127" s="20" t="s">
        <v>185</v>
      </c>
      <c r="D1127" t="s">
        <v>22</v>
      </c>
      <c r="E1127" s="20" t="s">
        <v>186</v>
      </c>
      <c r="F1127" s="20" t="s">
        <v>187</v>
      </c>
      <c r="G1127" t="s">
        <v>192</v>
      </c>
      <c r="H1127" s="20" t="s">
        <v>188</v>
      </c>
    </row>
    <row r="1128" spans="1:8">
      <c r="A1128">
        <v>0.041</v>
      </c>
      <c r="B1128">
        <v>0.04</v>
      </c>
      <c r="C1128">
        <v>0.042</v>
      </c>
      <c r="D1128">
        <f>AVERAGE(A1128:C1128)</f>
        <v>0.041</v>
      </c>
      <c r="E1128">
        <f>(D1128-0.006)/2.5539</f>
        <v>0.0137045303261678</v>
      </c>
      <c r="F1128">
        <v>0.025</v>
      </c>
      <c r="G1128">
        <v>0.02</v>
      </c>
      <c r="H1128">
        <f>E1128*1.96/0.025*100</f>
        <v>107.443517757156</v>
      </c>
    </row>
    <row r="1130" spans="1:8">
      <c r="A1130" s="1" t="s">
        <v>208</v>
      </c>
      <c r="B1130" s="1"/>
      <c r="C1130" s="1"/>
      <c r="D1130" s="1"/>
      <c r="E1130" s="1"/>
      <c r="F1130" s="1"/>
      <c r="G1130" s="1"/>
      <c r="H1130" s="1"/>
    </row>
    <row r="1131" spans="1:8">
      <c r="A1131" s="20" t="s">
        <v>185</v>
      </c>
      <c r="D1131" t="s">
        <v>22</v>
      </c>
      <c r="E1131" s="20" t="s">
        <v>186</v>
      </c>
      <c r="F1131" s="20" t="s">
        <v>187</v>
      </c>
      <c r="G1131" t="s">
        <v>192</v>
      </c>
      <c r="H1131" s="20" t="s">
        <v>188</v>
      </c>
    </row>
    <row r="1132" spans="1:8">
      <c r="A1132">
        <v>0.077</v>
      </c>
      <c r="B1132">
        <v>0.078</v>
      </c>
      <c r="C1132">
        <v>0.078</v>
      </c>
      <c r="D1132">
        <f>AVERAGE(A1132:C1132)</f>
        <v>0.0776666666666667</v>
      </c>
      <c r="E1132">
        <f>(D1132-0.006)/2.539</f>
        <v>0.0282263358277537</v>
      </c>
      <c r="F1132">
        <v>0.0625</v>
      </c>
      <c r="G1132">
        <v>0.05</v>
      </c>
      <c r="H1132">
        <f>E1132*2.12/0.0625*100</f>
        <v>95.7437311277406</v>
      </c>
    </row>
    <row r="1135" spans="1:8">
      <c r="A1135" s="1" t="s">
        <v>209</v>
      </c>
      <c r="B1135" s="1"/>
      <c r="C1135" s="1"/>
      <c r="D1135" s="1"/>
      <c r="E1135" s="1"/>
      <c r="F1135" s="1"/>
      <c r="G1135" s="1"/>
      <c r="H1135" s="1"/>
    </row>
    <row r="1136" spans="1:8">
      <c r="A1136" s="20" t="s">
        <v>185</v>
      </c>
      <c r="D1136" t="s">
        <v>22</v>
      </c>
      <c r="E1136" s="20" t="s">
        <v>186</v>
      </c>
      <c r="F1136" s="20" t="s">
        <v>187</v>
      </c>
      <c r="G1136" t="s">
        <v>192</v>
      </c>
      <c r="H1136" s="20" t="s">
        <v>188</v>
      </c>
    </row>
    <row r="1137" spans="1:8">
      <c r="A1137">
        <v>0.034</v>
      </c>
      <c r="B1137">
        <v>0.034</v>
      </c>
      <c r="C1137">
        <v>0.033</v>
      </c>
      <c r="D1137">
        <f>AVERAGE(A1137:C1137)</f>
        <v>0.0336666666666667</v>
      </c>
      <c r="E1137">
        <f>(D1137-0.006)/2.5539</f>
        <v>0.0108331049244946</v>
      </c>
      <c r="F1137">
        <v>0.0125</v>
      </c>
      <c r="G1137">
        <v>0.01</v>
      </c>
      <c r="H1137">
        <f>E1137*1/0.0125*100</f>
        <v>86.6648393959565</v>
      </c>
    </row>
    <row r="1138" spans="1:8">
      <c r="A1138" s="1" t="s">
        <v>210</v>
      </c>
      <c r="B1138" s="1"/>
      <c r="C1138" s="1"/>
      <c r="D1138" s="1"/>
      <c r="E1138" s="1"/>
      <c r="F1138" s="1"/>
      <c r="G1138" s="1"/>
      <c r="H1138" s="1"/>
    </row>
    <row r="1139" spans="1:8">
      <c r="A1139" s="20" t="s">
        <v>185</v>
      </c>
      <c r="D1139" t="s">
        <v>22</v>
      </c>
      <c r="E1139" s="20" t="s">
        <v>186</v>
      </c>
      <c r="F1139" s="20" t="s">
        <v>187</v>
      </c>
      <c r="G1139" t="s">
        <v>192</v>
      </c>
      <c r="H1139" s="20" t="s">
        <v>188</v>
      </c>
    </row>
    <row r="1140" spans="1:8">
      <c r="A1140">
        <v>0.045</v>
      </c>
      <c r="B1140">
        <v>0.044</v>
      </c>
      <c r="C1140">
        <v>0.044</v>
      </c>
      <c r="D1140">
        <f>AVERAGE(A1140:C1140)</f>
        <v>0.0443333333333333</v>
      </c>
      <c r="E1140">
        <f>(D1140-0.006)/2.5539</f>
        <v>0.0150097236905648</v>
      </c>
      <c r="F1140">
        <v>0.025</v>
      </c>
      <c r="G1140">
        <v>0.02</v>
      </c>
      <c r="H1140">
        <f>E1140*1.96/0.025*100</f>
        <v>117.676233734028</v>
      </c>
    </row>
    <row r="1142" spans="1:8">
      <c r="A1142" s="1" t="s">
        <v>211</v>
      </c>
      <c r="B1142" s="1"/>
      <c r="C1142" s="1"/>
      <c r="D1142" s="1"/>
      <c r="E1142" s="1"/>
      <c r="F1142" s="1"/>
      <c r="G1142" s="1"/>
      <c r="H1142" s="1"/>
    </row>
    <row r="1143" spans="1:8">
      <c r="A1143" s="20" t="s">
        <v>185</v>
      </c>
      <c r="D1143" t="s">
        <v>22</v>
      </c>
      <c r="E1143" s="20" t="s">
        <v>186</v>
      </c>
      <c r="F1143" s="20" t="s">
        <v>187</v>
      </c>
      <c r="G1143" t="s">
        <v>192</v>
      </c>
      <c r="H1143" s="20" t="s">
        <v>188</v>
      </c>
    </row>
    <row r="1144" spans="1:8">
      <c r="A1144">
        <v>0.08</v>
      </c>
      <c r="B1144">
        <v>0.079</v>
      </c>
      <c r="C1144">
        <v>0.08</v>
      </c>
      <c r="D1144">
        <f>AVERAGE(A1144:C1144)</f>
        <v>0.0796666666666667</v>
      </c>
      <c r="E1144">
        <f>(D1144-0.006)/2.5539</f>
        <v>0.0288447733531723</v>
      </c>
      <c r="F1144">
        <v>0.0625</v>
      </c>
      <c r="G1144">
        <v>0.05</v>
      </c>
      <c r="H1144">
        <f>E1144*2.12/0.0625*100</f>
        <v>97.8414712139603</v>
      </c>
    </row>
    <row r="1150" spans="1:8">
      <c r="A1150" s="25" t="s">
        <v>212</v>
      </c>
      <c r="B1150" s="25">
        <f>STDEVP(C1150:H1150)</f>
        <v>1364.58048091305</v>
      </c>
      <c r="C1150">
        <v>19037</v>
      </c>
      <c r="D1150">
        <v>22124</v>
      </c>
      <c r="E1150">
        <v>18945</v>
      </c>
      <c r="F1150">
        <v>19382</v>
      </c>
      <c r="G1150">
        <v>18993</v>
      </c>
      <c r="H1150">
        <v>17593</v>
      </c>
    </row>
    <row r="1151" spans="1:8">
      <c r="A1151" s="25" t="s">
        <v>213</v>
      </c>
      <c r="B1151" s="26">
        <f>STDEVP(C1151:H1151)</f>
        <v>2.7291609618261e-5</v>
      </c>
      <c r="C1151">
        <f t="shared" ref="C1151:H1151" si="118">(C1150-11028)/5/10000000</f>
        <v>0.00016018</v>
      </c>
      <c r="D1151">
        <f t="shared" si="118"/>
        <v>0.00022192</v>
      </c>
      <c r="E1151">
        <f t="shared" si="118"/>
        <v>0.00015834</v>
      </c>
      <c r="F1151">
        <f t="shared" si="118"/>
        <v>0.00016708</v>
      </c>
      <c r="G1151">
        <f t="shared" si="118"/>
        <v>0.0001593</v>
      </c>
      <c r="H1151">
        <f t="shared" si="118"/>
        <v>0.0001313</v>
      </c>
    </row>
    <row r="1152" spans="1:2">
      <c r="A1152" s="25"/>
      <c r="B1152" s="25"/>
    </row>
    <row r="1153" spans="1:8">
      <c r="A1153" s="25" t="s">
        <v>214</v>
      </c>
      <c r="B1153" s="25"/>
      <c r="C1153">
        <v>10489</v>
      </c>
      <c r="D1153">
        <v>11352</v>
      </c>
      <c r="E1153">
        <v>9674</v>
      </c>
      <c r="F1153">
        <v>9513</v>
      </c>
      <c r="G1153">
        <v>10648</v>
      </c>
      <c r="H1153">
        <v>9427</v>
      </c>
    </row>
    <row r="1154" spans="1:8">
      <c r="A1154" s="25" t="s">
        <v>213</v>
      </c>
      <c r="B1154" s="27">
        <f>STDEVP(C1154:H1154)</f>
        <v>1.40378888092983e-5</v>
      </c>
      <c r="C1154">
        <f t="shared" ref="C1154:H1154" si="119">(C1153-602.99)/50000000</f>
        <v>0.0001977202</v>
      </c>
      <c r="D1154">
        <f t="shared" si="119"/>
        <v>0.0002149802</v>
      </c>
      <c r="E1154">
        <f t="shared" si="119"/>
        <v>0.0001814202</v>
      </c>
      <c r="F1154">
        <f t="shared" si="119"/>
        <v>0.0001782002</v>
      </c>
      <c r="G1154">
        <f t="shared" si="119"/>
        <v>0.0002009002</v>
      </c>
      <c r="H1154">
        <f t="shared" si="119"/>
        <v>0.0001764802</v>
      </c>
    </row>
    <row r="1155" spans="1:2">
      <c r="A1155" s="25"/>
      <c r="B1155" s="25"/>
    </row>
    <row r="1157" spans="1:2">
      <c r="A1157" s="28" t="s">
        <v>215</v>
      </c>
      <c r="B1157" s="29" t="s">
        <v>216</v>
      </c>
    </row>
    <row r="1159" spans="1:2">
      <c r="A1159" t="s">
        <v>217</v>
      </c>
      <c r="B1159" t="s">
        <v>218</v>
      </c>
    </row>
    <row r="1160" spans="1:5">
      <c r="A1160" t="s">
        <v>168</v>
      </c>
      <c r="B1160" t="s">
        <v>8</v>
      </c>
      <c r="C1160" t="s">
        <v>5</v>
      </c>
      <c r="D1160" t="s">
        <v>6</v>
      </c>
      <c r="E1160" t="s">
        <v>7</v>
      </c>
    </row>
    <row r="1161" spans="1:5">
      <c r="A1161">
        <v>0.25</v>
      </c>
      <c r="B1161">
        <f>AVERAGE(C1161:E1161)</f>
        <v>1.77333333333333</v>
      </c>
      <c r="C1161">
        <v>1.781</v>
      </c>
      <c r="D1161">
        <v>1.774</v>
      </c>
      <c r="E1161">
        <v>1.765</v>
      </c>
    </row>
    <row r="1162" spans="1:5">
      <c r="A1162">
        <v>0.1</v>
      </c>
      <c r="B1162">
        <f>AVERAGE(C1162:E1162)</f>
        <v>0.799</v>
      </c>
      <c r="C1162">
        <v>0.798</v>
      </c>
      <c r="D1162">
        <v>0.804</v>
      </c>
      <c r="E1162">
        <v>0.795</v>
      </c>
    </row>
    <row r="1163" spans="1:5">
      <c r="A1163">
        <v>0.05</v>
      </c>
      <c r="B1163">
        <f>AVERAGE(C1163:E1163)</f>
        <v>0.418333333333333</v>
      </c>
      <c r="C1163">
        <v>0.424</v>
      </c>
      <c r="D1163">
        <v>0.414</v>
      </c>
      <c r="E1163">
        <v>0.417</v>
      </c>
    </row>
    <row r="1164" spans="1:5">
      <c r="A1164">
        <v>0.02</v>
      </c>
      <c r="B1164">
        <f>AVERAGE(C1164:E1164)</f>
        <v>0.185333333333333</v>
      </c>
      <c r="C1164">
        <v>0.182</v>
      </c>
      <c r="D1164">
        <v>0.189</v>
      </c>
      <c r="E1164">
        <v>0.185</v>
      </c>
    </row>
    <row r="1165" spans="1:5">
      <c r="A1165">
        <v>0.01</v>
      </c>
      <c r="B1165">
        <f>AVERAGE(C1165:E1165)</f>
        <v>0.102666666666667</v>
      </c>
      <c r="C1165">
        <v>0.104</v>
      </c>
      <c r="D1165">
        <v>0.102</v>
      </c>
      <c r="E1165">
        <v>0.102</v>
      </c>
    </row>
    <row r="1179" spans="1:6">
      <c r="A1179" s="1" t="s">
        <v>219</v>
      </c>
      <c r="B1179" s="1"/>
      <c r="C1179" s="1"/>
      <c r="D1179" s="1"/>
      <c r="E1179" s="1"/>
      <c r="F1179" s="1"/>
    </row>
    <row r="1180" spans="1:9">
      <c r="A1180" s="1" t="s">
        <v>220</v>
      </c>
      <c r="B1180" s="1"/>
      <c r="C1180" t="s">
        <v>221</v>
      </c>
      <c r="D1180" t="s">
        <v>222</v>
      </c>
      <c r="E1180" t="s">
        <v>5</v>
      </c>
      <c r="F1180" t="s">
        <v>6</v>
      </c>
      <c r="G1180" t="s">
        <v>7</v>
      </c>
      <c r="H1180" t="s">
        <v>223</v>
      </c>
      <c r="I1180" t="s">
        <v>1</v>
      </c>
    </row>
    <row r="1181" spans="5:9">
      <c r="E1181">
        <v>0.227</v>
      </c>
      <c r="F1181">
        <v>0.227</v>
      </c>
      <c r="G1181">
        <v>0.202</v>
      </c>
      <c r="H1181">
        <v>0.201</v>
      </c>
      <c r="I1181">
        <v>0.197</v>
      </c>
    </row>
    <row r="1182" spans="3:9">
      <c r="C1182">
        <f>D1182*5</f>
        <v>0.108957614766282</v>
      </c>
      <c r="D1182">
        <f>AVERAGE(E1182:I1182)</f>
        <v>0.0217915229532565</v>
      </c>
      <c r="E1182">
        <f>(E1181-0.0598)/6.9293</f>
        <v>0.0241294214422813</v>
      </c>
      <c r="F1182">
        <f>(F1181-0.0598)/6.9293</f>
        <v>0.0241294214422813</v>
      </c>
      <c r="G1182">
        <f>(G1181-0.0598)/6.9293</f>
        <v>0.0205215534036627</v>
      </c>
      <c r="H1182">
        <f>(H1181-0.0598)/6.9293</f>
        <v>0.020377238682118</v>
      </c>
      <c r="I1182">
        <f>(I1181-0.0598)/6.9293</f>
        <v>0.019799979795939</v>
      </c>
    </row>
    <row r="1183" spans="3:7">
      <c r="C1183" s="1" t="s">
        <v>224</v>
      </c>
      <c r="D1183" s="1"/>
      <c r="E1183" s="1"/>
      <c r="F1183" s="1"/>
      <c r="G1183" s="1"/>
    </row>
    <row r="1185" spans="2:8">
      <c r="B1185" s="1" t="s">
        <v>225</v>
      </c>
      <c r="C1185" s="1"/>
      <c r="D1185" s="1"/>
      <c r="E1185" s="1"/>
      <c r="F1185" s="1"/>
      <c r="G1185" s="1"/>
      <c r="H1185" s="1"/>
    </row>
    <row r="1186" spans="2:7">
      <c r="B1186" t="s">
        <v>226</v>
      </c>
      <c r="C1186" t="s">
        <v>227</v>
      </c>
      <c r="D1186" t="s">
        <v>8</v>
      </c>
      <c r="E1186" t="s">
        <v>5</v>
      </c>
      <c r="F1186" t="s">
        <v>6</v>
      </c>
      <c r="G1186" t="s">
        <v>7</v>
      </c>
    </row>
    <row r="1187" spans="2:7">
      <c r="B1187" s="2" t="s">
        <v>144</v>
      </c>
      <c r="C1187">
        <f>(D1187-0.0291)/7.163</f>
        <v>0.000916748103680954</v>
      </c>
      <c r="D1187">
        <f>AVERAGE(E1187:G1187)</f>
        <v>0.0356666666666667</v>
      </c>
      <c r="E1187">
        <v>0.04</v>
      </c>
      <c r="F1187">
        <v>0.033</v>
      </c>
      <c r="G1187">
        <v>0.034</v>
      </c>
    </row>
    <row r="1188" spans="2:7">
      <c r="B1188" s="2" t="s">
        <v>228</v>
      </c>
      <c r="C1188">
        <f t="shared" ref="C1188:C1195" si="120">(D1188-0.0291)/7.163</f>
        <v>0.00152170878123691</v>
      </c>
      <c r="D1188">
        <f t="shared" ref="D1188:D1195" si="121">AVERAGE(E1188:G1188)</f>
        <v>0.04</v>
      </c>
      <c r="E1188">
        <v>0.04</v>
      </c>
      <c r="F1188">
        <v>0.041</v>
      </c>
      <c r="G1188">
        <v>0.039</v>
      </c>
    </row>
    <row r="1189" spans="2:7">
      <c r="B1189" s="2" t="s">
        <v>229</v>
      </c>
      <c r="C1189">
        <f t="shared" si="120"/>
        <v>0.00194052771185258</v>
      </c>
      <c r="D1189">
        <f t="shared" si="121"/>
        <v>0.043</v>
      </c>
      <c r="E1189">
        <v>0.042</v>
      </c>
      <c r="F1189">
        <v>0.044</v>
      </c>
      <c r="G1189">
        <v>0.043</v>
      </c>
    </row>
    <row r="1190" spans="2:7">
      <c r="B1190" s="2" t="s">
        <v>230</v>
      </c>
      <c r="C1190">
        <f t="shared" si="120"/>
        <v>0.00287123644655405</v>
      </c>
      <c r="D1190">
        <f t="shared" si="121"/>
        <v>0.0496666666666667</v>
      </c>
      <c r="E1190">
        <v>0.05</v>
      </c>
      <c r="F1190">
        <v>0.049</v>
      </c>
      <c r="G1190">
        <v>0.05</v>
      </c>
    </row>
    <row r="1191" spans="2:7">
      <c r="B1191" s="2" t="s">
        <v>231</v>
      </c>
      <c r="C1191">
        <f t="shared" si="120"/>
        <v>0.00287123644655405</v>
      </c>
      <c r="D1191">
        <f t="shared" si="121"/>
        <v>0.0496666666666667</v>
      </c>
      <c r="E1191">
        <v>0.05</v>
      </c>
      <c r="F1191">
        <v>0.05</v>
      </c>
      <c r="G1191">
        <v>0.049</v>
      </c>
    </row>
    <row r="1192" spans="2:7">
      <c r="B1192" s="2" t="s">
        <v>232</v>
      </c>
      <c r="C1192">
        <f t="shared" si="120"/>
        <v>0.00375540974452045</v>
      </c>
      <c r="D1192">
        <f t="shared" si="121"/>
        <v>0.056</v>
      </c>
      <c r="E1192">
        <v>0.056</v>
      </c>
      <c r="F1192">
        <v>0.056</v>
      </c>
      <c r="G1192">
        <v>0.056</v>
      </c>
    </row>
    <row r="1193" spans="2:7">
      <c r="B1193" s="2" t="s">
        <v>233</v>
      </c>
      <c r="C1193">
        <f t="shared" si="120"/>
        <v>0.00342966168737494</v>
      </c>
      <c r="D1193">
        <f t="shared" si="121"/>
        <v>0.0536666666666667</v>
      </c>
      <c r="E1193">
        <v>0.057</v>
      </c>
      <c r="F1193">
        <v>0.053</v>
      </c>
      <c r="G1193">
        <v>0.051</v>
      </c>
    </row>
    <row r="1194" spans="2:7">
      <c r="B1194" s="2" t="s">
        <v>234</v>
      </c>
      <c r="C1194">
        <f t="shared" si="120"/>
        <v>0.0027781655730839</v>
      </c>
      <c r="D1194">
        <f t="shared" si="121"/>
        <v>0.049</v>
      </c>
      <c r="E1194">
        <v>0.049</v>
      </c>
      <c r="F1194">
        <v>0.049</v>
      </c>
      <c r="G1194">
        <v>0.049</v>
      </c>
    </row>
    <row r="1195" spans="2:7">
      <c r="B1195" s="2" t="s">
        <v>235</v>
      </c>
      <c r="C1195">
        <f t="shared" si="120"/>
        <v>0.00319698450369957</v>
      </c>
      <c r="D1195">
        <f t="shared" si="121"/>
        <v>0.052</v>
      </c>
      <c r="E1195">
        <v>0.054</v>
      </c>
      <c r="F1195">
        <v>0.05</v>
      </c>
      <c r="G1195">
        <v>0.052</v>
      </c>
    </row>
    <row r="1197" spans="1:7">
      <c r="A1197" s="1" t="s">
        <v>236</v>
      </c>
      <c r="B1197" s="1"/>
      <c r="C1197" s="1"/>
      <c r="D1197" s="1"/>
      <c r="E1197" s="1"/>
      <c r="F1197" s="1"/>
      <c r="G1197" s="1"/>
    </row>
    <row r="1198" spans="1:7">
      <c r="A1198" s="1" t="s">
        <v>237</v>
      </c>
      <c r="B1198" s="1" t="s">
        <v>238</v>
      </c>
      <c r="C1198" s="1" t="s">
        <v>239</v>
      </c>
      <c r="D1198" s="1" t="s">
        <v>8</v>
      </c>
      <c r="E1198" s="1" t="s">
        <v>5</v>
      </c>
      <c r="F1198" s="1" t="s">
        <v>6</v>
      </c>
      <c r="G1198" s="1" t="s">
        <v>7</v>
      </c>
    </row>
    <row r="1199" spans="1:7">
      <c r="A1199" s="2" t="s">
        <v>144</v>
      </c>
      <c r="B1199">
        <f>C1199/0.1*100</f>
        <v>2.97274206195943</v>
      </c>
      <c r="C1199">
        <f>(D1199-0.0002)/2.8481</f>
        <v>0.00297274206195943</v>
      </c>
      <c r="D1199">
        <f>AVERAGE(E1199:G1199)</f>
        <v>0.00866666666666667</v>
      </c>
      <c r="E1199">
        <v>0.009</v>
      </c>
      <c r="F1199">
        <v>0.007</v>
      </c>
      <c r="G1199">
        <v>0.01</v>
      </c>
    </row>
    <row r="1200" spans="1:7">
      <c r="A1200" s="2" t="s">
        <v>228</v>
      </c>
      <c r="B1200">
        <f t="shared" ref="B1200:B1208" si="122">C1200/0.1*100</f>
        <v>2.97274206195943</v>
      </c>
      <c r="C1200">
        <f>(D1200-0.0002)/2.8481</f>
        <v>0.00297274206195943</v>
      </c>
      <c r="D1200">
        <f>AVERAGE(E1200:G1200)</f>
        <v>0.00866666666666667</v>
      </c>
      <c r="E1200">
        <v>0.009</v>
      </c>
      <c r="F1200">
        <v>0.008</v>
      </c>
      <c r="G1200">
        <v>0.009</v>
      </c>
    </row>
    <row r="1201" spans="1:7">
      <c r="A1201" s="2" t="s">
        <v>229</v>
      </c>
      <c r="B1201">
        <f t="shared" si="122"/>
        <v>2.97274206195943</v>
      </c>
      <c r="C1201">
        <f>(D1201-0.0002)/2.8481</f>
        <v>0.00297274206195943</v>
      </c>
      <c r="D1201">
        <f>AVERAGE(E1201:G1201)</f>
        <v>0.00866666666666667</v>
      </c>
      <c r="E1201">
        <v>0.008</v>
      </c>
      <c r="F1201">
        <v>0.01</v>
      </c>
      <c r="G1201">
        <v>0.008</v>
      </c>
    </row>
    <row r="1202" spans="1:7">
      <c r="A1202" s="2" t="s">
        <v>230</v>
      </c>
      <c r="B1202">
        <f t="shared" si="122"/>
        <v>2.85570497290591</v>
      </c>
      <c r="C1202">
        <f t="shared" ref="C1202:C1208" si="123">(D1202-0.0002)/2.8481</f>
        <v>0.00285570497290591</v>
      </c>
      <c r="D1202">
        <f t="shared" ref="D1202:D1208" si="124">AVERAGE(E1202:G1202)</f>
        <v>0.00833333333333333</v>
      </c>
      <c r="E1202">
        <v>0.008</v>
      </c>
      <c r="F1202">
        <v>0.009</v>
      </c>
      <c r="G1202">
        <v>0.008</v>
      </c>
    </row>
    <row r="1203" spans="1:7">
      <c r="A1203" s="2" t="s">
        <v>231</v>
      </c>
      <c r="B1203">
        <f t="shared" si="122"/>
        <v>2.50459370574535</v>
      </c>
      <c r="C1203">
        <f t="shared" si="123"/>
        <v>0.00250459370574535</v>
      </c>
      <c r="D1203">
        <f t="shared" si="124"/>
        <v>0.00733333333333333</v>
      </c>
      <c r="E1203">
        <v>0.008</v>
      </c>
      <c r="F1203">
        <v>0.007</v>
      </c>
      <c r="G1203">
        <v>0.007</v>
      </c>
    </row>
    <row r="1204" spans="1:7">
      <c r="A1204" s="2" t="s">
        <v>232</v>
      </c>
      <c r="B1204">
        <f t="shared" si="122"/>
        <v>2.85570497290591</v>
      </c>
      <c r="C1204">
        <f t="shared" si="123"/>
        <v>0.00285570497290591</v>
      </c>
      <c r="D1204">
        <f t="shared" si="124"/>
        <v>0.00833333333333333</v>
      </c>
      <c r="E1204">
        <v>0.009</v>
      </c>
      <c r="F1204">
        <v>0.008</v>
      </c>
      <c r="G1204">
        <v>0.008</v>
      </c>
    </row>
    <row r="1205" spans="1:7">
      <c r="A1205" s="2" t="s">
        <v>233</v>
      </c>
      <c r="B1205">
        <f t="shared" si="122"/>
        <v>3.08977915101296</v>
      </c>
      <c r="C1205">
        <f t="shared" si="123"/>
        <v>0.00308977915101296</v>
      </c>
      <c r="D1205">
        <f t="shared" si="124"/>
        <v>0.009</v>
      </c>
      <c r="E1205">
        <v>0.01</v>
      </c>
      <c r="F1205">
        <v>0.008</v>
      </c>
      <c r="G1205">
        <v>0.009</v>
      </c>
    </row>
    <row r="1206" spans="1:7">
      <c r="A1206" s="2" t="s">
        <v>234</v>
      </c>
      <c r="B1206">
        <f t="shared" si="122"/>
        <v>2.97274206195943</v>
      </c>
      <c r="C1206">
        <f t="shared" si="123"/>
        <v>0.00297274206195943</v>
      </c>
      <c r="D1206">
        <f t="shared" si="124"/>
        <v>0.00866666666666667</v>
      </c>
      <c r="E1206">
        <v>0.01</v>
      </c>
      <c r="F1206">
        <v>0.007</v>
      </c>
      <c r="G1206">
        <v>0.009</v>
      </c>
    </row>
    <row r="1207" spans="1:7">
      <c r="A1207" s="2" t="s">
        <v>235</v>
      </c>
      <c r="B1207">
        <f t="shared" si="122"/>
        <v>2.97274206195943</v>
      </c>
      <c r="C1207">
        <f t="shared" si="123"/>
        <v>0.00297274206195943</v>
      </c>
      <c r="D1207">
        <f t="shared" si="124"/>
        <v>0.00866666666666667</v>
      </c>
      <c r="E1207">
        <v>0.009</v>
      </c>
      <c r="F1207">
        <v>0.008</v>
      </c>
      <c r="G1207">
        <v>0.009</v>
      </c>
    </row>
    <row r="1208" spans="1:7">
      <c r="A1208" s="2" t="s">
        <v>240</v>
      </c>
      <c r="B1208">
        <f t="shared" si="122"/>
        <v>3.79200168533408</v>
      </c>
      <c r="C1208">
        <f t="shared" si="123"/>
        <v>0.00379200168533408</v>
      </c>
      <c r="D1208">
        <f t="shared" si="124"/>
        <v>0.011</v>
      </c>
      <c r="E1208">
        <v>0.012</v>
      </c>
      <c r="F1208" s="30">
        <v>0.01</v>
      </c>
      <c r="G1208">
        <v>0.011</v>
      </c>
    </row>
    <row r="1211" spans="1:2">
      <c r="A1211" t="s">
        <v>241</v>
      </c>
      <c r="B1211" t="s">
        <v>218</v>
      </c>
    </row>
    <row r="1212" spans="1:5">
      <c r="A1212" t="s">
        <v>168</v>
      </c>
      <c r="B1212" t="s">
        <v>8</v>
      </c>
      <c r="C1212" t="s">
        <v>5</v>
      </c>
      <c r="D1212" t="s">
        <v>6</v>
      </c>
      <c r="E1212" t="s">
        <v>7</v>
      </c>
    </row>
    <row r="1213" spans="1:5">
      <c r="A1213">
        <v>0.25</v>
      </c>
      <c r="B1213">
        <f t="shared" ref="B1213:B1217" si="125">AVERAGE(C1213:E1213)</f>
        <v>1.484</v>
      </c>
      <c r="C1213">
        <v>1.487</v>
      </c>
      <c r="D1213">
        <v>1.469</v>
      </c>
      <c r="E1213">
        <v>1.496</v>
      </c>
    </row>
    <row r="1214" spans="1:5">
      <c r="A1214">
        <v>0.1</v>
      </c>
      <c r="B1214">
        <f t="shared" si="125"/>
        <v>0.652333333333333</v>
      </c>
      <c r="C1214">
        <v>0.654</v>
      </c>
      <c r="D1214">
        <v>0.648</v>
      </c>
      <c r="E1214">
        <v>0.655</v>
      </c>
    </row>
    <row r="1215" spans="1:5">
      <c r="A1215">
        <v>0.05</v>
      </c>
      <c r="B1215">
        <f t="shared" si="125"/>
        <v>0.352666666666667</v>
      </c>
      <c r="C1215">
        <v>0.348</v>
      </c>
      <c r="D1215">
        <v>0.349</v>
      </c>
      <c r="E1215">
        <v>0.361</v>
      </c>
    </row>
    <row r="1216" spans="1:5">
      <c r="A1216">
        <v>0.02</v>
      </c>
      <c r="B1216">
        <f t="shared" si="125"/>
        <v>0.158333333333333</v>
      </c>
      <c r="C1216">
        <v>0.156</v>
      </c>
      <c r="D1216">
        <v>0.156</v>
      </c>
      <c r="E1216">
        <v>0.163</v>
      </c>
    </row>
    <row r="1217" spans="1:5">
      <c r="A1217">
        <v>0.01</v>
      </c>
      <c r="B1217">
        <f t="shared" si="125"/>
        <v>0.101333333333333</v>
      </c>
      <c r="C1217">
        <v>0.108</v>
      </c>
      <c r="D1217">
        <v>0.098</v>
      </c>
      <c r="E1217">
        <v>0.098</v>
      </c>
    </row>
    <row r="1233" spans="1:6">
      <c r="A1233" s="1" t="s">
        <v>242</v>
      </c>
      <c r="B1233" s="1"/>
      <c r="C1233" s="1"/>
      <c r="D1233" s="1"/>
      <c r="E1233" s="1"/>
      <c r="F1233" s="1"/>
    </row>
    <row r="1234" spans="1:9">
      <c r="A1234" s="1" t="s">
        <v>243</v>
      </c>
      <c r="B1234" s="1"/>
      <c r="C1234" t="s">
        <v>244</v>
      </c>
      <c r="D1234" t="s">
        <v>222</v>
      </c>
      <c r="E1234" t="s">
        <v>5</v>
      </c>
      <c r="F1234" t="s">
        <v>6</v>
      </c>
      <c r="G1234" t="s">
        <v>7</v>
      </c>
      <c r="H1234" t="s">
        <v>223</v>
      </c>
      <c r="I1234" t="s">
        <v>1</v>
      </c>
    </row>
    <row r="1235" spans="5:9">
      <c r="E1235">
        <v>0.163</v>
      </c>
      <c r="F1235">
        <v>0.162</v>
      </c>
      <c r="G1235">
        <v>0.177</v>
      </c>
      <c r="H1235">
        <v>0.157</v>
      </c>
      <c r="I1235">
        <v>0.166</v>
      </c>
    </row>
    <row r="1236" spans="3:9">
      <c r="C1236">
        <f>D1236*5</f>
        <v>0.0956659252050605</v>
      </c>
      <c r="D1236">
        <f>AVERAGE(E1236:I1236)</f>
        <v>0.0191331850410121</v>
      </c>
      <c r="E1236">
        <f>(E1235-0.0549)/5.7544</f>
        <v>0.01878562491311</v>
      </c>
      <c r="F1236">
        <f>(F1235-0.0549)/5.7544</f>
        <v>0.0186118448491589</v>
      </c>
      <c r="G1236">
        <f>(G1235-0.0549)/5.7544</f>
        <v>0.0212185458084249</v>
      </c>
      <c r="H1236">
        <f>(H1235-0.0549)/5.7544</f>
        <v>0.0177429445294036</v>
      </c>
      <c r="I1236">
        <f>(I1235-0.0549)/5.7544</f>
        <v>0.0193069651049632</v>
      </c>
    </row>
    <row r="1237" spans="3:7">
      <c r="C1237" s="1" t="s">
        <v>245</v>
      </c>
      <c r="D1237" s="1"/>
      <c r="E1237" s="1"/>
      <c r="F1237" s="1"/>
      <c r="G1237" s="1"/>
    </row>
    <row r="1240" spans="2:8">
      <c r="B1240" s="1" t="s">
        <v>246</v>
      </c>
      <c r="C1240" s="1"/>
      <c r="D1240" s="1"/>
      <c r="E1240" s="1"/>
      <c r="F1240" s="1"/>
      <c r="G1240" s="1"/>
      <c r="H1240" s="1"/>
    </row>
    <row r="1241" spans="2:7">
      <c r="B1241" t="s">
        <v>226</v>
      </c>
      <c r="C1241" t="s">
        <v>247</v>
      </c>
      <c r="D1241" t="s">
        <v>8</v>
      </c>
      <c r="E1241" t="s">
        <v>5</v>
      </c>
      <c r="F1241" t="s">
        <v>6</v>
      </c>
      <c r="G1241" t="s">
        <v>7</v>
      </c>
    </row>
    <row r="1242" spans="2:7">
      <c r="B1242" s="2" t="s">
        <v>144</v>
      </c>
      <c r="C1242" s="31">
        <f>(D1242-0.0294)/6.1503</f>
        <v>9.75562167699136e-5</v>
      </c>
      <c r="D1242">
        <f>AVERAGE(E1242:G1242)</f>
        <v>0.03</v>
      </c>
      <c r="E1242">
        <v>0.032</v>
      </c>
      <c r="F1242">
        <v>0.028</v>
      </c>
      <c r="G1242">
        <v>0.03</v>
      </c>
    </row>
    <row r="1243" spans="2:7">
      <c r="B1243" s="2" t="s">
        <v>228</v>
      </c>
      <c r="C1243" s="31">
        <f t="shared" ref="C1243:C1250" si="126">(D1243-0.0294)/6.1503</f>
        <v>0.000368545707797452</v>
      </c>
      <c r="D1243">
        <f t="shared" ref="D1243:D1250" si="127">AVERAGE(E1243:G1243)</f>
        <v>0.0316666666666667</v>
      </c>
      <c r="E1243">
        <v>0.032</v>
      </c>
      <c r="F1243">
        <v>0.032</v>
      </c>
      <c r="G1243">
        <v>0.031</v>
      </c>
    </row>
    <row r="1244" spans="2:7">
      <c r="B1244" s="2" t="s">
        <v>229</v>
      </c>
      <c r="C1244" s="31">
        <f t="shared" si="126"/>
        <v>0.000910524689852528</v>
      </c>
      <c r="D1244">
        <f t="shared" si="127"/>
        <v>0.035</v>
      </c>
      <c r="E1244">
        <v>0.036</v>
      </c>
      <c r="F1244">
        <v>0.034</v>
      </c>
      <c r="G1244">
        <v>0.035</v>
      </c>
    </row>
    <row r="1245" spans="2:7">
      <c r="B1245" s="2" t="s">
        <v>230</v>
      </c>
      <c r="C1245" s="31">
        <f t="shared" si="126"/>
        <v>0.00199448265396268</v>
      </c>
      <c r="D1245">
        <f t="shared" si="127"/>
        <v>0.0416666666666667</v>
      </c>
      <c r="E1245">
        <v>0.041</v>
      </c>
      <c r="F1245">
        <v>0.042</v>
      </c>
      <c r="G1245">
        <v>0.042</v>
      </c>
    </row>
    <row r="1246" spans="2:7">
      <c r="B1246" s="2" t="s">
        <v>231</v>
      </c>
      <c r="C1246" s="31">
        <f t="shared" si="126"/>
        <v>0.00221127424678471</v>
      </c>
      <c r="D1246">
        <f t="shared" si="127"/>
        <v>0.043</v>
      </c>
      <c r="E1246">
        <v>0.042</v>
      </c>
      <c r="F1246">
        <v>0.043</v>
      </c>
      <c r="G1246">
        <v>0.044</v>
      </c>
    </row>
    <row r="1247" spans="2:7">
      <c r="B1247" s="2" t="s">
        <v>232</v>
      </c>
      <c r="C1247" s="31">
        <f t="shared" si="126"/>
        <v>0.00432499227679951</v>
      </c>
      <c r="D1247">
        <f t="shared" si="127"/>
        <v>0.056</v>
      </c>
      <c r="E1247">
        <v>0.056</v>
      </c>
      <c r="F1247">
        <v>0.056</v>
      </c>
      <c r="G1247">
        <v>0.056</v>
      </c>
    </row>
    <row r="1248" spans="2:7">
      <c r="B1248" s="2" t="s">
        <v>233</v>
      </c>
      <c r="C1248" s="31">
        <f t="shared" si="126"/>
        <v>0.00302424271986733</v>
      </c>
      <c r="D1248">
        <f t="shared" si="127"/>
        <v>0.048</v>
      </c>
      <c r="E1248">
        <v>0.051</v>
      </c>
      <c r="F1248">
        <v>0.046</v>
      </c>
      <c r="G1248">
        <v>0.047</v>
      </c>
    </row>
    <row r="1249" spans="2:7">
      <c r="B1249" s="2" t="s">
        <v>234</v>
      </c>
      <c r="C1249" s="31">
        <f t="shared" si="126"/>
        <v>0.00291584692345631</v>
      </c>
      <c r="D1249">
        <f t="shared" si="127"/>
        <v>0.0473333333333333</v>
      </c>
      <c r="E1249">
        <v>0.047</v>
      </c>
      <c r="F1249" s="30">
        <v>0.05</v>
      </c>
      <c r="G1249">
        <v>0.045</v>
      </c>
    </row>
    <row r="1250" spans="2:7">
      <c r="B1250" s="2" t="s">
        <v>235</v>
      </c>
      <c r="C1250" s="31">
        <f t="shared" si="126"/>
        <v>0.0028616490252508</v>
      </c>
      <c r="D1250">
        <f t="shared" si="127"/>
        <v>0.047</v>
      </c>
      <c r="E1250">
        <v>0.047</v>
      </c>
      <c r="F1250">
        <v>0.047</v>
      </c>
      <c r="G1250">
        <v>0.047</v>
      </c>
    </row>
    <row r="1252" spans="1:7">
      <c r="A1252" s="1" t="s">
        <v>248</v>
      </c>
      <c r="B1252" s="1"/>
      <c r="C1252" s="1"/>
      <c r="D1252" s="1"/>
      <c r="E1252" s="1"/>
      <c r="F1252" s="1"/>
      <c r="G1252" s="1"/>
    </row>
    <row r="1253" spans="1:7">
      <c r="A1253" s="1" t="s">
        <v>237</v>
      </c>
      <c r="B1253" s="1" t="s">
        <v>238</v>
      </c>
      <c r="C1253" s="1" t="s">
        <v>249</v>
      </c>
      <c r="D1253" s="1" t="s">
        <v>8</v>
      </c>
      <c r="E1253" s="1" t="s">
        <v>5</v>
      </c>
      <c r="F1253" s="1" t="s">
        <v>6</v>
      </c>
      <c r="G1253" s="1" t="s">
        <v>7</v>
      </c>
    </row>
    <row r="1254" spans="1:7">
      <c r="A1254" s="2" t="s">
        <v>144</v>
      </c>
      <c r="B1254">
        <f t="shared" ref="B1254:B1263" si="128">C1254/0.1*100</f>
        <v>2.97274206195943</v>
      </c>
      <c r="C1254">
        <f t="shared" ref="C1254:C1263" si="129">(D1254-0.0002)/2.8481</f>
        <v>0.00297274206195943</v>
      </c>
      <c r="D1254">
        <f t="shared" ref="D1254:D1263" si="130">AVERAGE(E1254:G1254)</f>
        <v>0.00866666666666667</v>
      </c>
      <c r="E1254">
        <v>0.01</v>
      </c>
      <c r="F1254">
        <v>0.008</v>
      </c>
      <c r="G1254">
        <v>0.008</v>
      </c>
    </row>
    <row r="1255" spans="1:7">
      <c r="A1255" s="2" t="s">
        <v>228</v>
      </c>
      <c r="B1255">
        <f t="shared" si="128"/>
        <v>3.20681624006648</v>
      </c>
      <c r="C1255">
        <f t="shared" si="129"/>
        <v>0.00320681624006648</v>
      </c>
      <c r="D1255">
        <f t="shared" si="130"/>
        <v>0.00933333333333333</v>
      </c>
      <c r="E1255">
        <v>0.01</v>
      </c>
      <c r="F1255">
        <v>0.011</v>
      </c>
      <c r="G1255">
        <v>0.007</v>
      </c>
    </row>
    <row r="1256" spans="1:7">
      <c r="A1256" s="2" t="s">
        <v>229</v>
      </c>
      <c r="B1256">
        <f t="shared" si="128"/>
        <v>2.62163079479887</v>
      </c>
      <c r="C1256">
        <f t="shared" si="129"/>
        <v>0.00262163079479887</v>
      </c>
      <c r="D1256">
        <f t="shared" si="130"/>
        <v>0.00766666666666667</v>
      </c>
      <c r="E1256">
        <v>0.008</v>
      </c>
      <c r="F1256">
        <v>0.008</v>
      </c>
      <c r="G1256">
        <v>0.007</v>
      </c>
    </row>
    <row r="1257" spans="1:7">
      <c r="A1257" s="2" t="s">
        <v>230</v>
      </c>
      <c r="B1257">
        <f t="shared" si="128"/>
        <v>2.38755661669183</v>
      </c>
      <c r="C1257">
        <f t="shared" si="129"/>
        <v>0.00238755661669183</v>
      </c>
      <c r="D1257">
        <f t="shared" si="130"/>
        <v>0.007</v>
      </c>
      <c r="E1257">
        <v>0.006</v>
      </c>
      <c r="F1257">
        <v>0.007</v>
      </c>
      <c r="G1257">
        <v>0.008</v>
      </c>
    </row>
    <row r="1258" spans="1:7">
      <c r="A1258" s="2" t="s">
        <v>231</v>
      </c>
      <c r="B1258">
        <f t="shared" si="128"/>
        <v>2.27051952763831</v>
      </c>
      <c r="C1258">
        <f t="shared" si="129"/>
        <v>0.00227051952763831</v>
      </c>
      <c r="D1258">
        <f t="shared" si="130"/>
        <v>0.00666666666666667</v>
      </c>
      <c r="E1258">
        <v>0.006</v>
      </c>
      <c r="F1258">
        <v>0.006</v>
      </c>
      <c r="G1258">
        <v>0.008</v>
      </c>
    </row>
    <row r="1259" spans="1:7">
      <c r="A1259" s="2" t="s">
        <v>232</v>
      </c>
      <c r="B1259">
        <f t="shared" si="128"/>
        <v>2.85570497290591</v>
      </c>
      <c r="C1259">
        <f t="shared" si="129"/>
        <v>0.00285570497290591</v>
      </c>
      <c r="D1259">
        <f t="shared" si="130"/>
        <v>0.00833333333333333</v>
      </c>
      <c r="E1259">
        <v>0.009</v>
      </c>
      <c r="F1259">
        <v>0.008</v>
      </c>
      <c r="G1259">
        <v>0.008</v>
      </c>
    </row>
    <row r="1260" spans="1:7">
      <c r="A1260" s="2" t="s">
        <v>233</v>
      </c>
      <c r="B1260">
        <f t="shared" si="128"/>
        <v>3.20681624006648</v>
      </c>
      <c r="C1260">
        <f t="shared" si="129"/>
        <v>0.00320681624006648</v>
      </c>
      <c r="D1260">
        <f t="shared" si="130"/>
        <v>0.00933333333333333</v>
      </c>
      <c r="E1260">
        <v>0.011</v>
      </c>
      <c r="F1260">
        <v>0.008</v>
      </c>
      <c r="G1260">
        <v>0.009</v>
      </c>
    </row>
    <row r="1261" spans="1:7">
      <c r="A1261" s="2" t="s">
        <v>234</v>
      </c>
      <c r="B1261">
        <f t="shared" si="128"/>
        <v>3.20681624006648</v>
      </c>
      <c r="C1261">
        <f t="shared" si="129"/>
        <v>0.00320681624006648</v>
      </c>
      <c r="D1261">
        <f t="shared" si="130"/>
        <v>0.00933333333333333</v>
      </c>
      <c r="E1261">
        <v>0.011</v>
      </c>
      <c r="F1261">
        <v>0.009</v>
      </c>
      <c r="G1261">
        <v>0.008</v>
      </c>
    </row>
    <row r="1262" spans="1:7">
      <c r="A1262" s="2" t="s">
        <v>235</v>
      </c>
      <c r="B1262">
        <f t="shared" si="128"/>
        <v>3.55792750722704</v>
      </c>
      <c r="C1262">
        <f t="shared" si="129"/>
        <v>0.00355792750722704</v>
      </c>
      <c r="D1262">
        <f t="shared" si="130"/>
        <v>0.0103333333333333</v>
      </c>
      <c r="E1262">
        <v>0.013</v>
      </c>
      <c r="F1262" s="30">
        <v>0.01</v>
      </c>
      <c r="G1262">
        <v>0.008</v>
      </c>
    </row>
    <row r="1263" spans="1:7">
      <c r="A1263" s="2" t="s">
        <v>240</v>
      </c>
      <c r="B1263">
        <f t="shared" si="128"/>
        <v>2.73866788385239</v>
      </c>
      <c r="C1263">
        <f t="shared" si="129"/>
        <v>0.00273866788385239</v>
      </c>
      <c r="D1263">
        <f t="shared" si="130"/>
        <v>0.008</v>
      </c>
      <c r="E1263">
        <v>0.008</v>
      </c>
      <c r="F1263" s="30">
        <v>0.008</v>
      </c>
      <c r="G1263">
        <v>0.008</v>
      </c>
    </row>
    <row r="1266" spans="1:7">
      <c r="A1266" s="1" t="s">
        <v>250</v>
      </c>
      <c r="B1266" s="1"/>
      <c r="C1266" s="1"/>
      <c r="D1266" s="1"/>
      <c r="E1266" s="1"/>
      <c r="F1266" s="1"/>
      <c r="G1266" s="1"/>
    </row>
    <row r="1268" spans="1:2">
      <c r="A1268" t="s">
        <v>251</v>
      </c>
      <c r="B1268" t="s">
        <v>252</v>
      </c>
    </row>
    <row r="1270" spans="1:6">
      <c r="A1270" t="s">
        <v>168</v>
      </c>
      <c r="B1270" t="s">
        <v>8</v>
      </c>
      <c r="C1270" t="s">
        <v>5</v>
      </c>
      <c r="D1270" t="s">
        <v>6</v>
      </c>
      <c r="E1270" t="s">
        <v>7</v>
      </c>
      <c r="F1270" t="s">
        <v>181</v>
      </c>
    </row>
    <row r="1271" spans="1:5">
      <c r="A1271">
        <v>0.25</v>
      </c>
      <c r="B1271">
        <f t="shared" ref="B1271:B1277" si="131">AVERAGE(C1271:E1271)</f>
        <v>0.0896666666666667</v>
      </c>
      <c r="C1271">
        <v>0.09</v>
      </c>
      <c r="D1271">
        <v>0.086</v>
      </c>
      <c r="E1271">
        <v>0.093</v>
      </c>
    </row>
    <row r="1272" spans="1:5">
      <c r="A1272">
        <v>0.05</v>
      </c>
      <c r="B1272">
        <f t="shared" si="131"/>
        <v>0.0336666666666667</v>
      </c>
      <c r="C1272">
        <v>0.031</v>
      </c>
      <c r="D1272">
        <v>0.035</v>
      </c>
      <c r="E1272">
        <v>0.035</v>
      </c>
    </row>
    <row r="1273" spans="1:5">
      <c r="A1273">
        <v>0.02</v>
      </c>
      <c r="B1273">
        <f t="shared" si="131"/>
        <v>0.0316666666666667</v>
      </c>
      <c r="C1273">
        <v>0.028</v>
      </c>
      <c r="D1273">
        <v>0.032</v>
      </c>
      <c r="E1273">
        <v>0.035</v>
      </c>
    </row>
    <row r="1274" spans="1:5">
      <c r="A1274">
        <v>0.01</v>
      </c>
      <c r="B1274">
        <f t="shared" si="131"/>
        <v>0.0303333333333333</v>
      </c>
      <c r="C1274">
        <v>0.03</v>
      </c>
      <c r="D1274">
        <v>0.031</v>
      </c>
      <c r="E1274">
        <v>0.03</v>
      </c>
    </row>
    <row r="1275" spans="1:5">
      <c r="A1275">
        <v>0.005</v>
      </c>
      <c r="B1275">
        <f t="shared" si="131"/>
        <v>0.0283333333333333</v>
      </c>
      <c r="C1275">
        <v>0.032</v>
      </c>
      <c r="D1275" s="30">
        <v>0.03</v>
      </c>
      <c r="E1275">
        <v>0.023</v>
      </c>
    </row>
    <row r="1276" spans="1:6">
      <c r="A1276" t="s">
        <v>108</v>
      </c>
      <c r="B1276">
        <f t="shared" si="131"/>
        <v>0.085</v>
      </c>
      <c r="C1276">
        <v>0.088</v>
      </c>
      <c r="D1276">
        <v>0.084</v>
      </c>
      <c r="E1276">
        <v>0.083</v>
      </c>
      <c r="F1276">
        <f>(0.25-(B1276-0.0258)/0.2522)*0.5*50</f>
        <v>0.381641554321966</v>
      </c>
    </row>
    <row r="1277" spans="1:6">
      <c r="A1277" t="s">
        <v>123</v>
      </c>
      <c r="B1277">
        <f t="shared" si="131"/>
        <v>0.086</v>
      </c>
      <c r="C1277">
        <v>0.09</v>
      </c>
      <c r="D1277">
        <v>0.088</v>
      </c>
      <c r="E1277">
        <v>0.08</v>
      </c>
      <c r="F1277">
        <f>(0.25-(B1277-0.0258)/0.2522)*0.5*50</f>
        <v>0.282513877874702</v>
      </c>
    </row>
    <row r="1280" spans="1:2">
      <c r="A1280" t="s">
        <v>253</v>
      </c>
      <c r="B1280" t="s">
        <v>252</v>
      </c>
    </row>
    <row r="1282" spans="1:5">
      <c r="A1282" t="s">
        <v>168</v>
      </c>
      <c r="B1282" t="s">
        <v>8</v>
      </c>
      <c r="C1282" t="s">
        <v>5</v>
      </c>
      <c r="D1282" t="s">
        <v>6</v>
      </c>
      <c r="E1282" t="s">
        <v>7</v>
      </c>
    </row>
    <row r="1283" spans="1:5">
      <c r="A1283">
        <v>0.25</v>
      </c>
      <c r="B1283">
        <f t="shared" ref="B1283:B1289" si="132">AVERAGE(C1283:E1283)</f>
        <v>0.0413333333333333</v>
      </c>
      <c r="C1283">
        <v>0.046</v>
      </c>
      <c r="D1283">
        <v>0.039</v>
      </c>
      <c r="E1283">
        <v>0.039</v>
      </c>
    </row>
    <row r="1284" spans="1:5">
      <c r="A1284">
        <v>0.05</v>
      </c>
      <c r="B1284">
        <f t="shared" si="132"/>
        <v>0.036</v>
      </c>
      <c r="C1284">
        <v>0.037</v>
      </c>
      <c r="D1284">
        <v>0.033</v>
      </c>
      <c r="E1284">
        <v>0.038</v>
      </c>
    </row>
    <row r="1285" spans="1:5">
      <c r="A1285">
        <v>0.02</v>
      </c>
      <c r="B1285">
        <f t="shared" si="132"/>
        <v>0.0303333333333333</v>
      </c>
      <c r="C1285">
        <v>0.03</v>
      </c>
      <c r="D1285">
        <v>0.032</v>
      </c>
      <c r="E1285">
        <v>0.029</v>
      </c>
    </row>
    <row r="1286" spans="1:5">
      <c r="A1286">
        <v>0.01</v>
      </c>
      <c r="B1286">
        <f t="shared" si="132"/>
        <v>0.029</v>
      </c>
      <c r="C1286">
        <v>0.03</v>
      </c>
      <c r="D1286">
        <v>0.029</v>
      </c>
      <c r="E1286">
        <v>0.028</v>
      </c>
    </row>
    <row r="1287" spans="1:5">
      <c r="A1287">
        <v>0.005</v>
      </c>
      <c r="B1287">
        <f t="shared" si="132"/>
        <v>0.0283333333333333</v>
      </c>
      <c r="C1287">
        <v>0.027</v>
      </c>
      <c r="D1287" s="30">
        <v>0.028</v>
      </c>
      <c r="E1287">
        <v>0.03</v>
      </c>
    </row>
    <row r="1288" spans="1:6">
      <c r="A1288" t="s">
        <v>108</v>
      </c>
      <c r="B1288">
        <f t="shared" si="132"/>
        <v>0.041</v>
      </c>
      <c r="C1288">
        <v>0.04</v>
      </c>
      <c r="D1288" s="30">
        <v>0.041</v>
      </c>
      <c r="E1288">
        <v>0.042</v>
      </c>
      <c r="F1288">
        <f>(0.25-(B1288-0.0297)/0.0491)*0.5*50</f>
        <v>0.496435845213849</v>
      </c>
    </row>
    <row r="1289" spans="1:6">
      <c r="A1289" t="s">
        <v>123</v>
      </c>
      <c r="B1289">
        <f t="shared" si="132"/>
        <v>0.0413333333333333</v>
      </c>
      <c r="C1289">
        <v>0.044</v>
      </c>
      <c r="D1289" s="30">
        <v>0.04</v>
      </c>
      <c r="E1289">
        <v>0.04</v>
      </c>
      <c r="F1289">
        <f>(0.25-(B1289-0.0297)/0.0491)*0.5*50</f>
        <v>0.326714188730482</v>
      </c>
    </row>
    <row r="1292" spans="1:2">
      <c r="A1292" t="s">
        <v>254</v>
      </c>
      <c r="B1292" t="s">
        <v>252</v>
      </c>
    </row>
    <row r="1294" spans="1:5">
      <c r="A1294" t="s">
        <v>168</v>
      </c>
      <c r="B1294" t="s">
        <v>8</v>
      </c>
      <c r="C1294" t="s">
        <v>5</v>
      </c>
      <c r="D1294" t="s">
        <v>6</v>
      </c>
      <c r="E1294" t="s">
        <v>7</v>
      </c>
    </row>
    <row r="1295" spans="1:5">
      <c r="A1295">
        <v>0.25</v>
      </c>
      <c r="B1295">
        <f t="shared" ref="B1295:B1301" si="133">AVERAGE(C1295:E1295)</f>
        <v>0.0683333333333333</v>
      </c>
      <c r="C1295">
        <v>0.063</v>
      </c>
      <c r="D1295">
        <v>0.075</v>
      </c>
      <c r="E1295">
        <v>0.067</v>
      </c>
    </row>
    <row r="1296" spans="1:5">
      <c r="A1296">
        <v>0.05</v>
      </c>
      <c r="B1296">
        <f t="shared" si="133"/>
        <v>0.054</v>
      </c>
      <c r="C1296">
        <v>0.052</v>
      </c>
      <c r="D1296">
        <v>0.055</v>
      </c>
      <c r="E1296">
        <v>0.055</v>
      </c>
    </row>
    <row r="1297" spans="1:5">
      <c r="A1297">
        <v>0.02</v>
      </c>
      <c r="B1297">
        <f t="shared" si="133"/>
        <v>0.0486666666666667</v>
      </c>
      <c r="C1297">
        <v>0.047</v>
      </c>
      <c r="D1297">
        <v>0.05</v>
      </c>
      <c r="E1297">
        <v>0.049</v>
      </c>
    </row>
    <row r="1298" spans="1:5">
      <c r="A1298">
        <v>0.01</v>
      </c>
      <c r="B1298">
        <f t="shared" si="133"/>
        <v>0.0486666666666667</v>
      </c>
      <c r="C1298">
        <v>0.049</v>
      </c>
      <c r="D1298">
        <v>0.049</v>
      </c>
      <c r="E1298">
        <v>0.048</v>
      </c>
    </row>
    <row r="1299" spans="1:5">
      <c r="A1299">
        <v>0.005</v>
      </c>
      <c r="B1299">
        <f t="shared" si="133"/>
        <v>0.0416666666666667</v>
      </c>
      <c r="C1299">
        <v>0.036</v>
      </c>
      <c r="D1299" s="30">
        <v>0.046</v>
      </c>
      <c r="E1299">
        <v>0.043</v>
      </c>
    </row>
    <row r="1300" spans="1:6">
      <c r="A1300" t="s">
        <v>108</v>
      </c>
      <c r="B1300">
        <f t="shared" si="133"/>
        <v>0.067</v>
      </c>
      <c r="C1300">
        <v>0.06</v>
      </c>
      <c r="D1300">
        <v>0.071</v>
      </c>
      <c r="E1300">
        <v>0.07</v>
      </c>
      <c r="F1300">
        <f>(0.25-(B1300-0.0461)/0.0915)*0.5*50</f>
        <v>0.539617486338797</v>
      </c>
    </row>
    <row r="1301" spans="1:6">
      <c r="A1301" t="s">
        <v>123</v>
      </c>
      <c r="B1301">
        <f t="shared" si="133"/>
        <v>0.068</v>
      </c>
      <c r="C1301">
        <v>0.064</v>
      </c>
      <c r="D1301">
        <v>0.073</v>
      </c>
      <c r="E1301">
        <v>0.067</v>
      </c>
      <c r="F1301">
        <f>(0.25-(B1301-0.0461)/0.0915)*0.5*50</f>
        <v>0.26639344262295</v>
      </c>
    </row>
    <row r="1304" spans="1:2">
      <c r="A1304" t="s">
        <v>255</v>
      </c>
      <c r="B1304" t="s">
        <v>252</v>
      </c>
    </row>
    <row r="1306" spans="1:5">
      <c r="A1306" t="s">
        <v>168</v>
      </c>
      <c r="B1306" t="s">
        <v>8</v>
      </c>
      <c r="C1306" t="s">
        <v>5</v>
      </c>
      <c r="D1306" t="s">
        <v>6</v>
      </c>
      <c r="E1306" t="s">
        <v>7</v>
      </c>
    </row>
    <row r="1307" spans="1:5">
      <c r="A1307">
        <v>0.25</v>
      </c>
      <c r="B1307">
        <f t="shared" ref="B1307:B1313" si="134">AVERAGE(C1307:E1307)</f>
        <v>0.0693333333333333</v>
      </c>
      <c r="C1307">
        <v>0.069</v>
      </c>
      <c r="D1307">
        <v>0.069</v>
      </c>
      <c r="E1307">
        <v>0.07</v>
      </c>
    </row>
    <row r="1308" spans="1:5">
      <c r="A1308">
        <v>0.05</v>
      </c>
      <c r="B1308">
        <f t="shared" si="134"/>
        <v>0.0486666666666667</v>
      </c>
      <c r="C1308">
        <v>0.05</v>
      </c>
      <c r="D1308">
        <v>0.049</v>
      </c>
      <c r="E1308">
        <v>0.047</v>
      </c>
    </row>
    <row r="1309" spans="1:5">
      <c r="A1309">
        <v>0.02</v>
      </c>
      <c r="B1309">
        <f t="shared" si="134"/>
        <v>0.048</v>
      </c>
      <c r="C1309">
        <v>0.05</v>
      </c>
      <c r="D1309">
        <v>0.047</v>
      </c>
      <c r="E1309">
        <v>0.047</v>
      </c>
    </row>
    <row r="1310" spans="1:5">
      <c r="A1310">
        <v>0.01</v>
      </c>
      <c r="B1310">
        <f t="shared" si="134"/>
        <v>0.0466666666666667</v>
      </c>
      <c r="C1310">
        <v>0.045</v>
      </c>
      <c r="D1310">
        <v>0.048</v>
      </c>
      <c r="E1310">
        <v>0.047</v>
      </c>
    </row>
    <row r="1311" spans="1:5">
      <c r="A1311">
        <v>0.005</v>
      </c>
      <c r="B1311">
        <f t="shared" si="134"/>
        <v>0.0456666666666667</v>
      </c>
      <c r="C1311">
        <v>0.048</v>
      </c>
      <c r="D1311" s="30">
        <v>0.046</v>
      </c>
      <c r="E1311">
        <v>0.043</v>
      </c>
    </row>
    <row r="1312" spans="1:6">
      <c r="A1312" t="s">
        <v>108</v>
      </c>
      <c r="B1312">
        <f t="shared" si="134"/>
        <v>0.066</v>
      </c>
      <c r="C1312">
        <v>0.07</v>
      </c>
      <c r="D1312">
        <v>0.068</v>
      </c>
      <c r="E1312">
        <v>0.06</v>
      </c>
      <c r="F1312">
        <f>(0.25-(B1312-0.0453)/0.0955)*0.5*50</f>
        <v>0.831151832460732</v>
      </c>
    </row>
    <row r="1313" spans="1:6">
      <c r="A1313" t="s">
        <v>123</v>
      </c>
      <c r="B1313">
        <f t="shared" si="134"/>
        <v>0.067</v>
      </c>
      <c r="C1313">
        <v>0.069</v>
      </c>
      <c r="D1313">
        <v>0.063</v>
      </c>
      <c r="E1313">
        <v>0.069</v>
      </c>
      <c r="F1313">
        <f>(0.25-(B1313-0.0453)/0.0955)*0.5*50</f>
        <v>0.56937172774869</v>
      </c>
    </row>
    <row r="1315" spans="1:2">
      <c r="A1315" t="s">
        <v>256</v>
      </c>
      <c r="B1315" t="s">
        <v>252</v>
      </c>
    </row>
    <row r="1317" spans="1:5">
      <c r="A1317" t="s">
        <v>168</v>
      </c>
      <c r="B1317" t="s">
        <v>8</v>
      </c>
      <c r="C1317" t="s">
        <v>5</v>
      </c>
      <c r="D1317" t="s">
        <v>6</v>
      </c>
      <c r="E1317" t="s">
        <v>7</v>
      </c>
    </row>
    <row r="1318" spans="1:5">
      <c r="A1318">
        <v>0.25</v>
      </c>
      <c r="B1318">
        <f t="shared" ref="B1318:B1322" si="135">AVERAGE(C1318:E1318)</f>
        <v>0.0593333333333333</v>
      </c>
      <c r="C1318">
        <v>0.06</v>
      </c>
      <c r="D1318">
        <v>0.06</v>
      </c>
      <c r="E1318">
        <v>0.058</v>
      </c>
    </row>
    <row r="1319" spans="1:5">
      <c r="A1319">
        <v>0.05</v>
      </c>
      <c r="B1319">
        <f t="shared" si="135"/>
        <v>0.054</v>
      </c>
      <c r="C1319">
        <v>0.048</v>
      </c>
      <c r="D1319">
        <v>0.057</v>
      </c>
      <c r="E1319">
        <v>0.057</v>
      </c>
    </row>
    <row r="1320" spans="1:5">
      <c r="A1320">
        <v>0.02</v>
      </c>
      <c r="B1320">
        <f t="shared" si="135"/>
        <v>0.0483333333333333</v>
      </c>
      <c r="C1320">
        <v>0.048</v>
      </c>
      <c r="D1320">
        <v>0.051</v>
      </c>
      <c r="E1320">
        <v>0.046</v>
      </c>
    </row>
    <row r="1321" spans="1:5">
      <c r="A1321">
        <v>0.01</v>
      </c>
      <c r="B1321">
        <f t="shared" si="135"/>
        <v>0.0483333333333333</v>
      </c>
      <c r="C1321">
        <v>0.05</v>
      </c>
      <c r="D1321">
        <v>0.045</v>
      </c>
      <c r="E1321">
        <v>0.05</v>
      </c>
    </row>
    <row r="1322" spans="1:5">
      <c r="A1322">
        <v>0.005</v>
      </c>
      <c r="B1322">
        <f t="shared" si="135"/>
        <v>0.048</v>
      </c>
      <c r="C1322">
        <v>0.046</v>
      </c>
      <c r="D1322" s="30">
        <v>0.05</v>
      </c>
      <c r="E1322">
        <v>0.048</v>
      </c>
    </row>
    <row r="1323" spans="1:5">
      <c r="A1323" t="s">
        <v>108</v>
      </c>
      <c r="C1323">
        <v>0.195</v>
      </c>
      <c r="D1323">
        <v>0.207</v>
      </c>
      <c r="E1323">
        <v>0.193</v>
      </c>
    </row>
    <row r="1324" spans="1:5">
      <c r="A1324" t="s">
        <v>123</v>
      </c>
      <c r="C1324">
        <v>0.053</v>
      </c>
      <c r="D1324">
        <v>0.041</v>
      </c>
      <c r="E1324">
        <v>0.039</v>
      </c>
    </row>
    <row r="1325" ht="14.25" spans="2:8">
      <c r="B1325" s="32"/>
      <c r="C1325" s="32"/>
      <c r="D1325" s="32"/>
      <c r="E1325" s="32"/>
      <c r="F1325" s="32"/>
      <c r="G1325" s="32"/>
      <c r="H1325" s="32"/>
    </row>
    <row r="1326" ht="14.25" spans="1:8">
      <c r="A1326" s="33"/>
      <c r="B1326" s="34" t="s">
        <v>257</v>
      </c>
      <c r="C1326" s="34" t="s">
        <v>258</v>
      </c>
      <c r="D1326" s="34" t="s">
        <v>259</v>
      </c>
      <c r="E1326" s="34" t="s">
        <v>260</v>
      </c>
      <c r="F1326" s="34" t="s">
        <v>261</v>
      </c>
      <c r="G1326" s="34" t="s">
        <v>262</v>
      </c>
      <c r="H1326" s="34" t="s">
        <v>263</v>
      </c>
    </row>
    <row r="1327" ht="14.25" spans="1:8">
      <c r="A1327" s="33"/>
      <c r="B1327" s="35"/>
      <c r="C1327" s="35"/>
      <c r="D1327" s="35"/>
      <c r="E1327" s="35"/>
      <c r="F1327" s="35"/>
      <c r="G1327" s="35"/>
      <c r="H1327" s="35"/>
    </row>
    <row r="1328" ht="19.5" spans="1:8">
      <c r="A1328" s="36" t="s">
        <v>264</v>
      </c>
      <c r="B1328" s="36">
        <v>8.36</v>
      </c>
      <c r="C1328" s="36">
        <v>8.19</v>
      </c>
      <c r="D1328" s="37"/>
      <c r="E1328" s="37"/>
      <c r="F1328" s="37"/>
      <c r="G1328" s="37"/>
      <c r="H1328" s="37"/>
    </row>
    <row r="1329" ht="19.5" spans="1:8">
      <c r="A1329" s="36" t="s">
        <v>265</v>
      </c>
      <c r="B1329" s="36">
        <v>0.24</v>
      </c>
      <c r="C1329" s="36">
        <v>1.02</v>
      </c>
      <c r="D1329" s="37"/>
      <c r="E1329" s="37"/>
      <c r="F1329" s="37"/>
      <c r="G1329" s="37"/>
      <c r="H1329" s="38"/>
    </row>
    <row r="1333" spans="1:2">
      <c r="A1333" s="1" t="s">
        <v>266</v>
      </c>
      <c r="B1333" s="1"/>
    </row>
    <row r="1334" spans="1:2">
      <c r="A1334" t="s">
        <v>168</v>
      </c>
      <c r="B1334" t="s">
        <v>169</v>
      </c>
    </row>
    <row r="1335" spans="1:2">
      <c r="A1335">
        <v>0.5</v>
      </c>
      <c r="B1335">
        <v>671270</v>
      </c>
    </row>
    <row r="1336" spans="1:2">
      <c r="A1336">
        <v>0.25</v>
      </c>
      <c r="B1336">
        <v>443810</v>
      </c>
    </row>
    <row r="1337" spans="1:2">
      <c r="A1337">
        <v>0.1</v>
      </c>
      <c r="B1337">
        <v>326061</v>
      </c>
    </row>
    <row r="1338" spans="1:2">
      <c r="A1338">
        <v>0.05</v>
      </c>
      <c r="B1338">
        <v>292441</v>
      </c>
    </row>
    <row r="1339" spans="1:2">
      <c r="A1339">
        <v>0.01</v>
      </c>
      <c r="B1339">
        <v>285012</v>
      </c>
    </row>
    <row r="1345" spans="1:4">
      <c r="A1345" t="s">
        <v>267</v>
      </c>
      <c r="B1345" t="s">
        <v>268</v>
      </c>
      <c r="C1345" t="s">
        <v>9</v>
      </c>
      <c r="D1345" t="s">
        <v>181</v>
      </c>
    </row>
    <row r="1346" spans="1:4">
      <c r="A1346">
        <v>0.5</v>
      </c>
      <c r="B1346">
        <v>476596</v>
      </c>
      <c r="C1346">
        <f>(B1346-256181)/810645</f>
        <v>0.271900770374208</v>
      </c>
      <c r="D1346">
        <f>(0.5-C1346)*50</f>
        <v>11.4049614812896</v>
      </c>
    </row>
    <row r="1347" spans="1:4">
      <c r="A1347">
        <v>0.25</v>
      </c>
      <c r="B1347">
        <v>439275</v>
      </c>
      <c r="C1347">
        <f>(B1347-256181)/810645</f>
        <v>0.22586212213731</v>
      </c>
      <c r="D1347">
        <f>(0.25-C1347)*50</f>
        <v>1.20689389313448</v>
      </c>
    </row>
    <row r="1348" spans="1:4">
      <c r="A1348">
        <v>0.1</v>
      </c>
      <c r="B1348">
        <v>384921</v>
      </c>
      <c r="C1348">
        <f>(B1348-256181)/810645</f>
        <v>0.15881181034855</v>
      </c>
      <c r="D1348">
        <f>(0.1-C1348)*50</f>
        <v>-2.94059051742748</v>
      </c>
    </row>
    <row r="1349" spans="1:4">
      <c r="A1349">
        <v>0.05</v>
      </c>
      <c r="B1349">
        <v>342431</v>
      </c>
      <c r="C1349">
        <f>(B1349-256181)/810645</f>
        <v>0.106396758137039</v>
      </c>
      <c r="D1349">
        <f>(0.05-C1349)*50</f>
        <v>-2.81983790685195</v>
      </c>
    </row>
    <row r="1350" spans="1:4">
      <c r="A1350">
        <v>0.01</v>
      </c>
      <c r="B1350">
        <v>269106</v>
      </c>
      <c r="C1350">
        <f>(B1350-256181)/810645</f>
        <v>0.015944093900536</v>
      </c>
      <c r="D1350">
        <f>(0.01-C1350)*50</f>
        <v>-0.2972046950268</v>
      </c>
    </row>
    <row r="1352" spans="1:2">
      <c r="A1352">
        <v>20241013</v>
      </c>
      <c r="B1352" t="s">
        <v>269</v>
      </c>
    </row>
    <row r="1354" spans="2:2">
      <c r="B1354" t="s">
        <v>86</v>
      </c>
    </row>
    <row r="1355" spans="2:6">
      <c r="B1355" s="8" t="s">
        <v>270</v>
      </c>
      <c r="C1355" s="1" t="s">
        <v>1</v>
      </c>
      <c r="D1355" s="1"/>
      <c r="E1355" s="1"/>
      <c r="F1355" s="1"/>
    </row>
    <row r="1356" spans="2:6">
      <c r="B1356">
        <v>0.5</v>
      </c>
      <c r="C1356">
        <f t="shared" ref="C1356:C1361" si="136">AVERAGE(D1356:F1356)</f>
        <v>2.40233333333333</v>
      </c>
      <c r="D1356">
        <v>2.343</v>
      </c>
      <c r="E1356">
        <v>2.403</v>
      </c>
      <c r="F1356">
        <v>2.461</v>
      </c>
    </row>
    <row r="1357" spans="2:6">
      <c r="B1357">
        <v>0.25</v>
      </c>
      <c r="C1357">
        <f t="shared" si="136"/>
        <v>1.711</v>
      </c>
      <c r="D1357">
        <v>1.716</v>
      </c>
      <c r="E1357">
        <v>1.706</v>
      </c>
      <c r="F1357">
        <v>1.711</v>
      </c>
    </row>
    <row r="1358" spans="2:6">
      <c r="B1358">
        <v>0.1</v>
      </c>
      <c r="C1358">
        <f t="shared" si="136"/>
        <v>0.824666666666667</v>
      </c>
      <c r="D1358">
        <v>0.826</v>
      </c>
      <c r="E1358">
        <v>0.816</v>
      </c>
      <c r="F1358">
        <v>0.832</v>
      </c>
    </row>
    <row r="1359" spans="2:6">
      <c r="B1359">
        <v>0.05</v>
      </c>
      <c r="C1359">
        <f t="shared" si="136"/>
        <v>0.423666666666667</v>
      </c>
      <c r="D1359">
        <v>0.431</v>
      </c>
      <c r="E1359">
        <v>0.42</v>
      </c>
      <c r="F1359">
        <v>0.42</v>
      </c>
    </row>
    <row r="1360" spans="2:6">
      <c r="B1360">
        <v>0.02</v>
      </c>
      <c r="C1360">
        <f t="shared" si="136"/>
        <v>0.191</v>
      </c>
      <c r="D1360">
        <v>0.19</v>
      </c>
      <c r="E1360">
        <v>0.191</v>
      </c>
      <c r="F1360">
        <v>0.192</v>
      </c>
    </row>
    <row r="1361" spans="2:6">
      <c r="B1361">
        <v>0.01</v>
      </c>
      <c r="C1361">
        <f t="shared" si="136"/>
        <v>0.103</v>
      </c>
      <c r="D1361">
        <v>0.103</v>
      </c>
      <c r="E1361">
        <v>0.105</v>
      </c>
      <c r="F1361">
        <v>0.101</v>
      </c>
    </row>
    <row r="1362" spans="2:5">
      <c r="B1362">
        <v>0.005</v>
      </c>
      <c r="C1362">
        <v>0.045</v>
      </c>
      <c r="D1362">
        <v>0.046</v>
      </c>
      <c r="E1362">
        <v>0.05</v>
      </c>
    </row>
    <row r="1376" spans="2:2">
      <c r="B1376" t="s">
        <v>86</v>
      </c>
    </row>
    <row r="1377" spans="2:6">
      <c r="B1377" s="8" t="s">
        <v>271</v>
      </c>
      <c r="C1377" s="1" t="s">
        <v>1</v>
      </c>
      <c r="D1377" s="1"/>
      <c r="E1377" s="1"/>
      <c r="F1377" s="1"/>
    </row>
    <row r="1378" spans="2:6">
      <c r="B1378">
        <v>0.5</v>
      </c>
      <c r="C1378">
        <f t="shared" ref="C1378:C1384" si="137">AVERAGE(D1378:F1378)</f>
        <v>2.174</v>
      </c>
      <c r="D1378">
        <v>2.125</v>
      </c>
      <c r="E1378">
        <v>2.229</v>
      </c>
      <c r="F1378">
        <v>2.168</v>
      </c>
    </row>
    <row r="1379" spans="2:6">
      <c r="B1379">
        <v>0.25</v>
      </c>
      <c r="C1379">
        <f t="shared" si="137"/>
        <v>1.33633333333333</v>
      </c>
      <c r="D1379">
        <v>1.346</v>
      </c>
      <c r="E1379">
        <v>1.323</v>
      </c>
      <c r="F1379">
        <v>1.34</v>
      </c>
    </row>
    <row r="1380" spans="2:6">
      <c r="B1380">
        <v>0.1</v>
      </c>
      <c r="C1380">
        <f t="shared" si="137"/>
        <v>0.597</v>
      </c>
      <c r="D1380">
        <v>0.595</v>
      </c>
      <c r="E1380">
        <v>0.598</v>
      </c>
      <c r="F1380">
        <v>0.598</v>
      </c>
    </row>
    <row r="1381" spans="2:6">
      <c r="B1381">
        <v>0.05</v>
      </c>
      <c r="C1381">
        <f t="shared" si="137"/>
        <v>0.324666666666667</v>
      </c>
      <c r="D1381">
        <v>0.333</v>
      </c>
      <c r="E1381">
        <v>0.323</v>
      </c>
      <c r="F1381">
        <v>0.318</v>
      </c>
    </row>
    <row r="1382" spans="2:6">
      <c r="B1382">
        <v>0.02</v>
      </c>
      <c r="C1382">
        <f t="shared" si="137"/>
        <v>0.139333333333333</v>
      </c>
      <c r="D1382">
        <v>0.142</v>
      </c>
      <c r="E1382">
        <v>0.14</v>
      </c>
      <c r="F1382">
        <v>0.136</v>
      </c>
    </row>
    <row r="1383" spans="2:6">
      <c r="B1383">
        <v>0.01</v>
      </c>
      <c r="C1383">
        <f t="shared" si="137"/>
        <v>0.08</v>
      </c>
      <c r="D1383">
        <v>0.079</v>
      </c>
      <c r="E1383">
        <v>0.08</v>
      </c>
      <c r="F1383">
        <v>0.081</v>
      </c>
    </row>
    <row r="1384" spans="2:6">
      <c r="B1384">
        <v>0.005</v>
      </c>
      <c r="C1384">
        <f t="shared" si="137"/>
        <v>0.0356666666666667</v>
      </c>
      <c r="D1384">
        <v>0.035</v>
      </c>
      <c r="E1384">
        <v>0.034</v>
      </c>
      <c r="F1384">
        <v>0.038</v>
      </c>
    </row>
    <row r="1398" spans="1:3">
      <c r="A1398" s="1" t="s">
        <v>272</v>
      </c>
      <c r="B1398" s="1"/>
      <c r="C1398" s="1"/>
    </row>
    <row r="1399" spans="2:8">
      <c r="B1399" s="1" t="s">
        <v>273</v>
      </c>
      <c r="C1399" s="1"/>
      <c r="D1399" s="1"/>
      <c r="E1399" s="1"/>
      <c r="F1399" s="1"/>
      <c r="G1399" s="1"/>
      <c r="H1399" s="1"/>
    </row>
    <row r="1400" spans="2:9">
      <c r="B1400" t="s">
        <v>274</v>
      </c>
      <c r="C1400" s="39" t="s">
        <v>275</v>
      </c>
      <c r="D1400" t="s">
        <v>181</v>
      </c>
      <c r="E1400" t="s">
        <v>9</v>
      </c>
      <c r="F1400" t="s">
        <v>8</v>
      </c>
      <c r="G1400" s="1" t="s">
        <v>21</v>
      </c>
      <c r="H1400" s="1"/>
      <c r="I1400" s="1"/>
    </row>
    <row r="1401" spans="2:9">
      <c r="B1401" t="s">
        <v>276</v>
      </c>
      <c r="C1401" s="39">
        <f t="shared" ref="C1401:C1405" si="138">D1401/0.1*100</f>
        <v>78.6197837728605</v>
      </c>
      <c r="D1401">
        <f>0.1-E1401*5</f>
        <v>0.0786197837728605</v>
      </c>
      <c r="E1401">
        <f>(F1401-0.0154)/8.2475</f>
        <v>0.00427604324542791</v>
      </c>
      <c r="F1401">
        <f t="shared" ref="F1401:F1405" si="139">AVERAGE(G1401:I1401)</f>
        <v>0.0506666666666667</v>
      </c>
      <c r="G1401">
        <v>0.042</v>
      </c>
      <c r="H1401">
        <v>0.049</v>
      </c>
      <c r="I1401">
        <v>0.061</v>
      </c>
    </row>
    <row r="1402" spans="2:9">
      <c r="B1402" t="s">
        <v>277</v>
      </c>
      <c r="C1402" s="39">
        <f t="shared" si="138"/>
        <v>84.6812982498686</v>
      </c>
      <c r="D1402">
        <f>0.1-E1402*5</f>
        <v>0.0846812982498686</v>
      </c>
      <c r="E1402">
        <f>(F1402-0.0154)/8.247</f>
        <v>0.00306374035002627</v>
      </c>
      <c r="F1402">
        <f t="shared" si="139"/>
        <v>0.0406666666666667</v>
      </c>
      <c r="G1402">
        <v>0.051</v>
      </c>
      <c r="H1402">
        <v>0.037</v>
      </c>
      <c r="I1402">
        <v>0.034</v>
      </c>
    </row>
    <row r="1403" spans="2:9">
      <c r="B1403" t="s">
        <v>278</v>
      </c>
      <c r="C1403" s="39">
        <f t="shared" si="138"/>
        <v>91.5524837314579</v>
      </c>
      <c r="D1403">
        <f>0.1-E1403*5</f>
        <v>0.0915524837314579</v>
      </c>
      <c r="E1403">
        <f>(F1403-0.0154)/8.247</f>
        <v>0.00168950325370842</v>
      </c>
      <c r="F1403">
        <f t="shared" si="139"/>
        <v>0.0293333333333333</v>
      </c>
      <c r="G1403">
        <v>0.029</v>
      </c>
      <c r="H1403">
        <v>0.032</v>
      </c>
      <c r="I1403">
        <v>0.027</v>
      </c>
    </row>
    <row r="1404" spans="2:9">
      <c r="B1404" t="s">
        <v>279</v>
      </c>
      <c r="C1404" s="39">
        <f t="shared" si="138"/>
        <v>97.6152944505073</v>
      </c>
      <c r="D1404">
        <f>0.1-E1404*5</f>
        <v>0.0976152944505073</v>
      </c>
      <c r="E1404">
        <f>(F1404-0.0154)/8.247</f>
        <v>0.000476941109898549</v>
      </c>
      <c r="F1404">
        <f t="shared" si="139"/>
        <v>0.0193333333333333</v>
      </c>
      <c r="G1404">
        <v>0.018</v>
      </c>
      <c r="H1404">
        <v>0.022</v>
      </c>
      <c r="I1404">
        <v>0.018</v>
      </c>
    </row>
    <row r="1405" spans="2:9">
      <c r="B1405" t="s">
        <v>280</v>
      </c>
      <c r="C1405" s="39">
        <f t="shared" si="138"/>
        <v>97.0090133786023</v>
      </c>
      <c r="D1405">
        <f>0.1-E1405*5</f>
        <v>0.0970090133786023</v>
      </c>
      <c r="E1405">
        <f>(F1405-0.0154)/8.247</f>
        <v>0.000598197324279536</v>
      </c>
      <c r="F1405">
        <f t="shared" si="139"/>
        <v>0.0203333333333333</v>
      </c>
      <c r="G1405">
        <v>0.017</v>
      </c>
      <c r="H1405">
        <v>0.021</v>
      </c>
      <c r="I1405">
        <v>0.023</v>
      </c>
    </row>
    <row r="1408" spans="2:9">
      <c r="B1408" t="s">
        <v>281</v>
      </c>
      <c r="C1408" s="39" t="s">
        <v>275</v>
      </c>
      <c r="D1408" t="s">
        <v>181</v>
      </c>
      <c r="E1408" t="s">
        <v>9</v>
      </c>
      <c r="F1408" t="s">
        <v>8</v>
      </c>
      <c r="G1408" s="1" t="s">
        <v>21</v>
      </c>
      <c r="H1408" s="1"/>
      <c r="I1408" s="1"/>
    </row>
    <row r="1409" spans="2:9">
      <c r="B1409" t="s">
        <v>276</v>
      </c>
      <c r="C1409" s="39">
        <f>D1409/0.1*100</f>
        <v>-11.1043750631505</v>
      </c>
      <c r="D1409">
        <f>0.1-E1409*5</f>
        <v>-0.0111043750631505</v>
      </c>
      <c r="E1409">
        <f>(F1409-0.0154)/8.2475</f>
        <v>0.0222208750126301</v>
      </c>
      <c r="F1409">
        <f>AVERAGE(G1409:I1409)</f>
        <v>0.198666666666667</v>
      </c>
      <c r="G1409">
        <v>0.193</v>
      </c>
      <c r="H1409">
        <v>0.202</v>
      </c>
      <c r="I1409">
        <v>0.201</v>
      </c>
    </row>
    <row r="1410" spans="2:9">
      <c r="B1410" t="s">
        <v>277</v>
      </c>
      <c r="C1410" s="39">
        <f>D1410/0.1*100</f>
        <v>-8.27523491967264</v>
      </c>
      <c r="D1410">
        <f>0.1-E1410*5</f>
        <v>-0.00827523491967264</v>
      </c>
      <c r="E1410">
        <f>(F1410-0.0154)/8.2475</f>
        <v>0.0216550469839345</v>
      </c>
      <c r="F1410">
        <f>AVERAGE(G1410:I1410)</f>
        <v>0.194</v>
      </c>
      <c r="G1410">
        <v>0.197</v>
      </c>
      <c r="H1410">
        <v>0.196</v>
      </c>
      <c r="I1410">
        <v>0.189</v>
      </c>
    </row>
    <row r="1411" spans="2:9">
      <c r="B1411" t="s">
        <v>278</v>
      </c>
      <c r="C1411" s="39">
        <f>D1411/0.1*100</f>
        <v>-2.8190360715368</v>
      </c>
      <c r="D1411">
        <f>0.1-E1411*5</f>
        <v>-0.0028190360715368</v>
      </c>
      <c r="E1411">
        <f>(F1411-0.0154)/8.2475</f>
        <v>0.0205638072143074</v>
      </c>
      <c r="F1411">
        <f>AVERAGE(G1411:I1411)</f>
        <v>0.185</v>
      </c>
      <c r="G1411">
        <v>0.182</v>
      </c>
      <c r="H1411">
        <v>0.186</v>
      </c>
      <c r="I1411">
        <v>0.187</v>
      </c>
    </row>
    <row r="1412" spans="2:9">
      <c r="B1412" t="s">
        <v>279</v>
      </c>
      <c r="C1412" s="39">
        <f>D1412/0.1*100</f>
        <v>15.9745377387087</v>
      </c>
      <c r="D1412">
        <f>0.1-E1412*5</f>
        <v>0.0159745377387087</v>
      </c>
      <c r="E1412">
        <f>(F1412-0.0154)/8.2475</f>
        <v>0.0168050924522583</v>
      </c>
      <c r="F1412">
        <f>AVERAGE(G1412:I1412)</f>
        <v>0.154</v>
      </c>
      <c r="G1412">
        <v>0.152</v>
      </c>
      <c r="H1412">
        <v>0.159</v>
      </c>
      <c r="I1412">
        <v>0.151</v>
      </c>
    </row>
    <row r="1413" spans="2:9">
      <c r="B1413" t="s">
        <v>280</v>
      </c>
      <c r="C1413" s="39">
        <f>D1413/0.1*100</f>
        <v>21.6328180256644</v>
      </c>
      <c r="D1413">
        <f>0.1-E1413*5</f>
        <v>0.0216328180256644</v>
      </c>
      <c r="E1413">
        <f>(F1413-0.0154)/8.2475</f>
        <v>0.0156734363948671</v>
      </c>
      <c r="F1413">
        <f>AVERAGE(G1413:I1413)</f>
        <v>0.144666666666667</v>
      </c>
      <c r="G1413">
        <v>0.147</v>
      </c>
      <c r="H1413">
        <v>0.144</v>
      </c>
      <c r="I1413">
        <v>0.143</v>
      </c>
    </row>
    <row r="1418" spans="1:3">
      <c r="A1418" s="1" t="s">
        <v>282</v>
      </c>
      <c r="B1418" s="1"/>
      <c r="C1418" s="1"/>
    </row>
    <row r="1419" spans="2:8">
      <c r="B1419" s="1" t="s">
        <v>273</v>
      </c>
      <c r="C1419" s="1"/>
      <c r="D1419" s="1"/>
      <c r="E1419" s="1"/>
      <c r="F1419" s="1"/>
      <c r="G1419" s="1"/>
      <c r="H1419" s="1"/>
    </row>
    <row r="1420" spans="2:9">
      <c r="B1420" t="s">
        <v>274</v>
      </c>
      <c r="C1420" s="39" t="s">
        <v>283</v>
      </c>
      <c r="D1420" t="s">
        <v>181</v>
      </c>
      <c r="E1420" t="s">
        <v>9</v>
      </c>
      <c r="F1420" t="s">
        <v>8</v>
      </c>
      <c r="G1420" s="1" t="s">
        <v>21</v>
      </c>
      <c r="H1420" s="1"/>
      <c r="I1420" s="1"/>
    </row>
    <row r="1421" spans="2:9">
      <c r="B1421" t="s">
        <v>276</v>
      </c>
      <c r="C1421" s="39">
        <f t="shared" ref="C1421:C1425" si="140">D1421/0.1*100</f>
        <v>79.2753623188406</v>
      </c>
      <c r="D1421">
        <f t="shared" ref="D1421:D1425" si="141">0.1-E1421*5</f>
        <v>0.0792753623188406</v>
      </c>
      <c r="E1421">
        <f>(F1421-0.0265)/5.75</f>
        <v>0.00414492753623189</v>
      </c>
      <c r="F1421">
        <f t="shared" ref="F1421:F1425" si="142">AVERAGE(G1421:I1421)</f>
        <v>0.0503333333333333</v>
      </c>
      <c r="G1421">
        <v>0.057</v>
      </c>
      <c r="H1421">
        <v>0.047</v>
      </c>
      <c r="I1421">
        <v>0.047</v>
      </c>
    </row>
    <row r="1422" spans="2:9">
      <c r="B1422" t="s">
        <v>277</v>
      </c>
      <c r="C1422" s="39">
        <f t="shared" si="140"/>
        <v>87.9710144927536</v>
      </c>
      <c r="D1422">
        <f t="shared" si="141"/>
        <v>0.0879710144927536</v>
      </c>
      <c r="E1422">
        <f>(F1422-0.0265)/5.75</f>
        <v>0.00240579710144928</v>
      </c>
      <c r="F1422">
        <f t="shared" si="142"/>
        <v>0.0403333333333333</v>
      </c>
      <c r="G1422">
        <v>0.036</v>
      </c>
      <c r="H1422">
        <v>0.04</v>
      </c>
      <c r="I1422">
        <v>0.045</v>
      </c>
    </row>
    <row r="1423" spans="2:9">
      <c r="B1423" t="s">
        <v>278</v>
      </c>
      <c r="C1423" s="39">
        <f t="shared" si="140"/>
        <v>91.4492753623188</v>
      </c>
      <c r="D1423">
        <f t="shared" si="141"/>
        <v>0.0914492753623188</v>
      </c>
      <c r="E1423">
        <f>(F1423-0.0265)/5.75</f>
        <v>0.00171014492753623</v>
      </c>
      <c r="F1423">
        <f t="shared" si="142"/>
        <v>0.0363333333333333</v>
      </c>
      <c r="G1423">
        <v>0.041</v>
      </c>
      <c r="H1423">
        <v>0.033</v>
      </c>
      <c r="I1423">
        <v>0.035</v>
      </c>
    </row>
    <row r="1424" spans="2:9">
      <c r="B1424" t="s">
        <v>279</v>
      </c>
      <c r="C1424" s="39">
        <f t="shared" si="140"/>
        <v>96.3768115942029</v>
      </c>
      <c r="D1424">
        <f t="shared" si="141"/>
        <v>0.0963768115942029</v>
      </c>
      <c r="E1424">
        <f>(F1424-0.0265)/5.75</f>
        <v>0.00072463768115942</v>
      </c>
      <c r="F1424">
        <f t="shared" si="142"/>
        <v>0.0306666666666667</v>
      </c>
      <c r="G1424">
        <v>0.031</v>
      </c>
      <c r="H1424">
        <v>0.033</v>
      </c>
      <c r="I1424">
        <v>0.028</v>
      </c>
    </row>
    <row r="1425" spans="2:9">
      <c r="B1425" t="s">
        <v>280</v>
      </c>
      <c r="C1425" s="39">
        <f t="shared" si="140"/>
        <v>94.9275362318841</v>
      </c>
      <c r="D1425">
        <f t="shared" si="141"/>
        <v>0.0949275362318841</v>
      </c>
      <c r="E1425">
        <f>(F1425-0.0265)/5.75</f>
        <v>0.00101449275362319</v>
      </c>
      <c r="F1425">
        <f t="shared" si="142"/>
        <v>0.0323333333333333</v>
      </c>
      <c r="G1425">
        <v>0.032</v>
      </c>
      <c r="H1425">
        <v>0.032</v>
      </c>
      <c r="I1425">
        <v>0.033</v>
      </c>
    </row>
    <row r="1426" spans="3:3">
      <c r="C1426" s="39"/>
    </row>
    <row r="1427" spans="3:3">
      <c r="C1427" s="39"/>
    </row>
    <row r="1428" spans="2:9">
      <c r="B1428" t="s">
        <v>281</v>
      </c>
      <c r="C1428" s="39" t="s">
        <v>283</v>
      </c>
      <c r="D1428" t="s">
        <v>181</v>
      </c>
      <c r="E1428" t="s">
        <v>9</v>
      </c>
      <c r="F1428" t="s">
        <v>8</v>
      </c>
      <c r="G1428" s="1" t="s">
        <v>21</v>
      </c>
      <c r="H1428" s="1"/>
      <c r="I1428" s="1"/>
    </row>
    <row r="1429" spans="2:9">
      <c r="B1429" t="s">
        <v>276</v>
      </c>
      <c r="C1429" s="39">
        <f t="shared" ref="C1429:C1433" si="143">D1429/0.1*100</f>
        <v>-7.89277985277284</v>
      </c>
      <c r="D1429">
        <f t="shared" ref="D1429:D1433" si="144">0.1-E1429*5</f>
        <v>-0.00789277985277284</v>
      </c>
      <c r="E1429">
        <f>(F1429-0.0265)/7.9786</f>
        <v>0.0215785559705546</v>
      </c>
      <c r="F1429">
        <f t="shared" ref="F1429:F1433" si="145">AVERAGE(G1429:I1429)</f>
        <v>0.198666666666667</v>
      </c>
      <c r="G1429">
        <v>0.193</v>
      </c>
      <c r="H1429">
        <v>0.202</v>
      </c>
      <c r="I1429">
        <v>0.201</v>
      </c>
    </row>
    <row r="1430" spans="2:9">
      <c r="B1430" t="s">
        <v>277</v>
      </c>
      <c r="C1430" s="39">
        <f t="shared" si="143"/>
        <v>-4.9682901762214</v>
      </c>
      <c r="D1430">
        <f t="shared" si="144"/>
        <v>-0.0049682901762214</v>
      </c>
      <c r="E1430">
        <f t="shared" ref="E1430:E1433" si="146">(F1430-0.0265)/7.9786</f>
        <v>0.0209936580352443</v>
      </c>
      <c r="F1430">
        <f t="shared" si="145"/>
        <v>0.194</v>
      </c>
      <c r="G1430">
        <v>0.197</v>
      </c>
      <c r="H1430">
        <v>0.196</v>
      </c>
      <c r="I1430">
        <v>0.189</v>
      </c>
    </row>
    <row r="1431" spans="2:9">
      <c r="B1431" t="s">
        <v>278</v>
      </c>
      <c r="C1431" s="39">
        <f t="shared" si="143"/>
        <v>0.671797057127846</v>
      </c>
      <c r="D1431">
        <f t="shared" si="144"/>
        <v>0.000671797057127846</v>
      </c>
      <c r="E1431">
        <f t="shared" si="146"/>
        <v>0.0198656405885744</v>
      </c>
      <c r="F1431">
        <f t="shared" si="145"/>
        <v>0.185</v>
      </c>
      <c r="G1431">
        <v>0.182</v>
      </c>
      <c r="H1431">
        <v>0.186</v>
      </c>
      <c r="I1431">
        <v>0.187</v>
      </c>
    </row>
    <row r="1432" spans="2:9">
      <c r="B1432" t="s">
        <v>279</v>
      </c>
      <c r="C1432" s="39">
        <f t="shared" si="143"/>
        <v>20.0987641942195</v>
      </c>
      <c r="D1432">
        <f t="shared" si="144"/>
        <v>0.0200987641942195</v>
      </c>
      <c r="E1432">
        <f t="shared" si="146"/>
        <v>0.0159802471611561</v>
      </c>
      <c r="F1432">
        <f t="shared" si="145"/>
        <v>0.154</v>
      </c>
      <c r="G1432">
        <v>0.152</v>
      </c>
      <c r="H1432">
        <v>0.159</v>
      </c>
      <c r="I1432">
        <v>0.151</v>
      </c>
    </row>
    <row r="1433" spans="2:9">
      <c r="B1433" t="s">
        <v>280</v>
      </c>
      <c r="C1433" s="39">
        <f t="shared" si="143"/>
        <v>25.9477435473224</v>
      </c>
      <c r="D1433">
        <f t="shared" si="144"/>
        <v>0.0259477435473224</v>
      </c>
      <c r="E1433">
        <f t="shared" si="146"/>
        <v>0.0148104512905355</v>
      </c>
      <c r="F1433">
        <f t="shared" si="145"/>
        <v>0.144666666666667</v>
      </c>
      <c r="G1433">
        <v>0.147</v>
      </c>
      <c r="H1433">
        <v>0.144</v>
      </c>
      <c r="I1433">
        <v>0.143</v>
      </c>
    </row>
    <row r="1434" spans="3:3">
      <c r="C1434" s="39"/>
    </row>
    <row r="1436" spans="1:8">
      <c r="A1436" s="8" t="s">
        <v>284</v>
      </c>
      <c r="B1436" s="10" t="s">
        <v>285</v>
      </c>
      <c r="C1436" s="1"/>
      <c r="D1436" s="1"/>
      <c r="E1436" s="1"/>
      <c r="F1436" s="1"/>
      <c r="G1436" s="1"/>
      <c r="H1436" s="1"/>
    </row>
    <row r="1437" spans="2:7">
      <c r="B1437" t="s">
        <v>226</v>
      </c>
      <c r="C1437" t="s">
        <v>247</v>
      </c>
      <c r="D1437" t="s">
        <v>8</v>
      </c>
      <c r="E1437" t="s">
        <v>5</v>
      </c>
      <c r="F1437" t="s">
        <v>6</v>
      </c>
      <c r="G1437" t="s">
        <v>7</v>
      </c>
    </row>
    <row r="1438" spans="2:8">
      <c r="B1438" s="2" t="s">
        <v>144</v>
      </c>
      <c r="C1438" s="31">
        <f>(D1438-0.0294)/6.1503*5</f>
        <v>0.000487781083849568</v>
      </c>
      <c r="D1438">
        <f>AVERAGE(E1438:G1438)</f>
        <v>0.03</v>
      </c>
      <c r="E1438">
        <v>0.029</v>
      </c>
      <c r="F1438">
        <v>0.031</v>
      </c>
      <c r="G1438">
        <v>0.03</v>
      </c>
      <c r="H1438">
        <f>C1438/0.1</f>
        <v>0.00487781083849568</v>
      </c>
    </row>
    <row r="1439" spans="2:8">
      <c r="B1439" s="2" t="s">
        <v>228</v>
      </c>
      <c r="C1439" s="31">
        <f t="shared" ref="C1439:C1446" si="147">(D1439-0.0294)/6.1503*5</f>
        <v>0.00130074955693218</v>
      </c>
      <c r="D1439">
        <f t="shared" ref="D1439:D1446" si="148">AVERAGE(E1439:G1439)</f>
        <v>0.031</v>
      </c>
      <c r="E1439">
        <v>0.03</v>
      </c>
      <c r="F1439">
        <v>0.031</v>
      </c>
      <c r="G1439">
        <v>0.032</v>
      </c>
      <c r="H1439">
        <f t="shared" ref="H1439:H1446" si="149">C1439/0.1</f>
        <v>0.0130074955693218</v>
      </c>
    </row>
    <row r="1440" spans="2:8">
      <c r="B1440" s="9" t="s">
        <v>286</v>
      </c>
      <c r="C1440" s="31">
        <f t="shared" si="147"/>
        <v>0.0042816339582351</v>
      </c>
      <c r="D1440">
        <f t="shared" si="148"/>
        <v>0.0346666666666667</v>
      </c>
      <c r="E1440">
        <v>0.034</v>
      </c>
      <c r="F1440">
        <v>0.03</v>
      </c>
      <c r="G1440">
        <v>0.04</v>
      </c>
      <c r="H1440">
        <f t="shared" si="149"/>
        <v>0.042816339582351</v>
      </c>
    </row>
    <row r="1441" spans="2:8">
      <c r="B1441" s="2" t="s">
        <v>230</v>
      </c>
      <c r="C1441" s="31">
        <f t="shared" si="147"/>
        <v>0.00726251835953802</v>
      </c>
      <c r="D1441">
        <f t="shared" si="148"/>
        <v>0.0383333333333333</v>
      </c>
      <c r="E1441">
        <v>0.037</v>
      </c>
      <c r="F1441">
        <v>0.035</v>
      </c>
      <c r="G1441">
        <v>0.043</v>
      </c>
      <c r="H1441">
        <f t="shared" si="149"/>
        <v>0.0726251835953802</v>
      </c>
    </row>
    <row r="1442" spans="2:8">
      <c r="B1442" s="2" t="s">
        <v>231</v>
      </c>
      <c r="C1442" s="31">
        <f t="shared" si="147"/>
        <v>0.0105143922518685</v>
      </c>
      <c r="D1442">
        <f t="shared" si="148"/>
        <v>0.0423333333333333</v>
      </c>
      <c r="E1442">
        <v>0.043</v>
      </c>
      <c r="F1442">
        <v>0.044</v>
      </c>
      <c r="G1442">
        <v>0.04</v>
      </c>
      <c r="H1442">
        <f t="shared" si="149"/>
        <v>0.105143922518685</v>
      </c>
    </row>
    <row r="1443" spans="2:8">
      <c r="B1443" s="2" t="s">
        <v>232</v>
      </c>
      <c r="C1443" s="31">
        <f t="shared" si="147"/>
        <v>0.0170181400365294</v>
      </c>
      <c r="D1443">
        <f t="shared" si="148"/>
        <v>0.0503333333333333</v>
      </c>
      <c r="E1443">
        <v>0.048</v>
      </c>
      <c r="F1443">
        <v>0.052</v>
      </c>
      <c r="G1443">
        <v>0.051</v>
      </c>
      <c r="H1443">
        <f t="shared" si="149"/>
        <v>0.170181400365294</v>
      </c>
    </row>
    <row r="1444" spans="2:8">
      <c r="B1444" s="2" t="s">
        <v>233</v>
      </c>
      <c r="C1444" s="31">
        <f t="shared" si="147"/>
        <v>0.0251478247673555</v>
      </c>
      <c r="D1444">
        <f t="shared" si="148"/>
        <v>0.0603333333333333</v>
      </c>
      <c r="E1444">
        <v>0.063</v>
      </c>
      <c r="F1444">
        <v>0.057</v>
      </c>
      <c r="G1444">
        <v>0.061</v>
      </c>
      <c r="H1444">
        <f t="shared" si="149"/>
        <v>0.251478247673555</v>
      </c>
    </row>
    <row r="1445" spans="2:8">
      <c r="B1445" s="2" t="s">
        <v>234</v>
      </c>
      <c r="C1445" s="31">
        <f t="shared" si="147"/>
        <v>0.0302966250968787</v>
      </c>
      <c r="D1445">
        <f t="shared" si="148"/>
        <v>0.0666666666666667</v>
      </c>
      <c r="E1445">
        <v>0.071</v>
      </c>
      <c r="F1445" s="30">
        <v>0.065</v>
      </c>
      <c r="G1445">
        <v>0.064</v>
      </c>
      <c r="H1445">
        <f t="shared" si="149"/>
        <v>0.302966250968787</v>
      </c>
    </row>
    <row r="1446" spans="2:8">
      <c r="B1446" s="2" t="s">
        <v>235</v>
      </c>
      <c r="C1446" s="31">
        <f t="shared" si="147"/>
        <v>0.0346324569533194</v>
      </c>
      <c r="D1446">
        <f t="shared" si="148"/>
        <v>0.072</v>
      </c>
      <c r="E1446">
        <v>0.073</v>
      </c>
      <c r="F1446">
        <v>0.075</v>
      </c>
      <c r="G1446">
        <v>0.068</v>
      </c>
      <c r="H1446">
        <f t="shared" si="149"/>
        <v>0.346324569533194</v>
      </c>
    </row>
    <row r="1447" spans="2:7">
      <c r="B1447" s="10" t="s">
        <v>287</v>
      </c>
      <c r="C1447" s="1"/>
      <c r="D1447" s="1"/>
      <c r="E1447" s="1"/>
      <c r="F1447" s="1"/>
      <c r="G1447" s="1"/>
    </row>
  </sheetData>
  <mergeCells count="113">
    <mergeCell ref="C4:F4"/>
    <mergeCell ref="B28:H28"/>
    <mergeCell ref="B64:I64"/>
    <mergeCell ref="B72:I72"/>
    <mergeCell ref="B83:I83"/>
    <mergeCell ref="B89:I89"/>
    <mergeCell ref="A97:I97"/>
    <mergeCell ref="B99:I99"/>
    <mergeCell ref="B109:I109"/>
    <mergeCell ref="B117:I117"/>
    <mergeCell ref="B126:I126"/>
    <mergeCell ref="B134:I134"/>
    <mergeCell ref="B141:I141"/>
    <mergeCell ref="B152:G152"/>
    <mergeCell ref="B163:G163"/>
    <mergeCell ref="B173:I173"/>
    <mergeCell ref="B180:G180"/>
    <mergeCell ref="B190:I190"/>
    <mergeCell ref="B198:I198"/>
    <mergeCell ref="B217:I217"/>
    <mergeCell ref="B224:I224"/>
    <mergeCell ref="C233:F233"/>
    <mergeCell ref="B234:I234"/>
    <mergeCell ref="C241:F241"/>
    <mergeCell ref="B267:G267"/>
    <mergeCell ref="B279:I279"/>
    <mergeCell ref="B287:I287"/>
    <mergeCell ref="B294:I294"/>
    <mergeCell ref="B301:I301"/>
    <mergeCell ref="C313:F313"/>
    <mergeCell ref="B339:I339"/>
    <mergeCell ref="C362:F362"/>
    <mergeCell ref="B388:I388"/>
    <mergeCell ref="B422:I422"/>
    <mergeCell ref="B441:I441"/>
    <mergeCell ref="B478:I478"/>
    <mergeCell ref="B494:I494"/>
    <mergeCell ref="B527:I527"/>
    <mergeCell ref="B543:I543"/>
    <mergeCell ref="C578:F578"/>
    <mergeCell ref="B591:I591"/>
    <mergeCell ref="B612:D612"/>
    <mergeCell ref="B629:I629"/>
    <mergeCell ref="B645:I645"/>
    <mergeCell ref="B707:G707"/>
    <mergeCell ref="B738:H738"/>
    <mergeCell ref="C740:F740"/>
    <mergeCell ref="B765:I765"/>
    <mergeCell ref="B803:I803"/>
    <mergeCell ref="B818:H818"/>
    <mergeCell ref="B852:H852"/>
    <mergeCell ref="C854:F854"/>
    <mergeCell ref="B879:I879"/>
    <mergeCell ref="B916:I916"/>
    <mergeCell ref="B931:H931"/>
    <mergeCell ref="B965:G965"/>
    <mergeCell ref="B988:G988"/>
    <mergeCell ref="A1029:C1029"/>
    <mergeCell ref="A1042:H1042"/>
    <mergeCell ref="A1046:H1046"/>
    <mergeCell ref="A1050:H1050"/>
    <mergeCell ref="A1054:H1054"/>
    <mergeCell ref="A1058:H1058"/>
    <mergeCell ref="A1062:H1062"/>
    <mergeCell ref="A1066:H1066"/>
    <mergeCell ref="A1071:H1071"/>
    <mergeCell ref="A1074:H1074"/>
    <mergeCell ref="A1078:H1078"/>
    <mergeCell ref="A1083:H1083"/>
    <mergeCell ref="A1086:H1086"/>
    <mergeCell ref="A1090:H1090"/>
    <mergeCell ref="A1096:C1096"/>
    <mergeCell ref="A1112:H1112"/>
    <mergeCell ref="A1115:H1115"/>
    <mergeCell ref="A1119:H1119"/>
    <mergeCell ref="A1123:H1123"/>
    <mergeCell ref="A1126:H1126"/>
    <mergeCell ref="A1130:H1130"/>
    <mergeCell ref="A1135:H1135"/>
    <mergeCell ref="A1138:H1138"/>
    <mergeCell ref="A1142:H1142"/>
    <mergeCell ref="A1179:F1179"/>
    <mergeCell ref="A1180:B1180"/>
    <mergeCell ref="C1183:G1183"/>
    <mergeCell ref="B1185:H1185"/>
    <mergeCell ref="A1197:G1197"/>
    <mergeCell ref="A1233:F1233"/>
    <mergeCell ref="A1234:B1234"/>
    <mergeCell ref="C1237:G1237"/>
    <mergeCell ref="B1240:H1240"/>
    <mergeCell ref="A1252:G1252"/>
    <mergeCell ref="A1266:G1266"/>
    <mergeCell ref="A1333:B1333"/>
    <mergeCell ref="C1355:F1355"/>
    <mergeCell ref="C1377:F1377"/>
    <mergeCell ref="A1398:C1398"/>
    <mergeCell ref="B1399:H1399"/>
    <mergeCell ref="G1400:I1400"/>
    <mergeCell ref="G1408:I1408"/>
    <mergeCell ref="A1418:C1418"/>
    <mergeCell ref="B1419:H1419"/>
    <mergeCell ref="G1420:I1420"/>
    <mergeCell ref="G1428:I1428"/>
    <mergeCell ref="B1436:H1436"/>
    <mergeCell ref="B1447:G1447"/>
    <mergeCell ref="A1326:A1327"/>
    <mergeCell ref="B1326:B1327"/>
    <mergeCell ref="C1326:C1327"/>
    <mergeCell ref="D1326:D1327"/>
    <mergeCell ref="E1326:E1327"/>
    <mergeCell ref="F1326:F1327"/>
    <mergeCell ref="G1326:G1327"/>
    <mergeCell ref="H1326:H1327"/>
  </mergeCells>
  <pageMargins left="0.7" right="0.7" top="0.75" bottom="0.75" header="0.3" footer="0.3"/>
  <pageSetup paperSize="261" orientation="landscape" horizontalDpi="180" verticalDpi="18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辛昊</dc:creator>
  <cp:lastModifiedBy>周廷</cp:lastModifiedBy>
  <dcterms:created xsi:type="dcterms:W3CDTF">2021-12-13T07:09:00Z</dcterms:created>
  <dcterms:modified xsi:type="dcterms:W3CDTF">2025-04-14T13:31:26Z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212B1F6EDD85457AB36C9D30F201E805_13</vt:lpwstr>
  </property>
  <property fmtid="{D5CDD505-2E9C-101B-9397-08002B2CF9AE}" pid="3" name="KSOProductBuildVer">
    <vt:lpwstr>2052-12.1.0.20784</vt:lpwstr>
  </property>
</Properties>
</file>