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erna\Desktop\PACIENTES. EVAL. NUTRI. 2021\ANDREA\"/>
    </mc:Choice>
  </mc:AlternateContent>
  <xr:revisionPtr revIDLastSave="0" documentId="13_ncr:1_{C95ECAF7-EA7A-4F3F-86F9-C7DF336E0B50}" xr6:coauthVersionLast="47" xr6:coauthVersionMax="47" xr10:uidLastSave="{00000000-0000-0000-0000-000000000000}"/>
  <bookViews>
    <workbookView xWindow="-108" yWindow="-108" windowWidth="23256" windowHeight="12456" tabRatio="757" firstSheet="1" activeTab="5" xr2:uid="{F42DC256-6349-4AE4-87A4-11BE0B570D94}"/>
  </bookViews>
  <sheets>
    <sheet name="FUNDAMENTOS CALCULOS" sheetId="5" state="hidden" r:id="rId1"/>
    <sheet name="FICHA INICIAL" sheetId="9" r:id="rId2"/>
    <sheet name="COSTO ENERG. POR ACTV. FAOMS" sheetId="11" state="hidden" r:id="rId3"/>
    <sheet name="REFERENCIAS" sheetId="13" state="hidden" r:id="rId4"/>
    <sheet name="CONTROL" sheetId="25" r:id="rId5"/>
    <sheet name="REQUERIMIENTOS" sheetId="2" r:id="rId6"/>
    <sheet name="ARGOREF_MASC" sheetId="15" state="hidden" r:id="rId7"/>
    <sheet name="ARGOREF_FEM" sheetId="16" state="hidden" r:id="rId8"/>
    <sheet name="ANTROPOMETRIA INICIAL" sheetId="17" r:id="rId9"/>
    <sheet name="ANTROPOMETRIA FINAL" sheetId="24" state="hidden" r:id="rId10"/>
    <sheet name="IMPRIMIR" sheetId="4" r:id="rId11"/>
    <sheet name="SOMATOTIPO" sheetId="14" state="hidden" r:id="rId12"/>
  </sheets>
  <externalReferences>
    <externalReference r:id="rId13"/>
    <externalReference r:id="rId14"/>
    <externalReference r:id="rId15"/>
    <externalReference r:id="rId16"/>
  </externalReferences>
  <definedNames>
    <definedName name="_xlnm._FilterDatabase" localSheetId="2" hidden="1">'COSTO ENERG. POR ACTV. FAOMS'!$A$4:$F$253</definedName>
    <definedName name="_xlnm._FilterDatabase" localSheetId="3" hidden="1">REFERENCIAS!$A$18:$I$18</definedName>
    <definedName name="ACTIVIDAD">'COSTO ENERG. POR ACTV. FAOMS'!$A$3:$F$253</definedName>
    <definedName name="adiposo">'[1]Proc datos brutos'!$U$4:$AC$8</definedName>
    <definedName name="adiposo_muscular">#REF!</definedName>
    <definedName name="AF">#REF!</definedName>
    <definedName name="_xlnm.Print_Area" localSheetId="10">IMPRIMIR!$A$1:$AH$60</definedName>
    <definedName name="arq">'[2]Proc datos brutos'!$AH$3:$AJ$48</definedName>
    <definedName name="defcen">'[2]Proc datos brutos'!$AK$3:$AM$48</definedName>
    <definedName name="deflat">'[2]Proc datos brutos'!$AN$3:$AP$48</definedName>
    <definedName name="delcen">'[2]Proc datos brutos'!$AZ$3:$BB$48</definedName>
    <definedName name="dellat">'[2]Proc datos brutos'!$AW$3:$AY$48</definedName>
    <definedName name="depf">#REF!</definedName>
    <definedName name="depm">#REF!</definedName>
    <definedName name="deps">#REF!</definedName>
    <definedName name="HTML_CodePage" hidden="1">1252</definedName>
    <definedName name="HTML_Control" hidden="1">{"'Proc datos brutos'!$A$2:$M$53"}</definedName>
    <definedName name="HTML_Description" hidden="1">""</definedName>
    <definedName name="HTML_Email" hidden="1">""</definedName>
    <definedName name="HTML_Header" hidden="1">"Proc datos brutos"</definedName>
    <definedName name="HTML_LastUpdate" hidden="1">"17/01/2000"</definedName>
    <definedName name="HTML_LineAfter" hidden="1">FALSE</definedName>
    <definedName name="HTML_LineBefore" hidden="1">FALSE</definedName>
    <definedName name="HTML_Name" hidden="1">"Francis Holway"</definedName>
    <definedName name="HTML_OBDlg2" hidden="1">TRUE</definedName>
    <definedName name="HTML_OBDlg4" hidden="1">TRUE</definedName>
    <definedName name="HTML_OS" hidden="1">0</definedName>
    <definedName name="HTML_PathFile" hidden="1">"C:\Mis documentos\HTML.htm"</definedName>
    <definedName name="HTML_Title" hidden="1">"proc datos brutos definitivo nuevo"</definedName>
    <definedName name="meddef">'[2]Proc datos brutos'!$AQ$3:$AS$48</definedName>
    <definedName name="medof">'[2]Proc datos brutos'!$AT$3:$AV$48</definedName>
    <definedName name="muscular">#REF!</definedName>
    <definedName name="muscular_osea">#REF!</definedName>
    <definedName name="posiciones">'[2]Proc datos brutos'!$BD$2:$BF$8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3" i="2" l="1"/>
  <c r="L61" i="25"/>
  <c r="I17" i="2"/>
  <c r="J63" i="25"/>
  <c r="C63" i="25"/>
  <c r="K62" i="25"/>
  <c r="C62" i="25"/>
  <c r="C58" i="25"/>
  <c r="E57" i="25"/>
  <c r="E56" i="25"/>
  <c r="E55" i="25"/>
  <c r="E54" i="25"/>
  <c r="E53" i="25"/>
  <c r="E52" i="25"/>
  <c r="E51" i="25"/>
  <c r="E50" i="25"/>
  <c r="E58" i="25" s="1"/>
  <c r="AE25" i="4"/>
  <c r="L36" i="17"/>
  <c r="L32" i="17"/>
  <c r="C6" i="2"/>
  <c r="AF33" i="4"/>
  <c r="AF34" i="4"/>
  <c r="AF35" i="4"/>
  <c r="AF41" i="4"/>
  <c r="AF42" i="4"/>
  <c r="AF43" i="4"/>
  <c r="AF49" i="4"/>
  <c r="AF50" i="4"/>
  <c r="AF51" i="4"/>
  <c r="G58" i="25" l="1"/>
  <c r="P52" i="4"/>
  <c r="L36" i="24" l="1"/>
  <c r="E34" i="24"/>
  <c r="E33" i="24"/>
  <c r="L32" i="24"/>
  <c r="E32" i="24"/>
  <c r="E31" i="24"/>
  <c r="E30" i="24"/>
  <c r="E29" i="24"/>
  <c r="E28" i="24"/>
  <c r="L27" i="24"/>
  <c r="E27" i="24"/>
  <c r="L29" i="24" s="1"/>
  <c r="L25" i="24"/>
  <c r="E25" i="24"/>
  <c r="E22" i="24"/>
  <c r="E20" i="24"/>
  <c r="E19" i="24"/>
  <c r="L11" i="24" s="1"/>
  <c r="E18" i="24"/>
  <c r="E17" i="24"/>
  <c r="E16" i="24"/>
  <c r="E15" i="24"/>
  <c r="E14" i="24"/>
  <c r="E12" i="24"/>
  <c r="E11" i="24"/>
  <c r="E10" i="24"/>
  <c r="B6" i="24"/>
  <c r="B5" i="24"/>
  <c r="F10" i="24" s="1"/>
  <c r="G10" i="24" s="1"/>
  <c r="H10" i="24" s="1"/>
  <c r="I10" i="24" s="1"/>
  <c r="G23" i="17"/>
  <c r="H23" i="17" s="1"/>
  <c r="I23" i="17" s="1"/>
  <c r="F22" i="24" l="1"/>
  <c r="G22" i="24" s="1"/>
  <c r="H22" i="24" s="1"/>
  <c r="I22" i="24" s="1"/>
  <c r="F15" i="24"/>
  <c r="G15" i="24" s="1"/>
  <c r="H15" i="24" s="1"/>
  <c r="I15" i="24" s="1"/>
  <c r="F17" i="24"/>
  <c r="G17" i="24" s="1"/>
  <c r="H17" i="24" s="1"/>
  <c r="I17" i="24" s="1"/>
  <c r="F34" i="24"/>
  <c r="G34" i="24" s="1"/>
  <c r="H34" i="24" s="1"/>
  <c r="I34" i="24" s="1"/>
  <c r="F29" i="24"/>
  <c r="G29" i="24" s="1"/>
  <c r="H29" i="24" s="1"/>
  <c r="I29" i="24" s="1"/>
  <c r="G24" i="24"/>
  <c r="H24" i="24" s="1"/>
  <c r="I24" i="24" s="1"/>
  <c r="N25" i="24"/>
  <c r="O25" i="24" s="1"/>
  <c r="P25" i="24" s="1"/>
  <c r="N36" i="24"/>
  <c r="L12" i="24"/>
  <c r="N11" i="24"/>
  <c r="O11" i="24" s="1"/>
  <c r="P11" i="24" s="1"/>
  <c r="F16" i="24"/>
  <c r="G16" i="24" s="1"/>
  <c r="H16" i="24" s="1"/>
  <c r="I16" i="24" s="1"/>
  <c r="F19" i="24"/>
  <c r="G19" i="24" s="1"/>
  <c r="H19" i="24" s="1"/>
  <c r="I19" i="24" s="1"/>
  <c r="F30" i="24"/>
  <c r="G30" i="24" s="1"/>
  <c r="H30" i="24" s="1"/>
  <c r="I30" i="24" s="1"/>
  <c r="L20" i="24"/>
  <c r="L21" i="24" s="1"/>
  <c r="F28" i="24"/>
  <c r="G28" i="24" s="1"/>
  <c r="H28" i="24" s="1"/>
  <c r="I28" i="24" s="1"/>
  <c r="F32" i="24"/>
  <c r="G32" i="24" s="1"/>
  <c r="H32" i="24" s="1"/>
  <c r="I32" i="24" s="1"/>
  <c r="F33" i="24"/>
  <c r="G33" i="24" s="1"/>
  <c r="H33" i="24" s="1"/>
  <c r="I33" i="24" s="1"/>
  <c r="F14" i="24"/>
  <c r="G14" i="24" s="1"/>
  <c r="H14" i="24" s="1"/>
  <c r="I14" i="24" s="1"/>
  <c r="N20" i="24"/>
  <c r="O20" i="24" s="1"/>
  <c r="P20" i="24" s="1"/>
  <c r="F25" i="24"/>
  <c r="G25" i="24" s="1"/>
  <c r="H25" i="24" s="1"/>
  <c r="I25" i="24" s="1"/>
  <c r="F11" i="24"/>
  <c r="F18" i="24"/>
  <c r="G18" i="24" s="1"/>
  <c r="H18" i="24" s="1"/>
  <c r="I18" i="24" s="1"/>
  <c r="G23" i="24"/>
  <c r="H23" i="24" s="1"/>
  <c r="I23" i="24" s="1"/>
  <c r="F27" i="24"/>
  <c r="G27" i="24" s="1"/>
  <c r="H27" i="24" s="1"/>
  <c r="I27" i="24" s="1"/>
  <c r="N29" i="24"/>
  <c r="O29" i="24" s="1"/>
  <c r="P29" i="24" s="1"/>
  <c r="L5" i="24"/>
  <c r="N5" i="24" s="1"/>
  <c r="O5" i="24" s="1"/>
  <c r="P5" i="24" s="1"/>
  <c r="G11" i="24"/>
  <c r="H11" i="24" s="1"/>
  <c r="I11" i="24" s="1"/>
  <c r="F12" i="24"/>
  <c r="G12" i="24" s="1"/>
  <c r="H12" i="24" s="1"/>
  <c r="I12" i="24" s="1"/>
  <c r="F31" i="24"/>
  <c r="G31" i="24" s="1"/>
  <c r="H31" i="24" s="1"/>
  <c r="I31" i="24" s="1"/>
  <c r="F20" i="24"/>
  <c r="G20" i="24" s="1"/>
  <c r="H20" i="24" s="1"/>
  <c r="I20" i="24" s="1"/>
  <c r="G24" i="17"/>
  <c r="H24" i="17" s="1"/>
  <c r="I24" i="17" s="1"/>
  <c r="B6" i="17"/>
  <c r="B8" i="24"/>
  <c r="L15" i="24" s="1"/>
  <c r="H12" i="2"/>
  <c r="I10" i="2"/>
  <c r="N32" i="24" l="1"/>
  <c r="P32" i="24" s="1"/>
  <c r="N32" i="17"/>
  <c r="P32" i="17" s="1"/>
  <c r="O39" i="17"/>
  <c r="P36" i="24"/>
  <c r="L16" i="24"/>
  <c r="N15" i="24"/>
  <c r="O15" i="24" s="1"/>
  <c r="P15" i="24" s="1"/>
  <c r="L6" i="24"/>
  <c r="L7" i="24" s="1"/>
  <c r="B7" i="17"/>
  <c r="B21" i="4"/>
  <c r="P41" i="4" s="1"/>
  <c r="O39" i="24" l="1"/>
  <c r="P50" i="4"/>
  <c r="Q53" i="17"/>
  <c r="K77" i="17" s="1"/>
  <c r="J92" i="17" s="1"/>
  <c r="E34" i="17"/>
  <c r="B110" i="17" s="1"/>
  <c r="E33" i="17"/>
  <c r="B109" i="17" s="1"/>
  <c r="E32" i="17"/>
  <c r="B108" i="17" s="1"/>
  <c r="E31" i="17"/>
  <c r="B107" i="17" s="1"/>
  <c r="E30" i="17"/>
  <c r="B106" i="17" s="1"/>
  <c r="E29" i="17"/>
  <c r="B105" i="17" s="1"/>
  <c r="E28" i="17"/>
  <c r="E27" i="17"/>
  <c r="E25" i="17"/>
  <c r="E22" i="17"/>
  <c r="E20" i="17"/>
  <c r="E19" i="17"/>
  <c r="E17" i="17"/>
  <c r="L27" i="17" s="1"/>
  <c r="P48" i="4" s="1"/>
  <c r="E16" i="17"/>
  <c r="E15" i="17"/>
  <c r="E14" i="17"/>
  <c r="E12" i="17"/>
  <c r="E11" i="17"/>
  <c r="E10" i="17"/>
  <c r="L77" i="17" s="1"/>
  <c r="B8" i="17"/>
  <c r="L9" i="9" l="1"/>
  <c r="L9" i="25"/>
  <c r="L11" i="17"/>
  <c r="B103" i="17"/>
  <c r="L5" i="17"/>
  <c r="L47" i="17" s="1"/>
  <c r="B104" i="17"/>
  <c r="K153" i="17"/>
  <c r="K151" i="17" s="1"/>
  <c r="M153" i="17"/>
  <c r="M151" i="17" s="1"/>
  <c r="L151" i="17"/>
  <c r="P43" i="4"/>
  <c r="O21" i="4"/>
  <c r="N4" i="4"/>
  <c r="P42" i="4"/>
  <c r="L20" i="17"/>
  <c r="P46" i="4" s="1"/>
  <c r="F12" i="17"/>
  <c r="G12" i="17" s="1"/>
  <c r="H12" i="17" s="1"/>
  <c r="I12" i="17" s="1"/>
  <c r="F14" i="17"/>
  <c r="G14" i="17" s="1"/>
  <c r="H14" i="17" s="1"/>
  <c r="I14" i="17" s="1"/>
  <c r="F16" i="17"/>
  <c r="G16" i="17" s="1"/>
  <c r="H16" i="17" s="1"/>
  <c r="I16" i="17" s="1"/>
  <c r="F18" i="17"/>
  <c r="G18" i="17" s="1"/>
  <c r="H18" i="17" s="1"/>
  <c r="I18" i="17" s="1"/>
  <c r="L25" i="17"/>
  <c r="F19" i="17"/>
  <c r="G19" i="17" s="1"/>
  <c r="H19" i="17" s="1"/>
  <c r="I19" i="17" s="1"/>
  <c r="F29" i="17"/>
  <c r="G29" i="17" s="1"/>
  <c r="H29" i="17" s="1"/>
  <c r="I29" i="17" s="1"/>
  <c r="F32" i="17"/>
  <c r="G32" i="17" s="1"/>
  <c r="H32" i="17" s="1"/>
  <c r="I32" i="17" s="1"/>
  <c r="F25" i="17"/>
  <c r="G25" i="17" s="1"/>
  <c r="H25" i="17" s="1"/>
  <c r="I25" i="17" s="1"/>
  <c r="F28" i="17"/>
  <c r="G28" i="17" s="1"/>
  <c r="H28" i="17" s="1"/>
  <c r="I28" i="17" s="1"/>
  <c r="L29" i="17"/>
  <c r="F15" i="17"/>
  <c r="G15" i="17" s="1"/>
  <c r="H15" i="17" s="1"/>
  <c r="I15" i="17" s="1"/>
  <c r="F22" i="17"/>
  <c r="G22" i="17" s="1"/>
  <c r="H22" i="17" s="1"/>
  <c r="I22" i="17" s="1"/>
  <c r="F33" i="17"/>
  <c r="G33" i="17" s="1"/>
  <c r="H33" i="17" s="1"/>
  <c r="I33" i="17" s="1"/>
  <c r="F30" i="17"/>
  <c r="G30" i="17" s="1"/>
  <c r="H30" i="17" s="1"/>
  <c r="I30" i="17" s="1"/>
  <c r="L15" i="17"/>
  <c r="G11" i="17"/>
  <c r="H11" i="17" s="1"/>
  <c r="I11" i="17" s="1"/>
  <c r="F11" i="17"/>
  <c r="F20" i="17"/>
  <c r="G20" i="17" s="1"/>
  <c r="H20" i="17" s="1"/>
  <c r="I20" i="17" s="1"/>
  <c r="F27" i="17"/>
  <c r="G27" i="17" s="1"/>
  <c r="H27" i="17" s="1"/>
  <c r="I27" i="17" s="1"/>
  <c r="F34" i="17"/>
  <c r="G34" i="17" s="1"/>
  <c r="H34" i="17" s="1"/>
  <c r="I34" i="17" s="1"/>
  <c r="F10" i="17"/>
  <c r="G10" i="17" s="1"/>
  <c r="H10" i="17" s="1"/>
  <c r="I10" i="17" s="1"/>
  <c r="F17" i="17"/>
  <c r="G17" i="17" s="1"/>
  <c r="H17" i="17" s="1"/>
  <c r="I17" i="17" s="1"/>
  <c r="F31" i="17"/>
  <c r="G31" i="17" s="1"/>
  <c r="H31" i="17" s="1"/>
  <c r="I31" i="17" s="1"/>
  <c r="P45" i="4" l="1"/>
  <c r="Q55" i="17"/>
  <c r="K92" i="17"/>
  <c r="L153" i="17"/>
  <c r="P47" i="4"/>
  <c r="N5" i="17"/>
  <c r="O5" i="17" s="1"/>
  <c r="P5" i="17" s="1"/>
  <c r="N25" i="17"/>
  <c r="O25" i="17" s="1"/>
  <c r="P25" i="17" s="1"/>
  <c r="P49" i="4"/>
  <c r="M149" i="17"/>
  <c r="AG25" i="4"/>
  <c r="AH25" i="4"/>
  <c r="L149" i="17"/>
  <c r="L21" i="17"/>
  <c r="N20" i="17"/>
  <c r="O20" i="17" s="1"/>
  <c r="P20" i="17" s="1"/>
  <c r="L6" i="17"/>
  <c r="Q54" i="17" s="1"/>
  <c r="L12" i="17"/>
  <c r="M47" i="17" s="1"/>
  <c r="K47" i="17" s="1"/>
  <c r="N36" i="17"/>
  <c r="P36" i="17" s="1"/>
  <c r="O47" i="17"/>
  <c r="N29" i="17"/>
  <c r="O29" i="17" s="1"/>
  <c r="P29" i="17" s="1"/>
  <c r="T24" i="4"/>
  <c r="N11" i="17"/>
  <c r="O11" i="17" s="1"/>
  <c r="P11" i="17" s="1"/>
  <c r="L16" i="17"/>
  <c r="N15" i="17"/>
  <c r="O15" i="17" s="1"/>
  <c r="P15" i="17" s="1"/>
  <c r="P51" i="4" l="1"/>
  <c r="L78" i="17"/>
  <c r="N47" i="17"/>
  <c r="P47" i="17" s="1"/>
  <c r="P44" i="4"/>
  <c r="L7" i="17"/>
  <c r="I7" i="2"/>
  <c r="C5" i="2"/>
  <c r="E4" i="4" s="1"/>
  <c r="C58" i="9"/>
  <c r="V4" i="4"/>
  <c r="C123" i="2"/>
  <c r="C114" i="2"/>
  <c r="C105" i="2"/>
  <c r="C63" i="9"/>
  <c r="C62" i="9"/>
  <c r="K62" i="9"/>
  <c r="J63" i="9"/>
  <c r="L61" i="9"/>
  <c r="A19" i="13"/>
  <c r="AG23" i="4" s="1"/>
  <c r="H31" i="2"/>
  <c r="M31" i="2"/>
  <c r="L31" i="2"/>
  <c r="K31" i="2"/>
  <c r="J31" i="2"/>
  <c r="I31" i="2"/>
  <c r="N8" i="2"/>
  <c r="K19" i="2"/>
  <c r="K18" i="2"/>
  <c r="J18" i="2" s="1"/>
  <c r="N18" i="2" s="1"/>
  <c r="K17" i="2"/>
  <c r="J17" i="2" s="1"/>
  <c r="N17" i="2" s="1"/>
  <c r="K16" i="2"/>
  <c r="J16" i="2" s="1"/>
  <c r="K15" i="2"/>
  <c r="J15" i="2" s="1"/>
  <c r="K14" i="2"/>
  <c r="J14" i="2" s="1"/>
  <c r="N14" i="2" s="1"/>
  <c r="K13" i="2"/>
  <c r="J13" i="2" s="1"/>
  <c r="K12" i="2"/>
  <c r="J12" i="2" s="1"/>
  <c r="N12" i="2" s="1"/>
  <c r="K11" i="2"/>
  <c r="J11" i="2" s="1"/>
  <c r="E51" i="9"/>
  <c r="M12" i="2" s="1"/>
  <c r="E52" i="9"/>
  <c r="M13" i="2" s="1"/>
  <c r="E53" i="9"/>
  <c r="M14" i="2" s="1"/>
  <c r="E54" i="9"/>
  <c r="M15" i="2" s="1"/>
  <c r="E55" i="9"/>
  <c r="M16" i="2" s="1"/>
  <c r="E56" i="9"/>
  <c r="M17" i="2" s="1"/>
  <c r="E57" i="9"/>
  <c r="M18" i="2" s="1"/>
  <c r="E50" i="9"/>
  <c r="M11" i="2" s="1"/>
  <c r="N13" i="2" l="1"/>
  <c r="O13" i="2" s="1"/>
  <c r="N15" i="2"/>
  <c r="N16" i="2"/>
  <c r="N11" i="2"/>
  <c r="M32" i="2"/>
  <c r="I19" i="13" s="1"/>
  <c r="X26" i="4" s="1"/>
  <c r="O11" i="2"/>
  <c r="O15" i="2"/>
  <c r="I32" i="2"/>
  <c r="AE27" i="4" s="1"/>
  <c r="K155" i="17" s="1"/>
  <c r="O17" i="2"/>
  <c r="L32" i="2"/>
  <c r="H19" i="13" s="1"/>
  <c r="T26" i="4" s="1"/>
  <c r="K32" i="2"/>
  <c r="O14" i="2"/>
  <c r="J32" i="2"/>
  <c r="AG27" i="4" s="1"/>
  <c r="L155" i="17" s="1"/>
  <c r="AG4" i="4"/>
  <c r="O12" i="2"/>
  <c r="W23" i="4"/>
  <c r="O18" i="2"/>
  <c r="O16" i="2"/>
  <c r="E58" i="9"/>
  <c r="B10" i="13"/>
  <c r="B9" i="13"/>
  <c r="A5" i="13"/>
  <c r="A10" i="13" s="1"/>
  <c r="A4" i="13"/>
  <c r="E4" i="13" s="1"/>
  <c r="C11" i="14"/>
  <c r="D11" i="14"/>
  <c r="C12" i="14"/>
  <c r="D12" i="14"/>
  <c r="C13" i="14"/>
  <c r="D13" i="14"/>
  <c r="C14" i="14"/>
  <c r="D14" i="14"/>
  <c r="C15" i="14"/>
  <c r="D15" i="14"/>
  <c r="C16" i="14"/>
  <c r="D16" i="14"/>
  <c r="C17" i="14"/>
  <c r="D17" i="14"/>
  <c r="C18" i="14"/>
  <c r="D18" i="14"/>
  <c r="C19" i="14"/>
  <c r="D19" i="14"/>
  <c r="C20" i="14"/>
  <c r="D20" i="14"/>
  <c r="C21" i="14"/>
  <c r="D21" i="14"/>
  <c r="C22" i="14"/>
  <c r="D22" i="14"/>
  <c r="C23" i="14"/>
  <c r="D23" i="14"/>
  <c r="C24" i="14"/>
  <c r="D24" i="14"/>
  <c r="C25" i="14"/>
  <c r="D25" i="14"/>
  <c r="C26" i="14"/>
  <c r="D26" i="14"/>
  <c r="C27" i="14"/>
  <c r="D27" i="14"/>
  <c r="C28" i="14"/>
  <c r="D28" i="14"/>
  <c r="C29" i="14"/>
  <c r="D29" i="14"/>
  <c r="C30" i="14"/>
  <c r="D30" i="14"/>
  <c r="C31" i="14"/>
  <c r="D31" i="14"/>
  <c r="C32" i="14"/>
  <c r="D32" i="14"/>
  <c r="C33" i="14"/>
  <c r="D33" i="14"/>
  <c r="C34" i="14"/>
  <c r="D34" i="14"/>
  <c r="C35" i="14"/>
  <c r="D35" i="14"/>
  <c r="C36" i="14"/>
  <c r="D36" i="14"/>
  <c r="C37" i="14"/>
  <c r="D37" i="14"/>
  <c r="C38" i="14"/>
  <c r="D38" i="14"/>
  <c r="C39" i="14"/>
  <c r="D39" i="14"/>
  <c r="C40" i="14"/>
  <c r="D40" i="14"/>
  <c r="C41" i="14"/>
  <c r="D41" i="14"/>
  <c r="C42" i="14"/>
  <c r="D42" i="14"/>
  <c r="C43" i="14"/>
  <c r="D43" i="14"/>
  <c r="C44" i="14"/>
  <c r="D44" i="14"/>
  <c r="C45" i="14"/>
  <c r="D45" i="14"/>
  <c r="C46" i="14"/>
  <c r="D46" i="14"/>
  <c r="C47" i="14"/>
  <c r="D47" i="14"/>
  <c r="C48" i="14"/>
  <c r="D48" i="14"/>
  <c r="C49" i="14"/>
  <c r="D49" i="14"/>
  <c r="C50" i="14"/>
  <c r="D50" i="14"/>
  <c r="C51" i="14"/>
  <c r="D51" i="14"/>
  <c r="C52" i="14"/>
  <c r="D52" i="14"/>
  <c r="C53" i="14"/>
  <c r="D53"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F14" i="13"/>
  <c r="F13" i="13"/>
  <c r="F12" i="13"/>
  <c r="F11" i="13"/>
  <c r="F10" i="13"/>
  <c r="F9" i="13"/>
  <c r="R24" i="4" l="1"/>
  <c r="AC25" i="4"/>
  <c r="G58" i="9"/>
  <c r="M19" i="2" s="1"/>
  <c r="O19" i="2" s="1"/>
  <c r="U20" i="2" s="1"/>
  <c r="F19" i="13"/>
  <c r="E19" i="13"/>
  <c r="AH27" i="4"/>
  <c r="M155" i="17" s="1"/>
  <c r="L157" i="17" s="1"/>
  <c r="M157" i="17" s="1"/>
  <c r="G19" i="13"/>
  <c r="F8" i="13"/>
  <c r="A14" i="13"/>
  <c r="B4" i="14" s="1"/>
  <c r="G8" i="13"/>
  <c r="A9" i="13"/>
  <c r="E5" i="13"/>
  <c r="A15" i="13"/>
  <c r="B5" i="14" s="1"/>
  <c r="O20" i="2" l="1"/>
  <c r="B16" i="13"/>
  <c r="C6" i="14" s="1"/>
  <c r="C16" i="13"/>
  <c r="D6" i="14" s="1"/>
  <c r="H17" i="2"/>
  <c r="G17" i="2" l="1"/>
  <c r="I5" i="2"/>
  <c r="AD4" i="4" l="1"/>
  <c r="G10" i="13"/>
  <c r="G11" i="13"/>
  <c r="G12" i="13"/>
  <c r="G13" i="13"/>
  <c r="G14" i="13"/>
  <c r="G9" i="13" l="1"/>
  <c r="C27" i="2" l="1"/>
  <c r="F11" i="2"/>
  <c r="I11" i="2" l="1"/>
  <c r="G12" i="2" s="1"/>
  <c r="I12" i="2" s="1"/>
  <c r="H103" i="2" s="1"/>
  <c r="C14" i="13"/>
  <c r="D4" i="14" s="1"/>
  <c r="B14" i="13"/>
  <c r="C4" i="14" s="1"/>
  <c r="H111" i="2" l="1"/>
  <c r="H114" i="2" s="1"/>
  <c r="AH41" i="4" s="1"/>
  <c r="H113" i="2"/>
  <c r="T4" i="2"/>
  <c r="H120" i="2"/>
  <c r="S10" i="2"/>
  <c r="G14" i="2"/>
  <c r="T5" i="2"/>
  <c r="E32" i="2"/>
  <c r="T11" i="2"/>
  <c r="T10" i="2"/>
  <c r="S5" i="2"/>
  <c r="S4" i="2"/>
  <c r="S7" i="2"/>
  <c r="T7" i="2"/>
  <c r="H121" i="2"/>
  <c r="E31" i="2"/>
  <c r="S11" i="2"/>
  <c r="H102" i="2"/>
  <c r="H19" i="2"/>
  <c r="D24" i="2" s="1"/>
  <c r="H112" i="2"/>
  <c r="S8" i="2"/>
  <c r="T8" i="2"/>
  <c r="H104" i="2"/>
  <c r="T6" i="2"/>
  <c r="H122" i="2"/>
  <c r="S9" i="2"/>
  <c r="G16" i="2" s="1"/>
  <c r="E33" i="2"/>
  <c r="S6" i="2"/>
  <c r="T9" i="2"/>
  <c r="G15" i="2"/>
  <c r="J20" i="2" s="1"/>
  <c r="O21" i="2" s="1"/>
  <c r="C15" i="13"/>
  <c r="D5" i="14" s="1"/>
  <c r="D56" i="14" s="1"/>
  <c r="B15" i="13"/>
  <c r="C5" i="14" s="1"/>
  <c r="C56" i="14" s="1"/>
  <c r="H123" i="2" l="1"/>
  <c r="AH49" i="4" s="1"/>
  <c r="H105" i="2"/>
  <c r="AH33" i="4" s="1"/>
  <c r="D105" i="2"/>
  <c r="O23" i="2"/>
  <c r="D114" i="2" s="1"/>
  <c r="D112" i="2" s="1"/>
  <c r="E112" i="2" s="1"/>
  <c r="F112" i="2" s="1"/>
  <c r="D123" i="2"/>
  <c r="D121" i="2" s="1"/>
  <c r="E121" i="2" s="1"/>
  <c r="F121" i="2" s="1"/>
  <c r="H14" i="2"/>
  <c r="B4" i="13"/>
  <c r="C4" i="13"/>
  <c r="B5" i="13"/>
  <c r="D26" i="2"/>
  <c r="E26" i="2" s="1"/>
  <c r="F26" i="2" s="1"/>
  <c r="D25" i="2"/>
  <c r="E25" i="2" s="1"/>
  <c r="F25" i="2" s="1"/>
  <c r="D122" i="2" l="1"/>
  <c r="E122" i="2" s="1"/>
  <c r="F122" i="2" s="1"/>
  <c r="D104" i="2"/>
  <c r="E104" i="2" s="1"/>
  <c r="F104" i="2" s="1"/>
  <c r="D111" i="2"/>
  <c r="E111" i="2" s="1"/>
  <c r="F111" i="2" s="1"/>
  <c r="D113" i="2"/>
  <c r="E113" i="2" s="1"/>
  <c r="F113" i="2" s="1"/>
  <c r="D102" i="2"/>
  <c r="E102" i="2" s="1"/>
  <c r="F102" i="2" s="1"/>
  <c r="D103" i="2"/>
  <c r="E103" i="2" s="1"/>
  <c r="F103" i="2" s="1"/>
  <c r="D120" i="2"/>
  <c r="E120" i="2" s="1"/>
  <c r="F120" i="2" s="1"/>
  <c r="C5" i="13"/>
  <c r="F4" i="13"/>
  <c r="E24" i="2"/>
  <c r="F24" i="2" s="1"/>
  <c r="D27" i="2"/>
  <c r="G4" i="13"/>
  <c r="F5" i="13" l="1"/>
  <c r="G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Hernan Lippke Vega</author>
  </authors>
  <commentList>
    <comment ref="G6" authorId="0" shapeId="0" xr:uid="{E2239F7E-B0F3-465C-AC8F-CA2FB7DD2941}">
      <text>
        <r>
          <rPr>
            <b/>
            <sz val="9"/>
            <color indexed="81"/>
            <rFont val="Tahoma"/>
            <family val="2"/>
          </rPr>
          <t>Hernan Lippke Vega:</t>
        </r>
        <r>
          <rPr>
            <sz val="9"/>
            <color indexed="81"/>
            <rFont val="Tahoma"/>
            <family val="2"/>
          </rPr>
          <t xml:space="preserve">
AGREGAR MANUALMENTE</t>
        </r>
      </text>
    </comment>
    <comment ref="I6" authorId="0" shapeId="0" xr:uid="{120B52C1-C670-409C-88F3-4A7A9E46C871}">
      <text>
        <r>
          <rPr>
            <b/>
            <sz val="9"/>
            <color indexed="81"/>
            <rFont val="Tahoma"/>
            <family val="2"/>
          </rPr>
          <t>Hernan Lippke Vega:</t>
        </r>
        <r>
          <rPr>
            <sz val="9"/>
            <color indexed="81"/>
            <rFont val="Tahoma"/>
            <family val="2"/>
          </rPr>
          <t xml:space="preserve">
AGREGAR MANUALMENTE.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Hernan Lippke Vega</author>
  </authors>
  <commentList>
    <comment ref="L32" authorId="0" shapeId="0" xr:uid="{5FD6E1BF-4667-49E9-AF98-C628C1519E48}">
      <text>
        <r>
          <rPr>
            <b/>
            <sz val="9"/>
            <color indexed="81"/>
            <rFont val="Tahoma"/>
            <charset val="1"/>
          </rPr>
          <t xml:space="preserve">Hernan Lippke Vega:REFERENCIA OBJETIVO
</t>
        </r>
      </text>
    </comment>
    <comment ref="L36" authorId="0" shapeId="0" xr:uid="{03667DBF-87D6-4DB5-A363-75CDAB4AF2CC}">
      <text>
        <r>
          <rPr>
            <b/>
            <sz val="9"/>
            <color indexed="81"/>
            <rFont val="Tahoma"/>
            <charset val="1"/>
          </rPr>
          <t>Hernan Lippke Vega:</t>
        </r>
        <r>
          <rPr>
            <sz val="9"/>
            <color indexed="81"/>
            <rFont val="Tahoma"/>
            <charset val="1"/>
          </rPr>
          <t xml:space="preserve">
REFERENCIA OBJETIVO
</t>
        </r>
      </text>
    </comment>
    <comment ref="K145" authorId="0" shapeId="0" xr:uid="{3517F67D-0761-4BA9-B0C8-6A24D3F1CE03}">
      <text>
        <r>
          <rPr>
            <b/>
            <sz val="9"/>
            <color indexed="81"/>
            <rFont val="Tahoma"/>
            <family val="2"/>
          </rPr>
          <t>Hernan Lippke Vega:</t>
        </r>
        <r>
          <rPr>
            <sz val="9"/>
            <color indexed="81"/>
            <rFont val="Tahoma"/>
            <family val="2"/>
          </rPr>
          <t xml:space="preserve">
LLENAR MANUALMENTE
</t>
        </r>
      </text>
    </comment>
  </commentList>
</comments>
</file>

<file path=xl/sharedStrings.xml><?xml version="1.0" encoding="utf-8"?>
<sst xmlns="http://schemas.openxmlformats.org/spreadsheetml/2006/main" count="1778" uniqueCount="1107">
  <si>
    <t>DATOS DEL PACIENTE</t>
  </si>
  <si>
    <t>NOMBRE:</t>
  </si>
  <si>
    <t>SEXO:</t>
  </si>
  <si>
    <t>EDAD:</t>
  </si>
  <si>
    <t>HUMERAL</t>
  </si>
  <si>
    <t>FEMORAL</t>
  </si>
  <si>
    <t>CABEZA</t>
  </si>
  <si>
    <t>BRAZO RELAJADO</t>
  </si>
  <si>
    <t>CINTURA</t>
  </si>
  <si>
    <t>CADERA</t>
  </si>
  <si>
    <t>SUBESCAPULAR</t>
  </si>
  <si>
    <t>TRICIPITAL</t>
  </si>
  <si>
    <t>SUPRAESPINAL</t>
  </si>
  <si>
    <t>ABDOMINAL</t>
  </si>
  <si>
    <t>MUSLO MEDIO</t>
  </si>
  <si>
    <t>PIERNA</t>
  </si>
  <si>
    <t>% DE GRASA (Kg)</t>
  </si>
  <si>
    <t>Ecuación (D. KERR, 1988)</t>
  </si>
  <si>
    <t>S ADIP = sumatoria (TPSF + SSSF + SISF + ABSF + THSF + MCSF)</t>
  </si>
  <si>
    <t>Z ADIP = [S ADIP • (170,18 / HT) – 116,41] / 34,79</t>
  </si>
  <si>
    <t>Donde:</t>
  </si>
  <si>
    <t>116,41 = sumatoria de medias Phantom de los pliegos cutáneos34,79 = sumatoria de los desvíos estándar Phantom para los pliegues cutáneos</t>
  </si>
  <si>
    <t>TPSF = pliegue cutáneo del tríceps</t>
  </si>
  <si>
    <t>SSSF = pliegue cutáneo subescapular</t>
  </si>
  <si>
    <t>SISF = pliegue cutáneo supraespinal</t>
  </si>
  <si>
    <t>ABSF = pliegue cutáneo abdominal</t>
  </si>
  <si>
    <t>THSF = pliegue cutáneo frontal del muslo</t>
  </si>
  <si>
    <t>MCSF = pliegue cutáneo de la pantorrilla media</t>
  </si>
  <si>
    <t>M ADIP (kg.) = [ ( Z ADIP • 5,85) + 25,6] / (170,18 / HT)3</t>
  </si>
  <si>
    <t>M ADIP = Masa adiposa (en kg.)</t>
  </si>
  <si>
    <t>Z ADIP = Score de proporcionalidad Phantom para la masa adiposa</t>
  </si>
  <si>
    <t>25,6 = Constante del método para media de masa adiposa Phantom (en kg.)</t>
  </si>
  <si>
    <t>5,85 = Constante del método para desvío estándar de la masa adiposa Phantom (en kg.)</t>
  </si>
  <si>
    <t>S MUS = Sumatoria (P ARC + P FA + PTHC + P MCC + P CHC)</t>
  </si>
  <si>
    <t>Z MUS = [S MUS • (170,18 / HT) – 207,21] / 13,74</t>
  </si>
  <si>
    <t>207,21 = sumatoria de las medias Phantom de los perímetros corregidos</t>
  </si>
  <si>
    <t>13,74 = sumatoria de los desvíos estándar Phantom para los perímetros corregidos</t>
  </si>
  <si>
    <t>PARC = perímetro del brazo (relajado), corregido por el pliegue cutáneo del tríceps</t>
  </si>
  <si>
    <t>P FA = perímetro del antebrazo (no corregido)</t>
  </si>
  <si>
    <t>P THC = perímetro del muslo, corregido por el pliegue cutáneo del muslo frontal</t>
  </si>
  <si>
    <t>P MCC = perímetro de la pantorrilla, corregido por el pliegue cutáneo de la pantorrilla medial</t>
  </si>
  <si>
    <t>P CHC = perímetro de la caja torácica, corregido por el pliegue cutáneo subescapular</t>
  </si>
  <si>
    <t>M MUS = Masa muscular (en kg.)</t>
  </si>
  <si>
    <t>Z MUS = Score de proporcionalidad Phantom para masa muscular</t>
  </si>
  <si>
    <t>24,5 = Constante del método para media de masa muscular Phantom (en kg.)</t>
  </si>
  <si>
    <t>5,4 = Constante del método para desvío estándar Phantom para el músculo (en Kg.)</t>
  </si>
  <si>
    <t>M MUS (kg.) = [ ( Z MUS • 5,4) + 24,5] / (170,18 / HT)3</t>
  </si>
  <si>
    <t>% DE MASA MUSCULAR (Kg)</t>
  </si>
  <si>
    <t>% DE MASA OSEA (Kg)</t>
  </si>
  <si>
    <t>Ante todo debe aclararse que la masa esquelética u ósea, se calcula en forma separada: a) masa ósea de la cabeza; b) masa ósea del cuerpo.</t>
  </si>
  <si>
    <t>La masa esquelética de la cabeza se predice de acuerdo con el método general antes descrito, así pues:</t>
  </si>
  <si>
    <t>Z OSEA CABEZA = (perímetro de la cabeza – 56,0) / 1,44</t>
  </si>
  <si>
    <t>56,0 = perímetro Phantom de la cabeza</t>
  </si>
  <si>
    <t>1,44 = desviación estándar Phantom para el perímetro de la cabeza</t>
  </si>
  <si>
    <t>M OSEA CABEZA = Masa ósea de la cabeza (en kg.)</t>
  </si>
  <si>
    <t>Z OSEA CABEZA = Score de proporcionalidad Phantom para masa ósea de la cabeza</t>
  </si>
  <si>
    <t>1,20 = Constante del método para media de masa ósea Phantom de la cabeza (en kg.)</t>
  </si>
  <si>
    <t>0,18 = Constante del método para desviación estándar de la masa ósea Phantom de la cabeza (en kg.)</t>
  </si>
  <si>
    <t>La masa esquelética del cuerpo se calcula según las siguientes ecuaciones:</t>
  </si>
  <si>
    <t>S OSEA CUERPO = sumatoria [ BIAC + BIIL + (2 • HUM) + (2 • FEM) ]</t>
  </si>
  <si>
    <t>BIAC = diámetro biacromial</t>
  </si>
  <si>
    <t>BIIL = diámetro biiliocristal</t>
  </si>
  <si>
    <t>HUM = diámetro del húmero</t>
  </si>
  <si>
    <t>FEM = diámetro del fémur</t>
  </si>
  <si>
    <t>Z OSEA CUERPO = [S OSEA CUERPO • (170,18 / HT) – 98,88] / 5,33</t>
  </si>
  <si>
    <t>Z OSEA CUERPO = Score de proporcionalidad Phantom para masa ósea del cuerpo</t>
  </si>
  <si>
    <t>S OSEA CUERPO = Sumatoria antes descrita</t>
  </si>
  <si>
    <t>98,88 = valor de sumatoria Phantom de los diámetros óseos</t>
  </si>
  <si>
    <t>5,33 = valor de sumatoria Phantom de los desvíos estándar de los diámetros óseos</t>
  </si>
  <si>
    <t>170,18 = Constante de altura Phantom</t>
  </si>
  <si>
    <t>HT = Altura o talla del evaluado</t>
  </si>
  <si>
    <t>M OSEA CUERPO = masa ósea del cuerpo (en kg.)</t>
  </si>
  <si>
    <t>6,70 = Constante del método para media de masa ósea corporal Phantom (en kg.)</t>
  </si>
  <si>
    <t>1,34 = Constante del método para desvío estándar de masa ósea corporal Phantom (en kg.)</t>
  </si>
  <si>
    <t>MASA TOTAL OSEA (en kg.) = M OSEA CUERPO + M OSEA CABEZA</t>
  </si>
  <si>
    <t>Donde: M. OSEA CUERPO (KG) = (( Z OSEA CUERPO * 1,34) + 6,70) / (170,18/HT)^3</t>
  </si>
  <si>
    <t>% DE MASA PIEL (Kg)</t>
  </si>
  <si>
    <t>Para calcular la masa de piel,</t>
  </si>
  <si>
    <t>donde:</t>
  </si>
  <si>
    <t>MS = masa de piel en kg.</t>
  </si>
  <si>
    <t>SA = superficie en metros cuadrados</t>
  </si>
  <si>
    <t>1,05 = densidad de la piel (dato obtenido de disección cadavérica)</t>
  </si>
  <si>
    <t>Para calcular la superficie corporal,</t>
  </si>
  <si>
    <t>W = masa corporal expresada como peso, en Kg</t>
  </si>
  <si>
    <t>H = estatura o altura en centímetros</t>
  </si>
  <si>
    <t>73,704 en mujeres de edad; &gt; 12 años</t>
  </si>
  <si>
    <t>70,691 en hombres y mujeres, &lt; 12 años (representa la media de las constantes de hombres y mujeres)</t>
  </si>
  <si>
    <t>Formula general para la predicción de masas de tejido adiposo, músculo, hueso y tejido residual (Táctica PHANTOM).</t>
  </si>
  <si>
    <t>La táctica de fraccionamiento requiere derivar el índice de proporcionalidad Phantom para cada masa, objeto de acuerdo con la siguiente fórmula:</t>
  </si>
  <si>
    <t>Z = score de proporcionalidad Phantom</t>
  </si>
  <si>
    <t>V = valor de la/s variables</t>
  </si>
  <si>
    <t>d = constante dimensional: 1 para longitudes, diámetros y perímetros, 2 para áreas y 3 para volúmenes (como el peso)</t>
  </si>
  <si>
    <t>P = valor Phantom para la variable V</t>
  </si>
  <si>
    <t>S = desviación estándar Phantom para la variable V</t>
  </si>
  <si>
    <t>La suma de los valores antropométricos para cada subgrupo de variables predictivas , se utiliza para determinar una valor Phantom de proporcionalidad (Z) para cada masa de tejido: adiposo, músculo, hueso y residual. Se considera que la desviación del valor Phantom de proporcionalidad para cada masa de tejido, representa las características displásicas de la masa de tejido. Para calcular la masa fraccional para cada tejido, se utiliza la siguiente fórmula:</t>
  </si>
  <si>
    <t>M = cualquier masa, por ejemplo: masa adiposa, masa de tejido esquelético, masa muscular o masa residual (en Kg.)</t>
  </si>
  <si>
    <t>Z = valor de la proporcionalidad Phantom de cada masa (expresa la proporcionalidad Z del subgrupo de medidas asignado a una determinada masa de tejido)</t>
  </si>
  <si>
    <t>P = valor Phantom específico para la masa de tejido en cuestión</t>
  </si>
  <si>
    <t>S = desviación estándar Phantom para la masa de tejido que se calcula</t>
  </si>
  <si>
    <t>MS = SA • TSK • 1,05</t>
  </si>
  <si>
    <t>TSK = grosor de la piel (dato obtenido de cadáveres): es 2,07 para los hombres y 1,96 para las mujeres</t>
  </si>
  <si>
    <t>SA = CSA • W0.425 •, H0.725 / 10.000</t>
  </si>
  <si>
    <t>SA = superficie en metros cuadrados (m2)</t>
  </si>
  <si>
    <t>CSA = 68,308 en hombres de edad; &gt; 12 años</t>
  </si>
  <si>
    <t>Z = 1/s • [V • (CP /CS )d - P]</t>
  </si>
  <si>
    <t>CP = altura o talla Phantom</t>
  </si>
  <si>
    <t>CS = altura o talla del evaluado</t>
  </si>
  <si>
    <t>M = (Z • s + P) / (CP / CS)3</t>
  </si>
  <si>
    <t>CP = Altura o talla Phantom (para el cálculo de la masa residual se usa la altura o talla sentado)</t>
  </si>
  <si>
    <t>CS= Altura o talla del evaluado</t>
  </si>
  <si>
    <t>3 = exponente dimensional (asumiendo una similaridad geométrica donde masa = litros (o m3)</t>
  </si>
  <si>
    <t>% DE MASA RESIDUAL (Kg)</t>
  </si>
  <si>
    <t>S RES = Sumatoria (D APCH + D TRDH + P WC)</t>
  </si>
  <si>
    <t>D APCH = Diámetro anteroposterior de la caja torácica</t>
  </si>
  <si>
    <t>D TRCH = Diámetro transversal de la caja torácica</t>
  </si>
  <si>
    <t>P WC = perímetro de la cintura, corregido por el pliegue cutáneo abdominal</t>
  </si>
  <si>
    <t>Z RES = [S RES • (89,92 / SIT HT) – 109,35] / 7,08</t>
  </si>
  <si>
    <t>S RES = Sumatoria de variables para el cálculo de la masa residual</t>
  </si>
  <si>
    <t>Z RES = Score de proporcionalidad Phantom para la masa residual</t>
  </si>
  <si>
    <t>89,92 = altura o talla sentado Phantom</t>
  </si>
  <si>
    <t>109,35 = Sumatoria de las medias Phantom de las variables usadas</t>
  </si>
  <si>
    <t>7,08 = Sumatoria de los desvíos estándar Phantom de las mismas variables</t>
  </si>
  <si>
    <t>SIT HT = Altura o talla sentado</t>
  </si>
  <si>
    <t>M RES ( en kg.) = [(Z RES • 1,24) + 6,10 ] / (89,92 / SIT HT)3</t>
  </si>
  <si>
    <t>M RES = Masa residual (en kg.)</t>
  </si>
  <si>
    <t>Z RES = Score de proporcionalidad Phantom para masa residual</t>
  </si>
  <si>
    <t>6,10 = Constante del método para la media de masa residual Phantom</t>
  </si>
  <si>
    <t>1,24 = Constante del método para el desvío estándar para la masa residual Phantom</t>
  </si>
  <si>
    <t>La masa corporal predictiva se estima a partir de la suma de las cinco masas tisulares fraccionales calculadas:</t>
  </si>
  <si>
    <t>M TOT ( en kg.) = ( M piel + M adiposa + M muscular + M ósea + M residual)</t>
  </si>
  <si>
    <t>M TOT = masa corporal predictiva (en Kg.)</t>
  </si>
  <si>
    <t>% DE MASA TOTAL (Kg)</t>
  </si>
  <si>
    <t xml:space="preserve"> ESTADO NUTRICIONAL Y CALCULO DE REQUERIMIENTOS DE ENERGIA.</t>
  </si>
  <si>
    <t>EDAD</t>
  </si>
  <si>
    <t>TALLA (cm).</t>
  </si>
  <si>
    <t>NOMBRE</t>
  </si>
  <si>
    <t>HOMBRES</t>
  </si>
  <si>
    <t>MUJERES</t>
  </si>
  <si>
    <t>CATEGORIA</t>
  </si>
  <si>
    <t>DISTRIBUCION DE LA MOLECULA CALORICA</t>
  </si>
  <si>
    <t>Nutriente</t>
  </si>
  <si>
    <t>%</t>
  </si>
  <si>
    <t>Kcal</t>
  </si>
  <si>
    <t>Gramos</t>
  </si>
  <si>
    <t>Carbohidratos.</t>
  </si>
  <si>
    <t>Grasa</t>
  </si>
  <si>
    <t>Proteina</t>
  </si>
  <si>
    <t>TOTAL</t>
  </si>
  <si>
    <t>CARTA DE SOMATOTIPO</t>
  </si>
  <si>
    <t>COORDENADAS</t>
  </si>
  <si>
    <t>X</t>
  </si>
  <si>
    <t>Y</t>
  </si>
  <si>
    <t>ENDOMORFO</t>
  </si>
  <si>
    <t>MESOMORFO</t>
  </si>
  <si>
    <t>ECTOMORFO</t>
  </si>
  <si>
    <t>NUTRIENTE</t>
  </si>
  <si>
    <t>GR*KG/DIA</t>
  </si>
  <si>
    <t>CARBOHIDRATOS</t>
  </si>
  <si>
    <t>GRASAS</t>
  </si>
  <si>
    <t>PROTEINAS</t>
  </si>
  <si>
    <t>FACTOR DE MULTIPLICACION</t>
  </si>
  <si>
    <t>REFERENCIA</t>
  </si>
  <si>
    <t>VALOR</t>
  </si>
  <si>
    <t>KCAL.</t>
  </si>
  <si>
    <t>COLESTEROL</t>
  </si>
  <si>
    <t>TELEFONO:</t>
  </si>
  <si>
    <t>E-MAIL:</t>
  </si>
  <si>
    <t>FECHA:</t>
  </si>
  <si>
    <t>PADECE ACTUALMENTE:</t>
  </si>
  <si>
    <t>GASTRITIS</t>
  </si>
  <si>
    <t>ULCERAS</t>
  </si>
  <si>
    <t>VOMITOS</t>
  </si>
  <si>
    <t>GRIPE</t>
  </si>
  <si>
    <t>DISNEA</t>
  </si>
  <si>
    <t>TIPO DE MEDICAMENTO</t>
  </si>
  <si>
    <t>DOSIS</t>
  </si>
  <si>
    <t>FRECUENCIA</t>
  </si>
  <si>
    <t>ANTECEDENTES FAMILIARES</t>
  </si>
  <si>
    <t>PARAMETRO</t>
  </si>
  <si>
    <t>70 - 110 mg/dl</t>
  </si>
  <si>
    <t>NITROGENO UREICO</t>
  </si>
  <si>
    <t>CREATININA</t>
  </si>
  <si>
    <t>ALBUMINA</t>
  </si>
  <si>
    <t>3.5 - 5 gr/dl</t>
  </si>
  <si>
    <t>&lt; 200 mg/dl</t>
  </si>
  <si>
    <t>TRIGLICERIDOS</t>
  </si>
  <si>
    <t>HDL</t>
  </si>
  <si>
    <t>40 - 60 mg/dl</t>
  </si>
  <si>
    <t>LDL</t>
  </si>
  <si>
    <t>HEMATOCRITO</t>
  </si>
  <si>
    <t>HEMOGLOBINA</t>
  </si>
  <si>
    <t>CALCIO</t>
  </si>
  <si>
    <t>9 - 11 mg/dl</t>
  </si>
  <si>
    <t>RESULTADOS</t>
  </si>
  <si>
    <t>HISTORIA CLINICA NUTRICIONAL</t>
  </si>
  <si>
    <t>NUTRICIONISTA</t>
  </si>
  <si>
    <t>OCUPACION</t>
  </si>
  <si>
    <t>MOTIVO DE LA CONSULTA</t>
  </si>
  <si>
    <t>N° REGISTRO</t>
  </si>
  <si>
    <t>ANTECEDENTE SALUD/ENFERMEDAD</t>
  </si>
  <si>
    <t>ESTREÑIMENTO</t>
  </si>
  <si>
    <t>NAUSEAS</t>
  </si>
  <si>
    <t>ACANTOSIS 
NIGRICANS</t>
  </si>
  <si>
    <t>OBSERVACION:</t>
  </si>
  <si>
    <t>ENFERMEDAD DIAGNOSTICADA:</t>
  </si>
  <si>
    <t>TOMA MEDICAMENTOS:</t>
  </si>
  <si>
    <t>ALGUN FAMILIAR PADECE:</t>
  </si>
  <si>
    <t>OBESIDAD</t>
  </si>
  <si>
    <t>DIABETES</t>
  </si>
  <si>
    <t>HIPERTENCION</t>
  </si>
  <si>
    <t>A.C.V</t>
  </si>
  <si>
    <t>HIPOTIROIDISMO</t>
  </si>
  <si>
    <t>HIPERTIROIDISMO</t>
  </si>
  <si>
    <t>CANCER</t>
  </si>
  <si>
    <t>DISLIPIDEMIA</t>
  </si>
  <si>
    <t>DESNUTRICION</t>
  </si>
  <si>
    <t>EPOC</t>
  </si>
  <si>
    <t>NEUMONIA</t>
  </si>
  <si>
    <t>HIGADO GRASO</t>
  </si>
  <si>
    <t>ESTILO DE VIDA</t>
  </si>
  <si>
    <t>ACTIVIDAD</t>
  </si>
  <si>
    <t>METS</t>
  </si>
  <si>
    <t>INDICADORES BIOQUIMICOS</t>
  </si>
  <si>
    <t>H: 50-200 M:40-150 mg/dl</t>
  </si>
  <si>
    <t>H: 38.6-50 ; M: 34.9-44.5 %</t>
  </si>
  <si>
    <t>H: 14-16 M:13-15.5gr/dl</t>
  </si>
  <si>
    <t>VALORES DE REFERENCIA</t>
  </si>
  <si>
    <t>GLUCEMIA BASAL</t>
  </si>
  <si>
    <t>HEMOGLOBINA GLICOSILADA</t>
  </si>
  <si>
    <t>NEFROPATIAS</t>
  </si>
  <si>
    <t>HIERRO</t>
  </si>
  <si>
    <t>UREA</t>
  </si>
  <si>
    <t>&lt; 5,7 %</t>
  </si>
  <si>
    <t>H: 50-160 ug/dl ; M: 40-150 ug/dl</t>
  </si>
  <si>
    <t>FECHA DE REALIZACION DE EXAMENES</t>
  </si>
  <si>
    <t>INDICADORES DIETETICOS</t>
  </si>
  <si>
    <t>INFARTO</t>
  </si>
  <si>
    <t>CUESTIONARIO DE FRECUENCIA DE CONSUMO DE ALIMENTOS 
Por favor, marcar una única opción para cada alimento</t>
  </si>
  <si>
    <t>Para cada alimento, marque el recuadro que indica la
frecuencia de consumo por término medio durante el 
año pasado. Se trata de tener en cuenta también la 
variación verano/invierno; por ejemplo, si tomas helados 4
veces/semana sólo durante los 3 meses de verano, el uso
promedio al año es 1/semana</t>
  </si>
  <si>
    <t>CONSUMO MEDIO DURANTE EL AÑO</t>
  </si>
  <si>
    <t>NUNCA
O CASI
NUNCA</t>
  </si>
  <si>
    <t>AL MES</t>
  </si>
  <si>
    <t>A LA SEMANA</t>
  </si>
  <si>
    <t>AL DIA</t>
  </si>
  <si>
    <t>2_4</t>
  </si>
  <si>
    <t>5_6</t>
  </si>
  <si>
    <t>1_3</t>
  </si>
  <si>
    <t>2_3</t>
  </si>
  <si>
    <t>4_6</t>
  </si>
  <si>
    <t>I - LACTEOS</t>
  </si>
  <si>
    <t xml:space="preserve">Leche entera (1 taza, 200 cc) </t>
  </si>
  <si>
    <t xml:space="preserve">Leche semidesnatada (1 taza, 200 cc) </t>
  </si>
  <si>
    <t xml:space="preserve">Leche descremada (1 taza, 200 cc) </t>
  </si>
  <si>
    <t xml:space="preserve">Leche condensada (1 cucharada) </t>
  </si>
  <si>
    <t xml:space="preserve">Nata o crema de leche (1/2 taza) </t>
  </si>
  <si>
    <t xml:space="preserve">Batidos de leche (1 vaso, 200 cc) </t>
  </si>
  <si>
    <t xml:space="preserve">Yogurt entero (1, 125 gr) </t>
  </si>
  <si>
    <t xml:space="preserve">Yogurt descremado (1, 125 gr) </t>
  </si>
  <si>
    <t xml:space="preserve">Requesón o cuajada (1/2 taza) </t>
  </si>
  <si>
    <t xml:space="preserve">Queso en porciones o cremoso (1, porción 25 g) </t>
  </si>
  <si>
    <t xml:space="preserve">Queso blanco o fresco (Burgos, cabra…) (50 gr) </t>
  </si>
  <si>
    <t xml:space="preserve">Natillas, flan, puding (1, 130 cc) </t>
  </si>
  <si>
    <t xml:space="preserve">II- HUEVOS, CARNES, PESCADOS
(Un plato o ración de 100-150 gr,
excepto cuando se indique otra cosa) </t>
  </si>
  <si>
    <t xml:space="preserve"> Huevos de gallina (uno) </t>
  </si>
  <si>
    <t xml:space="preserve">Pollo o pavo con piel (1 ración o pieza) </t>
  </si>
  <si>
    <t xml:space="preserve">Pollo o pavo sin piel (1 ración o pieza) </t>
  </si>
  <si>
    <t xml:space="preserve">Carne de ternera o vaca (1 ración) </t>
  </si>
  <si>
    <t>Carne de cerdo (1 ración)</t>
  </si>
  <si>
    <t xml:space="preserve"> Carne de cordero (1 ración)</t>
  </si>
  <si>
    <t xml:space="preserve">Conejo o liebre (1 ración </t>
  </si>
  <si>
    <t>Hígado (ternera, cerdo, pollo) (1 ración)</t>
  </si>
  <si>
    <t xml:space="preserve">Otras vísceras (sesos, riñones, mollejas) (1 ración) </t>
  </si>
  <si>
    <t>Jamón serrano o paletilla (1 loncha, 30 g)</t>
  </si>
  <si>
    <t xml:space="preserve">Jamón York, jamón cocido (1 loncha, 30 g) </t>
  </si>
  <si>
    <t xml:space="preserve">Carnes procesadas (salchichón, chorizo, morcilla, mortadela,
salchichas, butifarra, sobrasada, 50 g) </t>
  </si>
  <si>
    <t xml:space="preserve">Patés, foie-gras (25 g) </t>
  </si>
  <si>
    <t xml:space="preserve">Hamburguesa (una, 50 g), albóndigas (3 unidades) </t>
  </si>
  <si>
    <t>Tocino, bacon, panceta (50 g)</t>
  </si>
  <si>
    <t>Pescado blanco: mero, lenguado, besugo, merluza,
pescadilla,… (1 plato, pieza o ración)</t>
  </si>
  <si>
    <t xml:space="preserve"> Pescado azul: sardinas, atún, bonito, caballa, salmón, (1
plato, pieza o ración 130 g)</t>
  </si>
  <si>
    <t xml:space="preserve">Pescados salados: bacalao, mejillones, (1 ración, 60 g en
seco) </t>
  </si>
  <si>
    <t xml:space="preserve">Ostras, almejas, mejillones y similares (6 unidades) </t>
  </si>
  <si>
    <t>Calamares, pulpo, chipirones, jibia (sepia) (1 ración, 200 g)</t>
  </si>
  <si>
    <t xml:space="preserve">Crustáceos: gambas, langostinos, cigalas, etc. (4-5 piezas,
200 g) </t>
  </si>
  <si>
    <t xml:space="preserve">Pescados y mariscos enlatados al natural (sardinas, anchoas,
bonito, atún) (1 lata pequeña o media lata normal, 50 g) </t>
  </si>
  <si>
    <t xml:space="preserve">Pescados y mariscos en aceite (sardinas, anchoas, bonito,
atún) (1 lata pequeña o media lata normal, 50 g) </t>
  </si>
  <si>
    <t>III - VERDURAS Y HORTALIZAS
(Un plato o ración de 200 g ,excepto
cuando se indique)</t>
  </si>
  <si>
    <t xml:space="preserve"> Acelgas, espinacas</t>
  </si>
  <si>
    <t>Col, coliflor, brócoles</t>
  </si>
  <si>
    <t xml:space="preserve">Lechuga, endivias, escarola (100 g) </t>
  </si>
  <si>
    <t xml:space="preserve">Tomate crudo (1, 150 g) </t>
  </si>
  <si>
    <t xml:space="preserve">Zanahoria, calabaza (100 g) </t>
  </si>
  <si>
    <t>Judías verdes</t>
  </si>
  <si>
    <t xml:space="preserve"> Berenjenas, calabacines, pepinos </t>
  </si>
  <si>
    <t>Pimientos (150 g)</t>
  </si>
  <si>
    <t xml:space="preserve">Espárragos </t>
  </si>
  <si>
    <t xml:space="preserve">Otras verduras (alcachofa, puerro, cardo, apio) </t>
  </si>
  <si>
    <t>Cebolla (media unidad, 50 g)</t>
  </si>
  <si>
    <t xml:space="preserve">Ajo (1 diente) </t>
  </si>
  <si>
    <t xml:space="preserve"> Perejil, tomillo, laurel, orégano, etc. (una pizca) </t>
  </si>
  <si>
    <t xml:space="preserve">Patatas fritas comerciales (1 bolsa, 50 g) </t>
  </si>
  <si>
    <t>Patatas fritas caseras (1 ración, 150 g)</t>
  </si>
  <si>
    <t xml:space="preserve">Patatas asadas o cocidas </t>
  </si>
  <si>
    <t xml:space="preserve"> Setas, níscalos, champiñones </t>
  </si>
  <si>
    <t xml:space="preserve">IV – FRUTAS
(una pieza o ración) </t>
  </si>
  <si>
    <t xml:space="preserve">Naranja (una), pomelo (uno), mandarinas (dos) </t>
  </si>
  <si>
    <t xml:space="preserve">Plátano (uno) </t>
  </si>
  <si>
    <t>Manzana o pera (una)</t>
  </si>
  <si>
    <t xml:space="preserve">Fresas/fresones (6 unidades, 1 plato postre) </t>
  </si>
  <si>
    <t>Cerezas, picotas, ciruelas (1 plato de postre)</t>
  </si>
  <si>
    <t xml:space="preserve">Melocotón, albaricoque, nectarina (una) </t>
  </si>
  <si>
    <t xml:space="preserve"> Sandía (1 tajada, 200-250 g)</t>
  </si>
  <si>
    <t xml:space="preserve">Melón (1 tajada, 200-250 g) </t>
  </si>
  <si>
    <t xml:space="preserve">Kiwi (1 unidad, 100 g) </t>
  </si>
  <si>
    <t xml:space="preserve"> Uvas (un racimo, 1 plato postre) </t>
  </si>
  <si>
    <t xml:space="preserve">Aceitunas (10 unidades) </t>
  </si>
  <si>
    <t xml:space="preserve">Frutas en almíbar o en su jugo (2 unidades) </t>
  </si>
  <si>
    <t xml:space="preserve">Dátiles, higos secos, uvas-pasas, ciruelas-pasas (150 g) </t>
  </si>
  <si>
    <t xml:space="preserve"> Almendras, cacahuetes, avellanas, pistachos, piñones (30 g) </t>
  </si>
  <si>
    <t xml:space="preserve"> Nueces (30 g) </t>
  </si>
  <si>
    <t xml:space="preserve"> ¿Cuántos días a la semana tomas fruta como postre? </t>
  </si>
  <si>
    <t xml:space="preserve">V-LEGUMBRES y CEREALES
Un plato o ración (150 g) </t>
  </si>
  <si>
    <t xml:space="preserve">Lentejas (1 plato, 150 g cocidas) </t>
  </si>
  <si>
    <t xml:space="preserve">Alubias (pintas, blancas o negras) (1 plato, 150 g
cocidas) </t>
  </si>
  <si>
    <t xml:space="preserve">Garbanzos (1 plato, 150 g cocidos) </t>
  </si>
  <si>
    <t xml:space="preserve">Guisantes, habas (1 plato, 150 g cocidos) </t>
  </si>
  <si>
    <t xml:space="preserve">Pan blanco, pan de molde (3 rodajas, 75 g) </t>
  </si>
  <si>
    <t xml:space="preserve">Pan negro o integral (3 rodajas, 75 g) </t>
  </si>
  <si>
    <t xml:space="preserve"> Cereales desayuno (30 g) </t>
  </si>
  <si>
    <t xml:space="preserve">Cereales integrales: muesli, copos avena, all-bran (30 g) </t>
  </si>
  <si>
    <t xml:space="preserve">Arroz blanco (60 g en crudo) </t>
  </si>
  <si>
    <t xml:space="preserve">Pasta: fideos, macarrones, espaguetis, otras (60 g en
crudo) </t>
  </si>
  <si>
    <t>Pizza (1 ración, 200 g)</t>
  </si>
  <si>
    <r>
      <t xml:space="preserve">VI- ACEITES Y GRASAS
Una cucharada sopera o porción individual
</t>
    </r>
    <r>
      <rPr>
        <sz val="9"/>
        <color theme="1"/>
        <rFont val="Calibri"/>
        <family val="2"/>
        <scheme val="minor"/>
      </rPr>
      <t>Para freir, untar, mojar en el pan, para aliñar, o para
ensaladas, utilizas en total:</t>
    </r>
  </si>
  <si>
    <t>Aceite de oliva (una cucharada sopera)</t>
  </si>
  <si>
    <t>Aceite de oliva extra virgen (una cucharada sopera)</t>
  </si>
  <si>
    <t>Aceite de girasol (una cucharada sopera)</t>
  </si>
  <si>
    <t>Aceite de soja (una cucharada sopera)</t>
  </si>
  <si>
    <t>Margarina (porción individual, 12 g)</t>
  </si>
  <si>
    <t>Mantequilla (porción individual, 12 g)</t>
  </si>
  <si>
    <t>Manteca de cerdo (10 g)</t>
  </si>
  <si>
    <t>VII - BOLLERIA Y PASTELERIA</t>
  </si>
  <si>
    <t>Galletas tipo maría (4-6 unidades, 50 g)</t>
  </si>
  <si>
    <t>Galletas integrales o de fibra (4-6 unidades, 50 g)</t>
  </si>
  <si>
    <t>Galletas con chocolate (4 unidades, 50 g)</t>
  </si>
  <si>
    <t>Repostería y bizcochos hechos en casa (50 g)</t>
  </si>
  <si>
    <t>Croissant, ensaimada, pastas de té u otra bollería
industrial comercial... (uno, 50 g)</t>
  </si>
  <si>
    <t>Donuts (uno)</t>
  </si>
  <si>
    <t>Magdalenas (1-2 unidades)</t>
  </si>
  <si>
    <t>Pasteles (uno, 50 g)</t>
  </si>
  <si>
    <t>Churros, sopaipillas y similares (1 ración, 100 g)</t>
  </si>
  <si>
    <t>Chocolates y bombones (30 g)</t>
  </si>
  <si>
    <t>Turrón (1/8 barra, 40 g)</t>
  </si>
  <si>
    <t>Mantecados, mazapán (90 g)</t>
  </si>
  <si>
    <t>VIII – MISCELÁNEA</t>
  </si>
  <si>
    <t>Croquetas, buñuelos, empanadillas, precocinados (una)</t>
  </si>
  <si>
    <t>Sopas y cremas de sobre (1 plato)</t>
  </si>
  <si>
    <t>Mostaza (una cucharadita de postre)</t>
  </si>
  <si>
    <t>Mayonesa comercial (1 cucharada sopera = 20 g)</t>
  </si>
  <si>
    <t>Salsa de tomate frito, ketchup (1cucharadita)</t>
  </si>
  <si>
    <t>Picante: tabasco, pimienta, pimentón (una pizca)</t>
  </si>
  <si>
    <t>Sal (una pizca)</t>
  </si>
  <si>
    <t>Mermeladas (1 cucharadita)</t>
  </si>
  <si>
    <t>Azúcar (1 cucharadita)</t>
  </si>
  <si>
    <t>Miel (1 cucharadita)</t>
  </si>
  <si>
    <t>Snacks distintos de patatas fritas: gusanitos, palomitas,
maíz, etc. (1 bolsa, 50 g)</t>
  </si>
  <si>
    <t>IX – BEBIDAS</t>
  </si>
  <si>
    <t>Bebidas carbonatadas con azúcar: bebidas con cola,
limonadas, tónicas, etc. (1 botellín, 200 cc)</t>
  </si>
  <si>
    <t>Bebidas carbonatadas bajas en calorías, bebidas light (1
botellín, 200 cc)</t>
  </si>
  <si>
    <t>Zumo de naranja natural (1 vaso, 200 cc)</t>
  </si>
  <si>
    <t>Zumos naturales de otras frutas (1 vaso, 200 cc)</t>
  </si>
  <si>
    <t>Zumos de frutas en botella o enlatados (200 cc)</t>
  </si>
  <si>
    <t>Café descafeinado (1 taza, 50 cc)</t>
  </si>
  <si>
    <t>Café (1 taza, 50 cc)</t>
  </si>
  <si>
    <t>Té (1 taza, 50 cc)</t>
  </si>
  <si>
    <t>Vaso de vino rosado (100 cc)</t>
  </si>
  <si>
    <t>Vaso de vino tinto joven, del año (100 cc)</t>
  </si>
  <si>
    <t>Vaso de vino tinto añejo (100 cc)</t>
  </si>
  <si>
    <t>Vaso de vino blanco (100 cc)</t>
  </si>
  <si>
    <t>Cerveza (1 jarra, 330 cc)</t>
  </si>
  <si>
    <t>Destilados: whisky, vodka, ginebra, coñac (1 copa, 50 cc)</t>
  </si>
  <si>
    <t>Si durante el año pasado tomaste vitaminas y/o minerales (incluyendo calcio) o productos dietéticos especiales
(salvado, aceite de onagra, leche con ácidos grasos omega-3, flavonoides, etc.), por favor indica la marca y la
frecuencia con que los tomaste:</t>
  </si>
  <si>
    <t>MARCAS DE LOS SUPLEMENTOS DE VITAMINAS O
MINERALES O DE LOS PRODUCTOS DIETÉTICOS</t>
  </si>
  <si>
    <t>1;3</t>
  </si>
  <si>
    <t>2a4</t>
  </si>
  <si>
    <t>5a6</t>
  </si>
  <si>
    <t>2 a 4</t>
  </si>
  <si>
    <t>(+)6</t>
  </si>
  <si>
    <t>MES</t>
  </si>
  <si>
    <t>MASA MUSCULAR</t>
  </si>
  <si>
    <t>KG. GRASA</t>
  </si>
  <si>
    <t>KG. MUSCULO</t>
  </si>
  <si>
    <t>FECHA NAC.</t>
  </si>
  <si>
    <t>FECHA DE MEDICION:</t>
  </si>
  <si>
    <t xml:space="preserve"> ESTIMACION DEL GASTO ENERGETICO - PREDICCION DEL PESO IDEAL</t>
  </si>
  <si>
    <t>METABOLISMO
BASAL</t>
  </si>
  <si>
    <t>PESO IDEAL:</t>
  </si>
  <si>
    <t>AJUSTE POR SOBREPESO</t>
  </si>
  <si>
    <t>DIFERENCIA:</t>
  </si>
  <si>
    <t>PESO PARA CALCULO DE METABOLISMO BASAL:</t>
  </si>
  <si>
    <t>N.A.F. 
(OMS,1985)</t>
  </si>
  <si>
    <t>NIVEL DE ACTIVIDAD FISICA:</t>
  </si>
  <si>
    <t>CODIGO</t>
  </si>
  <si>
    <t>A</t>
  </si>
  <si>
    <t>B</t>
  </si>
  <si>
    <t>C</t>
  </si>
  <si>
    <t>D</t>
  </si>
  <si>
    <t>E</t>
  </si>
  <si>
    <t>NIVEL ACT. FISICA</t>
  </si>
  <si>
    <t>SEDENTARIA</t>
  </si>
  <si>
    <t>LIVIANA</t>
  </si>
  <si>
    <t>MODERADA</t>
  </si>
  <si>
    <t>INTENSA</t>
  </si>
  <si>
    <t>EXTREMADA</t>
  </si>
  <si>
    <t>ANEXO 5: COSTOS ENERGÉTICOS DE LAS ACTIVIDADES</t>
  </si>
  <si>
    <t>SUBIR ESCALERAS - CLIMBING STAIRS</t>
  </si>
  <si>
    <t>CAMINANDO CON 15-20 KG. DE CARGA</t>
  </si>
  <si>
    <t>CAMINANDO CON 25-30 KG. DE CARGA</t>
  </si>
  <si>
    <t>RECOGIDA DE MADERA (PARA COMBUSTIBLE)</t>
  </si>
  <si>
    <t>RECOGIDA DE AGUA (DE POZO)</t>
  </si>
  <si>
    <t>CORTE DE MADERA (PARA COMBUSTIBLE)</t>
  </si>
  <si>
    <t>LAVANDO PLATOS</t>
  </si>
  <si>
    <t>CUIDAR NIÑOS (SIN ESPECIFICAR)</t>
  </si>
  <si>
    <t>TAREAS DEL HOGAR SIN ESPECIFICAR</t>
  </si>
  <si>
    <t>LIMPIAR EL PISO</t>
  </si>
  <si>
    <t>LIMPIAR LA VENTANA</t>
  </si>
  <si>
    <t>LAVADO DE ROPA (SENTADO / EN CUNCLILLAS)</t>
  </si>
  <si>
    <t>COLGAR ROPA PARA SECADO.</t>
  </si>
  <si>
    <t>PLANCHANDO LA ROPA - IRONING CLOTHES</t>
  </si>
  <si>
    <t>PINTAR</t>
  </si>
  <si>
    <t>LEER</t>
  </si>
  <si>
    <t>ESTAR SENTADO EN EL ESCRITORIO</t>
  </si>
  <si>
    <t>PARARSE Y MOVERSE ALREDEDOR</t>
  </si>
  <si>
    <t>TIPIAR</t>
  </si>
  <si>
    <t>ESCRIBIR</t>
  </si>
  <si>
    <t>CLASIFICAR CARPETAS</t>
  </si>
  <si>
    <t>SASTRERIA, COSER, TINTURAR</t>
  </si>
  <si>
    <t>BAILE AEROBICO (BAJA INTENSIDAD)</t>
  </si>
  <si>
    <t>BAILE AEROBICO (ALTA INTENSIDAD)</t>
  </si>
  <si>
    <t>BASKETBALL</t>
  </si>
  <si>
    <t>BATEAR</t>
  </si>
  <si>
    <t>JUGAR BOLOS</t>
  </si>
  <si>
    <t>CALISTENIA</t>
  </si>
  <si>
    <t>ENTRANAMIENTO DE CIRCUITO</t>
  </si>
  <si>
    <t>FUTBOL</t>
  </si>
  <si>
    <t>GOLF</t>
  </si>
  <si>
    <t>REMO</t>
  </si>
  <si>
    <t>CORRER - LARGAS DISTANCIA</t>
  </si>
  <si>
    <t>CORRER - ESPRINTAR</t>
  </si>
  <si>
    <t>NAVEGAR</t>
  </si>
  <si>
    <t>NADAR</t>
  </si>
  <si>
    <t>TENNIS</t>
  </si>
  <si>
    <t>VOLLEYBALL</t>
  </si>
  <si>
    <t>BAILAR</t>
  </si>
  <si>
    <t>ESCUCHAR LA RADIO/MUSICA</t>
  </si>
  <si>
    <t>JUGAR CARTAS</t>
  </si>
  <si>
    <t>VER TELEVISION</t>
  </si>
  <si>
    <t>El Compendio de Actividades Físicas 2011: Guía de Seguimiento</t>
  </si>
  <si>
    <t>TIPO DE ACTIVIDAD</t>
  </si>
  <si>
    <t>YOGA, EJERCICIO DE EQUILIBRIO</t>
  </si>
  <si>
    <t>BAILE ENTRETENIDO ESFUERZO VIGOROSO</t>
  </si>
  <si>
    <t>CALISTENIA (POR EJEMPLO, PUSH UPS, SIT UPS, PULL-UPS, JUMPING JACKS), ESFUERZO VIGOROSO</t>
  </si>
  <si>
    <t>CALISTENIA, (POR EJEMPLO, FLEXIONES, SENTARSE, PULL-UPS, ESTOCADAS), ESFUERZO MODERADO</t>
  </si>
  <si>
    <t>CALISTENIA (POR EJEMPLO, SITUPS,  SITUPSABDOMINALES), ESFUERZO LIGERO</t>
  </si>
  <si>
    <t>CALISTENIA, ESFUERZO LIGERO O MODERADO, GENERAL (POR EJEMPLO, EJERCICIOS DE ESPALDA), SUBIENDO Y BAJANDO DESDE EL SUELO (CÓDIGO TAYLOR 150)</t>
  </si>
  <si>
    <t>ENTRENAMIENTO DE CIRCUITO, ESFUERZO MODERADO</t>
  </si>
  <si>
    <t>ENTRENAMIENTO DE CIRCUITO, INCLUYENDO TIMBRES, ALGUNOS MOVIMIENTOS AERÓBICOS CON DESCANSO MÍNIMO, INTENSIDAD GENERAL Y VIGOROSA</t>
  </si>
  <si>
    <t>ENTRENADOR ELÍPTICO, ESFUERZO MODERADO</t>
  </si>
  <si>
    <t>ENTRENAMIENTO DE RESISTENCIA  (LEVANTAMIENTO DE PESAS - PESO LIBRE, NAUTILUS O UNIVERSAL), LEVANTAMIENTO DE POTENCIA O CONSTRUCCIÓN DE CUERPO, ESFUERZO VIGOROSO (TAYLOR CODIGO 210)</t>
  </si>
  <si>
    <t>ENTRENAMIENTO CON CARGA, SENTADILLAS, ESFUERZO LENTO O EXPLOSIVO</t>
  </si>
  <si>
    <t>ENTRENAMIENTO DE RESISTENCIA (PESO), MÚLTIPLES EJERCICIOS, 8-15 REPETICIONES A RESISTENCIA VARIADA</t>
  </si>
  <si>
    <t>CLASES DE EJERCICIO DEL CLUB DE SALUD,  GENERAL, GIMNASIO / ENTRENAMIENTO DE PESO COMBINADO EN UNA VISITA</t>
  </si>
  <si>
    <t>EJERCICIO GENERAL EN EL HOGAR</t>
  </si>
  <si>
    <t>ERGÓMETRO DE ESCALERA-CINTA DE CORRER, GENERAL</t>
  </si>
  <si>
    <t>SALTO DE CUERDA, GENERAL</t>
  </si>
  <si>
    <t>REMO, ERGÓMETRO ESTACIONARIO, GENERAL, ESFUERZO VIGOROSO</t>
  </si>
  <si>
    <t>REMO, ESTACIONARIO, GENERAL, ESFUERZO MODERADO</t>
  </si>
  <si>
    <t>REMO, ESTACIONARIO, 100 VATIOS, ESFUERZO MODERADO</t>
  </si>
  <si>
    <t>REMO, ESTACIONARIO, 150 VATIOS, ESFUERZO VIGOROSO</t>
  </si>
  <si>
    <t>REMO, ESTACIONARIO, 200 VATIOS, ESFUERZO MUY VIGOROSO</t>
  </si>
  <si>
    <t>MÁQUINA DE ESQUÍ, GENERAL</t>
  </si>
  <si>
    <r>
      <t>ESTIRAMIENTO, HATHA YOGA (</t>
    </r>
    <r>
      <rPr>
        <i/>
        <sz val="10"/>
        <color rgb="FF000000"/>
        <rFont val="Calibri"/>
        <family val="2"/>
        <scheme val="minor"/>
      </rPr>
      <t>AHORA CÓDIGO 02150)</t>
    </r>
  </si>
  <si>
    <t>ESTIRAMIENTO, LEVE</t>
  </si>
  <si>
    <t>PILATES, GENERAL</t>
  </si>
  <si>
    <t>BOLA DE EJERCICIO TERAPÉUTICO,  EJERCICIO FITBALL</t>
  </si>
  <si>
    <t>HIDROMASAJE, SENTADO</t>
  </si>
  <si>
    <t>YOGA, HATHA</t>
  </si>
  <si>
    <t>YOGA, PODER</t>
  </si>
  <si>
    <t>YOGA,  NADISODHANA</t>
  </si>
  <si>
    <t>YOGA, SURYA NAMASKAR</t>
  </si>
  <si>
    <t>BAILE AERÓBICO, GENERAL</t>
  </si>
  <si>
    <t>BAILE AERÓBICO, ACTO DE BAJO IMPACT</t>
  </si>
  <si>
    <t>BAILE AERÓBICO, ALTO IMPACTO</t>
  </si>
  <si>
    <t>BAILE AERÓBICO CON PESOS DE 10-15 LB</t>
  </si>
  <si>
    <t>PESCA, GENERAL</t>
  </si>
  <si>
    <t>COCCIÓN O PREPARACIÓN DE ALIMENTOS, ESFUERZO MODERADO</t>
  </si>
  <si>
    <t>COCCIÓN O PREPARACIÓN DE ALIMENTOS - DE PIE O SENTADO O EN GENERAL ESFUERZO LIGERO</t>
  </si>
  <si>
    <t>SERVIR ALIMENTOS, PONER MESA, CAMINAR O PARARSE</t>
  </si>
  <si>
    <t>DORMIR</t>
  </si>
  <si>
    <t>MEDITANDO</t>
  </si>
  <si>
    <t>JUEGO DE AJEDREZ, SENTADO</t>
  </si>
  <si>
    <t>GUITARRA, BANDA DE ROCK AND ROLL, DE PIE</t>
  </si>
  <si>
    <t>MINERÍA DE CARBÓN, PERFORACIÓN DE CARBÓN, ROCA</t>
  </si>
  <si>
    <t>MINERÍA DE CARBÓN, APOYOS DE ERECCIÓN</t>
  </si>
  <si>
    <t>MINERÍA DE CARBÓN, GENERAL</t>
  </si>
  <si>
    <t>MINERÍA DE CARBÓN, PALA DE CARBÓN</t>
  </si>
  <si>
    <t>COCINERO, CHEF</t>
  </si>
  <si>
    <t>CONSTRUCCIÓN, EXTERIOR, REMODELACIÓN, NUEVAS ESTRUCTURAS (POR EJEMPLO, REPARACIÓN DE TECHOS,</t>
  </si>
  <si>
    <t>TRABAJO DE CUSTODIA, ESFUERZO LIGERO (POREJEMPLO, FREGADERO DE LIMPIEZA Y INODORO, DESEMPOLVADO, ASPIRADO, LIMPIEZA LIGERA)</t>
  </si>
  <si>
    <t>TRABAJO ELECTRICO (POR EJEMPLO, CONECTAR EL CABLE, ROSCAR-EMPALMAR)</t>
  </si>
  <si>
    <t>INGENIERO (POR EJEMPLO, MECÁNICO O ELÉCTRICO)</t>
  </si>
  <si>
    <t>AGRICULTURA, ESFUERZO VIGOROSO (POR EJEMPLO, HENO DE ENFARDADO, GRANERO DE LIMPIEZA)</t>
  </si>
  <si>
    <t>BOMBERO, GENERAL</t>
  </si>
  <si>
    <t>RESCATE BOMBERO, VÍCTIMA DE ACCIDENTE AUTOMOVILÍSTICO, USANDO POLO DE LUCIO</t>
  </si>
  <si>
    <t>BOMBERO, ELEVANDO Y ESCALANDO CON TODO EL EQUIPO,  SUPRESIÓN DE FUEGO SIMULADA</t>
  </si>
  <si>
    <t>BOMBEROS, ACARREO DE MANGUERAS EN TIERRA, EQUIPO DE TRANSPORTE / ELEVACIÓN, DERRIBAR PAREDES, ETC., USAR EQUIPO COMPLETO</t>
  </si>
  <si>
    <t>RECOLECTOR DE BASURA, CAMINANDO, DESCARGANDO CONTENEDORES EN EL CAMIÓN</t>
  </si>
  <si>
    <t>ESTILISTA (POR EJEMPLO, CABELLO TRENZADO, MANICURA, MAQUILLADOR)</t>
  </si>
  <si>
    <t>PORTERO, TRABAJO DE PATIO, GENERAL</t>
  </si>
  <si>
    <t>ALBAÑILERÍA, HORMIGÓN, ESFUERZO MODERADO</t>
  </si>
  <si>
    <t>POLICÍA, DIRECCIÓN DE TRÁFICO, DE PIE</t>
  </si>
  <si>
    <t>POLICÍA, CONDUCIENDO UN COCHE PATRULLA, SENTADO</t>
  </si>
  <si>
    <t>POLICÍA, HACIENDO UN ARRESTO, DE PIE</t>
  </si>
  <si>
    <t>CORRER, 6.4 KM/HR (13 MIN/MILLA)</t>
  </si>
  <si>
    <t>CORRIENDO, 8 KM/HR (12 MIN/MILLA)</t>
  </si>
  <si>
    <t>CORRIENDO, 8.4 KM/HR (11.5 MIN/MILLA)</t>
  </si>
  <si>
    <t>CORRIENDO, 9.6 KM/HR (10 MIN/MILLA)</t>
  </si>
  <si>
    <t>CORRIENDO, 10.7 KM/HR (9 MIN/MILLA)</t>
  </si>
  <si>
    <t>CORRIENDO, 11.2 KM/HR (8.5 MIN/MILLA)</t>
  </si>
  <si>
    <t>CORRIENDO, 12 KM/HR (8 MIN/MILLA)</t>
  </si>
  <si>
    <t>CORRIENDO, 12.9 KM/HR (7.5 MIN/MILLA)</t>
  </si>
  <si>
    <t>CORRIENDO, 13.8 KM/HR (7 MIN/MILLA)</t>
  </si>
  <si>
    <t>CORRIENDO, 14.5 KM/HR (6.5 MIN/MILLA)</t>
  </si>
  <si>
    <t>CORRIENDO, 16 KM/HR (6 MIN/MILLA)</t>
  </si>
  <si>
    <t>CORRIENDO, 17.7 KM/HR (5.5 MIN/MILLA)</t>
  </si>
  <si>
    <t>CORRIENDO, 19.3 KM/HR (5 MIN/MILLA)</t>
  </si>
  <si>
    <t>CORRIENDO, 20.9 KM/HR (4.6 MIN/MILLA)</t>
  </si>
  <si>
    <t>CORRIENDO, 22.5 KM/HR (4.3 MIN/MILLA)</t>
  </si>
  <si>
    <t>CORRIENDO, CROSS COUNTRY</t>
  </si>
  <si>
    <t>CORRIENDO, ESCALERAS, SUBIR</t>
  </si>
  <si>
    <t>CORRIENDO, EN UNA PISTA, PRÁCTICA DEL EQUIPO</t>
  </si>
  <si>
    <t>CORRIENDO, ENTRENANDO, EMPUJANDO UNA SILLA DE RUEDAS O UN PORTABEBÉS</t>
  </si>
  <si>
    <t>CORRIENDO, MARATÓN</t>
  </si>
  <si>
    <t>BALONCESTO, JUEGO (CÓDIGO TAYLOR 490)</t>
  </si>
  <si>
    <t>BALONCESTO, GENERAL</t>
  </si>
  <si>
    <t>BALONCESTO, OFICIANDO (CÓDIGO TAYLOR 500)</t>
  </si>
  <si>
    <t>BALONCESTO, CANASTAS DE TIRO</t>
  </si>
  <si>
    <t>BALONCESTO, SILLA DE RUEDAS</t>
  </si>
  <si>
    <t>BILLAR</t>
  </si>
  <si>
    <t>BOLOS, INTERIOR, BOLERA</t>
  </si>
  <si>
    <t>BOXEO, EN ANILLO, GENERAL</t>
  </si>
  <si>
    <t>BOLSA DE BOXEO, PUNCHING</t>
  </si>
  <si>
    <t>BOXEO, SPARRING</t>
  </si>
  <si>
    <t>PORRISTAS, MOVIMIENTOS GIMNÁSTICOS, COMPETITIVOS</t>
  </si>
  <si>
    <t>ENTRENAMIENTO, FOOTBALL, FÚTBOL, BALONCESTO, BÉISBOL, NATACIÓN, ETC.</t>
  </si>
  <si>
    <t>ENTRENAMIENTO, PRACTICANDO ACTIVAMENTE DEPORTE CON LOS JUGADORES</t>
  </si>
  <si>
    <t>FÚTBOL, COMPETITIVO</t>
  </si>
  <si>
    <t>FÚTBOL, CASUAL, GENERAL (CÓDIGO TAYLOR 540)</t>
  </si>
  <si>
    <t>FÚTBOL, TÁCTIL, BANDERA, GENERAL (CÓDIGO TAYLOR 510)</t>
  </si>
  <si>
    <t>FÚTBOL, TOQUE, BANDERA, ESFUERZO LIGERO</t>
  </si>
  <si>
    <t>FÚTBOL O BÉISBOL, JUGANDO AL CATCH</t>
  </si>
  <si>
    <t>GOLF, GENERAL</t>
  </si>
  <si>
    <t>GIMNASIA, GENERAL</t>
  </si>
  <si>
    <t>BALONMANO, GENERAL (CÓDIGO TAYLOR 520)</t>
  </si>
  <si>
    <t>BALONMANO, EQUIPO</t>
  </si>
  <si>
    <t>HOCKEY, CAMPO DE CAMPO</t>
  </si>
  <si>
    <t>HOCKEY, HIELO, GENERAL</t>
  </si>
  <si>
    <t>ESCALADA EN ROCA, ROCA ASCENDENTE, ALTA DIFICULTAD</t>
  </si>
  <si>
    <t>ESCALADA EN ROCA, ROCA ASCENDENTE O TRANSVERSAL, DIFICULTAD DE BAJA A MODERADA</t>
  </si>
  <si>
    <t>SALTO DE CUERDA, RITMO MODERADO, 100-120 SALTOS/MIN, GENERAL, SALTO DE 2  PIES, REBOTE SIMPLE</t>
  </si>
  <si>
    <t>RUGBY, UNIÓN, EQUIPO, COMPETITIVO</t>
  </si>
  <si>
    <t>RUGBY, TÁCTIL, NO COMPETITIVO</t>
  </si>
  <si>
    <t>SKATEBOARDING, ESFUERZO COMPETITIVO Y VIGOROSO</t>
  </si>
  <si>
    <t>SKATEBOARDING, GENERAL, ESFUERZO MODERADO</t>
  </si>
  <si>
    <t>PATINAJE EN LÍNEA, 14,4 KM/H (9,0 MPH), RITMO RECREATIVO</t>
  </si>
  <si>
    <t>PATINAJE, RODILLO (CÓDIGO TAYLOR 360)</t>
  </si>
  <si>
    <t>PATINAJE SOBRE RUEDAS, PATINAJE EN LÍNEA, 17,7 KM/H (11,0 MPH), RITMO MODERADO, ENTRENAMIENTO DE EJERCICIO</t>
  </si>
  <si>
    <t>PATINAJE SOBRE RUEDAS, PATINAJE EN LÍNEA, 21.0 A 21.7 KM/H (13.0 A 13.6 MPH), PACERÁPIDO, ENTRENAMIENTO DE EJERCICIO</t>
  </si>
  <si>
    <t>PATINAJE EN LÍNEA, 24.0 KM/H (15.0 MPH), ESFUERZO MÁXIMO</t>
  </si>
  <si>
    <t>PARACAIDISMO, SALTO BASE, SALTO DE BUNGEE</t>
  </si>
  <si>
    <t>SOFTBOL O BÉISBOL, DE LANZAMIENTO RÁPIDO O LENTO, GENERAL (CÓDIGO TAYLOR 440)</t>
  </si>
  <si>
    <t>PING PONG (CÓDIGO TAYLOR 410)</t>
  </si>
  <si>
    <t>TAICHÍ, QI GONG, GENERAL</t>
  </si>
  <si>
    <t>TENIS, GENERAL</t>
  </si>
  <si>
    <t>TENIS, DOBLES (CÓDIGO TAYLOR 430)</t>
  </si>
  <si>
    <t>TENIS, INDIVIDUALES (CÓDIGO TAYLOR 420)</t>
  </si>
  <si>
    <t>TRAMPOLÍN, RECREATIVO</t>
  </si>
  <si>
    <t>TRAMPOLÍN, COMPETITIVO</t>
  </si>
  <si>
    <t>VOLEIBOL (CÓDIGO TAYLOR 400)</t>
  </si>
  <si>
    <t>VOLEIBOL, COMPETITIVO, EN GIMNASIO</t>
  </si>
  <si>
    <t>VOLEIBOL, NO COMPETITIVO, EQUIPO MIEMBRO DE 6 - 9,  GENERAL</t>
  </si>
  <si>
    <t>VOLEIBOL, PLAYA, EN LA ARENA</t>
  </si>
  <si>
    <t>LUCHA LIBRE (UN PARTIDO A 5 MINUTOS)</t>
  </si>
  <si>
    <t>WALLYBALL, GENERAL</t>
  </si>
  <si>
    <t>PISTA Y CAMPO (POR EJEMPLO, DISPARO, DISCO, LANZAMIENTO DE MARTILLO)</t>
  </si>
  <si>
    <t>PISTA Y CAMPO (POR EJEMPLO, SALTO DE ALTURA, SALTO DE LONGITUD, SALTO TRIPLE, JABALINA, BÓVEDA DE POSTE)</t>
  </si>
  <si>
    <t>PISTA Y CAMPO  (POR EJEMPLO, EMPINADA, OBSTÁCULOS)</t>
  </si>
  <si>
    <t>ANDAR EN SCOOTER, MOTOCICLETA</t>
  </si>
  <si>
    <t>CAMINANDO PARA EL TRANSPORTE, 4.5-5.1 KM/HR NIVEL, RITMO MODERADO, SUPERFICIE FIRME</t>
  </si>
  <si>
    <t>MOCHILERO (CÓDIGO TAYLOR 050)</t>
  </si>
  <si>
    <t>MOCHILERO, SENDERISMO O CAMINATA ORGANIZADA CON UNA MOCHILA</t>
  </si>
  <si>
    <t>EMPUJANDO UNA SILLA DE RUEDAS, NO OCUPACIONAL</t>
  </si>
  <si>
    <t>ESCALADA EN ROCA O MONTAÑA</t>
  </si>
  <si>
    <t>PASEANDO AL PERRO</t>
  </si>
  <si>
    <t>BUCEO, TRAMPOLÍN O PLATAFORMA</t>
  </si>
  <si>
    <t>KAYAK, ESFUERZO MODERADO</t>
  </si>
  <si>
    <t>BOTE DE REMO</t>
  </si>
  <si>
    <t>VELA, NAVEGACIÓN EN BARCO Y TABLA, WINDSURF, NAVEGACIÓN EN HIELO, GENERAL (CÓDIGO TAYLOR 235)</t>
  </si>
  <si>
    <t>VELA, SUNFISH/LASER/HOBBY CAT, BARCOS KEEL, VELA OCEÁNICA, NAVEGACIÓN, OCIO</t>
  </si>
  <si>
    <t>ESQUÍ, AGUA O WAKEBOARD (CÓDIGO TAYLOR 220)</t>
  </si>
  <si>
    <t>ESQUÍ ACUÁTICO, CONDUCCIÓN, EN AGUA</t>
  </si>
  <si>
    <t>SKINDIVING, BUCEO, GENERAL (CÓDIGO TAYLOR 310)</t>
  </si>
  <si>
    <t>SNORKELING (CÓDIGO TAYLOR 310)</t>
  </si>
  <si>
    <t>SURF, CUERPO O TABLA, GENERAL</t>
  </si>
  <si>
    <t>SURF, CUERPO O TABLA, COMPETITIVO</t>
  </si>
  <si>
    <t>PADDLE BOARDING, DE PIE</t>
  </si>
  <si>
    <t>VUELTAS DE NATACIÓN, ESTILO LIBRE, ESFUERZO RÁPIDO Y VIGOROSO</t>
  </si>
  <si>
    <t>NATACIÓN VUELTAS, ESTILO LIBRE, RASTREO FRONTAL, LENTO, LIGERO O MODERADO ESFUERZO</t>
  </si>
  <si>
    <t>NATACIÓN, ESPALDA, GENERAL, ENTRENAMIENTO O COMPETICIÓN</t>
  </si>
  <si>
    <t>NATACIÓN, ESPALDA, RECREATIVA</t>
  </si>
  <si>
    <t>NATACIÓN, BRAZA, GENERAL, ENTRENAMIENTO O COMPETICIÓN</t>
  </si>
  <si>
    <t>NATACIÓN, PECHO, RECREATIVO</t>
  </si>
  <si>
    <t>NATACIÓN, MARIPOSA, GENERAL</t>
  </si>
  <si>
    <t>NADANDO, GATEANDO, A VELOCIDAD RÁPIDA, 75 YARDAS/MINUTO, ESFUERZO VIGOROSO</t>
  </si>
  <si>
    <t>NATACIÓN, RASTREO, VELOCIDAD MEDIA, 50 YARDAS/MINUTO, ESFUERZO VIGOROSO</t>
  </si>
  <si>
    <t>NATACIÓN, LAGO, OCÉANO, RÍO (CÓDIGOS TAYLOR 280, 295)</t>
  </si>
  <si>
    <t>NADAR, TRANQUILAMENTE, NO NADAR, GENERAL</t>
  </si>
  <si>
    <t>NATACIÓN, SIDESTROKE, GENERAL</t>
  </si>
  <si>
    <t>NATACIÓN, SINCRONIZADO</t>
  </si>
  <si>
    <t>NADAR, PISAR AGUA, ESFUERZO RÁPIDO Y VIGOROSO</t>
  </si>
  <si>
    <t>NATACIÓN, AGUA DE PISADA, ESFUERZO MODERADO, GENERAL</t>
  </si>
  <si>
    <t>AERÓBICOS ACUÁTICOS, CALISTÉNICOS DE AGUA</t>
  </si>
  <si>
    <t>WATERPOLO</t>
  </si>
  <si>
    <t>VOLEIBOL ACUÁTICO</t>
  </si>
  <si>
    <t>TROTE DE AGUA</t>
  </si>
  <si>
    <t>SENTADO EN LA IGLESIA, EN SERVICIO, ASISTIENDO A UNA CEREMONIA, SENTADO EN SILENCIO</t>
  </si>
  <si>
    <t>SENTADO, TOCANDO UN INSTRUMENTO EN LA IGLESIA</t>
  </si>
  <si>
    <t>SENTARSE EN LA IGLESIA, HABLAR O CANTAR, ASISTIR A UNA CEREMONIA, SENTARSE, PARTICIPAR ACTIVAMENTE</t>
  </si>
  <si>
    <t>SENTADODE PIE, LEYENDO MATERIALES RELIGIOSOS EN CASA</t>
  </si>
  <si>
    <t>DE PIE, CANTANDO EN LA IGLESIA, ASISTIENDO A UNA CEREMONIA, DE PIE, PARTICIPACIÓN ACTIVA</t>
  </si>
  <si>
    <t>ARRODILLADO EN LA IGLESIA O EN CASA, REZANDO</t>
  </si>
  <si>
    <t>DE PIE, HABLANDO EN LA IGLESIA</t>
  </si>
  <si>
    <t>CAMINANDO EN LA IGLESIA</t>
  </si>
  <si>
    <t>09.04.2021-HLV.</t>
  </si>
  <si>
    <t>GANANCIA/DEFICID</t>
  </si>
  <si>
    <t>Peso Ideal en Adultos Según Parametros OMS (1985):</t>
  </si>
  <si>
    <t>AUTOR</t>
  </si>
  <si>
    <t>11 A 18</t>
  </si>
  <si>
    <t>19 A 30</t>
  </si>
  <si>
    <t>31 A 60</t>
  </si>
  <si>
    <t>&gt; 60</t>
  </si>
  <si>
    <t>FAO/OMS</t>
  </si>
  <si>
    <t>10 A 18</t>
  </si>
  <si>
    <t>18 A 30</t>
  </si>
  <si>
    <t>30 A 60</t>
  </si>
  <si>
    <t>OXFORD</t>
  </si>
  <si>
    <t>METABOLISMO BASAL (MB): (OXFORD)</t>
  </si>
  <si>
    <t>METABOLISMO BASAL (MB): (MIFFLIN)</t>
  </si>
  <si>
    <t>METABOLISMO BASAL (MB): (HARRIS &amp; BENEDICT)</t>
  </si>
  <si>
    <t>METABOLISMO BASAL (MB):  (FAO/OMS)</t>
  </si>
  <si>
    <t>PROMEDIO (MB) KCAL.</t>
  </si>
  <si>
    <t>INFORME ANTROPOMETRICO</t>
  </si>
  <si>
    <t>Nombre Del Paciente:</t>
  </si>
  <si>
    <t>ACTIVIDAD:</t>
  </si>
  <si>
    <t>M. ADIPOSA Y M. MUSCULAR (%)</t>
  </si>
  <si>
    <t>M. ADIPOSA Y M. MUSCULAR (kg)</t>
  </si>
  <si>
    <t>MASA CORPORAL (kg)</t>
  </si>
  <si>
    <t>MEDICIONES</t>
  </si>
  <si>
    <t>Edad (años):</t>
  </si>
  <si>
    <t>Estatura (cm):</t>
  </si>
  <si>
    <t>Masa adiposa (kg):</t>
  </si>
  <si>
    <t>Masa muscular (kg):</t>
  </si>
  <si>
    <t>Masa ósea (kg):</t>
  </si>
  <si>
    <t>Suma 6 pliegues (mm):</t>
  </si>
  <si>
    <t>FECHA</t>
  </si>
  <si>
    <t>% M. ADIPOSA</t>
  </si>
  <si>
    <t>% M. MUSCULAR</t>
  </si>
  <si>
    <t>M. ADIPOSA Y M. MUSCULAR (KG)</t>
  </si>
  <si>
    <t>M. ADIPOSA (KG)</t>
  </si>
  <si>
    <t xml:space="preserve"> M. MUSCULAR (KG)</t>
  </si>
  <si>
    <t>M. CORPORAL (KG)</t>
  </si>
  <si>
    <t>PERFIL DE PLIEGUES (mm)</t>
  </si>
  <si>
    <t>PLIEGUES (mm)</t>
  </si>
  <si>
    <t>SOMATOTIPO</t>
  </si>
  <si>
    <t>n</t>
  </si>
  <si>
    <t>SOMATOTIPO MEDIO</t>
  </si>
  <si>
    <t>DEPORTE O ACTIVIDAD</t>
  </si>
  <si>
    <t>SEXO MASCULINO</t>
  </si>
  <si>
    <t>DEPORTE</t>
  </si>
  <si>
    <t>ENDO</t>
  </si>
  <si>
    <t>MESO</t>
  </si>
  <si>
    <t>ECTO</t>
  </si>
  <si>
    <r>
      <t xml:space="preserve">ATLETISMO </t>
    </r>
    <r>
      <rPr>
        <b/>
        <sz val="12"/>
        <color theme="1"/>
        <rFont val="Times New Roman"/>
        <family val="1"/>
      </rPr>
      <t>Fondo 5.000 m.</t>
    </r>
  </si>
  <si>
    <r>
      <t xml:space="preserve">ATLETISMO </t>
    </r>
    <r>
      <rPr>
        <b/>
        <sz val="12"/>
        <color theme="1"/>
        <rFont val="Times New Roman"/>
        <family val="1"/>
      </rPr>
      <t>Fondo 3.000 m. Obstáculos</t>
    </r>
  </si>
  <si>
    <r>
      <t xml:space="preserve">ATLETISMO </t>
    </r>
    <r>
      <rPr>
        <b/>
        <sz val="12"/>
        <color theme="1"/>
        <rFont val="Times New Roman"/>
        <family val="1"/>
      </rPr>
      <t>Medio Fondo 800 m.</t>
    </r>
  </si>
  <si>
    <r>
      <t xml:space="preserve">ATLETISMO </t>
    </r>
    <r>
      <rPr>
        <b/>
        <sz val="12"/>
        <color theme="1"/>
        <rFont val="Times New Roman"/>
        <family val="1"/>
      </rPr>
      <t>Salto Altura</t>
    </r>
  </si>
  <si>
    <r>
      <t xml:space="preserve">ATLETISMO </t>
    </r>
    <r>
      <rPr>
        <b/>
        <sz val="12"/>
        <color theme="1"/>
        <rFont val="Times New Roman"/>
        <family val="1"/>
      </rPr>
      <t>Pruebas Combinadas</t>
    </r>
  </si>
  <si>
    <r>
      <t xml:space="preserve">BALONCESTO </t>
    </r>
    <r>
      <rPr>
        <b/>
        <sz val="12"/>
        <color theme="1"/>
        <rFont val="Times New Roman"/>
        <family val="1"/>
      </rPr>
      <t>Escolta</t>
    </r>
  </si>
  <si>
    <t>CICLISMO</t>
  </si>
  <si>
    <t>NATACIÓN</t>
  </si>
  <si>
    <t>PIRAGÜISMO</t>
  </si>
  <si>
    <t>TIRO OLÍMPICO</t>
  </si>
  <si>
    <t>VOLEIBOL</t>
  </si>
  <si>
    <t>SEXO FEMENINO</t>
  </si>
  <si>
    <t>ATLETISMO Maratón</t>
  </si>
  <si>
    <t>ESGRIMA</t>
  </si>
  <si>
    <t>GIMNASIA ARTÍSTICA</t>
  </si>
  <si>
    <r>
      <t xml:space="preserve">GIMNASIA </t>
    </r>
    <r>
      <rPr>
        <b/>
        <sz val="12"/>
        <color theme="1"/>
        <rFont val="Times New Roman"/>
        <family val="1"/>
      </rPr>
      <t>RÍTMICA</t>
    </r>
  </si>
  <si>
    <t>HOCKEY</t>
  </si>
  <si>
    <t>TRIATLÓN</t>
  </si>
  <si>
    <r>
      <t xml:space="preserve">(1) </t>
    </r>
    <r>
      <rPr>
        <vertAlign val="superscript"/>
        <sz val="12"/>
        <color theme="1"/>
        <rFont val="Times New Roman"/>
        <family val="1"/>
      </rPr>
      <t xml:space="preserve">De un trabajo de Centeno, Ramón; Naranjo, José; Guerra, Vicente, publicado en “Archivos de Medicina del Deporte” </t>
    </r>
  </si>
  <si>
    <r>
      <t xml:space="preserve">ATLETISMO </t>
    </r>
    <r>
      <rPr>
        <b/>
        <sz val="12"/>
        <color theme="1"/>
        <rFont val="Times New Roman"/>
        <family val="1"/>
      </rPr>
      <t>Marcha</t>
    </r>
  </si>
  <si>
    <r>
      <t xml:space="preserve">ATLETISMO </t>
    </r>
    <r>
      <rPr>
        <b/>
        <sz val="12"/>
        <color theme="1"/>
        <rFont val="Times New Roman"/>
        <family val="1"/>
      </rPr>
      <t>Salto Longitud</t>
    </r>
  </si>
  <si>
    <r>
      <t xml:space="preserve">ATLETISMO </t>
    </r>
    <r>
      <rPr>
        <b/>
        <sz val="12"/>
        <color theme="1"/>
        <rFont val="Times New Roman"/>
        <family val="1"/>
      </rPr>
      <t>Salto Pértiga</t>
    </r>
  </si>
  <si>
    <r>
      <t xml:space="preserve">ATLETISMO </t>
    </r>
    <r>
      <rPr>
        <b/>
        <sz val="12"/>
        <color theme="1"/>
        <rFont val="Times New Roman"/>
        <family val="1"/>
      </rPr>
      <t>Lanzamiento Martillo</t>
    </r>
  </si>
  <si>
    <t>BALONCESTO Base</t>
  </si>
  <si>
    <r>
      <t xml:space="preserve">BALONCESTO </t>
    </r>
    <r>
      <rPr>
        <b/>
        <sz val="12"/>
        <color theme="1"/>
        <rFont val="Times New Roman"/>
        <family val="1"/>
      </rPr>
      <t>Alero</t>
    </r>
  </si>
  <si>
    <r>
      <t xml:space="preserve">BALONCESTO </t>
    </r>
    <r>
      <rPr>
        <b/>
        <sz val="12"/>
        <color theme="1"/>
        <rFont val="Times New Roman"/>
        <family val="1"/>
      </rPr>
      <t>Ala-pivot / Pívot</t>
    </r>
  </si>
  <si>
    <t>FÚTBOL</t>
  </si>
  <si>
    <r>
      <t xml:space="preserve">JUDO </t>
    </r>
    <r>
      <rPr>
        <b/>
        <sz val="12"/>
        <color theme="1"/>
        <rFont val="Times New Roman"/>
        <family val="1"/>
      </rPr>
      <t>86-95 Kg.</t>
    </r>
  </si>
  <si>
    <r>
      <t>BADMINGTON</t>
    </r>
    <r>
      <rPr>
        <vertAlign val="superscript"/>
        <sz val="12"/>
        <color theme="1"/>
        <rFont val="Times New Roman"/>
        <family val="1"/>
      </rPr>
      <t>(1)</t>
    </r>
  </si>
  <si>
    <t xml:space="preserve">(1) De un trabajo de Centeno, Ramón; Naranjo, José; Guerra, Vicente, publicado en “Archivos de Medicina del Deporte” </t>
  </si>
  <si>
    <r>
      <t xml:space="preserve">G. </t>
    </r>
    <r>
      <rPr>
        <b/>
        <sz val="12"/>
        <color theme="1"/>
        <rFont val="Times New Roman"/>
        <family val="1"/>
      </rPr>
      <t>TRAMPOLÍN</t>
    </r>
  </si>
  <si>
    <t>JUDO</t>
  </si>
  <si>
    <t>PORCENTAJE GRASO IDEAL SEGÚN ESTRATEGIA DE YUHASZ</t>
  </si>
  <si>
    <r>
      <t>9,55</t>
    </r>
    <r>
      <rPr>
        <sz val="12"/>
        <color theme="1"/>
        <rFont val="Times New Roman"/>
        <family val="1"/>
      </rPr>
      <t xml:space="preserve"> (+/- 0,7)</t>
    </r>
  </si>
  <si>
    <r>
      <t>13,3</t>
    </r>
    <r>
      <rPr>
        <sz val="12"/>
        <color theme="1"/>
        <rFont val="Times New Roman"/>
        <family val="1"/>
      </rPr>
      <t xml:space="preserve"> (+/- 1.1)</t>
    </r>
  </si>
  <si>
    <r>
      <t xml:space="preserve">ATLETISMO </t>
    </r>
    <r>
      <rPr>
        <b/>
        <sz val="12"/>
        <color theme="1"/>
        <rFont val="Times New Roman"/>
        <family val="1"/>
      </rPr>
      <t>Fondo 10.000 m</t>
    </r>
    <r>
      <rPr>
        <sz val="12"/>
        <color theme="1"/>
        <rFont val="Times New Roman"/>
        <family val="1"/>
      </rPr>
      <t>.</t>
    </r>
  </si>
  <si>
    <r>
      <t>9,57</t>
    </r>
    <r>
      <rPr>
        <sz val="12"/>
        <color theme="1"/>
        <rFont val="Times New Roman"/>
        <family val="1"/>
      </rPr>
      <t xml:space="preserve"> (+/- 0,4)</t>
    </r>
  </si>
  <si>
    <r>
      <t>13,7</t>
    </r>
    <r>
      <rPr>
        <sz val="12"/>
        <color theme="1"/>
        <rFont val="Times New Roman"/>
        <family val="1"/>
      </rPr>
      <t xml:space="preserve"> (+/- 0,7)</t>
    </r>
  </si>
  <si>
    <r>
      <t>9,28</t>
    </r>
    <r>
      <rPr>
        <sz val="12"/>
        <color theme="1"/>
        <rFont val="Times New Roman"/>
        <family val="1"/>
      </rPr>
      <t xml:space="preserve"> (+/- 0,7)</t>
    </r>
  </si>
  <si>
    <r>
      <t>9,57</t>
    </r>
    <r>
      <rPr>
        <sz val="12"/>
        <color theme="1"/>
        <rFont val="Times New Roman"/>
        <family val="1"/>
      </rPr>
      <t xml:space="preserve"> (+/- 0,7)</t>
    </r>
  </si>
  <si>
    <r>
      <t>9,66</t>
    </r>
    <r>
      <rPr>
        <sz val="12"/>
        <color theme="1"/>
        <rFont val="Times New Roman"/>
        <family val="1"/>
      </rPr>
      <t xml:space="preserve"> (+/- 0,6)</t>
    </r>
  </si>
  <si>
    <r>
      <t>9,81</t>
    </r>
    <r>
      <rPr>
        <sz val="12"/>
        <color theme="1"/>
        <rFont val="Times New Roman"/>
        <family val="1"/>
      </rPr>
      <t xml:space="preserve"> (+/- 0,5)</t>
    </r>
  </si>
  <si>
    <r>
      <t>15,2</t>
    </r>
    <r>
      <rPr>
        <sz val="12"/>
        <color theme="1"/>
        <rFont val="Times New Roman"/>
        <family val="1"/>
      </rPr>
      <t xml:space="preserve"> (+/- 1,9)</t>
    </r>
  </si>
  <si>
    <r>
      <t xml:space="preserve">ATLETISMO </t>
    </r>
    <r>
      <rPr>
        <b/>
        <sz val="12"/>
        <color theme="1"/>
        <rFont val="Times New Roman"/>
        <family val="1"/>
      </rPr>
      <t>Medio Fondo 1.500 m</t>
    </r>
    <r>
      <rPr>
        <sz val="12"/>
        <color theme="1"/>
        <rFont val="Times New Roman"/>
        <family val="1"/>
      </rPr>
      <t>.</t>
    </r>
  </si>
  <si>
    <r>
      <t>9,47</t>
    </r>
    <r>
      <rPr>
        <sz val="12"/>
        <color theme="1"/>
        <rFont val="Times New Roman"/>
        <family val="1"/>
      </rPr>
      <t xml:space="preserve"> (+/- 0,5)</t>
    </r>
  </si>
  <si>
    <r>
      <t xml:space="preserve">ATLETISMO </t>
    </r>
    <r>
      <rPr>
        <b/>
        <sz val="12"/>
        <color theme="1"/>
        <rFont val="Times New Roman"/>
        <family val="1"/>
      </rPr>
      <t>Velocidad 60 / 100 / 110 v / 200</t>
    </r>
  </si>
  <si>
    <r>
      <t>9,89</t>
    </r>
    <r>
      <rPr>
        <sz val="12"/>
        <color theme="1"/>
        <rFont val="Times New Roman"/>
        <family val="1"/>
      </rPr>
      <t xml:space="preserve"> (+/- 0,9)</t>
    </r>
  </si>
  <si>
    <r>
      <t xml:space="preserve">ATLETISMO </t>
    </r>
    <r>
      <rPr>
        <b/>
        <sz val="12"/>
        <color theme="1"/>
        <rFont val="Times New Roman"/>
        <family val="1"/>
      </rPr>
      <t>Velocidad 400 / 400 v</t>
    </r>
  </si>
  <si>
    <r>
      <t>9,75</t>
    </r>
    <r>
      <rPr>
        <sz val="12"/>
        <color theme="1"/>
        <rFont val="Times New Roman"/>
        <family val="1"/>
      </rPr>
      <t xml:space="preserve"> (+/- 0,6)</t>
    </r>
  </si>
  <si>
    <r>
      <t>14,9</t>
    </r>
    <r>
      <rPr>
        <sz val="12"/>
        <color theme="1"/>
        <rFont val="Times New Roman"/>
        <family val="1"/>
      </rPr>
      <t xml:space="preserve"> (+/- 1,1)</t>
    </r>
  </si>
  <si>
    <r>
      <t>9,85</t>
    </r>
    <r>
      <rPr>
        <sz val="12"/>
        <color theme="1"/>
        <rFont val="Times New Roman"/>
        <family val="1"/>
      </rPr>
      <t xml:space="preserve"> (+/- 1,1)</t>
    </r>
  </si>
  <si>
    <r>
      <t>15,3</t>
    </r>
    <r>
      <rPr>
        <sz val="12"/>
        <color theme="1"/>
        <rFont val="Times New Roman"/>
        <family val="1"/>
      </rPr>
      <t xml:space="preserve"> (+/- 2,7)</t>
    </r>
  </si>
  <si>
    <r>
      <t>9,79</t>
    </r>
    <r>
      <rPr>
        <sz val="12"/>
        <color theme="1"/>
        <rFont val="Times New Roman"/>
        <family val="1"/>
      </rPr>
      <t xml:space="preserve"> (+/- 0,7)</t>
    </r>
  </si>
  <si>
    <r>
      <t>14,5</t>
    </r>
    <r>
      <rPr>
        <sz val="12"/>
        <color theme="1"/>
        <rFont val="Times New Roman"/>
        <family val="1"/>
      </rPr>
      <t xml:space="preserve"> (+/- 1,1)</t>
    </r>
  </si>
  <si>
    <r>
      <t>9,84</t>
    </r>
    <r>
      <rPr>
        <sz val="12"/>
        <color theme="1"/>
        <rFont val="Times New Roman"/>
        <family val="1"/>
      </rPr>
      <t xml:space="preserve"> (+/- 0,7)</t>
    </r>
  </si>
  <si>
    <r>
      <t>10,96</t>
    </r>
    <r>
      <rPr>
        <sz val="12"/>
        <color theme="1"/>
        <rFont val="Times New Roman"/>
        <family val="1"/>
      </rPr>
      <t xml:space="preserve"> (+/- 2,0)</t>
    </r>
  </si>
  <si>
    <r>
      <t>15,4</t>
    </r>
    <r>
      <rPr>
        <sz val="12"/>
        <color theme="1"/>
        <rFont val="Times New Roman"/>
        <family val="1"/>
      </rPr>
      <t xml:space="preserve"> (+/- 1,5)</t>
    </r>
  </si>
  <si>
    <r>
      <t>17,12</t>
    </r>
    <r>
      <rPr>
        <sz val="12"/>
        <color theme="1"/>
        <rFont val="Times New Roman"/>
        <family val="1"/>
      </rPr>
      <t xml:space="preserve"> (+/- 3,1)</t>
    </r>
  </si>
  <si>
    <r>
      <t>17,3</t>
    </r>
    <r>
      <rPr>
        <sz val="12"/>
        <color theme="1"/>
        <rFont val="Times New Roman"/>
        <family val="1"/>
      </rPr>
      <t xml:space="preserve"> (+/- 3,1)</t>
    </r>
  </si>
  <si>
    <r>
      <t>12,7</t>
    </r>
    <r>
      <rPr>
        <sz val="12"/>
        <color theme="1"/>
        <rFont val="Times New Roman"/>
        <family val="1"/>
      </rPr>
      <t xml:space="preserve"> (+/- 1,3)</t>
    </r>
  </si>
  <si>
    <r>
      <t>13,4</t>
    </r>
    <r>
      <rPr>
        <sz val="12"/>
        <color theme="1"/>
        <rFont val="Times New Roman"/>
        <family val="1"/>
      </rPr>
      <t xml:space="preserve"> (+/- 1,3)</t>
    </r>
  </si>
  <si>
    <r>
      <t>18,2</t>
    </r>
    <r>
      <rPr>
        <sz val="12"/>
        <color theme="1"/>
        <rFont val="Times New Roman"/>
        <family val="1"/>
      </rPr>
      <t xml:space="preserve"> (+/- 3,3)</t>
    </r>
  </si>
  <si>
    <r>
      <t>17,8</t>
    </r>
    <r>
      <rPr>
        <sz val="12"/>
        <color theme="1"/>
        <rFont val="Times New Roman"/>
        <family val="1"/>
      </rPr>
      <t xml:space="preserve"> (+/- 2,3)</t>
    </r>
  </si>
  <si>
    <r>
      <t xml:space="preserve">17,5 </t>
    </r>
    <r>
      <rPr>
        <sz val="12"/>
        <color theme="1"/>
        <rFont val="Times New Roman"/>
        <family val="1"/>
      </rPr>
      <t>(+/- 3,2)</t>
    </r>
  </si>
  <si>
    <r>
      <t xml:space="preserve">JUDO </t>
    </r>
    <r>
      <rPr>
        <b/>
        <sz val="12"/>
        <color theme="1"/>
        <rFont val="Times New Roman"/>
        <family val="1"/>
      </rPr>
      <t>60-65 Kg</t>
    </r>
    <r>
      <rPr>
        <sz val="12"/>
        <color theme="1"/>
        <rFont val="Times New Roman"/>
        <family val="1"/>
      </rPr>
      <t>.</t>
    </r>
  </si>
  <si>
    <r>
      <t>10,2</t>
    </r>
    <r>
      <rPr>
        <sz val="12"/>
        <color theme="1"/>
        <rFont val="Times New Roman"/>
        <family val="1"/>
      </rPr>
      <t xml:space="preserve"> (+/- 0,7)</t>
    </r>
  </si>
  <si>
    <r>
      <t xml:space="preserve">JUDO </t>
    </r>
    <r>
      <rPr>
        <b/>
        <sz val="12"/>
        <color theme="1"/>
        <rFont val="Times New Roman"/>
        <family val="1"/>
      </rPr>
      <t>71-78 Kg.</t>
    </r>
  </si>
  <si>
    <r>
      <t>11,0</t>
    </r>
    <r>
      <rPr>
        <sz val="12"/>
        <color theme="1"/>
        <rFont val="Times New Roman"/>
        <family val="1"/>
      </rPr>
      <t xml:space="preserve"> (+/- 0,7)</t>
    </r>
  </si>
  <si>
    <r>
      <t>12,3</t>
    </r>
    <r>
      <rPr>
        <sz val="12"/>
        <color theme="1"/>
        <rFont val="Times New Roman"/>
        <family val="1"/>
      </rPr>
      <t xml:space="preserve"> (+/- 1,8)</t>
    </r>
  </si>
  <si>
    <r>
      <t>11,6</t>
    </r>
    <r>
      <rPr>
        <sz val="12"/>
        <color theme="1"/>
        <rFont val="Times New Roman"/>
        <family val="1"/>
      </rPr>
      <t xml:space="preserve"> (+/- 2,0)</t>
    </r>
  </si>
  <si>
    <r>
      <t>11,2</t>
    </r>
    <r>
      <rPr>
        <sz val="12"/>
        <color theme="1"/>
        <rFont val="Times New Roman"/>
        <family val="1"/>
      </rPr>
      <t xml:space="preserve"> (+/- 1,0)</t>
    </r>
  </si>
  <si>
    <r>
      <t>11,9</t>
    </r>
    <r>
      <rPr>
        <sz val="12"/>
        <color theme="1"/>
        <rFont val="Times New Roman"/>
        <family val="1"/>
      </rPr>
      <t xml:space="preserve"> (+/- 2,0)</t>
    </r>
  </si>
  <si>
    <r>
      <t>13,7</t>
    </r>
    <r>
      <rPr>
        <sz val="12"/>
        <color theme="1"/>
        <rFont val="Times New Roman"/>
        <family val="1"/>
      </rPr>
      <t xml:space="preserve"> (+/- 2,5)</t>
    </r>
  </si>
  <si>
    <r>
      <t>10,2</t>
    </r>
    <r>
      <rPr>
        <sz val="12"/>
        <color theme="1"/>
        <rFont val="Times New Roman"/>
        <family val="1"/>
      </rPr>
      <t xml:space="preserve"> (+/- 0,9)</t>
    </r>
  </si>
  <si>
    <r>
      <t>11,0</t>
    </r>
    <r>
      <rPr>
        <sz val="12"/>
        <color theme="1"/>
        <rFont val="Times New Roman"/>
        <family val="1"/>
      </rPr>
      <t xml:space="preserve"> (+/- 1,2)</t>
    </r>
  </si>
  <si>
    <r>
      <t>11,</t>
    </r>
    <r>
      <rPr>
        <sz val="12"/>
        <color theme="1"/>
        <rFont val="Times New Roman"/>
        <family val="1"/>
      </rPr>
      <t>3 (+/- 1,4)</t>
    </r>
  </si>
  <si>
    <r>
      <t>18,8</t>
    </r>
    <r>
      <rPr>
        <sz val="12"/>
        <color theme="1"/>
        <rFont val="Times New Roman"/>
        <family val="1"/>
      </rPr>
      <t xml:space="preserve"> (+/- 3,3)</t>
    </r>
  </si>
  <si>
    <r>
      <t xml:space="preserve">10,8 </t>
    </r>
    <r>
      <rPr>
        <sz val="12"/>
        <color theme="1"/>
        <rFont val="Times New Roman"/>
        <family val="1"/>
      </rPr>
      <t>(+/- 1,2)</t>
    </r>
  </si>
  <si>
    <r>
      <t>15,3</t>
    </r>
    <r>
      <rPr>
        <sz val="12"/>
        <color theme="1"/>
        <rFont val="Times New Roman"/>
        <family val="1"/>
      </rPr>
      <t xml:space="preserve"> (+/- 1,5)</t>
    </r>
  </si>
  <si>
    <r>
      <t>10,3</t>
    </r>
    <r>
      <rPr>
        <sz val="12"/>
        <color theme="1"/>
        <rFont val="Times New Roman"/>
        <family val="1"/>
      </rPr>
      <t xml:space="preserve"> (+/- 0,7)</t>
    </r>
  </si>
  <si>
    <r>
      <t>10,</t>
    </r>
    <r>
      <rPr>
        <sz val="12"/>
        <color theme="1"/>
        <rFont val="Times New Roman"/>
        <family val="1"/>
      </rPr>
      <t>9 (+/- 1,2)</t>
    </r>
  </si>
  <si>
    <r>
      <t>17,5</t>
    </r>
    <r>
      <rPr>
        <sz val="12"/>
        <color theme="1"/>
        <rFont val="Times New Roman"/>
        <family val="1"/>
      </rPr>
      <t xml:space="preserve"> (+/- 4,1)</t>
    </r>
  </si>
  <si>
    <r>
      <t>22,6</t>
    </r>
    <r>
      <rPr>
        <sz val="12"/>
        <color theme="1"/>
        <rFont val="Times New Roman"/>
        <family val="1"/>
      </rPr>
      <t xml:space="preserve"> (+/- 4,9)</t>
    </r>
  </si>
  <si>
    <r>
      <t>14,8</t>
    </r>
    <r>
      <rPr>
        <sz val="12"/>
        <color theme="1"/>
        <rFont val="Times New Roman"/>
        <family val="1"/>
      </rPr>
      <t xml:space="preserve"> (+/- 1,5)</t>
    </r>
  </si>
  <si>
    <r>
      <t>11,7</t>
    </r>
    <r>
      <rPr>
        <sz val="12"/>
        <color theme="1"/>
        <rFont val="Times New Roman"/>
        <family val="1"/>
      </rPr>
      <t xml:space="preserve"> (+/- 1,5)</t>
    </r>
  </si>
  <si>
    <r>
      <t>15,1</t>
    </r>
    <r>
      <rPr>
        <sz val="12"/>
        <color theme="1"/>
        <rFont val="Times New Roman"/>
        <family val="1"/>
      </rPr>
      <t xml:space="preserve"> (+/- 1,1)</t>
    </r>
  </si>
  <si>
    <r>
      <t xml:space="preserve">ATLETISMO </t>
    </r>
    <r>
      <rPr>
        <b/>
        <sz val="12"/>
        <color theme="1"/>
        <rFont val="Times New Roman"/>
        <family val="1"/>
      </rPr>
      <t>Maratón</t>
    </r>
    <r>
      <rPr>
        <sz val="12"/>
        <color theme="1"/>
        <rFont val="Times New Roman"/>
        <family val="1"/>
      </rPr>
      <t xml:space="preserve"> (Masculino)</t>
    </r>
  </si>
  <si>
    <r>
      <t xml:space="preserve">ATLETISMO </t>
    </r>
    <r>
      <rPr>
        <b/>
        <sz val="12"/>
        <color theme="1"/>
        <rFont val="Times New Roman"/>
        <family val="1"/>
      </rPr>
      <t>Fondo 10.000 m (Masculino)</t>
    </r>
  </si>
  <si>
    <r>
      <t xml:space="preserve">ATLETISMO </t>
    </r>
    <r>
      <rPr>
        <b/>
        <sz val="12"/>
        <color theme="1"/>
        <rFont val="Times New Roman"/>
        <family val="1"/>
      </rPr>
      <t>Fondo 5.000 m.</t>
    </r>
    <r>
      <rPr>
        <sz val="12"/>
        <color theme="1"/>
        <rFont val="Times New Roman"/>
        <family val="1"/>
      </rPr>
      <t xml:space="preserve"> (Masculino)</t>
    </r>
  </si>
  <si>
    <r>
      <t xml:space="preserve">ATLETISMO </t>
    </r>
    <r>
      <rPr>
        <b/>
        <sz val="12"/>
        <color theme="1"/>
        <rFont val="Times New Roman"/>
        <family val="1"/>
      </rPr>
      <t>Fondo 3.000 m. Obstáculos</t>
    </r>
    <r>
      <rPr>
        <sz val="12"/>
        <color theme="1"/>
        <rFont val="Times New Roman"/>
        <family val="1"/>
      </rPr>
      <t xml:space="preserve"> (Masculino)</t>
    </r>
  </si>
  <si>
    <r>
      <t xml:space="preserve">ATLETISMO </t>
    </r>
    <r>
      <rPr>
        <b/>
        <sz val="12"/>
        <color theme="1"/>
        <rFont val="Times New Roman"/>
        <family val="1"/>
      </rPr>
      <t>Medio Fondo 800 m.</t>
    </r>
    <r>
      <rPr>
        <sz val="12"/>
        <color theme="1"/>
        <rFont val="Times New Roman"/>
        <family val="1"/>
      </rPr>
      <t xml:space="preserve"> (Masculino)</t>
    </r>
  </si>
  <si>
    <r>
      <t xml:space="preserve">ATLETISMO </t>
    </r>
    <r>
      <rPr>
        <b/>
        <sz val="12"/>
        <color theme="1"/>
        <rFont val="Times New Roman"/>
        <family val="1"/>
      </rPr>
      <t>Medio Fondo 1.500 m.</t>
    </r>
    <r>
      <rPr>
        <sz val="12"/>
        <color theme="1"/>
        <rFont val="Times New Roman"/>
        <family val="1"/>
      </rPr>
      <t xml:space="preserve"> (Masculino)</t>
    </r>
  </si>
  <si>
    <r>
      <t xml:space="preserve">ATLETISMO </t>
    </r>
    <r>
      <rPr>
        <b/>
        <sz val="12"/>
        <color theme="1"/>
        <rFont val="Times New Roman"/>
        <family val="1"/>
      </rPr>
      <t>Velocidad</t>
    </r>
    <r>
      <rPr>
        <sz val="12"/>
        <color theme="1"/>
        <rFont val="Times New Roman"/>
        <family val="1"/>
      </rPr>
      <t>: 60 / 100 / 110 v / 200 / 400 m. / 400 v (Masculino)</t>
    </r>
  </si>
  <si>
    <r>
      <t xml:space="preserve">ATLETISMO </t>
    </r>
    <r>
      <rPr>
        <b/>
        <sz val="12"/>
        <color theme="1"/>
        <rFont val="Times New Roman"/>
        <family val="1"/>
      </rPr>
      <t>Salto Altura</t>
    </r>
    <r>
      <rPr>
        <sz val="12"/>
        <color theme="1"/>
        <rFont val="Times New Roman"/>
        <family val="1"/>
      </rPr>
      <t xml:space="preserve"> (Masculino)</t>
    </r>
  </si>
  <si>
    <r>
      <t xml:space="preserve">ATLETISMO </t>
    </r>
    <r>
      <rPr>
        <b/>
        <sz val="12"/>
        <color theme="1"/>
        <rFont val="Times New Roman"/>
        <family val="1"/>
      </rPr>
      <t>Salto Longitud</t>
    </r>
    <r>
      <rPr>
        <sz val="12"/>
        <color theme="1"/>
        <rFont val="Times New Roman"/>
        <family val="1"/>
      </rPr>
      <t xml:space="preserve"> y </t>
    </r>
    <r>
      <rPr>
        <b/>
        <sz val="12"/>
        <color theme="1"/>
        <rFont val="Times New Roman"/>
        <family val="1"/>
      </rPr>
      <t>Triple Salto</t>
    </r>
    <r>
      <rPr>
        <sz val="12"/>
        <color theme="1"/>
        <rFont val="Times New Roman"/>
        <family val="1"/>
      </rPr>
      <t xml:space="preserve"> (Masculino)</t>
    </r>
  </si>
  <si>
    <r>
      <t xml:space="preserve">ATLETISMO Salto de </t>
    </r>
    <r>
      <rPr>
        <b/>
        <sz val="12"/>
        <color theme="1"/>
        <rFont val="Times New Roman"/>
        <family val="1"/>
      </rPr>
      <t>Pértiga</t>
    </r>
    <r>
      <rPr>
        <sz val="12"/>
        <color theme="1"/>
        <rFont val="Times New Roman"/>
        <family val="1"/>
      </rPr>
      <t xml:space="preserve"> (Masculino)</t>
    </r>
  </si>
  <si>
    <r>
      <t xml:space="preserve">ATLETISMO Lanzamiento </t>
    </r>
    <r>
      <rPr>
        <b/>
        <sz val="12"/>
        <color theme="1"/>
        <rFont val="Times New Roman"/>
        <family val="1"/>
      </rPr>
      <t>Martillo</t>
    </r>
    <r>
      <rPr>
        <sz val="12"/>
        <color theme="1"/>
        <rFont val="Times New Roman"/>
        <family val="1"/>
      </rPr>
      <t xml:space="preserve"> (Masculino)</t>
    </r>
  </si>
  <si>
    <r>
      <t xml:space="preserve">ATLETISMO </t>
    </r>
    <r>
      <rPr>
        <b/>
        <sz val="12"/>
        <color theme="1"/>
        <rFont val="Times New Roman"/>
        <family val="1"/>
      </rPr>
      <t>Pruebas Combinadas</t>
    </r>
    <r>
      <rPr>
        <sz val="12"/>
        <color theme="1"/>
        <rFont val="Times New Roman"/>
        <family val="1"/>
      </rPr>
      <t xml:space="preserve"> (Masculino)</t>
    </r>
  </si>
  <si>
    <r>
      <t>BALONCESTO</t>
    </r>
    <r>
      <rPr>
        <sz val="12"/>
        <color theme="1"/>
        <rFont val="Times New Roman"/>
        <family val="1"/>
      </rPr>
      <t xml:space="preserve"> </t>
    </r>
    <r>
      <rPr>
        <b/>
        <sz val="12"/>
        <color theme="1"/>
        <rFont val="Times New Roman"/>
        <family val="1"/>
      </rPr>
      <t>Base (Masculino)</t>
    </r>
  </si>
  <si>
    <r>
      <t xml:space="preserve">BALONCESTO </t>
    </r>
    <r>
      <rPr>
        <b/>
        <sz val="12"/>
        <color theme="1"/>
        <rFont val="Times New Roman"/>
        <family val="1"/>
      </rPr>
      <t>Escolta</t>
    </r>
    <r>
      <rPr>
        <sz val="12"/>
        <color theme="1"/>
        <rFont val="Times New Roman"/>
        <family val="1"/>
      </rPr>
      <t xml:space="preserve"> (Masculino)</t>
    </r>
  </si>
  <si>
    <t>BALONCESTO Alero (Masculino)</t>
  </si>
  <si>
    <r>
      <t xml:space="preserve">BALONCESTO </t>
    </r>
    <r>
      <rPr>
        <b/>
        <sz val="12"/>
        <color theme="1"/>
        <rFont val="Times New Roman"/>
        <family val="1"/>
      </rPr>
      <t>Ala-pivot / Pivot</t>
    </r>
    <r>
      <rPr>
        <sz val="12"/>
        <color theme="1"/>
        <rFont val="Times New Roman"/>
        <family val="1"/>
      </rPr>
      <t xml:space="preserve"> (Masculino)</t>
    </r>
  </si>
  <si>
    <t>CICLISMO (Masculino)</t>
  </si>
  <si>
    <t>FÚTBOL Portero (Masculino)</t>
  </si>
  <si>
    <r>
      <t xml:space="preserve">FÚTBOL </t>
    </r>
    <r>
      <rPr>
        <b/>
        <sz val="12"/>
        <color theme="1"/>
        <rFont val="Times New Roman"/>
        <family val="1"/>
      </rPr>
      <t>Defensa</t>
    </r>
    <r>
      <rPr>
        <sz val="12"/>
        <color theme="1"/>
        <rFont val="Times New Roman"/>
        <family val="1"/>
      </rPr>
      <t xml:space="preserve"> (Masculino)</t>
    </r>
  </si>
  <si>
    <r>
      <t xml:space="preserve">FÚTBOL </t>
    </r>
    <r>
      <rPr>
        <b/>
        <sz val="12"/>
        <color theme="1"/>
        <rFont val="Times New Roman"/>
        <family val="1"/>
      </rPr>
      <t>Medio</t>
    </r>
    <r>
      <rPr>
        <sz val="12"/>
        <color theme="1"/>
        <rFont val="Times New Roman"/>
        <family val="1"/>
      </rPr>
      <t xml:space="preserve"> (Masculino)</t>
    </r>
  </si>
  <si>
    <r>
      <t xml:space="preserve">FÚTBOL </t>
    </r>
    <r>
      <rPr>
        <b/>
        <sz val="12"/>
        <color theme="1"/>
        <rFont val="Times New Roman"/>
        <family val="1"/>
      </rPr>
      <t>Delantero</t>
    </r>
    <r>
      <rPr>
        <sz val="12"/>
        <color theme="1"/>
        <rFont val="Times New Roman"/>
        <family val="1"/>
      </rPr>
      <t xml:space="preserve"> (Masculino)</t>
    </r>
  </si>
  <si>
    <t>JUDO 60-65 Kg. (Masculino)</t>
  </si>
  <si>
    <r>
      <t xml:space="preserve">JUDO </t>
    </r>
    <r>
      <rPr>
        <b/>
        <sz val="12"/>
        <color theme="1"/>
        <rFont val="Times New Roman"/>
        <family val="1"/>
      </rPr>
      <t>71-78 Kg</t>
    </r>
    <r>
      <rPr>
        <sz val="12"/>
        <color theme="1"/>
        <rFont val="Times New Roman"/>
        <family val="1"/>
      </rPr>
      <t>. (Masculino)</t>
    </r>
  </si>
  <si>
    <r>
      <t xml:space="preserve">JUDO </t>
    </r>
    <r>
      <rPr>
        <b/>
        <sz val="12"/>
        <color theme="1"/>
        <rFont val="Times New Roman"/>
        <family val="1"/>
      </rPr>
      <t>86-95 Kg</t>
    </r>
    <r>
      <rPr>
        <sz val="12"/>
        <color theme="1"/>
        <rFont val="Times New Roman"/>
        <family val="1"/>
      </rPr>
      <t>. (Masculino)</t>
    </r>
  </si>
  <si>
    <t>NATACIÓN (Masculino)</t>
  </si>
  <si>
    <t>PIRAGÜISMO (Masculino)</t>
  </si>
  <si>
    <t>REMO (Masculino)</t>
  </si>
  <si>
    <t>TIRO OLÍMPICO (Masculino)</t>
  </si>
  <si>
    <t>VOLEIBOL (Masculino)</t>
  </si>
  <si>
    <r>
      <t xml:space="preserve">BADMINGTON </t>
    </r>
    <r>
      <rPr>
        <vertAlign val="superscript"/>
        <sz val="12"/>
        <color theme="1"/>
        <rFont val="Times New Roman"/>
        <family val="1"/>
      </rPr>
      <t>(1)</t>
    </r>
    <r>
      <rPr>
        <sz val="12"/>
        <color theme="1"/>
        <rFont val="Times New Roman"/>
        <family val="1"/>
      </rPr>
      <t xml:space="preserve"> (Masculino)</t>
    </r>
  </si>
  <si>
    <t>ATLETISMO Maratón (Femenino)</t>
  </si>
  <si>
    <r>
      <t xml:space="preserve">ATLETISMO </t>
    </r>
    <r>
      <rPr>
        <b/>
        <sz val="12"/>
        <color theme="1"/>
        <rFont val="Times New Roman"/>
        <family val="1"/>
      </rPr>
      <t xml:space="preserve">Fondo </t>
    </r>
    <r>
      <rPr>
        <sz val="12"/>
        <color theme="1"/>
        <rFont val="Times New Roman"/>
        <family val="1"/>
      </rPr>
      <t>(Femenino)</t>
    </r>
  </si>
  <si>
    <r>
      <t xml:space="preserve">ATLETISMO </t>
    </r>
    <r>
      <rPr>
        <b/>
        <sz val="12"/>
        <color theme="1"/>
        <rFont val="Times New Roman"/>
        <family val="1"/>
      </rPr>
      <t xml:space="preserve">Medio Fondo </t>
    </r>
    <r>
      <rPr>
        <sz val="12"/>
        <color theme="1"/>
        <rFont val="Times New Roman"/>
        <family val="1"/>
      </rPr>
      <t xml:space="preserve"> (Femenino)</t>
    </r>
  </si>
  <si>
    <r>
      <t xml:space="preserve">ATLETISMO </t>
    </r>
    <r>
      <rPr>
        <b/>
        <sz val="12"/>
        <color theme="1"/>
        <rFont val="Times New Roman"/>
        <family val="1"/>
      </rPr>
      <t>Velocidad</t>
    </r>
    <r>
      <rPr>
        <sz val="12"/>
        <color theme="1"/>
        <rFont val="Times New Roman"/>
        <family val="1"/>
      </rPr>
      <t xml:space="preserve"> (Femenino)</t>
    </r>
  </si>
  <si>
    <r>
      <t xml:space="preserve">ATLETISMO </t>
    </r>
    <r>
      <rPr>
        <b/>
        <sz val="12"/>
        <color theme="1"/>
        <rFont val="Times New Roman"/>
        <family val="1"/>
      </rPr>
      <t>Salto Altura</t>
    </r>
    <r>
      <rPr>
        <sz val="12"/>
        <color theme="1"/>
        <rFont val="Times New Roman"/>
        <family val="1"/>
      </rPr>
      <t xml:space="preserve"> (Femenino)</t>
    </r>
  </si>
  <si>
    <r>
      <t xml:space="preserve">ATLETISMO </t>
    </r>
    <r>
      <rPr>
        <b/>
        <sz val="12"/>
        <color theme="1"/>
        <rFont val="Times New Roman"/>
        <family val="1"/>
      </rPr>
      <t>Salto Longitud</t>
    </r>
    <r>
      <rPr>
        <sz val="12"/>
        <color theme="1"/>
        <rFont val="Times New Roman"/>
        <family val="1"/>
      </rPr>
      <t xml:space="preserve"> y </t>
    </r>
    <r>
      <rPr>
        <b/>
        <sz val="12"/>
        <color theme="1"/>
        <rFont val="Times New Roman"/>
        <family val="1"/>
      </rPr>
      <t>Triple Salto</t>
    </r>
    <r>
      <rPr>
        <sz val="12"/>
        <color theme="1"/>
        <rFont val="Times New Roman"/>
        <family val="1"/>
      </rPr>
      <t xml:space="preserve"> (Femenino)</t>
    </r>
  </si>
  <si>
    <r>
      <t xml:space="preserve">ATLETISMO </t>
    </r>
    <r>
      <rPr>
        <b/>
        <sz val="12"/>
        <color theme="1"/>
        <rFont val="Times New Roman"/>
        <family val="1"/>
      </rPr>
      <t>Pruebas Combinadas</t>
    </r>
    <r>
      <rPr>
        <sz val="12"/>
        <color theme="1"/>
        <rFont val="Times New Roman"/>
        <family val="1"/>
      </rPr>
      <t xml:space="preserve"> (Femenino)</t>
    </r>
  </si>
  <si>
    <t>ESGRIMA (Femenino)</t>
  </si>
  <si>
    <t>GIMNASIA ARTÍSTICA (Femenino)</t>
  </si>
  <si>
    <r>
      <t xml:space="preserve">GIMNASIA </t>
    </r>
    <r>
      <rPr>
        <b/>
        <sz val="12"/>
        <color theme="1"/>
        <rFont val="Times New Roman"/>
        <family val="1"/>
      </rPr>
      <t>RÍTMICA</t>
    </r>
    <r>
      <rPr>
        <sz val="12"/>
        <color theme="1"/>
        <rFont val="Times New Roman"/>
        <family val="1"/>
      </rPr>
      <t xml:space="preserve"> (Femenino)</t>
    </r>
  </si>
  <si>
    <t>HOCKEY (Femenino)</t>
  </si>
  <si>
    <t>JUDO &lt; 48-52 Kg. (Femenino)</t>
  </si>
  <si>
    <r>
      <t xml:space="preserve">JUDO &lt; </t>
    </r>
    <r>
      <rPr>
        <b/>
        <sz val="12"/>
        <color theme="1"/>
        <rFont val="Times New Roman"/>
        <family val="1"/>
      </rPr>
      <t>56-61 Kg</t>
    </r>
    <r>
      <rPr>
        <sz val="12"/>
        <color theme="1"/>
        <rFont val="Times New Roman"/>
        <family val="1"/>
      </rPr>
      <t>. (Femenino)</t>
    </r>
  </si>
  <si>
    <r>
      <t xml:space="preserve">JUDO &lt;  </t>
    </r>
    <r>
      <rPr>
        <b/>
        <sz val="12"/>
        <color theme="1"/>
        <rFont val="Times New Roman"/>
        <family val="1"/>
      </rPr>
      <t>66-72 Kg</t>
    </r>
    <r>
      <rPr>
        <sz val="12"/>
        <color theme="1"/>
        <rFont val="Times New Roman"/>
        <family val="1"/>
      </rPr>
      <t>. (Femenino)</t>
    </r>
  </si>
  <si>
    <t>NATACIÓN (Femenino)</t>
  </si>
  <si>
    <t>PIRAGÜISMO (Femenino)</t>
  </si>
  <si>
    <t>TIRO OLÍMPICO (Femenino)</t>
  </si>
  <si>
    <t>TRIATLÓN (Femenino)</t>
  </si>
  <si>
    <t>DESVIACION</t>
  </si>
  <si>
    <t>TRIATLÓN (Masculino)</t>
  </si>
  <si>
    <t>REMO (Femenino)</t>
  </si>
  <si>
    <t>POSICION</t>
  </si>
  <si>
    <t>6 PLIEGES</t>
  </si>
  <si>
    <t>RESULTADO</t>
  </si>
  <si>
    <t>REFERENCIA:</t>
  </si>
  <si>
    <t>SUMATORIA DE 6 PIEGUES</t>
  </si>
  <si>
    <t>DURACION (Hr)</t>
  </si>
  <si>
    <t>ESTAR ACOSTADO</t>
  </si>
  <si>
    <t>SENTADO TRANQUILAMENTE</t>
  </si>
  <si>
    <t>EN PIE</t>
  </si>
  <si>
    <t>VESTIRSE</t>
  </si>
  <si>
    <t>LAVAR MANOS CARA Y CABELLO</t>
  </si>
  <si>
    <t>TRENZARSE EL PELO</t>
  </si>
  <si>
    <t>COMER Y BEBER</t>
  </si>
  <si>
    <t>CAMINAR ALREDEDOR O PASEAR</t>
  </si>
  <si>
    <t>CAMINAR DESPACIO</t>
  </si>
  <si>
    <t>CAMINAR RAPIDO</t>
  </si>
  <si>
    <t>CAMINANDO EN COLINA</t>
  </si>
  <si>
    <t>CAMINANDO EN DESCENSO</t>
  </si>
  <si>
    <t>SUBIR ESCALERAS</t>
  </si>
  <si>
    <t>IR SENTADO EN EL AUTOBUS</t>
  </si>
  <si>
    <t>IR EN BICICLETA ESTILO RECREACIONAL</t>
  </si>
  <si>
    <t>CICLISMO DE MONTAÑA EN PENDIENTES</t>
  </si>
  <si>
    <t>CICLISMO DE MONTAÑA EN COMPETENCIAS</t>
  </si>
  <si>
    <t>CICLISMO BMX</t>
  </si>
  <si>
    <t>CICLISMO GENERAL</t>
  </si>
  <si>
    <t xml:space="preserve">CONDUCIR EN MOTOCICLETA </t>
  </si>
  <si>
    <t>CONDUCIR EN AUTO</t>
  </si>
  <si>
    <t>BARRER</t>
  </si>
  <si>
    <t xml:space="preserve">COSER / TEJER </t>
  </si>
  <si>
    <t>LEVANTAMIENTO DE PESAS ESFUERZO LIGERO O MODERADO, ENTRENAMIENTO LIGERO</t>
  </si>
  <si>
    <t>PROMEDIO(/7)</t>
  </si>
  <si>
    <t>REGISTRO DE ACTIVIDAD Y DEPORTE EN LA SEMANA</t>
  </si>
  <si>
    <t>OBSERVACIONES</t>
  </si>
  <si>
    <t>Hrs./Promedio</t>
  </si>
  <si>
    <t>CALCULO GASTO ENERGETICO TOTAL EN (GET + METS)/FAOMS.</t>
  </si>
  <si>
    <t>TMB/Hr</t>
  </si>
  <si>
    <t>ACTIVIDADES RESIDUALES</t>
  </si>
  <si>
    <t>DE UN TOTAL DE 24 Hrs.</t>
  </si>
  <si>
    <t>GASTO ENERGETICO TOTAL ESTIMADO (KCAL)</t>
  </si>
  <si>
    <t>GASTO ENERGETICO TOTAL ESTIMADO FORMULAS VARIAS:</t>
  </si>
  <si>
    <t>DESGLOCE</t>
  </si>
  <si>
    <t>RESP. SI/NO</t>
  </si>
  <si>
    <t>NIVEL DE HIDRATACION.</t>
  </si>
  <si>
    <t>METODO POS.</t>
  </si>
  <si>
    <t>Nivel</t>
  </si>
  <si>
    <t>S: sed, sensacion.</t>
  </si>
  <si>
    <t>O: orina, color.</t>
  </si>
  <si>
    <t>P: peso,disminucion.</t>
  </si>
  <si>
    <t>SI</t>
  </si>
  <si>
    <t>METODO GRAVEDAD ESPECIFICA DE LA ORINA (USG).</t>
  </si>
  <si>
    <t>D. AGUA</t>
  </si>
  <si>
    <t>D. ORINA PRE.ENTRENO</t>
  </si>
  <si>
    <t>D. ORINA POST. ENTRENO</t>
  </si>
  <si>
    <t>CALCULO DE REQUERIMIENTOS DE ENERGIA. [MOLECULA CALORICA].</t>
  </si>
  <si>
    <t>DESCANSO</t>
  </si>
  <si>
    <t>PLANTEAMIENTO Y DISTRIBUCION CON FORMULAS EMPIRICAS</t>
  </si>
  <si>
    <t>PLANIFICACION DIA DE DESCANSO O RECUPERACION</t>
  </si>
  <si>
    <t>PLANIFICACION DIA DE ENTRENAMIENTO</t>
  </si>
  <si>
    <t>PLANIFICACION DIA DE LA COMPETENCIA</t>
  </si>
  <si>
    <t>DISTRIBUCION MOLECULA CALORICA.</t>
  </si>
  <si>
    <t>Referencia Gr/Kg/Día.</t>
  </si>
  <si>
    <t>KCAL/DIA</t>
  </si>
  <si>
    <t>HERNAN RICARDO LIPPKE VEGA</t>
  </si>
  <si>
    <t>0.7 - 1.2  mg/dl</t>
  </si>
  <si>
    <t>0,17 - 0,54 G/L</t>
  </si>
  <si>
    <t>8 - 25 mg/dl</t>
  </si>
  <si>
    <t>FOSFORO</t>
  </si>
  <si>
    <t>2,6 - 4,5 mg/dl</t>
  </si>
  <si>
    <t>ACIDO URICO</t>
  </si>
  <si>
    <t>3.6 - 8,5 mEq/L</t>
  </si>
  <si>
    <t>SGOT</t>
  </si>
  <si>
    <t>10 - 40 U/L</t>
  </si>
  <si>
    <t>FOSF. ALCALINAS</t>
  </si>
  <si>
    <t>45 - 115 U/L</t>
  </si>
  <si>
    <t>70 - 130 mg/dl</t>
  </si>
  <si>
    <t>LDH</t>
  </si>
  <si>
    <t>135 - 225 U/L</t>
  </si>
  <si>
    <t>LEUCOCITOS</t>
  </si>
  <si>
    <t>4,5 - 11 X 10^3/UL</t>
  </si>
  <si>
    <t>LINFOCITOS</t>
  </si>
  <si>
    <t>25,0 - 40,0 %</t>
  </si>
  <si>
    <t>FRACCIONAMIENTO BI-COMPARTIMENTAL</t>
  </si>
  <si>
    <t>ESTADÍSTICAS</t>
  </si>
  <si>
    <t>PERCENTILES</t>
  </si>
  <si>
    <t>prom.</t>
  </si>
  <si>
    <t>d. est.</t>
  </si>
  <si>
    <t>mdna</t>
  </si>
  <si>
    <t>max</t>
  </si>
  <si>
    <t>min</t>
  </si>
  <si>
    <t>IC 95%</t>
  </si>
  <si>
    <t>EDAD años</t>
  </si>
  <si>
    <t>MASA CORP. Kg</t>
  </si>
  <si>
    <t>ALTURAS Y LONGITUDES SEGMENTARIAS (cm)</t>
  </si>
  <si>
    <t>TALLA</t>
  </si>
  <si>
    <t>T. SENT</t>
  </si>
  <si>
    <t>ENVERG</t>
  </si>
  <si>
    <t>ACR-RAD</t>
  </si>
  <si>
    <t>RAD-EST</t>
  </si>
  <si>
    <t>M.EST-DAC</t>
  </si>
  <si>
    <t>ILIOESPIN.</t>
  </si>
  <si>
    <t>TROCANTER</t>
  </si>
  <si>
    <t>TRC-TLA</t>
  </si>
  <si>
    <t>TIB. LAT.</t>
  </si>
  <si>
    <t>TIB. MED.</t>
  </si>
  <si>
    <t>PIE</t>
  </si>
  <si>
    <t>DIÁMETROS (cm)</t>
  </si>
  <si>
    <t>BIACROM</t>
  </si>
  <si>
    <t>TORAX TV</t>
  </si>
  <si>
    <t>TORAX AP</t>
  </si>
  <si>
    <t>BIILIOCR.</t>
  </si>
  <si>
    <t>PERÍMETROS (cm)</t>
  </si>
  <si>
    <t>CUELLO</t>
  </si>
  <si>
    <t>BRAZO</t>
  </si>
  <si>
    <t>BRZ. FLEX</t>
  </si>
  <si>
    <t>ANTEBRZ</t>
  </si>
  <si>
    <t>MUÑECA</t>
  </si>
  <si>
    <t>TORAX</t>
  </si>
  <si>
    <t>MUSLO MX</t>
  </si>
  <si>
    <t>MUSLOMED</t>
  </si>
  <si>
    <t>PANTORR.</t>
  </si>
  <si>
    <t>TOBILLO</t>
  </si>
  <si>
    <t xml:space="preserve">PLIEGUES (mm) </t>
  </si>
  <si>
    <t>TRICEPS</t>
  </si>
  <si>
    <t>SUBESCAP</t>
  </si>
  <si>
    <t>BICEPS</t>
  </si>
  <si>
    <t>CR. ILIACA</t>
  </si>
  <si>
    <t>SUPRA ESP</t>
  </si>
  <si>
    <t>ABDOMIN.</t>
  </si>
  <si>
    <t>MUSL. ANT.</t>
  </si>
  <si>
    <r>
      <t>Σ</t>
    </r>
    <r>
      <rPr>
        <b/>
        <sz val="8"/>
        <rFont val="Arial"/>
        <family val="2"/>
      </rPr>
      <t>6PLIEG.</t>
    </r>
  </si>
  <si>
    <t xml:space="preserve">Muñeca </t>
  </si>
  <si>
    <t>Tobillo</t>
  </si>
  <si>
    <t>Esq Martin</t>
  </si>
  <si>
    <t>MusMartin</t>
  </si>
  <si>
    <t>Índ. Musc/óseo</t>
  </si>
  <si>
    <t>Musc Lee 2000</t>
  </si>
  <si>
    <r>
      <t>IMC Kg./m</t>
    </r>
    <r>
      <rPr>
        <b/>
        <vertAlign val="superscript"/>
        <sz val="8"/>
        <rFont val="Arial"/>
        <family val="2"/>
      </rPr>
      <t>2</t>
    </r>
  </si>
  <si>
    <t>%G. Dur.&amp;Wom.</t>
  </si>
  <si>
    <t>I Córmico %</t>
  </si>
  <si>
    <t>Referencias bibliográficas:</t>
  </si>
  <si>
    <t>1. Ross WD and Ward R (1982d) Human proportionality and sexual dimorphism. In: RL Hall (ed) Sexual Dimorphism in Homo Sapiens. New York: Praeger, 317-361.</t>
  </si>
  <si>
    <t>2. Kerr D (1988) An anthropometric method for the fractionation of skin, adipose, bone, muscle and residual tissue masses in males and females age 6 to 77 years. MSc Thesis, Simon Fraser University, Burnaby, BC, Canada.</t>
  </si>
  <si>
    <t>3. Martin AD, Spenst LF, Drinkwater DT and Clarys JP (1990) Estimation of muscle mass in men. Med Sci Spt Exerc (22) 929-933.</t>
  </si>
  <si>
    <t>4. Durnin JVGA and Wormersly J (1974) Body fat assessed from total body density and its estimation from skinfold thickness measurements on 481 men and women age 19 to 72 years. Brit J Nutr 32 (July): 77-97.</t>
  </si>
  <si>
    <t>5. Norton K and Olds T (1996) Anthropometrica: A textbook of body measurement for sports and health courses. Sydney, Australia: University of New South Wales Press.</t>
  </si>
  <si>
    <t>6. LEE ET AL., (2000), Am. J. Clin. Nutr. 796-803.</t>
  </si>
  <si>
    <t>Sujetos, materiales y métodos:</t>
  </si>
  <si>
    <t>Sujetos que realizan actividad física recreacional, en buena salud, de 20 a 30 años (para diámetros muñeca y tobillo datos de 19 a 40 años).</t>
  </si>
  <si>
    <t>Mediciones con equipamiento Rosscraft, calibres para pliegues Harpenden, Slim-Guide y Gaucho-Pro.</t>
  </si>
  <si>
    <t>Prorocolo ISAK, en duplicado, con error técnico de medición &lt; 5% para pliegues; &lt; 1% otras medidas.</t>
  </si>
  <si>
    <t>EsqMart</t>
  </si>
  <si>
    <t>MusMart</t>
  </si>
  <si>
    <t>DATOS DEMOGRÁFICOS</t>
  </si>
  <si>
    <t>DATOS DE COMPOSICIÓN CORPORAL (modelos Bi-compartamentales)</t>
  </si>
  <si>
    <t>APELLIDO</t>
  </si>
  <si>
    <t>GRASA CORPORAL</t>
  </si>
  <si>
    <t>VALORACIÓN (vs. Argoref)</t>
  </si>
  <si>
    <t>Ecuación de Durnin &amp; Wormesley (1974)</t>
  </si>
  <si>
    <t>puntuación Z</t>
  </si>
  <si>
    <t>Percentilo</t>
  </si>
  <si>
    <t>Verbal</t>
  </si>
  <si>
    <t>% GRASO</t>
  </si>
  <si>
    <t>FECHA NAC</t>
  </si>
  <si>
    <t>Kg GRASA</t>
  </si>
  <si>
    <t>FECHA EVAL</t>
  </si>
  <si>
    <t>Kg MASA MAGRA</t>
  </si>
  <si>
    <t>EDAD DECIMAL</t>
  </si>
  <si>
    <t>años</t>
  </si>
  <si>
    <t>BÁSICAS</t>
  </si>
  <si>
    <t>SERIE 1</t>
  </si>
  <si>
    <t>SERIE 2</t>
  </si>
  <si>
    <t>SERIE 3</t>
  </si>
  <si>
    <t>MED</t>
  </si>
  <si>
    <t>punt Z</t>
  </si>
  <si>
    <t>Perc</t>
  </si>
  <si>
    <t>PESO (Kg)</t>
  </si>
  <si>
    <t>Ecuación de Martin (1990)</t>
  </si>
  <si>
    <t>TALLA (cm)</t>
  </si>
  <si>
    <t>Kg MÚSCULO</t>
  </si>
  <si>
    <t>TALLA SENTADA (cm)</t>
  </si>
  <si>
    <t>% MÚSCULO</t>
  </si>
  <si>
    <t>Ecuación de Lee &amp; colegas (2000)</t>
  </si>
  <si>
    <t>BRAZO FLEXIONADO</t>
  </si>
  <si>
    <t>ANTEBRAZO</t>
  </si>
  <si>
    <t>CINTURA MÍNIMA</t>
  </si>
  <si>
    <t>CADERAS MÁXIMO</t>
  </si>
  <si>
    <t>MASA ESQUELÉTICA</t>
  </si>
  <si>
    <t>MUSLO MEDIAL</t>
  </si>
  <si>
    <t>Ecuación de Martin (1991)</t>
  </si>
  <si>
    <t>PANTORRILLA MÁXIMA</t>
  </si>
  <si>
    <t>Kg ESQUELETO</t>
  </si>
  <si>
    <t>% ESQUELETO</t>
  </si>
  <si>
    <t>ÍNDICES</t>
  </si>
  <si>
    <t>BI-ESTILOIDEO</t>
  </si>
  <si>
    <t>Índice Masa Corporal (IMC)</t>
  </si>
  <si>
    <t>BI-MALEOLAR</t>
  </si>
  <si>
    <t>Índice cintura/caderas</t>
  </si>
  <si>
    <t>TRÍCEPS</t>
  </si>
  <si>
    <r>
      <t>Σ</t>
    </r>
    <r>
      <rPr>
        <sz val="8"/>
        <rFont val="Arial"/>
        <family val="2"/>
      </rPr>
      <t xml:space="preserve"> 6 pliegues (mm)</t>
    </r>
  </si>
  <si>
    <t>BÍCEPS</t>
  </si>
  <si>
    <t>CRESTA ILÍACA</t>
  </si>
  <si>
    <t>17.5</t>
  </si>
  <si>
    <t>MUSLO ANTERIOR</t>
  </si>
  <si>
    <t>PANTORRILLA MEDIAL</t>
  </si>
  <si>
    <t>ESTIMACIÓN DEL DESCENSO DE GRASA</t>
  </si>
  <si>
    <t>NOTAS:</t>
  </si>
  <si>
    <t>% GRASO deseado</t>
  </si>
  <si>
    <t>Peso Ideal (Kg):</t>
  </si>
  <si>
    <t>Disminuir (Kg):</t>
  </si>
  <si>
    <t>1. Para este programa deben utilizarse calibres Harpenden, Holtain, Slim Guide, o Gaucho-pro.</t>
  </si>
  <si>
    <t>2. Completar los casilleros sombreados en naranja claro.</t>
  </si>
  <si>
    <t>ESTIMACIÓN DEL AUMENTO DE MÚSCULO</t>
  </si>
  <si>
    <t>3. Los datos de Argoref son para el rango de 20 a 30 años, sujetos que realizan actividad física.</t>
  </si>
  <si>
    <t>Índice Musc-Óseo deseado</t>
  </si>
  <si>
    <t>Masa muscular idea (Kg)l:</t>
  </si>
  <si>
    <t>Aumentar (Kg):</t>
  </si>
  <si>
    <t>4. Para los datos de diámetros de muñeca y tobillo, que se usan para estimar la masa ósea con la ecuación</t>
  </si>
  <si>
    <t>de Martin A (1991) y el Índice músculo/óseo, se usaron datos de sujetos de 19 a 40 años (n = 129).</t>
  </si>
  <si>
    <t>La ecuación de Lee (2000) da valores inferiores a la de Martin para masa muscular.</t>
  </si>
  <si>
    <t>ESTIMACIÓN DEL PESO IDEAL (Kg), si se desea cambiar la composición corporal:</t>
  </si>
  <si>
    <t>5. En la celda L40 es conveniente ingresar el I M/O con 3 decimales.</t>
  </si>
  <si>
    <t>Peso actual - Kg a disminuir (grasa) + Kg a incrementar (músculo)</t>
  </si>
  <si>
    <t xml:space="preserve">6. Si Ud. quiere saber un valor para mínimo de grasa corporal estimable, use el valor correspondiente al </t>
  </si>
  <si>
    <t>percentil 5 de %graso según el sexo del sujeto.</t>
  </si>
  <si>
    <t xml:space="preserve">7. Si Ud. quiere estimar un valor para el máximo de masa muscular, use el valor correspondiente al </t>
  </si>
  <si>
    <t>percentil 95 de Índice músculo/óseo según el sexo del sujeto.</t>
  </si>
  <si>
    <t>8. Los datos del sujeto hipotético, el Sr. Ratón Pérez, deben ser borrados y los datos nuevos ingresados.</t>
  </si>
  <si>
    <t>9. Si Ud. quiere modificar fórmulas, etc., por favor comuníquese con el autor.</t>
  </si>
  <si>
    <t>SEXO (M = 1 o F = 2)</t>
  </si>
  <si>
    <t>PESO ACTUAL  (Kg).</t>
  </si>
  <si>
    <t>%GRASA</t>
  </si>
  <si>
    <t>%MUSCULO</t>
  </si>
  <si>
    <t>% M.L.G</t>
  </si>
  <si>
    <t>KG. M.L.G</t>
  </si>
  <si>
    <t>1RA</t>
  </si>
  <si>
    <t>2DA</t>
  </si>
  <si>
    <t>OBJETIVO</t>
  </si>
  <si>
    <t>06.12.2021</t>
  </si>
  <si>
    <t>MASA CORPORAL (KG.)</t>
  </si>
  <si>
    <t>SUMATORIA DE PLIEGUES mm.</t>
  </si>
  <si>
    <t>Ratio Cintura-Cadera</t>
  </si>
  <si>
    <t>I.M.C</t>
  </si>
  <si>
    <t>Est. Dismin. M. Grasa (Kg)</t>
  </si>
  <si>
    <t>Est. Aumento M. Musc. (Kg)</t>
  </si>
  <si>
    <t>CLASIFICACION DE SOMATOTIPO</t>
  </si>
  <si>
    <t>∑3-PLIEGES ©</t>
  </si>
  <si>
    <t>∑6-PLIEGES ©</t>
  </si>
  <si>
    <t>H.W.R</t>
  </si>
  <si>
    <t>CONTROL</t>
  </si>
  <si>
    <t xml:space="preserve">Helados </t>
  </si>
  <si>
    <t>F</t>
  </si>
  <si>
    <t>Nut. Hernan Lippke Vega. 
| Nutricionista Deportivo |.
| Santiago Centro | Santiago de Chile | |Email: | nutri.contactosalud@gmail.com
[Contacto Telefónico: +569 74029074 |</t>
  </si>
  <si>
    <t>MADRE</t>
  </si>
  <si>
    <t>CAMINATA AL TRABAJO /LEVE ACTIVIDAD EN HOGAR.</t>
  </si>
  <si>
    <t>ENDOMORFO, MESOMORFICO</t>
  </si>
  <si>
    <t>ANDREA BERNARDINO</t>
  </si>
  <si>
    <t>ANDREITA199066@GMAIL.COM</t>
  </si>
  <si>
    <t>(+) 569 77398158</t>
  </si>
  <si>
    <t>ODONTOLOGA</t>
  </si>
  <si>
    <t>PERDER PESO, "PESAR 75 KG"</t>
  </si>
  <si>
    <t>ROSACIA</t>
  </si>
  <si>
    <t>OBSERVACION: EXPOSICION AL SOL Y TEMPERATURAS CALIENTES</t>
  </si>
  <si>
    <t>DERMATOLOGA: INDICA QUE NO DEBE TOMAR LECHE PORQUE INHIVE LA ACCION DEL FARMACO</t>
  </si>
  <si>
    <t>DESAYUNO: 07:00 AM ALOEVERA MANZANA VERDE, CHIA Y LINAZA. (LICUADO) 1 TAZA</t>
  </si>
  <si>
    <t>ALMUERZO: 14:00 PM ENSALADAS, LENTEJAS O POROTOS, ARROZ 1 VEZ A LA SEMANA AGUA.</t>
  </si>
  <si>
    <t>CENA: BARRITA PROTEICA</t>
  </si>
  <si>
    <t>Kcal. Referencia</t>
  </si>
  <si>
    <t>DOXITHAL</t>
  </si>
  <si>
    <t>100 Mg.</t>
  </si>
  <si>
    <t>1 Cada Día</t>
  </si>
  <si>
    <t>INTERACCION CON LA LECHE Y DERIVADOS EN LA ABSORCION DEL MEDICAMENTO</t>
  </si>
  <si>
    <t>001.</t>
  </si>
  <si>
    <t>002.</t>
  </si>
  <si>
    <t>MADRE, HERMANA Y TIAS</t>
  </si>
  <si>
    <t>MADRE, TIOS</t>
  </si>
  <si>
    <t>ACTIVA</t>
  </si>
  <si>
    <t>TOTAL METS/24 Hr. [DESCANSO];[ENTRENAMIENTO]</t>
  </si>
  <si>
    <t>JUDO &lt; 56-61 Kg. (Femenino)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</si>
</sst>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164" formatCode="0.0"/>
    <numFmt numFmtId="165" formatCode="0.000"/>
    <numFmt numFmtId="166" formatCode="0.0%"/>
    <numFmt numFmtId="167" formatCode="d/m/yy;@"/>
  </numFmts>
  <fonts count="49" x14ac:knownFonts="1">
    <font>
      <sz val="11"/>
      <color theme="1"/>
      <name val="Calibri"/>
      <family val="2"/>
      <scheme val="minor"/>
    </font>
    <font>
      <b/>
      <sz val="11"/>
      <color theme="1"/>
      <name val="Calibri"/>
      <family val="2"/>
      <scheme val="minor"/>
    </font>
    <font>
      <b/>
      <sz val="10"/>
      <color rgb="FF000000"/>
      <name val="Tahoma"/>
      <family val="2"/>
    </font>
    <font>
      <b/>
      <sz val="12"/>
      <color theme="1"/>
      <name val="Calibri"/>
      <family val="2"/>
      <scheme val="minor"/>
    </font>
    <font>
      <sz val="9"/>
      <color theme="1"/>
      <name val="Calibri"/>
      <family val="2"/>
      <scheme val="minor"/>
    </font>
    <font>
      <b/>
      <sz val="9"/>
      <color theme="1"/>
      <name val="Calibri"/>
      <family val="2"/>
      <scheme val="minor"/>
    </font>
    <font>
      <b/>
      <sz val="12"/>
      <color theme="1"/>
      <name val="Bell MT"/>
      <family val="1"/>
    </font>
    <font>
      <sz val="11"/>
      <color theme="1"/>
      <name val="Arial Narrow"/>
      <family val="2"/>
    </font>
    <font>
      <b/>
      <sz val="11"/>
      <color theme="1"/>
      <name val="Arial Narrow"/>
      <family val="2"/>
    </font>
    <font>
      <b/>
      <sz val="11"/>
      <color theme="1"/>
      <name val="Calibri"/>
      <family val="2"/>
    </font>
    <font>
      <b/>
      <sz val="10"/>
      <color theme="1"/>
      <name val="Calibri"/>
      <family val="2"/>
      <scheme val="minor"/>
    </font>
    <font>
      <u/>
      <sz val="10"/>
      <color indexed="12"/>
      <name val="Arial"/>
      <family val="2"/>
    </font>
    <font>
      <sz val="10"/>
      <color theme="1"/>
      <name val="Calibri"/>
      <family val="2"/>
      <scheme val="minor"/>
    </font>
    <font>
      <b/>
      <u/>
      <sz val="11"/>
      <color theme="1"/>
      <name val="Calibri"/>
      <family val="2"/>
      <scheme val="minor"/>
    </font>
    <font>
      <b/>
      <sz val="8"/>
      <color theme="1"/>
      <name val="Calibri"/>
      <family val="2"/>
      <scheme val="minor"/>
    </font>
    <font>
      <sz val="11"/>
      <color theme="1"/>
      <name val="Calibri"/>
      <family val="2"/>
      <scheme val="minor"/>
    </font>
    <font>
      <b/>
      <sz val="14"/>
      <color theme="1"/>
      <name val="Calibri"/>
      <family val="2"/>
      <scheme val="minor"/>
    </font>
    <font>
      <sz val="10"/>
      <color indexed="18"/>
      <name val="Arial"/>
      <family val="2"/>
    </font>
    <font>
      <sz val="10"/>
      <color indexed="18"/>
      <name val="Garamond"/>
      <family val="1"/>
    </font>
    <font>
      <sz val="11"/>
      <color theme="1"/>
      <name val="Bell MT"/>
      <family val="1"/>
    </font>
    <font>
      <sz val="10"/>
      <name val="Arial"/>
    </font>
    <font>
      <sz val="10"/>
      <color rgb="FF000000"/>
      <name val="Calibri"/>
      <family val="2"/>
      <scheme val="minor"/>
    </font>
    <font>
      <i/>
      <sz val="10"/>
      <color rgb="FF000000"/>
      <name val="Calibri"/>
      <family val="2"/>
      <scheme val="minor"/>
    </font>
    <font>
      <b/>
      <sz val="9"/>
      <color indexed="8"/>
      <name val="Arial"/>
      <family val="2"/>
    </font>
    <font>
      <b/>
      <sz val="9"/>
      <name val="Arial"/>
      <family val="2"/>
    </font>
    <font>
      <b/>
      <sz val="11"/>
      <color indexed="8"/>
      <name val="Calibri"/>
      <family val="2"/>
    </font>
    <font>
      <sz val="12"/>
      <color theme="1"/>
      <name val="Times New Roman"/>
      <family val="1"/>
    </font>
    <font>
      <b/>
      <sz val="12"/>
      <color theme="1"/>
      <name val="Times New Roman"/>
      <family val="1"/>
    </font>
    <font>
      <b/>
      <u/>
      <sz val="14"/>
      <color theme="1"/>
      <name val="Times New Roman"/>
      <family val="1"/>
    </font>
    <font>
      <vertAlign val="superscript"/>
      <sz val="12"/>
      <color theme="1"/>
      <name val="Times New Roman"/>
      <family val="1"/>
    </font>
    <font>
      <vertAlign val="superscript"/>
      <sz val="12"/>
      <color rgb="FFFFFFFF"/>
      <name val="Times New Roman"/>
      <family val="1"/>
    </font>
    <font>
      <sz val="8"/>
      <color theme="0"/>
      <name val="Calibri"/>
      <family val="2"/>
      <scheme val="minor"/>
    </font>
    <font>
      <sz val="9"/>
      <color indexed="81"/>
      <name val="Tahoma"/>
      <family val="2"/>
    </font>
    <font>
      <b/>
      <sz val="9"/>
      <color indexed="81"/>
      <name val="Tahoma"/>
      <family val="2"/>
    </font>
    <font>
      <u/>
      <sz val="11"/>
      <color theme="10"/>
      <name val="Calibri"/>
      <family val="2"/>
      <scheme val="minor"/>
    </font>
    <font>
      <sz val="11"/>
      <color theme="0" tint="-4.9989318521683403E-2"/>
      <name val="Calibri"/>
      <family val="2"/>
      <scheme val="minor"/>
    </font>
    <font>
      <sz val="10"/>
      <name val="Arial"/>
      <family val="2"/>
    </font>
    <font>
      <sz val="8"/>
      <name val="Arial"/>
      <family val="2"/>
    </font>
    <font>
      <b/>
      <sz val="8"/>
      <name val="Arial"/>
      <family val="2"/>
    </font>
    <font>
      <sz val="7"/>
      <name val="Arial"/>
      <family val="2"/>
    </font>
    <font>
      <b/>
      <vertAlign val="superscript"/>
      <sz val="8"/>
      <name val="Arial"/>
      <family val="2"/>
    </font>
    <font>
      <sz val="8"/>
      <color indexed="9"/>
      <name val="Arial"/>
      <family val="2"/>
    </font>
    <font>
      <sz val="8"/>
      <name val="Garamond"/>
      <family val="1"/>
    </font>
    <font>
      <b/>
      <sz val="8"/>
      <color indexed="10"/>
      <name val="Arial"/>
      <family val="2"/>
    </font>
    <font>
      <b/>
      <sz val="10"/>
      <name val="Arial"/>
      <family val="2"/>
    </font>
    <font>
      <sz val="11"/>
      <color theme="0"/>
      <name val="Calibri"/>
      <family val="2"/>
      <scheme val="minor"/>
    </font>
    <font>
      <sz val="9"/>
      <color indexed="81"/>
      <name val="Tahoma"/>
      <charset val="1"/>
    </font>
    <font>
      <b/>
      <sz val="9"/>
      <color indexed="81"/>
      <name val="Tahoma"/>
      <charset val="1"/>
    </font>
    <font>
      <sz val="8"/>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3"/>
        <bgColor indexed="64"/>
      </patternFill>
    </fill>
  </fills>
  <borders count="9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diagonal/>
    </border>
    <border>
      <left/>
      <right/>
      <top/>
      <bottom style="thin">
        <color indexed="64"/>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s>
  <cellStyleXfs count="9">
    <xf numFmtId="0" fontId="0" fillId="0" borderId="0"/>
    <xf numFmtId="0" fontId="11" fillId="0" borderId="0" applyNumberFormat="0" applyFill="0" applyBorder="0" applyAlignment="0" applyProtection="0">
      <alignment vertical="top"/>
      <protection locked="0"/>
    </xf>
    <xf numFmtId="9" fontId="15" fillId="0" borderId="0" applyFont="0" applyFill="0" applyBorder="0" applyAlignment="0" applyProtection="0"/>
    <xf numFmtId="0" fontId="20" fillId="0" borderId="0"/>
    <xf numFmtId="9" fontId="20" fillId="0" borderId="0" applyFont="0" applyFill="0" applyBorder="0" applyAlignment="0" applyProtection="0"/>
    <xf numFmtId="41" fontId="15" fillId="0" borderId="0" applyFont="0" applyFill="0" applyBorder="0" applyAlignment="0" applyProtection="0"/>
    <xf numFmtId="0" fontId="34" fillId="0" borderId="0" applyNumberFormat="0" applyFill="0" applyBorder="0" applyAlignment="0" applyProtection="0"/>
    <xf numFmtId="0" fontId="36" fillId="0" borderId="0"/>
    <xf numFmtId="9" fontId="36" fillId="0" borderId="0" applyFont="0" applyFill="0" applyBorder="0" applyAlignment="0" applyProtection="0"/>
  </cellStyleXfs>
  <cellXfs count="1106">
    <xf numFmtId="0" fontId="0" fillId="0" borderId="0" xfId="0"/>
    <xf numFmtId="0" fontId="0" fillId="0" borderId="13" xfId="0" applyBorder="1"/>
    <xf numFmtId="0" fontId="0" fillId="0" borderId="26" xfId="0" applyBorder="1"/>
    <xf numFmtId="0" fontId="0" fillId="0" borderId="42" xfId="0" applyBorder="1"/>
    <xf numFmtId="2" fontId="0" fillId="0" borderId="17" xfId="0" applyNumberFormat="1" applyBorder="1" applyAlignment="1">
      <alignment horizontal="center"/>
    </xf>
    <xf numFmtId="164" fontId="0" fillId="0" borderId="4" xfId="0" applyNumberFormat="1" applyBorder="1" applyAlignment="1">
      <alignment horizontal="center"/>
    </xf>
    <xf numFmtId="9" fontId="7" fillId="0" borderId="4" xfId="0" applyNumberFormat="1" applyFont="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0" xfId="0" applyBorder="1"/>
    <xf numFmtId="0" fontId="1" fillId="0" borderId="1" xfId="0" applyFont="1" applyBorder="1" applyAlignment="1">
      <alignment horizontal="center"/>
    </xf>
    <xf numFmtId="0" fontId="0" fillId="0" borderId="69" xfId="0" applyBorder="1" applyAlignment="1">
      <alignment horizontal="center" vertical="center"/>
    </xf>
    <xf numFmtId="0" fontId="1" fillId="0" borderId="1" xfId="0" applyFont="1" applyFill="1" applyBorder="1" applyAlignment="1">
      <alignment horizontal="center"/>
    </xf>
    <xf numFmtId="14" fontId="0" fillId="0" borderId="1" xfId="0" applyNumberFormat="1" applyFont="1" applyFill="1" applyBorder="1" applyAlignment="1">
      <alignment horizontal="center"/>
    </xf>
    <xf numFmtId="0" fontId="1" fillId="0" borderId="12" xfId="0" applyFont="1" applyBorder="1" applyAlignment="1">
      <alignment horizontal="center"/>
    </xf>
    <xf numFmtId="0" fontId="0" fillId="0" borderId="4" xfId="0" applyBorder="1" applyAlignment="1" applyProtection="1">
      <alignment horizontal="center" vertical="center"/>
      <protection hidden="1"/>
    </xf>
    <xf numFmtId="0" fontId="0" fillId="0" borderId="34" xfId="0" applyBorder="1" applyAlignment="1" applyProtection="1">
      <alignment horizontal="center" vertical="center"/>
      <protection hidden="1"/>
    </xf>
    <xf numFmtId="0" fontId="19" fillId="0" borderId="16" xfId="0" applyFont="1" applyBorder="1" applyAlignment="1">
      <alignment horizontal="center" vertical="center"/>
    </xf>
    <xf numFmtId="0" fontId="1" fillId="12" borderId="24" xfId="0" applyFont="1" applyFill="1" applyBorder="1"/>
    <xf numFmtId="0" fontId="1" fillId="12" borderId="15" xfId="0" applyFont="1" applyFill="1" applyBorder="1" applyAlignment="1">
      <alignment horizontal="center"/>
    </xf>
    <xf numFmtId="0" fontId="1" fillId="12" borderId="1" xfId="0" applyFont="1" applyFill="1" applyBorder="1" applyAlignment="1">
      <alignment horizontal="center" vertical="center"/>
    </xf>
    <xf numFmtId="0" fontId="17" fillId="0" borderId="0" xfId="0" applyFont="1" applyBorder="1" applyProtection="1">
      <protection hidden="1"/>
    </xf>
    <xf numFmtId="0" fontId="1" fillId="6" borderId="4" xfId="0" applyFont="1" applyFill="1" applyBorder="1" applyAlignment="1">
      <alignment horizontal="center"/>
    </xf>
    <xf numFmtId="0" fontId="1" fillId="6" borderId="34" xfId="0" applyFont="1" applyFill="1" applyBorder="1" applyAlignment="1">
      <alignment horizontal="center"/>
    </xf>
    <xf numFmtId="0" fontId="0" fillId="13" borderId="0" xfId="0" applyFill="1" applyAlignment="1">
      <alignment horizontal="center" vertical="center"/>
    </xf>
    <xf numFmtId="0" fontId="0" fillId="13" borderId="0" xfId="0" applyFill="1"/>
    <xf numFmtId="0" fontId="1" fillId="13" borderId="4" xfId="0" applyFont="1" applyFill="1" applyBorder="1" applyAlignment="1">
      <alignment horizontal="center" vertical="center"/>
    </xf>
    <xf numFmtId="0" fontId="1" fillId="13" borderId="0" xfId="0" applyFont="1" applyFill="1" applyAlignment="1">
      <alignment horizontal="center" vertical="center"/>
    </xf>
    <xf numFmtId="0" fontId="0" fillId="13" borderId="4" xfId="0" applyFill="1" applyBorder="1" applyAlignment="1">
      <alignment horizontal="center" vertical="center"/>
    </xf>
    <xf numFmtId="0" fontId="0" fillId="13" borderId="24" xfId="0" applyFill="1" applyBorder="1" applyAlignment="1">
      <alignment horizontal="center" vertical="center"/>
    </xf>
    <xf numFmtId="0" fontId="0" fillId="13" borderId="15" xfId="0" applyFill="1" applyBorder="1" applyAlignment="1">
      <alignment horizontal="center" vertical="center"/>
    </xf>
    <xf numFmtId="0" fontId="0" fillId="13" borderId="34" xfId="0" applyFill="1" applyBorder="1" applyAlignment="1">
      <alignment horizontal="center" vertical="center"/>
    </xf>
    <xf numFmtId="0" fontId="0" fillId="13" borderId="19" xfId="0" applyFill="1" applyBorder="1" applyAlignment="1">
      <alignment horizontal="center" vertical="center"/>
    </xf>
    <xf numFmtId="0" fontId="1" fillId="13" borderId="0" xfId="0" applyFont="1" applyFill="1" applyAlignment="1">
      <alignment vertical="center"/>
    </xf>
    <xf numFmtId="0" fontId="0" fillId="13" borderId="11" xfId="0" applyFill="1" applyBorder="1" applyAlignment="1">
      <alignment horizontal="center" vertical="center"/>
    </xf>
    <xf numFmtId="0" fontId="5" fillId="13" borderId="1" xfId="0" applyFont="1" applyFill="1" applyBorder="1" applyAlignment="1">
      <alignment horizontal="center" vertical="center"/>
    </xf>
    <xf numFmtId="0" fontId="0" fillId="13" borderId="10" xfId="0" applyFill="1" applyBorder="1" applyAlignment="1">
      <alignment horizontal="center" vertical="center"/>
    </xf>
    <xf numFmtId="0" fontId="0" fillId="13" borderId="17" xfId="0" applyFill="1" applyBorder="1" applyAlignment="1">
      <alignment horizontal="center" vertical="center"/>
    </xf>
    <xf numFmtId="0" fontId="0" fillId="13" borderId="63" xfId="0" applyFill="1" applyBorder="1" applyAlignment="1">
      <alignment horizontal="center" vertical="center"/>
    </xf>
    <xf numFmtId="0" fontId="0" fillId="13" borderId="38" xfId="0" applyFill="1" applyBorder="1" applyAlignment="1">
      <alignment horizontal="center" vertical="center"/>
    </xf>
    <xf numFmtId="0" fontId="0" fillId="13" borderId="69" xfId="0" applyFill="1" applyBorder="1" applyAlignment="1">
      <alignment horizontal="center" vertical="center"/>
    </xf>
    <xf numFmtId="0" fontId="0" fillId="13" borderId="41" xfId="0" applyFill="1" applyBorder="1" applyAlignment="1">
      <alignment horizontal="center" vertical="center"/>
    </xf>
    <xf numFmtId="0" fontId="0" fillId="13" borderId="49" xfId="0" applyFill="1" applyBorder="1" applyAlignment="1">
      <alignment horizontal="center" vertical="center"/>
    </xf>
    <xf numFmtId="0" fontId="1" fillId="13" borderId="30" xfId="0" applyFont="1" applyFill="1" applyBorder="1" applyAlignment="1">
      <alignment horizontal="center" vertical="center"/>
    </xf>
    <xf numFmtId="0" fontId="0" fillId="13" borderId="72" xfId="0" applyFill="1" applyBorder="1" applyAlignment="1">
      <alignment horizontal="center" vertical="center"/>
    </xf>
    <xf numFmtId="1" fontId="0" fillId="13" borderId="69" xfId="0" applyNumberFormat="1" applyFill="1" applyBorder="1" applyAlignment="1">
      <alignment horizontal="center" vertical="center"/>
    </xf>
    <xf numFmtId="1" fontId="0" fillId="13" borderId="41" xfId="0" applyNumberFormat="1" applyFill="1" applyBorder="1" applyAlignment="1">
      <alignment horizontal="center" vertical="center"/>
    </xf>
    <xf numFmtId="1" fontId="0" fillId="13" borderId="62" xfId="0" applyNumberFormat="1" applyFill="1" applyBorder="1" applyAlignment="1">
      <alignment horizontal="center" vertical="center"/>
    </xf>
    <xf numFmtId="1" fontId="0" fillId="13" borderId="48" xfId="0" applyNumberFormat="1" applyFill="1" applyBorder="1" applyAlignment="1">
      <alignment horizontal="center" vertical="center"/>
    </xf>
    <xf numFmtId="1" fontId="0" fillId="13" borderId="49" xfId="0" applyNumberFormat="1" applyFill="1" applyBorder="1" applyAlignment="1">
      <alignment horizontal="center" vertical="center"/>
    </xf>
    <xf numFmtId="0" fontId="1" fillId="13" borderId="1" xfId="0" applyFont="1" applyFill="1" applyBorder="1" applyAlignment="1">
      <alignment horizontal="center"/>
    </xf>
    <xf numFmtId="0" fontId="0" fillId="13" borderId="31" xfId="0" applyFill="1" applyBorder="1" applyAlignment="1">
      <alignment horizontal="center" vertical="center"/>
    </xf>
    <xf numFmtId="0" fontId="0" fillId="0" borderId="0" xfId="0" applyAlignment="1">
      <alignment horizontal="center"/>
    </xf>
    <xf numFmtId="0" fontId="1" fillId="7" borderId="29" xfId="0" applyFont="1" applyFill="1" applyBorder="1" applyAlignment="1" applyProtection="1">
      <alignment horizontal="center" vertical="center"/>
      <protection hidden="1"/>
    </xf>
    <xf numFmtId="0" fontId="0" fillId="0" borderId="24" xfId="0" applyBorder="1" applyAlignment="1" applyProtection="1">
      <alignment horizontal="center" vertical="center"/>
      <protection hidden="1"/>
    </xf>
    <xf numFmtId="0" fontId="1" fillId="0" borderId="1" xfId="0" applyFont="1" applyBorder="1" applyAlignment="1">
      <alignment horizontal="center" vertical="center"/>
    </xf>
    <xf numFmtId="0" fontId="21" fillId="0" borderId="0" xfId="0" applyFont="1" applyAlignment="1">
      <alignment vertical="center"/>
    </xf>
    <xf numFmtId="0" fontId="0" fillId="13" borderId="53" xfId="0" applyFill="1" applyBorder="1" applyAlignment="1">
      <alignment horizontal="center" vertical="center"/>
    </xf>
    <xf numFmtId="0" fontId="1" fillId="0" borderId="29" xfId="0" applyFont="1" applyBorder="1" applyAlignment="1">
      <alignment horizontal="center" vertical="center"/>
    </xf>
    <xf numFmtId="0" fontId="1" fillId="9" borderId="37" xfId="0" applyFont="1" applyFill="1" applyBorder="1" applyAlignment="1">
      <alignment horizontal="center" vertical="center"/>
    </xf>
    <xf numFmtId="0" fontId="0" fillId="13" borderId="10" xfId="0" applyFill="1" applyBorder="1" applyAlignment="1">
      <alignment horizontal="center" vertical="center"/>
    </xf>
    <xf numFmtId="0" fontId="0" fillId="13" borderId="63" xfId="0" applyFill="1" applyBorder="1" applyAlignment="1">
      <alignment horizontal="center" vertical="center"/>
    </xf>
    <xf numFmtId="0" fontId="1" fillId="13" borderId="3" xfId="0" applyFont="1" applyFill="1" applyBorder="1" applyAlignment="1">
      <alignment horizontal="center"/>
    </xf>
    <xf numFmtId="0" fontId="0" fillId="0" borderId="0" xfId="0" applyAlignment="1">
      <alignment horizontal="center" vertical="center"/>
    </xf>
    <xf numFmtId="0" fontId="0" fillId="0" borderId="0" xfId="0" applyAlignment="1"/>
    <xf numFmtId="0" fontId="4" fillId="0" borderId="0" xfId="0" applyFont="1" applyAlignment="1"/>
    <xf numFmtId="0" fontId="5" fillId="0" borderId="1" xfId="0" applyFont="1" applyBorder="1" applyAlignment="1">
      <alignment horizontal="center" vertical="center"/>
    </xf>
    <xf numFmtId="0" fontId="0" fillId="13" borderId="30" xfId="0" applyFill="1" applyBorder="1" applyAlignment="1">
      <alignment horizontal="center" vertical="center"/>
    </xf>
    <xf numFmtId="0" fontId="0" fillId="13" borderId="38" xfId="0" applyFill="1" applyBorder="1" applyAlignment="1">
      <alignment horizontal="center" vertical="center"/>
    </xf>
    <xf numFmtId="2" fontId="0" fillId="0" borderId="41" xfId="0" applyNumberFormat="1" applyBorder="1" applyAlignment="1">
      <alignment horizontal="center" vertical="center"/>
    </xf>
    <xf numFmtId="0" fontId="1" fillId="7" borderId="1" xfId="0" applyFont="1" applyFill="1" applyBorder="1" applyAlignment="1">
      <alignment horizontal="center"/>
    </xf>
    <xf numFmtId="0" fontId="1" fillId="0" borderId="46" xfId="0" applyFont="1" applyBorder="1" applyAlignment="1">
      <alignment horizontal="center" vertical="center"/>
    </xf>
    <xf numFmtId="0" fontId="1" fillId="0" borderId="33" xfId="0" applyFont="1" applyBorder="1" applyAlignment="1">
      <alignment horizontal="center" vertical="center"/>
    </xf>
    <xf numFmtId="2" fontId="0" fillId="0" borderId="4" xfId="0" applyNumberFormat="1" applyBorder="1" applyAlignment="1">
      <alignment horizontal="center" vertical="center"/>
    </xf>
    <xf numFmtId="2" fontId="0" fillId="0" borderId="24" xfId="0" applyNumberFormat="1" applyBorder="1" applyAlignment="1">
      <alignment horizontal="center" vertical="center"/>
    </xf>
    <xf numFmtId="2" fontId="0" fillId="0" borderId="15" xfId="0" applyNumberFormat="1" applyBorder="1" applyAlignment="1">
      <alignment horizontal="center" vertical="center"/>
    </xf>
    <xf numFmtId="2" fontId="0" fillId="0" borderId="17" xfId="0" applyNumberFormat="1" applyBorder="1" applyAlignment="1">
      <alignment horizontal="center" vertical="center"/>
    </xf>
    <xf numFmtId="2" fontId="0" fillId="0" borderId="34" xfId="0" applyNumberFormat="1" applyBorder="1" applyAlignment="1">
      <alignment horizontal="center" vertical="center"/>
    </xf>
    <xf numFmtId="2" fontId="0" fillId="0" borderId="19" xfId="0" applyNumberFormat="1" applyBorder="1" applyAlignment="1">
      <alignment horizontal="center" vertical="center"/>
    </xf>
    <xf numFmtId="2" fontId="0" fillId="0" borderId="49" xfId="0" applyNumberFormat="1" applyBorder="1" applyAlignment="1">
      <alignment horizontal="center" vertical="center"/>
    </xf>
    <xf numFmtId="0" fontId="1" fillId="0" borderId="65" xfId="0" applyFont="1" applyBorder="1" applyAlignment="1">
      <alignment horizontal="center" vertical="center"/>
    </xf>
    <xf numFmtId="0" fontId="0" fillId="0" borderId="38" xfId="0" applyBorder="1" applyAlignment="1">
      <alignment horizontal="center" vertical="center"/>
    </xf>
    <xf numFmtId="0" fontId="0" fillId="0" borderId="38" xfId="0" applyFill="1" applyBorder="1" applyAlignment="1">
      <alignment horizontal="center" vertical="center"/>
    </xf>
    <xf numFmtId="0" fontId="0" fillId="0" borderId="10" xfId="0" applyFill="1" applyBorder="1" applyAlignment="1">
      <alignment horizontal="center" vertical="center"/>
    </xf>
    <xf numFmtId="0" fontId="0" fillId="0" borderId="63" xfId="0" applyFill="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58" xfId="0" applyFont="1" applyBorder="1" applyAlignment="1">
      <alignment horizontal="center" vertical="center"/>
    </xf>
    <xf numFmtId="164" fontId="1" fillId="5" borderId="3" xfId="0" applyNumberFormat="1" applyFont="1" applyFill="1" applyBorder="1" applyAlignment="1">
      <alignment horizontal="center" vertical="center"/>
    </xf>
    <xf numFmtId="0" fontId="0" fillId="0" borderId="29" xfId="0" applyBorder="1" applyAlignment="1">
      <alignment horizontal="center" vertical="center"/>
    </xf>
    <xf numFmtId="165" fontId="0" fillId="0" borderId="75" xfId="0" applyNumberFormat="1" applyBorder="1" applyAlignment="1">
      <alignment horizontal="center" vertical="center"/>
    </xf>
    <xf numFmtId="0" fontId="10" fillId="0" borderId="2" xfId="0" applyFont="1" applyBorder="1" applyAlignment="1">
      <alignment horizontal="center" vertical="center"/>
    </xf>
    <xf numFmtId="164" fontId="10" fillId="0" borderId="1" xfId="0" applyNumberFormat="1" applyFont="1" applyBorder="1" applyAlignment="1">
      <alignment horizontal="center" vertical="center"/>
    </xf>
    <xf numFmtId="164" fontId="0" fillId="0" borderId="30" xfId="0" applyNumberFormat="1" applyFill="1" applyBorder="1" applyAlignment="1">
      <alignment horizontal="center" vertical="center" wrapText="1"/>
    </xf>
    <xf numFmtId="164" fontId="0" fillId="0" borderId="31" xfId="0" applyNumberFormat="1" applyBorder="1" applyAlignment="1">
      <alignment horizontal="center"/>
    </xf>
    <xf numFmtId="0" fontId="13" fillId="0" borderId="0" xfId="0" applyFont="1" applyBorder="1" applyAlignment="1"/>
    <xf numFmtId="0" fontId="0" fillId="0" borderId="46" xfId="0" applyBorder="1" applyAlignment="1">
      <alignment horizontal="center" vertical="center"/>
    </xf>
    <xf numFmtId="0" fontId="0" fillId="0" borderId="47" xfId="0" applyBorder="1" applyAlignment="1">
      <alignment horizontal="center" vertical="center"/>
    </xf>
    <xf numFmtId="0" fontId="0" fillId="0" borderId="36" xfId="0" applyBorder="1" applyAlignment="1">
      <alignment horizontal="center" vertical="center"/>
    </xf>
    <xf numFmtId="14" fontId="0" fillId="0" borderId="52" xfId="0" applyNumberFormat="1" applyBorder="1" applyAlignment="1">
      <alignment horizontal="center" vertical="center"/>
    </xf>
    <xf numFmtId="14" fontId="0" fillId="0" borderId="18" xfId="0" applyNumberFormat="1" applyBorder="1"/>
    <xf numFmtId="10" fontId="0" fillId="0" borderId="53" xfId="0" applyNumberFormat="1" applyBorder="1" applyAlignment="1">
      <alignment horizontal="center" vertical="center"/>
    </xf>
    <xf numFmtId="10" fontId="0" fillId="0" borderId="34" xfId="0" applyNumberFormat="1" applyBorder="1" applyAlignment="1">
      <alignment horizontal="center"/>
    </xf>
    <xf numFmtId="10" fontId="0" fillId="0" borderId="61" xfId="0" applyNumberFormat="1" applyBorder="1" applyAlignment="1">
      <alignment horizontal="center" vertical="center"/>
    </xf>
    <xf numFmtId="10" fontId="0" fillId="0" borderId="19" xfId="0" applyNumberFormat="1" applyBorder="1" applyAlignment="1">
      <alignment horizontal="center"/>
    </xf>
    <xf numFmtId="14" fontId="0" fillId="0" borderId="18" xfId="0" applyNumberFormat="1" applyBorder="1" applyAlignment="1">
      <alignment horizontal="center"/>
    </xf>
    <xf numFmtId="14" fontId="0" fillId="0" borderId="14" xfId="0" applyNumberFormat="1" applyBorder="1" applyAlignment="1">
      <alignment horizontal="center" vertical="center"/>
    </xf>
    <xf numFmtId="2" fontId="0" fillId="0" borderId="44" xfId="0" applyNumberFormat="1" applyBorder="1" applyAlignment="1">
      <alignment horizontal="center" vertical="center"/>
    </xf>
    <xf numFmtId="2" fontId="0" fillId="0" borderId="50" xfId="0" applyNumberFormat="1" applyBorder="1" applyAlignment="1">
      <alignment horizontal="center" vertical="center"/>
    </xf>
    <xf numFmtId="164" fontId="0" fillId="0" borderId="31" xfId="0" applyNumberFormat="1" applyFill="1" applyBorder="1" applyAlignment="1">
      <alignment horizontal="center" vertical="center" wrapText="1"/>
    </xf>
    <xf numFmtId="0" fontId="0" fillId="0" borderId="1" xfId="0" applyBorder="1" applyAlignment="1">
      <alignment horizontal="center" vertical="center"/>
    </xf>
    <xf numFmtId="14" fontId="0" fillId="0" borderId="3" xfId="0" applyNumberFormat="1" applyBorder="1" applyAlignment="1">
      <alignment horizontal="center" vertical="center"/>
    </xf>
    <xf numFmtId="14" fontId="0" fillId="0" borderId="1" xfId="0" applyNumberFormat="1" applyBorder="1" applyAlignment="1">
      <alignment horizontal="center" vertical="center"/>
    </xf>
    <xf numFmtId="0" fontId="0" fillId="13" borderId="30" xfId="0" applyFill="1" applyBorder="1" applyAlignment="1"/>
    <xf numFmtId="0" fontId="0" fillId="13" borderId="31" xfId="0" applyFill="1" applyBorder="1" applyAlignment="1"/>
    <xf numFmtId="0" fontId="0" fillId="13" borderId="32" xfId="0" applyFill="1" applyBorder="1" applyAlignment="1"/>
    <xf numFmtId="0" fontId="5" fillId="10" borderId="5" xfId="0" applyFont="1" applyFill="1" applyBorder="1" applyAlignment="1">
      <alignment vertical="center"/>
    </xf>
    <xf numFmtId="14" fontId="0" fillId="0" borderId="1" xfId="0" applyNumberFormat="1" applyBorder="1"/>
    <xf numFmtId="164" fontId="1" fillId="0" borderId="1" xfId="0" applyNumberFormat="1" applyFont="1" applyBorder="1" applyAlignment="1">
      <alignment horizontal="center" vertical="center"/>
    </xf>
    <xf numFmtId="164" fontId="1" fillId="13" borderId="42" xfId="0" applyNumberFormat="1" applyFont="1" applyFill="1" applyBorder="1" applyAlignment="1">
      <alignment horizontal="center" vertical="center"/>
    </xf>
    <xf numFmtId="164" fontId="1" fillId="13" borderId="1" xfId="0" applyNumberFormat="1" applyFont="1" applyFill="1" applyBorder="1" applyAlignment="1">
      <alignment horizontal="center"/>
    </xf>
    <xf numFmtId="0" fontId="0" fillId="14" borderId="0" xfId="0" applyFill="1"/>
    <xf numFmtId="0" fontId="23" fillId="15" borderId="4" xfId="0" applyFont="1" applyFill="1" applyBorder="1" applyAlignment="1">
      <alignment horizontal="center"/>
    </xf>
    <xf numFmtId="0" fontId="23" fillId="15" borderId="9" xfId="0" applyFont="1" applyFill="1" applyBorder="1" applyAlignment="1">
      <alignment horizontal="center"/>
    </xf>
    <xf numFmtId="0" fontId="24" fillId="16" borderId="4" xfId="0" applyFont="1" applyFill="1" applyBorder="1" applyAlignment="1">
      <alignment horizontal="center"/>
    </xf>
    <xf numFmtId="0" fontId="23" fillId="15" borderId="76" xfId="0" applyFont="1" applyFill="1" applyBorder="1" applyAlignment="1">
      <alignment horizontal="center"/>
    </xf>
    <xf numFmtId="164" fontId="23" fillId="16" borderId="78" xfId="0" applyNumberFormat="1" applyFont="1" applyFill="1" applyBorder="1" applyAlignment="1">
      <alignment horizontal="center"/>
    </xf>
    <xf numFmtId="164" fontId="23" fillId="16" borderId="79" xfId="0" applyNumberFormat="1" applyFont="1" applyFill="1" applyBorder="1" applyAlignment="1">
      <alignment horizontal="center"/>
    </xf>
    <xf numFmtId="0" fontId="23" fillId="15" borderId="80" xfId="0" applyFont="1" applyFill="1" applyBorder="1" applyAlignment="1">
      <alignment horizontal="center"/>
    </xf>
    <xf numFmtId="0" fontId="23" fillId="17" borderId="81" xfId="0" applyFont="1" applyFill="1" applyBorder="1" applyAlignment="1">
      <alignment horizontal="left"/>
    </xf>
    <xf numFmtId="164" fontId="23" fillId="16" borderId="82" xfId="0" applyNumberFormat="1" applyFont="1" applyFill="1" applyBorder="1" applyAlignment="1">
      <alignment horizontal="center"/>
    </xf>
    <xf numFmtId="164" fontId="23" fillId="16" borderId="83" xfId="0" applyNumberFormat="1" applyFont="1" applyFill="1" applyBorder="1" applyAlignment="1">
      <alignment horizontal="center"/>
    </xf>
    <xf numFmtId="0" fontId="23" fillId="15" borderId="84" xfId="0" applyFont="1" applyFill="1" applyBorder="1" applyAlignment="1">
      <alignment horizontal="center"/>
    </xf>
    <xf numFmtId="0" fontId="23" fillId="17" borderId="85" xfId="0" applyFont="1" applyFill="1" applyBorder="1" applyAlignment="1">
      <alignment horizontal="left"/>
    </xf>
    <xf numFmtId="164" fontId="23" fillId="16" borderId="86" xfId="0" applyNumberFormat="1" applyFont="1" applyFill="1" applyBorder="1" applyAlignment="1">
      <alignment horizontal="center"/>
    </xf>
    <xf numFmtId="164" fontId="23" fillId="16" borderId="87" xfId="0" applyNumberFormat="1" applyFont="1" applyFill="1" applyBorder="1" applyAlignment="1">
      <alignment horizontal="center"/>
    </xf>
    <xf numFmtId="0" fontId="25" fillId="14" borderId="0" xfId="0" applyFont="1" applyFill="1"/>
    <xf numFmtId="0" fontId="23" fillId="15" borderId="4" xfId="0" applyFont="1" applyFill="1" applyBorder="1"/>
    <xf numFmtId="164" fontId="23" fillId="15" borderId="4" xfId="0" applyNumberFormat="1" applyFont="1" applyFill="1" applyBorder="1"/>
    <xf numFmtId="14" fontId="23" fillId="17" borderId="77" xfId="0" applyNumberFormat="1" applyFont="1" applyFill="1" applyBorder="1" applyAlignment="1">
      <alignment horizontal="left"/>
    </xf>
    <xf numFmtId="14" fontId="23" fillId="17" borderId="81" xfId="0" applyNumberFormat="1" applyFont="1" applyFill="1" applyBorder="1" applyAlignment="1">
      <alignment horizontal="left"/>
    </xf>
    <xf numFmtId="0" fontId="1" fillId="2" borderId="2" xfId="0" applyFont="1" applyFill="1" applyBorder="1"/>
    <xf numFmtId="164" fontId="0" fillId="0" borderId="3" xfId="0" applyNumberFormat="1" applyBorder="1" applyAlignment="1">
      <alignment horizontal="center" vertical="center"/>
    </xf>
    <xf numFmtId="2" fontId="1" fillId="0" borderId="11" xfId="0" applyNumberFormat="1" applyFont="1" applyFill="1" applyBorder="1" applyAlignment="1">
      <alignment horizontal="center"/>
    </xf>
    <xf numFmtId="2" fontId="1" fillId="0" borderId="68" xfId="0" applyNumberFormat="1" applyFont="1" applyFill="1" applyBorder="1" applyAlignment="1">
      <alignment horizontal="center"/>
    </xf>
    <xf numFmtId="2" fontId="1" fillId="2" borderId="1" xfId="0" applyNumberFormat="1" applyFont="1" applyFill="1" applyBorder="1" applyAlignment="1">
      <alignment horizontal="center" vertical="center"/>
    </xf>
    <xf numFmtId="0" fontId="26" fillId="0" borderId="0" xfId="0" applyFont="1" applyAlignment="1">
      <alignment vertical="center"/>
    </xf>
    <xf numFmtId="0" fontId="26" fillId="0" borderId="4" xfId="0" applyFont="1" applyBorder="1" applyAlignment="1">
      <alignment horizontal="center" vertical="center" wrapText="1"/>
    </xf>
    <xf numFmtId="0" fontId="26" fillId="0" borderId="53" xfId="0" applyFont="1" applyBorder="1" applyAlignment="1">
      <alignment horizontal="center" vertical="center" wrapText="1"/>
    </xf>
    <xf numFmtId="0" fontId="26" fillId="0" borderId="17"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41"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9" xfId="0" applyFont="1" applyBorder="1" applyAlignment="1">
      <alignment horizontal="center" vertical="center" wrapText="1"/>
    </xf>
    <xf numFmtId="164" fontId="0" fillId="0" borderId="1" xfId="0" applyNumberFormat="1" applyBorder="1" applyAlignment="1">
      <alignment horizontal="center" vertical="center"/>
    </xf>
    <xf numFmtId="0" fontId="0" fillId="0" borderId="41" xfId="0" applyBorder="1" applyAlignment="1">
      <alignment horizontal="center"/>
    </xf>
    <xf numFmtId="0" fontId="0" fillId="13" borderId="0" xfId="0" applyFill="1" applyAlignment="1">
      <alignment horizontal="center" vertical="center"/>
    </xf>
    <xf numFmtId="0" fontId="1" fillId="0" borderId="5" xfId="0" applyFont="1" applyBorder="1" applyAlignment="1">
      <alignment horizontal="center" vertical="center"/>
    </xf>
    <xf numFmtId="165" fontId="18" fillId="0" borderId="0" xfId="0" applyNumberFormat="1" applyFont="1" applyBorder="1" applyAlignment="1" applyProtection="1">
      <alignment horizontal="left" vertical="center"/>
      <protection hidden="1"/>
    </xf>
    <xf numFmtId="0" fontId="27" fillId="0" borderId="53" xfId="0" applyFont="1" applyBorder="1" applyAlignment="1">
      <alignment horizontal="center" vertical="center" wrapText="1"/>
    </xf>
    <xf numFmtId="0" fontId="26" fillId="0" borderId="41" xfId="0" applyFont="1" applyBorder="1" applyAlignment="1">
      <alignment horizontal="center" vertical="center" wrapText="1"/>
    </xf>
    <xf numFmtId="0" fontId="1" fillId="18" borderId="29" xfId="0" applyFont="1" applyFill="1" applyBorder="1" applyAlignment="1">
      <alignment horizontal="center"/>
    </xf>
    <xf numFmtId="0" fontId="9" fillId="18" borderId="29" xfId="0" applyFont="1" applyFill="1" applyBorder="1" applyAlignment="1">
      <alignment horizontal="center"/>
    </xf>
    <xf numFmtId="0" fontId="9" fillId="18" borderId="33" xfId="0" applyFont="1" applyFill="1" applyBorder="1" applyAlignment="1">
      <alignment horizontal="center"/>
    </xf>
    <xf numFmtId="0" fontId="10" fillId="0" borderId="24" xfId="0" applyFont="1" applyBorder="1" applyAlignment="1">
      <alignment horizontal="center" vertical="center"/>
    </xf>
    <xf numFmtId="0" fontId="10" fillId="0" borderId="15" xfId="0" applyFont="1" applyBorder="1" applyAlignment="1">
      <alignment horizontal="center" vertical="center"/>
    </xf>
    <xf numFmtId="0" fontId="0" fillId="0" borderId="49" xfId="0" applyBorder="1" applyAlignment="1">
      <alignment horizontal="center"/>
    </xf>
    <xf numFmtId="0" fontId="0" fillId="7" borderId="47" xfId="0" applyFill="1" applyBorder="1" applyAlignment="1">
      <alignment horizontal="center"/>
    </xf>
    <xf numFmtId="0" fontId="0" fillId="7" borderId="47" xfId="0" applyFill="1" applyBorder="1" applyAlignment="1">
      <alignment horizontal="center" vertical="center"/>
    </xf>
    <xf numFmtId="0" fontId="0" fillId="7" borderId="36" xfId="0" applyFill="1" applyBorder="1" applyAlignment="1">
      <alignment horizontal="center"/>
    </xf>
    <xf numFmtId="0" fontId="10" fillId="0" borderId="38" xfId="0" applyFont="1" applyBorder="1" applyAlignment="1">
      <alignment horizontal="center" vertical="center"/>
    </xf>
    <xf numFmtId="0" fontId="1" fillId="0" borderId="47" xfId="0" applyFont="1" applyBorder="1" applyAlignment="1">
      <alignment horizontal="center" vertical="center"/>
    </xf>
    <xf numFmtId="0" fontId="1" fillId="0" borderId="36" xfId="0" applyFont="1" applyBorder="1" applyAlignment="1">
      <alignment horizontal="center" vertical="center"/>
    </xf>
    <xf numFmtId="164" fontId="1" fillId="19" borderId="47" xfId="0" applyNumberFormat="1" applyFont="1" applyFill="1" applyBorder="1" applyAlignment="1">
      <alignment horizontal="center" vertical="center"/>
    </xf>
    <xf numFmtId="0" fontId="1" fillId="19" borderId="47" xfId="0" applyFont="1" applyFill="1" applyBorder="1" applyAlignment="1">
      <alignment horizontal="center" vertical="center"/>
    </xf>
    <xf numFmtId="0" fontId="1" fillId="19" borderId="36" xfId="0" applyFont="1" applyFill="1" applyBorder="1" applyAlignment="1">
      <alignment horizontal="center" vertical="center"/>
    </xf>
    <xf numFmtId="164" fontId="0" fillId="0" borderId="24" xfId="0" applyNumberFormat="1" applyBorder="1" applyAlignment="1">
      <alignment horizontal="center" vertical="center"/>
    </xf>
    <xf numFmtId="164" fontId="0" fillId="0" borderId="15" xfId="0" applyNumberFormat="1" applyBorder="1" applyAlignment="1">
      <alignment horizontal="center" vertical="center"/>
    </xf>
    <xf numFmtId="0" fontId="1" fillId="7" borderId="34" xfId="0" applyFont="1" applyFill="1" applyBorder="1" applyAlignment="1">
      <alignment horizontal="center" vertical="center"/>
    </xf>
    <xf numFmtId="0" fontId="1" fillId="7" borderId="19" xfId="0" applyFont="1" applyFill="1" applyBorder="1" applyAlignment="1">
      <alignment horizontal="center" vertical="center"/>
    </xf>
    <xf numFmtId="164" fontId="0" fillId="0" borderId="38" xfId="0" applyNumberFormat="1" applyBorder="1" applyAlignment="1">
      <alignment horizontal="center" vertical="center"/>
    </xf>
    <xf numFmtId="164" fontId="1" fillId="0" borderId="34" xfId="0" applyNumberFormat="1" applyFont="1" applyBorder="1" applyAlignment="1">
      <alignment horizontal="center" vertical="center"/>
    </xf>
    <xf numFmtId="164" fontId="1" fillId="0" borderId="19" xfId="0" applyNumberFormat="1" applyFont="1" applyBorder="1" applyAlignment="1">
      <alignment horizontal="center" vertical="center"/>
    </xf>
    <xf numFmtId="0" fontId="12" fillId="13" borderId="47" xfId="0" applyFont="1" applyFill="1" applyBorder="1" applyAlignment="1">
      <alignment horizontal="center" vertical="center"/>
    </xf>
    <xf numFmtId="0" fontId="1" fillId="18" borderId="29" xfId="0" applyFont="1" applyFill="1" applyBorder="1" applyAlignment="1">
      <alignment horizontal="center"/>
    </xf>
    <xf numFmtId="0" fontId="26" fillId="0" borderId="4" xfId="0" applyFont="1" applyBorder="1" applyAlignment="1">
      <alignment horizontal="center" vertical="center" wrapText="1"/>
    </xf>
    <xf numFmtId="0" fontId="26" fillId="0" borderId="53" xfId="0" applyFont="1" applyBorder="1" applyAlignment="1">
      <alignment horizontal="center" vertical="center" wrapText="1"/>
    </xf>
    <xf numFmtId="0" fontId="10" fillId="13" borderId="1" xfId="0" applyFont="1" applyFill="1" applyBorder="1" applyAlignment="1">
      <alignment horizontal="center" vertical="center"/>
    </xf>
    <xf numFmtId="0" fontId="0" fillId="0" borderId="0" xfId="0" applyAlignment="1">
      <alignment horizontal="right"/>
    </xf>
    <xf numFmtId="0" fontId="1" fillId="0" borderId="6" xfId="0" applyFont="1" applyBorder="1" applyAlignment="1">
      <alignment horizontal="center" vertical="center"/>
    </xf>
    <xf numFmtId="0" fontId="1" fillId="2" borderId="6" xfId="0" applyFont="1" applyFill="1" applyBorder="1" applyAlignment="1">
      <alignment horizontal="center"/>
    </xf>
    <xf numFmtId="164" fontId="1" fillId="7" borderId="3" xfId="0" applyNumberFormat="1" applyFont="1" applyFill="1" applyBorder="1" applyAlignment="1">
      <alignment horizontal="center"/>
    </xf>
    <xf numFmtId="164" fontId="0" fillId="0" borderId="64" xfId="0" applyNumberFormat="1" applyBorder="1" applyAlignment="1">
      <alignment horizontal="center" vertical="center"/>
    </xf>
    <xf numFmtId="164" fontId="0" fillId="0" borderId="9" xfId="0" applyNumberFormat="1" applyBorder="1" applyAlignment="1">
      <alignment horizontal="center"/>
    </xf>
    <xf numFmtId="164" fontId="0" fillId="0" borderId="62" xfId="0" applyNumberFormat="1" applyBorder="1" applyAlignment="1">
      <alignment horizontal="center"/>
    </xf>
    <xf numFmtId="164" fontId="0" fillId="0" borderId="55" xfId="0" applyNumberFormat="1" applyBorder="1" applyAlignment="1">
      <alignment horizontal="center"/>
    </xf>
    <xf numFmtId="164" fontId="0" fillId="0" borderId="30" xfId="0" applyNumberFormat="1" applyBorder="1" applyAlignment="1">
      <alignment horizontal="center"/>
    </xf>
    <xf numFmtId="164" fontId="0" fillId="0" borderId="32" xfId="0" applyNumberFormat="1" applyBorder="1" applyAlignment="1">
      <alignment horizontal="center"/>
    </xf>
    <xf numFmtId="2" fontId="1" fillId="0" borderId="73" xfId="0" applyNumberFormat="1" applyFont="1" applyFill="1" applyBorder="1" applyAlignment="1">
      <alignment horizontal="center" vertical="center"/>
    </xf>
    <xf numFmtId="164" fontId="0" fillId="0" borderId="10" xfId="0" applyNumberFormat="1" applyBorder="1" applyAlignment="1">
      <alignment horizontal="center" vertical="center"/>
    </xf>
    <xf numFmtId="164" fontId="0" fillId="0" borderId="69" xfId="0" applyNumberFormat="1" applyBorder="1" applyAlignment="1">
      <alignment horizontal="center" vertical="center"/>
    </xf>
    <xf numFmtId="164" fontId="0" fillId="0" borderId="63" xfId="0" applyNumberFormat="1" applyBorder="1" applyAlignment="1">
      <alignment horizontal="center" vertical="center"/>
    </xf>
    <xf numFmtId="0" fontId="0" fillId="0" borderId="0" xfId="0" applyFill="1" applyBorder="1"/>
    <xf numFmtId="9" fontId="7" fillId="0" borderId="53" xfId="0" applyNumberFormat="1" applyFont="1" applyBorder="1" applyAlignment="1">
      <alignment horizontal="center" vertical="center"/>
    </xf>
    <xf numFmtId="0" fontId="1" fillId="12" borderId="46" xfId="0" applyFont="1" applyFill="1" applyBorder="1" applyAlignment="1">
      <alignment horizontal="center" vertical="center"/>
    </xf>
    <xf numFmtId="0" fontId="1" fillId="12" borderId="47" xfId="0" applyFont="1" applyFill="1" applyBorder="1" applyAlignment="1">
      <alignment horizontal="center" vertical="center"/>
    </xf>
    <xf numFmtId="0" fontId="1" fillId="12" borderId="36" xfId="0" applyFont="1"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1" fillId="8" borderId="1" xfId="0" applyFont="1" applyFill="1" applyBorder="1" applyAlignment="1">
      <alignment horizontal="center"/>
    </xf>
    <xf numFmtId="0" fontId="0" fillId="0" borderId="71" xfId="0" applyBorder="1" applyAlignment="1">
      <alignment horizontal="center" vertical="center"/>
    </xf>
    <xf numFmtId="0" fontId="10" fillId="0" borderId="1" xfId="0" applyFont="1" applyBorder="1" applyAlignment="1">
      <alignment horizontal="center"/>
    </xf>
    <xf numFmtId="0" fontId="5" fillId="13" borderId="2" xfId="0" applyFont="1" applyFill="1" applyBorder="1" applyAlignment="1">
      <alignment vertical="center"/>
    </xf>
    <xf numFmtId="0" fontId="12" fillId="13" borderId="32" xfId="0" applyFont="1" applyFill="1" applyBorder="1" applyAlignment="1">
      <alignment horizontal="center" vertical="center" wrapText="1"/>
    </xf>
    <xf numFmtId="9" fontId="31" fillId="0" borderId="0" xfId="2" applyFont="1" applyFill="1" applyBorder="1" applyAlignment="1">
      <alignment horizontal="center" vertical="center"/>
    </xf>
    <xf numFmtId="0" fontId="5" fillId="13" borderId="0" xfId="0" applyFont="1" applyFill="1" applyAlignment="1">
      <alignment horizontal="center" vertical="center"/>
    </xf>
    <xf numFmtId="0" fontId="4" fillId="13" borderId="0" xfId="0" applyFont="1" applyFill="1" applyAlignment="1">
      <alignment horizontal="center" vertical="center"/>
    </xf>
    <xf numFmtId="0" fontId="4" fillId="0" borderId="46"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2" xfId="0" applyFont="1" applyFill="1" applyBorder="1" applyAlignment="1">
      <alignment horizontal="center" vertical="center"/>
    </xf>
    <xf numFmtId="0" fontId="0" fillId="20" borderId="35" xfId="5" applyNumberFormat="1" applyFont="1" applyFill="1" applyBorder="1" applyAlignment="1">
      <alignment horizontal="center"/>
    </xf>
    <xf numFmtId="2" fontId="1" fillId="6" borderId="30" xfId="0" applyNumberFormat="1" applyFont="1" applyFill="1" applyBorder="1" applyAlignment="1">
      <alignment horizontal="center"/>
    </xf>
    <xf numFmtId="2" fontId="1" fillId="6" borderId="31" xfId="0" applyNumberFormat="1" applyFont="1" applyFill="1" applyBorder="1" applyAlignment="1">
      <alignment horizontal="center"/>
    </xf>
    <xf numFmtId="2" fontId="1" fillId="6" borderId="32" xfId="0" applyNumberFormat="1" applyFont="1" applyFill="1" applyBorder="1" applyAlignment="1">
      <alignment horizontal="center"/>
    </xf>
    <xf numFmtId="164" fontId="1" fillId="4" borderId="8" xfId="0" applyNumberFormat="1" applyFont="1" applyFill="1" applyBorder="1" applyAlignment="1">
      <alignment horizontal="center"/>
    </xf>
    <xf numFmtId="2" fontId="8" fillId="11" borderId="89" xfId="0" applyNumberFormat="1" applyFont="1" applyFill="1" applyBorder="1" applyAlignment="1">
      <alignment horizontal="center" vertical="center"/>
    </xf>
    <xf numFmtId="2" fontId="8" fillId="11" borderId="70" xfId="0" applyNumberFormat="1" applyFont="1" applyFill="1" applyBorder="1" applyAlignment="1">
      <alignment horizontal="center" vertical="center"/>
    </xf>
    <xf numFmtId="2" fontId="8" fillId="11" borderId="74" xfId="0" applyNumberFormat="1" applyFont="1" applyFill="1" applyBorder="1" applyAlignment="1">
      <alignment horizontal="center" vertical="center"/>
    </xf>
    <xf numFmtId="0" fontId="7" fillId="12" borderId="43" xfId="0" applyFont="1" applyFill="1" applyBorder="1" applyAlignment="1">
      <alignment horizontal="center" vertical="center"/>
    </xf>
    <xf numFmtId="9" fontId="7" fillId="0" borderId="45" xfId="0" applyNumberFormat="1" applyFont="1" applyBorder="1" applyAlignment="1">
      <alignment horizontal="center" vertical="center"/>
    </xf>
    <xf numFmtId="0" fontId="19" fillId="0" borderId="14" xfId="0" applyFont="1" applyBorder="1" applyAlignment="1">
      <alignment horizontal="center" vertical="center"/>
    </xf>
    <xf numFmtId="9" fontId="7" fillId="0" borderId="24" xfId="0" applyNumberFormat="1" applyFont="1" applyBorder="1" applyAlignment="1">
      <alignment horizontal="center" vertical="center"/>
    </xf>
    <xf numFmtId="2" fontId="7" fillId="0" borderId="15" xfId="0" applyNumberFormat="1" applyFont="1" applyBorder="1" applyAlignment="1">
      <alignment horizontal="center" vertical="center"/>
    </xf>
    <xf numFmtId="2" fontId="7" fillId="0" borderId="17" xfId="0" applyNumberFormat="1" applyFont="1" applyBorder="1" applyAlignment="1">
      <alignment horizontal="center" vertical="center"/>
    </xf>
    <xf numFmtId="0" fontId="19" fillId="0" borderId="18" xfId="0" applyFont="1" applyBorder="1" applyAlignment="1">
      <alignment horizontal="center" vertical="center"/>
    </xf>
    <xf numFmtId="9" fontId="7" fillId="0" borderId="34" xfId="0" applyNumberFormat="1" applyFont="1" applyBorder="1" applyAlignment="1">
      <alignment horizontal="center" vertical="center"/>
    </xf>
    <xf numFmtId="2" fontId="7" fillId="0" borderId="19" xfId="0" applyNumberFormat="1" applyFont="1" applyBorder="1" applyAlignment="1">
      <alignment horizontal="center" vertical="center"/>
    </xf>
    <xf numFmtId="9" fontId="7" fillId="0" borderId="60" xfId="0" applyNumberFormat="1" applyFont="1" applyBorder="1" applyAlignment="1">
      <alignment horizontal="center" vertical="center"/>
    </xf>
    <xf numFmtId="9" fontId="7" fillId="0" borderId="11" xfId="0" applyNumberFormat="1" applyFont="1" applyBorder="1" applyAlignment="1">
      <alignment horizontal="center" vertical="center"/>
    </xf>
    <xf numFmtId="9" fontId="7" fillId="0" borderId="40" xfId="0" applyNumberFormat="1" applyFont="1" applyBorder="1" applyAlignment="1">
      <alignment horizontal="center" vertical="center"/>
    </xf>
    <xf numFmtId="0" fontId="19" fillId="0" borderId="30" xfId="0" applyFont="1" applyBorder="1" applyAlignment="1">
      <alignment horizontal="center" vertical="center"/>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1" fillId="2" borderId="1" xfId="0" applyFont="1" applyFill="1" applyBorder="1" applyAlignment="1">
      <alignment horizontal="center"/>
    </xf>
    <xf numFmtId="0" fontId="1" fillId="7" borderId="1" xfId="0" applyFont="1" applyFill="1" applyBorder="1" applyAlignment="1">
      <alignment horizontal="center" vertical="center"/>
    </xf>
    <xf numFmtId="0" fontId="1" fillId="7" borderId="57" xfId="0" applyFont="1" applyFill="1" applyBorder="1" applyAlignment="1">
      <alignment horizontal="center" vertical="center"/>
    </xf>
    <xf numFmtId="0" fontId="1" fillId="7" borderId="47" xfId="0" applyFont="1" applyFill="1" applyBorder="1" applyAlignment="1">
      <alignment horizontal="center" vertical="center"/>
    </xf>
    <xf numFmtId="0" fontId="1" fillId="7" borderId="56" xfId="0" applyFont="1" applyFill="1" applyBorder="1" applyAlignment="1">
      <alignment horizontal="center" vertical="center"/>
    </xf>
    <xf numFmtId="0" fontId="7" fillId="7" borderId="43" xfId="0" applyFont="1" applyFill="1" applyBorder="1" applyAlignment="1">
      <alignment horizontal="center" vertical="center"/>
    </xf>
    <xf numFmtId="9" fontId="7" fillId="7" borderId="45" xfId="0" applyNumberFormat="1" applyFont="1" applyFill="1" applyBorder="1" applyAlignment="1">
      <alignment horizontal="center" vertical="center"/>
    </xf>
    <xf numFmtId="0" fontId="1" fillId="21" borderId="1" xfId="0" applyFont="1" applyFill="1" applyBorder="1" applyAlignment="1">
      <alignment horizontal="center"/>
    </xf>
    <xf numFmtId="0" fontId="1" fillId="3" borderId="1" xfId="0" applyFont="1" applyFill="1" applyBorder="1" applyAlignment="1">
      <alignment horizontal="center" vertical="center"/>
    </xf>
    <xf numFmtId="0" fontId="1" fillId="3" borderId="57" xfId="0" applyFont="1" applyFill="1" applyBorder="1" applyAlignment="1">
      <alignment horizontal="center" vertical="center"/>
    </xf>
    <xf numFmtId="0" fontId="1" fillId="3" borderId="47" xfId="0" applyFont="1" applyFill="1" applyBorder="1" applyAlignment="1">
      <alignment horizontal="center" vertical="center"/>
    </xf>
    <xf numFmtId="0" fontId="1" fillId="3" borderId="56" xfId="0" applyFont="1" applyFill="1" applyBorder="1" applyAlignment="1">
      <alignment horizontal="center" vertical="center"/>
    </xf>
    <xf numFmtId="0" fontId="7" fillId="3" borderId="43" xfId="0" applyFont="1" applyFill="1" applyBorder="1" applyAlignment="1">
      <alignment horizontal="center" vertical="center"/>
    </xf>
    <xf numFmtId="9" fontId="7" fillId="3" borderId="45" xfId="0" applyNumberFormat="1" applyFont="1" applyFill="1" applyBorder="1" applyAlignment="1">
      <alignment horizontal="center" vertical="center"/>
    </xf>
    <xf numFmtId="0" fontId="0" fillId="0" borderId="58"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9" fillId="0" borderId="21" xfId="0" applyFont="1" applyBorder="1" applyAlignment="1">
      <alignment horizontal="center" vertical="center"/>
    </xf>
    <xf numFmtId="0" fontId="19" fillId="0" borderId="27" xfId="0" applyFont="1" applyBorder="1" applyAlignment="1">
      <alignment horizontal="center" vertical="center"/>
    </xf>
    <xf numFmtId="2" fontId="0" fillId="0" borderId="53" xfId="0" applyNumberFormat="1" applyBorder="1" applyAlignment="1">
      <alignment horizontal="center" vertical="center"/>
    </xf>
    <xf numFmtId="2" fontId="0" fillId="0" borderId="67" xfId="0" applyNumberFormat="1" applyBorder="1" applyAlignment="1">
      <alignment horizontal="center" vertical="center"/>
    </xf>
    <xf numFmtId="2" fontId="0" fillId="0" borderId="9" xfId="0" applyNumberFormat="1" applyBorder="1" applyAlignment="1">
      <alignment horizontal="center" vertical="center"/>
    </xf>
    <xf numFmtId="0" fontId="1" fillId="4" borderId="2" xfId="0" applyFont="1" applyFill="1" applyBorder="1" applyAlignment="1">
      <alignment horizontal="center"/>
    </xf>
    <xf numFmtId="0" fontId="1" fillId="12" borderId="2" xfId="0" applyFont="1" applyFill="1" applyBorder="1" applyAlignment="1">
      <alignment horizontal="center" vertical="center"/>
    </xf>
    <xf numFmtId="0" fontId="19" fillId="0" borderId="28" xfId="0" applyFont="1" applyBorder="1" applyAlignment="1">
      <alignment horizontal="center" vertical="center"/>
    </xf>
    <xf numFmtId="9" fontId="7" fillId="0" borderId="41" xfId="0" applyNumberFormat="1" applyFont="1" applyBorder="1" applyAlignment="1">
      <alignment horizontal="center" vertical="center"/>
    </xf>
    <xf numFmtId="0" fontId="7" fillId="12" borderId="46" xfId="0" applyFont="1" applyFill="1" applyBorder="1" applyAlignment="1">
      <alignment horizontal="center" vertical="center"/>
    </xf>
    <xf numFmtId="9" fontId="7" fillId="12" borderId="36" xfId="0" applyNumberFormat="1" applyFont="1" applyFill="1" applyBorder="1" applyAlignment="1">
      <alignment horizontal="center" vertical="center"/>
    </xf>
    <xf numFmtId="164" fontId="0" fillId="0" borderId="89" xfId="0" applyNumberFormat="1" applyBorder="1" applyAlignment="1">
      <alignment horizontal="center" vertical="center"/>
    </xf>
    <xf numFmtId="164" fontId="0" fillId="0" borderId="70" xfId="0" applyNumberFormat="1" applyBorder="1" applyAlignment="1">
      <alignment horizontal="center" vertical="center"/>
    </xf>
    <xf numFmtId="164" fontId="0" fillId="0" borderId="39" xfId="0" applyNumberFormat="1" applyBorder="1" applyAlignment="1">
      <alignment horizontal="center" vertical="center"/>
    </xf>
    <xf numFmtId="164" fontId="1" fillId="12" borderId="1" xfId="0" applyNumberFormat="1" applyFont="1" applyFill="1" applyBorder="1" applyAlignment="1">
      <alignment horizontal="center" vertical="center"/>
    </xf>
    <xf numFmtId="164" fontId="1" fillId="7"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2" fontId="0" fillId="0" borderId="62" xfId="0" applyNumberFormat="1" applyBorder="1" applyAlignment="1">
      <alignment horizontal="center" vertical="center"/>
    </xf>
    <xf numFmtId="164" fontId="1" fillId="0" borderId="21" xfId="0" applyNumberFormat="1" applyFont="1" applyBorder="1" applyAlignment="1">
      <alignment horizontal="center" vertical="center"/>
    </xf>
    <xf numFmtId="164" fontId="1" fillId="0" borderId="27" xfId="0" applyNumberFormat="1" applyFont="1" applyBorder="1" applyAlignment="1">
      <alignment horizontal="center" vertical="center"/>
    </xf>
    <xf numFmtId="164" fontId="1" fillId="0" borderId="51" xfId="0" applyNumberFormat="1" applyFont="1" applyBorder="1" applyAlignment="1">
      <alignment horizontal="center" vertical="center"/>
    </xf>
    <xf numFmtId="164" fontId="1" fillId="0" borderId="58" xfId="0" applyNumberFormat="1" applyFont="1" applyBorder="1" applyAlignment="1">
      <alignment horizontal="center" vertical="center"/>
    </xf>
    <xf numFmtId="164" fontId="1" fillId="0" borderId="31" xfId="0" applyNumberFormat="1" applyFont="1" applyBorder="1" applyAlignment="1">
      <alignment horizontal="center" vertical="center"/>
    </xf>
    <xf numFmtId="164" fontId="1" fillId="0" borderId="32"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4" borderId="41" xfId="0" applyFont="1" applyFill="1" applyBorder="1" applyAlignment="1">
      <alignment horizontal="center" vertical="center"/>
    </xf>
    <xf numFmtId="0" fontId="1" fillId="2" borderId="41" xfId="0" applyFont="1" applyFill="1" applyBorder="1" applyAlignment="1">
      <alignment horizontal="center" vertical="center"/>
    </xf>
    <xf numFmtId="0" fontId="1" fillId="5" borderId="41" xfId="0" applyFont="1" applyFill="1" applyBorder="1" applyAlignment="1">
      <alignment horizontal="center" vertical="center"/>
    </xf>
    <xf numFmtId="0" fontId="1" fillId="2" borderId="4" xfId="0" applyFont="1" applyFill="1" applyBorder="1" applyAlignment="1">
      <alignment horizontal="center"/>
    </xf>
    <xf numFmtId="0" fontId="0" fillId="3" borderId="22" xfId="0" applyFill="1" applyBorder="1" applyAlignment="1">
      <alignment horizontal="center" vertical="center"/>
    </xf>
    <xf numFmtId="0" fontId="0" fillId="3" borderId="70" xfId="0" applyFill="1" applyBorder="1" applyAlignment="1">
      <alignment horizontal="center" vertical="center"/>
    </xf>
    <xf numFmtId="0" fontId="0" fillId="3" borderId="39" xfId="0" applyFill="1" applyBorder="1" applyAlignment="1">
      <alignment horizontal="center" vertical="center"/>
    </xf>
    <xf numFmtId="0" fontId="0" fillId="12" borderId="53" xfId="0" applyFill="1" applyBorder="1" applyAlignment="1">
      <alignment horizontal="center" vertical="center"/>
    </xf>
    <xf numFmtId="0" fontId="0" fillId="12" borderId="4" xfId="0" applyFill="1" applyBorder="1" applyAlignment="1">
      <alignment horizontal="center" vertical="center"/>
    </xf>
    <xf numFmtId="0" fontId="12" fillId="9" borderId="53"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41" xfId="0" applyFont="1" applyFill="1" applyBorder="1" applyAlignment="1">
      <alignment horizontal="center" vertical="center"/>
    </xf>
    <xf numFmtId="9" fontId="5" fillId="0" borderId="3" xfId="2" applyFont="1" applyFill="1" applyBorder="1" applyAlignment="1">
      <alignment horizontal="center" vertical="center"/>
    </xf>
    <xf numFmtId="164" fontId="4" fillId="22" borderId="21" xfId="0" applyNumberFormat="1" applyFont="1" applyFill="1" applyBorder="1" applyAlignment="1">
      <alignment horizontal="center" vertical="center"/>
    </xf>
    <xf numFmtId="164" fontId="4" fillId="22" borderId="36" xfId="0" applyNumberFormat="1" applyFont="1" applyFill="1" applyBorder="1" applyAlignment="1">
      <alignment horizontal="center" vertical="center"/>
    </xf>
    <xf numFmtId="164" fontId="4" fillId="22" borderId="51" xfId="0" applyNumberFormat="1" applyFont="1" applyFill="1" applyBorder="1" applyAlignment="1">
      <alignment horizontal="center" vertical="center"/>
    </xf>
    <xf numFmtId="0" fontId="12" fillId="22" borderId="1" xfId="0" applyFont="1" applyFill="1" applyBorder="1" applyAlignment="1">
      <alignment horizontal="center" vertical="center"/>
    </xf>
    <xf numFmtId="0" fontId="1" fillId="23" borderId="14" xfId="0" applyFont="1" applyFill="1" applyBorder="1" applyAlignment="1" applyProtection="1">
      <alignment horizontal="center"/>
      <protection hidden="1"/>
    </xf>
    <xf numFmtId="0" fontId="1" fillId="23" borderId="16" xfId="0" applyFont="1" applyFill="1" applyBorder="1" applyAlignment="1" applyProtection="1">
      <alignment horizontal="center"/>
      <protection hidden="1"/>
    </xf>
    <xf numFmtId="0" fontId="1" fillId="23" borderId="18" xfId="0" applyFont="1" applyFill="1" applyBorder="1" applyAlignment="1" applyProtection="1">
      <alignment horizontal="center"/>
      <protection hidden="1"/>
    </xf>
    <xf numFmtId="0" fontId="0" fillId="23" borderId="24" xfId="0" applyFill="1" applyBorder="1" applyAlignment="1" applyProtection="1">
      <alignment horizontal="center"/>
      <protection hidden="1"/>
    </xf>
    <xf numFmtId="0" fontId="0" fillId="23" borderId="15" xfId="0" applyFill="1" applyBorder="1" applyAlignment="1" applyProtection="1">
      <alignment horizontal="center"/>
      <protection hidden="1"/>
    </xf>
    <xf numFmtId="0" fontId="0" fillId="23" borderId="4" xfId="0" applyFill="1" applyBorder="1" applyAlignment="1" applyProtection="1">
      <alignment horizontal="center"/>
      <protection hidden="1"/>
    </xf>
    <xf numFmtId="0" fontId="0" fillId="23" borderId="17" xfId="0" applyFill="1" applyBorder="1" applyAlignment="1" applyProtection="1">
      <alignment horizontal="center"/>
      <protection hidden="1"/>
    </xf>
    <xf numFmtId="0" fontId="0" fillId="23" borderId="34" xfId="0" applyFill="1" applyBorder="1" applyAlignment="1" applyProtection="1">
      <alignment horizontal="center"/>
      <protection hidden="1"/>
    </xf>
    <xf numFmtId="0" fontId="0" fillId="23" borderId="19" xfId="0" applyFill="1" applyBorder="1" applyAlignment="1" applyProtection="1">
      <alignment horizontal="center"/>
      <protection hidden="1"/>
    </xf>
    <xf numFmtId="0" fontId="1" fillId="7" borderId="33" xfId="0" applyFont="1" applyFill="1" applyBorder="1" applyAlignment="1" applyProtection="1">
      <alignment horizontal="center" vertical="center"/>
      <protection hidden="1"/>
    </xf>
    <xf numFmtId="0" fontId="1" fillId="7" borderId="23" xfId="0" applyFont="1" applyFill="1" applyBorder="1" applyAlignment="1" applyProtection="1">
      <alignment horizontal="center" vertical="center"/>
      <protection hidden="1"/>
    </xf>
    <xf numFmtId="0" fontId="37" fillId="14" borderId="62" xfId="7" applyFont="1" applyFill="1" applyBorder="1"/>
    <xf numFmtId="0" fontId="38" fillId="14" borderId="68" xfId="7" applyFont="1" applyFill="1" applyBorder="1" applyAlignment="1">
      <alignment horizontal="center"/>
    </xf>
    <xf numFmtId="0" fontId="37" fillId="14" borderId="68" xfId="7" applyFont="1" applyFill="1" applyBorder="1"/>
    <xf numFmtId="0" fontId="38" fillId="14" borderId="69" xfId="7" applyFont="1" applyFill="1" applyBorder="1" applyAlignment="1">
      <alignment horizontal="center"/>
    </xf>
    <xf numFmtId="0" fontId="36" fillId="0" borderId="0" xfId="7"/>
    <xf numFmtId="0" fontId="37" fillId="14" borderId="67" xfId="7" applyFont="1" applyFill="1" applyBorder="1"/>
    <xf numFmtId="0" fontId="38" fillId="14" borderId="73" xfId="7" applyFont="1" applyFill="1" applyBorder="1" applyAlignment="1">
      <alignment horizontal="center"/>
    </xf>
    <xf numFmtId="0" fontId="37" fillId="14" borderId="73" xfId="7" applyFont="1" applyFill="1" applyBorder="1"/>
    <xf numFmtId="9" fontId="38" fillId="14" borderId="73" xfId="7" applyNumberFormat="1" applyFont="1" applyFill="1" applyBorder="1"/>
    <xf numFmtId="1" fontId="37" fillId="0" borderId="68" xfId="7" applyNumberFormat="1" applyFont="1" applyBorder="1"/>
    <xf numFmtId="164" fontId="37" fillId="0" borderId="68" xfId="7" applyNumberFormat="1" applyFont="1" applyBorder="1"/>
    <xf numFmtId="0" fontId="37" fillId="0" borderId="68" xfId="7" applyFont="1" applyBorder="1"/>
    <xf numFmtId="164" fontId="37" fillId="0" borderId="69" xfId="7" applyNumberFormat="1" applyFont="1" applyBorder="1"/>
    <xf numFmtId="1" fontId="37" fillId="0" borderId="73" xfId="7" applyNumberFormat="1" applyFont="1" applyBorder="1"/>
    <xf numFmtId="164" fontId="37" fillId="0" borderId="73" xfId="7" applyNumberFormat="1" applyFont="1" applyBorder="1"/>
    <xf numFmtId="0" fontId="37" fillId="0" borderId="73" xfId="7" applyFont="1" applyBorder="1"/>
    <xf numFmtId="164" fontId="37" fillId="0" borderId="88" xfId="7" applyNumberFormat="1" applyFont="1" applyBorder="1"/>
    <xf numFmtId="0" fontId="38" fillId="14" borderId="62" xfId="7" applyFont="1" applyFill="1" applyBorder="1" applyAlignment="1">
      <alignment horizontal="left"/>
    </xf>
    <xf numFmtId="0" fontId="38" fillId="14" borderId="59" xfId="7" applyFont="1" applyFill="1" applyBorder="1" applyAlignment="1">
      <alignment horizontal="left"/>
    </xf>
    <xf numFmtId="1" fontId="37" fillId="0" borderId="0" xfId="7" applyNumberFormat="1" applyFont="1"/>
    <xf numFmtId="164" fontId="37" fillId="0" borderId="0" xfId="7" applyNumberFormat="1" applyFont="1"/>
    <xf numFmtId="0" fontId="37" fillId="0" borderId="0" xfId="7" applyFont="1"/>
    <xf numFmtId="164" fontId="37" fillId="0" borderId="71" xfId="7" applyNumberFormat="1" applyFont="1" applyBorder="1"/>
    <xf numFmtId="0" fontId="38" fillId="14" borderId="67" xfId="7" applyFont="1" applyFill="1" applyBorder="1" applyAlignment="1">
      <alignment horizontal="left"/>
    </xf>
    <xf numFmtId="0" fontId="38" fillId="14" borderId="0" xfId="7" applyFont="1" applyFill="1" applyAlignment="1">
      <alignment horizontal="left"/>
    </xf>
    <xf numFmtId="1" fontId="37" fillId="0" borderId="68" xfId="7" applyNumberFormat="1" applyFont="1" applyBorder="1" applyAlignment="1">
      <alignment horizontal="center"/>
    </xf>
    <xf numFmtId="164" fontId="37" fillId="0" borderId="68" xfId="7" applyNumberFormat="1" applyFont="1" applyBorder="1" applyAlignment="1">
      <alignment horizontal="center"/>
    </xf>
    <xf numFmtId="0" fontId="37" fillId="0" borderId="68" xfId="7" applyFont="1" applyBorder="1" applyAlignment="1">
      <alignment horizontal="center"/>
    </xf>
    <xf numFmtId="164" fontId="37" fillId="0" borderId="69" xfId="7" applyNumberFormat="1" applyFont="1" applyBorder="1" applyAlignment="1">
      <alignment horizontal="center"/>
    </xf>
    <xf numFmtId="1" fontId="37" fillId="0" borderId="0" xfId="7" applyNumberFormat="1" applyFont="1" applyAlignment="1">
      <alignment horizontal="center"/>
    </xf>
    <xf numFmtId="164" fontId="37" fillId="0" borderId="0" xfId="7" applyNumberFormat="1" applyFont="1" applyAlignment="1">
      <alignment horizontal="center"/>
    </xf>
    <xf numFmtId="0" fontId="37" fillId="0" borderId="0" xfId="7" applyFont="1" applyAlignment="1">
      <alignment horizontal="center"/>
    </xf>
    <xf numFmtId="164" fontId="37" fillId="0" borderId="71" xfId="7" applyNumberFormat="1" applyFont="1" applyBorder="1" applyAlignment="1">
      <alignment horizontal="center"/>
    </xf>
    <xf numFmtId="1" fontId="37" fillId="0" borderId="73" xfId="7" applyNumberFormat="1" applyFont="1" applyBorder="1" applyAlignment="1">
      <alignment horizontal="center"/>
    </xf>
    <xf numFmtId="164" fontId="37" fillId="0" borderId="73" xfId="7" applyNumberFormat="1" applyFont="1" applyBorder="1" applyAlignment="1">
      <alignment horizontal="center"/>
    </xf>
    <xf numFmtId="0" fontId="37" fillId="0" borderId="73" xfId="7" applyFont="1" applyBorder="1" applyAlignment="1">
      <alignment horizontal="center"/>
    </xf>
    <xf numFmtId="164" fontId="37" fillId="0" borderId="88" xfId="7" applyNumberFormat="1" applyFont="1" applyBorder="1" applyAlignment="1">
      <alignment horizontal="center"/>
    </xf>
    <xf numFmtId="1" fontId="37" fillId="0" borderId="11" xfId="7" applyNumberFormat="1" applyFont="1" applyBorder="1" applyAlignment="1">
      <alignment horizontal="center"/>
    </xf>
    <xf numFmtId="165" fontId="39" fillId="0" borderId="11" xfId="7" applyNumberFormat="1" applyFont="1" applyBorder="1" applyAlignment="1">
      <alignment horizontal="center"/>
    </xf>
    <xf numFmtId="165" fontId="39" fillId="0" borderId="11" xfId="8" applyNumberFormat="1" applyFont="1" applyBorder="1" applyAlignment="1">
      <alignment horizontal="center"/>
    </xf>
    <xf numFmtId="165" fontId="39" fillId="0" borderId="10" xfId="8" applyNumberFormat="1" applyFont="1" applyBorder="1" applyAlignment="1">
      <alignment horizontal="center"/>
    </xf>
    <xf numFmtId="164" fontId="37" fillId="0" borderId="68" xfId="8" applyNumberFormat="1" applyFont="1" applyBorder="1" applyAlignment="1">
      <alignment horizontal="center"/>
    </xf>
    <xf numFmtId="164" fontId="37" fillId="0" borderId="69" xfId="8" applyNumberFormat="1" applyFont="1" applyBorder="1" applyAlignment="1">
      <alignment horizontal="center"/>
    </xf>
    <xf numFmtId="166" fontId="37" fillId="0" borderId="73" xfId="8" applyNumberFormat="1" applyFont="1" applyBorder="1" applyAlignment="1">
      <alignment horizontal="center"/>
    </xf>
    <xf numFmtId="166" fontId="37" fillId="0" borderId="88" xfId="8" applyNumberFormat="1" applyFont="1" applyBorder="1" applyAlignment="1">
      <alignment horizontal="center"/>
    </xf>
    <xf numFmtId="0" fontId="37" fillId="0" borderId="59" xfId="7" applyFont="1" applyBorder="1"/>
    <xf numFmtId="0" fontId="37" fillId="0" borderId="0" xfId="7" applyFont="1" applyAlignment="1">
      <alignment wrapText="1"/>
    </xf>
    <xf numFmtId="0" fontId="38" fillId="0" borderId="0" xfId="7" applyFont="1"/>
    <xf numFmtId="165" fontId="39" fillId="0" borderId="73" xfId="7" applyNumberFormat="1" applyFont="1" applyBorder="1" applyAlignment="1">
      <alignment horizontal="center"/>
    </xf>
    <xf numFmtId="165" fontId="39" fillId="0" borderId="73" xfId="8" applyNumberFormat="1" applyFont="1" applyBorder="1" applyAlignment="1">
      <alignment horizontal="center"/>
    </xf>
    <xf numFmtId="165" fontId="39" fillId="0" borderId="88" xfId="8" applyNumberFormat="1" applyFont="1" applyBorder="1" applyAlignment="1">
      <alignment horizontal="center"/>
    </xf>
    <xf numFmtId="164" fontId="37" fillId="0" borderId="0" xfId="8" applyNumberFormat="1" applyFont="1" applyBorder="1" applyAlignment="1">
      <alignment horizontal="center"/>
    </xf>
    <xf numFmtId="164" fontId="37" fillId="0" borderId="71" xfId="8" applyNumberFormat="1" applyFont="1" applyBorder="1" applyAlignment="1">
      <alignment horizontal="center"/>
    </xf>
    <xf numFmtId="0" fontId="38" fillId="0" borderId="11" xfId="7" applyFont="1" applyBorder="1"/>
    <xf numFmtId="0" fontId="38" fillId="0" borderId="11" xfId="7" applyFont="1" applyBorder="1" applyAlignment="1">
      <alignment horizontal="center"/>
    </xf>
    <xf numFmtId="0" fontId="36" fillId="0" borderId="11" xfId="7" applyBorder="1"/>
    <xf numFmtId="0" fontId="38" fillId="0" borderId="68" xfId="7" applyFont="1" applyBorder="1"/>
    <xf numFmtId="0" fontId="36" fillId="0" borderId="68" xfId="7" applyBorder="1"/>
    <xf numFmtId="2" fontId="37" fillId="0" borderId="0" xfId="7" applyNumberFormat="1" applyFont="1" applyAlignment="1">
      <alignment horizontal="center"/>
    </xf>
    <xf numFmtId="166" fontId="37" fillId="0" borderId="0" xfId="8" applyNumberFormat="1" applyFont="1" applyBorder="1" applyAlignment="1">
      <alignment horizontal="center"/>
    </xf>
    <xf numFmtId="0" fontId="36" fillId="0" borderId="73" xfId="7" applyBorder="1"/>
    <xf numFmtId="164" fontId="37" fillId="25" borderId="0" xfId="7" applyNumberFormat="1" applyFont="1" applyFill="1" applyAlignment="1">
      <alignment horizontal="center"/>
    </xf>
    <xf numFmtId="0" fontId="41" fillId="0" borderId="0" xfId="7" applyFont="1" applyAlignment="1">
      <alignment horizontal="center"/>
    </xf>
    <xf numFmtId="166" fontId="37" fillId="0" borderId="0" xfId="8" applyNumberFormat="1" applyFont="1" applyAlignment="1">
      <alignment horizontal="center"/>
    </xf>
    <xf numFmtId="164" fontId="37" fillId="0" borderId="11" xfId="7" applyNumberFormat="1" applyFont="1" applyBorder="1" applyAlignment="1">
      <alignment horizontal="center"/>
    </xf>
    <xf numFmtId="0" fontId="41" fillId="0" borderId="11" xfId="7" applyFont="1" applyBorder="1" applyAlignment="1">
      <alignment horizontal="center"/>
    </xf>
    <xf numFmtId="2" fontId="37" fillId="0" borderId="11" xfId="7" applyNumberFormat="1" applyFont="1" applyBorder="1" applyAlignment="1">
      <alignment horizontal="center"/>
    </xf>
    <xf numFmtId="166" fontId="37" fillId="0" borderId="11" xfId="8" applyNumberFormat="1" applyFont="1" applyBorder="1" applyAlignment="1">
      <alignment horizontal="center"/>
    </xf>
    <xf numFmtId="0" fontId="41" fillId="0" borderId="68" xfId="7" applyFont="1" applyBorder="1" applyAlignment="1">
      <alignment horizontal="center"/>
    </xf>
    <xf numFmtId="2" fontId="37" fillId="0" borderId="68" xfId="7" applyNumberFormat="1" applyFont="1" applyBorder="1" applyAlignment="1">
      <alignment horizontal="center"/>
    </xf>
    <xf numFmtId="166" fontId="37" fillId="0" borderId="68" xfId="8" applyNumberFormat="1" applyFont="1" applyBorder="1" applyAlignment="1">
      <alignment horizontal="center"/>
    </xf>
    <xf numFmtId="0" fontId="42" fillId="0" borderId="0" xfId="7" applyFont="1"/>
    <xf numFmtId="164" fontId="37" fillId="25" borderId="73" xfId="7" applyNumberFormat="1" applyFont="1" applyFill="1" applyBorder="1" applyAlignment="1">
      <alignment horizontal="center"/>
    </xf>
    <xf numFmtId="0" fontId="41" fillId="0" borderId="73" xfId="7" applyFont="1" applyBorder="1" applyAlignment="1">
      <alignment horizontal="center"/>
    </xf>
    <xf numFmtId="2" fontId="37" fillId="0" borderId="73" xfId="7" applyNumberFormat="1" applyFont="1" applyBorder="1" applyAlignment="1">
      <alignment horizontal="center"/>
    </xf>
    <xf numFmtId="164" fontId="37" fillId="16" borderId="4" xfId="7" applyNumberFormat="1" applyFont="1" applyFill="1" applyBorder="1" applyAlignment="1">
      <alignment horizontal="center"/>
    </xf>
    <xf numFmtId="164" fontId="37" fillId="0" borderId="4" xfId="7" applyNumberFormat="1" applyFont="1" applyBorder="1" applyAlignment="1">
      <alignment horizontal="center"/>
    </xf>
    <xf numFmtId="165" fontId="37" fillId="16" borderId="4" xfId="7" applyNumberFormat="1" applyFont="1" applyFill="1" applyBorder="1" applyAlignment="1">
      <alignment horizontal="center"/>
    </xf>
    <xf numFmtId="0" fontId="0" fillId="10" borderId="35" xfId="0" applyFill="1" applyBorder="1" applyAlignment="1">
      <alignment horizontal="center"/>
    </xf>
    <xf numFmtId="14" fontId="1" fillId="23" borderId="1" xfId="0" applyNumberFormat="1" applyFont="1" applyFill="1" applyBorder="1" applyAlignment="1">
      <alignment horizontal="center"/>
    </xf>
    <xf numFmtId="0" fontId="0" fillId="10" borderId="1" xfId="0" quotePrefix="1" applyFill="1" applyBorder="1" applyAlignment="1">
      <alignment horizontal="center" vertical="center"/>
    </xf>
    <xf numFmtId="0" fontId="1" fillId="10" borderId="2" xfId="0" applyFont="1" applyFill="1" applyBorder="1" applyAlignment="1">
      <alignment horizontal="center"/>
    </xf>
    <xf numFmtId="0" fontId="35" fillId="0" borderId="1" xfId="0" applyFont="1" applyFill="1" applyBorder="1" applyAlignment="1">
      <alignment horizontal="center" vertical="center"/>
    </xf>
    <xf numFmtId="0" fontId="37" fillId="0" borderId="0" xfId="7" applyFont="1" applyFill="1" applyBorder="1" applyAlignment="1">
      <alignment horizontal="left"/>
    </xf>
    <xf numFmtId="0" fontId="37" fillId="0" borderId="0" xfId="7" applyFont="1" applyFill="1" applyBorder="1" applyAlignment="1">
      <alignment horizontal="center"/>
    </xf>
    <xf numFmtId="0" fontId="36" fillId="0" borderId="0" xfId="7" applyFill="1" applyBorder="1"/>
    <xf numFmtId="0" fontId="36" fillId="0" borderId="0" xfId="7" applyAlignment="1">
      <alignment horizontal="center"/>
    </xf>
    <xf numFmtId="0" fontId="37" fillId="25" borderId="53" xfId="7" applyFont="1" applyFill="1" applyBorder="1" applyAlignment="1">
      <alignment horizontal="center"/>
    </xf>
    <xf numFmtId="14" fontId="0" fillId="2" borderId="9" xfId="0" applyNumberFormat="1" applyFill="1" applyBorder="1" applyAlignment="1">
      <alignment horizontal="center" vertical="center"/>
    </xf>
    <xf numFmtId="167" fontId="37" fillId="25" borderId="4" xfId="7" applyNumberFormat="1" applyFont="1" applyFill="1" applyBorder="1" applyAlignment="1">
      <alignment horizontal="center"/>
    </xf>
    <xf numFmtId="164" fontId="37" fillId="25" borderId="4" xfId="7" applyNumberFormat="1" applyFont="1" applyFill="1" applyBorder="1" applyAlignment="1">
      <alignment horizontal="center"/>
    </xf>
    <xf numFmtId="0" fontId="36" fillId="0" borderId="0" xfId="7" applyBorder="1"/>
    <xf numFmtId="0" fontId="37" fillId="0" borderId="0" xfId="7" applyFont="1" applyBorder="1"/>
    <xf numFmtId="0" fontId="36" fillId="0" borderId="0" xfId="7" applyBorder="1" applyAlignment="1">
      <alignment horizontal="center"/>
    </xf>
    <xf numFmtId="0" fontId="37" fillId="0" borderId="0" xfId="7" applyFont="1" applyBorder="1" applyAlignment="1">
      <alignment horizontal="center"/>
    </xf>
    <xf numFmtId="0" fontId="37" fillId="2" borderId="1" xfId="7" applyFont="1" applyFill="1" applyBorder="1" applyAlignment="1">
      <alignment horizontal="center"/>
    </xf>
    <xf numFmtId="0" fontId="37" fillId="5" borderId="1" xfId="7" applyFont="1" applyFill="1" applyBorder="1" applyAlignment="1">
      <alignment horizontal="center"/>
    </xf>
    <xf numFmtId="0" fontId="37" fillId="24" borderId="1" xfId="7" applyFont="1" applyFill="1" applyBorder="1" applyAlignment="1">
      <alignment horizontal="center"/>
    </xf>
    <xf numFmtId="0" fontId="37" fillId="4" borderId="1" xfId="7" applyFont="1" applyFill="1" applyBorder="1" applyAlignment="1">
      <alignment horizontal="center"/>
    </xf>
    <xf numFmtId="0" fontId="36" fillId="0" borderId="11" xfId="7" applyBorder="1" applyAlignment="1">
      <alignment horizontal="center" vertical="center"/>
    </xf>
    <xf numFmtId="0" fontId="36" fillId="0" borderId="0" xfId="7" applyFill="1" applyBorder="1" applyAlignment="1">
      <alignment horizontal="center" vertical="center"/>
    </xf>
    <xf numFmtId="0" fontId="36" fillId="0" borderId="0" xfId="7" applyAlignment="1">
      <alignment horizontal="center" vertical="center"/>
    </xf>
    <xf numFmtId="0" fontId="38" fillId="0" borderId="11" xfId="7" applyFont="1" applyBorder="1" applyAlignment="1">
      <alignment horizontal="center" vertical="center"/>
    </xf>
    <xf numFmtId="0" fontId="37" fillId="0" borderId="0" xfId="7" applyFont="1" applyAlignment="1">
      <alignment horizontal="center" vertical="center"/>
    </xf>
    <xf numFmtId="0" fontId="37" fillId="0" borderId="11" xfId="7" applyFont="1" applyBorder="1" applyAlignment="1">
      <alignment horizontal="center" vertical="center"/>
    </xf>
    <xf numFmtId="0" fontId="37" fillId="0" borderId="68" xfId="7" applyFont="1" applyBorder="1" applyAlignment="1">
      <alignment horizontal="center" vertical="center"/>
    </xf>
    <xf numFmtId="0" fontId="37" fillId="0" borderId="73" xfId="7" applyFont="1" applyBorder="1" applyAlignment="1">
      <alignment horizontal="center" vertical="center"/>
    </xf>
    <xf numFmtId="0" fontId="38" fillId="0" borderId="68" xfId="0" applyFont="1" applyBorder="1"/>
    <xf numFmtId="0" fontId="0" fillId="0" borderId="68" xfId="0" applyBorder="1"/>
    <xf numFmtId="0" fontId="37" fillId="0" borderId="0" xfId="0" applyFont="1"/>
    <xf numFmtId="164" fontId="37" fillId="0" borderId="0" xfId="0" applyNumberFormat="1" applyFont="1" applyAlignment="1">
      <alignment horizontal="center"/>
    </xf>
    <xf numFmtId="2" fontId="37" fillId="0" borderId="0" xfId="0" applyNumberFormat="1" applyFont="1" applyAlignment="1">
      <alignment horizontal="center"/>
    </xf>
    <xf numFmtId="0" fontId="37" fillId="6" borderId="1" xfId="0" applyFont="1" applyFill="1" applyBorder="1" applyAlignment="1">
      <alignment horizontal="center"/>
    </xf>
    <xf numFmtId="1" fontId="37" fillId="0" borderId="0" xfId="7" applyNumberFormat="1" applyFont="1" applyBorder="1" applyAlignment="1">
      <alignment horizontal="center"/>
    </xf>
    <xf numFmtId="164" fontId="43" fillId="2" borderId="4" xfId="7" applyNumberFormat="1" applyFont="1" applyFill="1" applyBorder="1" applyAlignment="1">
      <alignment horizontal="center"/>
    </xf>
    <xf numFmtId="9" fontId="37" fillId="0" borderId="0" xfId="2" applyFont="1" applyAlignment="1">
      <alignment horizontal="center"/>
    </xf>
    <xf numFmtId="0" fontId="36" fillId="0" borderId="4" xfId="7" applyBorder="1" applyAlignment="1">
      <alignment horizontal="center" vertical="center"/>
    </xf>
    <xf numFmtId="9" fontId="36" fillId="0" borderId="4" xfId="7" applyNumberFormat="1" applyBorder="1" applyAlignment="1">
      <alignment horizontal="center" vertical="center"/>
    </xf>
    <xf numFmtId="166" fontId="36" fillId="0" borderId="4" xfId="7" applyNumberFormat="1" applyBorder="1" applyAlignment="1">
      <alignment horizontal="center" vertical="center"/>
    </xf>
    <xf numFmtId="164" fontId="36" fillId="0" borderId="4" xfId="7" applyNumberFormat="1" applyBorder="1" applyAlignment="1">
      <alignment horizontal="center" vertical="center"/>
    </xf>
    <xf numFmtId="164" fontId="36" fillId="0" borderId="0" xfId="7" applyNumberFormat="1" applyAlignment="1">
      <alignment horizontal="center" vertical="center"/>
    </xf>
    <xf numFmtId="167" fontId="36" fillId="0" borderId="0" xfId="7" applyNumberFormat="1" applyAlignment="1">
      <alignment horizontal="center"/>
    </xf>
    <xf numFmtId="0" fontId="36" fillId="0" borderId="4" xfId="7" applyBorder="1"/>
    <xf numFmtId="164" fontId="36" fillId="0" borderId="4" xfId="7" applyNumberFormat="1" applyBorder="1"/>
    <xf numFmtId="0" fontId="36" fillId="2" borderId="0" xfId="7" applyFill="1"/>
    <xf numFmtId="0" fontId="36" fillId="0" borderId="4" xfId="7" applyBorder="1" applyAlignment="1"/>
    <xf numFmtId="0" fontId="37" fillId="2" borderId="0" xfId="7" applyFont="1" applyFill="1"/>
    <xf numFmtId="14" fontId="1" fillId="0" borderId="7" xfId="0" applyNumberFormat="1" applyFont="1" applyFill="1" applyBorder="1" applyAlignment="1">
      <alignment horizontal="center" vertical="center" wrapText="1"/>
    </xf>
    <xf numFmtId="2" fontId="0" fillId="0" borderId="31" xfId="0" applyNumberFormat="1" applyFill="1" applyBorder="1" applyAlignment="1">
      <alignment horizontal="center" vertical="center" wrapText="1"/>
    </xf>
    <xf numFmtId="164" fontId="0" fillId="0" borderId="32" xfId="0" applyNumberFormat="1" applyFill="1" applyBorder="1" applyAlignment="1">
      <alignment horizontal="center" vertical="center" wrapText="1"/>
    </xf>
    <xf numFmtId="0" fontId="1" fillId="13" borderId="14" xfId="0" applyFont="1" applyFill="1" applyBorder="1" applyAlignment="1">
      <alignment horizontal="center"/>
    </xf>
    <xf numFmtId="0" fontId="1" fillId="13" borderId="15" xfId="0" applyFont="1" applyFill="1" applyBorder="1" applyAlignment="1">
      <alignment horizontal="center"/>
    </xf>
    <xf numFmtId="164" fontId="0" fillId="13" borderId="18" xfId="0" applyNumberFormat="1" applyFill="1" applyBorder="1" applyAlignment="1">
      <alignment horizontal="center"/>
    </xf>
    <xf numFmtId="164" fontId="1" fillId="13" borderId="54" xfId="0" applyNumberFormat="1" applyFont="1" applyFill="1" applyBorder="1" applyAlignment="1">
      <alignment horizontal="center" vertical="center"/>
    </xf>
    <xf numFmtId="0" fontId="1" fillId="13" borderId="23" xfId="0" applyFont="1" applyFill="1" applyBorder="1" applyAlignment="1">
      <alignment horizontal="center"/>
    </xf>
    <xf numFmtId="0" fontId="1" fillId="13" borderId="59" xfId="0" applyFont="1" applyFill="1" applyBorder="1" applyAlignment="1">
      <alignment horizontal="center"/>
    </xf>
    <xf numFmtId="164" fontId="1" fillId="13" borderId="1" xfId="0" applyNumberFormat="1" applyFont="1" applyFill="1" applyBorder="1" applyAlignment="1">
      <alignment horizontal="center" vertical="center"/>
    </xf>
    <xf numFmtId="164" fontId="1" fillId="13" borderId="3" xfId="0" applyNumberFormat="1" applyFont="1" applyFill="1" applyBorder="1" applyAlignment="1">
      <alignment horizontal="center" vertical="center"/>
    </xf>
    <xf numFmtId="164" fontId="1" fillId="13" borderId="90" xfId="0" applyNumberFormat="1" applyFont="1" applyFill="1" applyBorder="1" applyAlignment="1">
      <alignment horizontal="center" vertical="center"/>
    </xf>
    <xf numFmtId="0" fontId="9" fillId="13" borderId="58" xfId="0" applyFont="1" applyFill="1" applyBorder="1" applyAlignment="1">
      <alignment horizontal="center"/>
    </xf>
    <xf numFmtId="0" fontId="9" fillId="13" borderId="7" xfId="0" applyFont="1" applyFill="1" applyBorder="1" applyAlignment="1">
      <alignment horizontal="center"/>
    </xf>
    <xf numFmtId="2" fontId="0" fillId="13" borderId="32" xfId="0" applyNumberFormat="1" applyFill="1" applyBorder="1" applyAlignment="1">
      <alignment horizontal="center" vertical="center"/>
    </xf>
    <xf numFmtId="164" fontId="0" fillId="13" borderId="1" xfId="0" applyNumberFormat="1" applyFill="1" applyBorder="1" applyAlignment="1">
      <alignment horizontal="center" vertical="center"/>
    </xf>
    <xf numFmtId="0" fontId="37" fillId="0" borderId="14" xfId="7" applyFont="1" applyBorder="1" applyAlignment="1">
      <alignment horizontal="center" vertical="center"/>
    </xf>
    <xf numFmtId="0" fontId="36" fillId="0" borderId="24" xfId="7" applyBorder="1" applyAlignment="1">
      <alignment horizontal="center" vertical="center"/>
    </xf>
    <xf numFmtId="0" fontId="36" fillId="0" borderId="15" xfId="7" applyBorder="1" applyAlignment="1">
      <alignment horizontal="center" vertical="center"/>
    </xf>
    <xf numFmtId="0" fontId="37" fillId="0" borderId="16" xfId="7" applyFont="1" applyBorder="1" applyAlignment="1">
      <alignment horizontal="center" vertical="center"/>
    </xf>
    <xf numFmtId="0" fontId="37" fillId="0" borderId="18" xfId="7" applyFont="1" applyBorder="1" applyAlignment="1">
      <alignment horizontal="center" vertical="center"/>
    </xf>
    <xf numFmtId="0" fontId="36" fillId="0" borderId="34" xfId="7" applyBorder="1" applyAlignment="1">
      <alignment horizontal="center" vertical="center"/>
    </xf>
    <xf numFmtId="0" fontId="36" fillId="0" borderId="19" xfId="7" applyBorder="1" applyAlignment="1">
      <alignment horizontal="center" vertical="center"/>
    </xf>
    <xf numFmtId="0" fontId="44" fillId="0" borderId="4" xfId="7" applyFont="1" applyBorder="1" applyAlignment="1">
      <alignment horizontal="center" vertical="center"/>
    </xf>
    <xf numFmtId="0" fontId="44" fillId="0" borderId="17" xfId="7" applyFont="1" applyBorder="1" applyAlignment="1">
      <alignment horizontal="center" vertical="center"/>
    </xf>
    <xf numFmtId="167" fontId="36" fillId="0" borderId="4" xfId="7" applyNumberFormat="1" applyBorder="1"/>
    <xf numFmtId="167" fontId="36" fillId="0" borderId="0" xfId="7" applyNumberFormat="1"/>
    <xf numFmtId="1" fontId="10" fillId="2" borderId="4" xfId="0" applyNumberFormat="1" applyFont="1" applyFill="1" applyBorder="1" applyAlignment="1">
      <alignment horizontal="center" vertical="center"/>
    </xf>
    <xf numFmtId="0" fontId="45" fillId="0" borderId="4" xfId="0" applyFont="1" applyFill="1" applyBorder="1" applyAlignment="1">
      <alignment horizontal="center" vertical="center"/>
    </xf>
    <xf numFmtId="2" fontId="0" fillId="0" borderId="31" xfId="0" applyNumberFormat="1" applyBorder="1" applyAlignment="1">
      <alignment horizontal="center"/>
    </xf>
    <xf numFmtId="0" fontId="0" fillId="13" borderId="0" xfId="0" applyFill="1" applyAlignment="1">
      <alignment horizontal="left" vertical="center"/>
    </xf>
    <xf numFmtId="0" fontId="0" fillId="13" borderId="11" xfId="0" applyFill="1" applyBorder="1" applyAlignment="1">
      <alignment horizontal="center" vertical="center"/>
    </xf>
    <xf numFmtId="0" fontId="0" fillId="13" borderId="10" xfId="0" applyFill="1" applyBorder="1" applyAlignment="1">
      <alignment horizontal="center" vertical="center"/>
    </xf>
    <xf numFmtId="0" fontId="0" fillId="13" borderId="69" xfId="0" applyFill="1" applyBorder="1" applyAlignment="1">
      <alignment horizontal="center" vertical="center"/>
    </xf>
    <xf numFmtId="0" fontId="0" fillId="13" borderId="41" xfId="0" applyFill="1" applyBorder="1" applyAlignment="1">
      <alignment horizontal="center" vertical="center"/>
    </xf>
    <xf numFmtId="0" fontId="0" fillId="13" borderId="49" xfId="0" applyFill="1" applyBorder="1" applyAlignment="1">
      <alignment horizontal="center" vertical="center"/>
    </xf>
    <xf numFmtId="0" fontId="0" fillId="13" borderId="4" xfId="0" applyFill="1" applyBorder="1" applyAlignment="1">
      <alignment horizontal="center" vertical="center"/>
    </xf>
    <xf numFmtId="0" fontId="0" fillId="13" borderId="17" xfId="0" applyFill="1" applyBorder="1" applyAlignment="1">
      <alignment horizontal="center" vertical="center"/>
    </xf>
    <xf numFmtId="0" fontId="0" fillId="13" borderId="53" xfId="0" applyFill="1" applyBorder="1" applyAlignment="1">
      <alignment horizontal="center" vertical="center"/>
    </xf>
    <xf numFmtId="0" fontId="0" fillId="13" borderId="34" xfId="0" applyFill="1" applyBorder="1" applyAlignment="1">
      <alignment horizontal="center" vertical="center"/>
    </xf>
    <xf numFmtId="0" fontId="0" fillId="13" borderId="19" xfId="0" applyFill="1" applyBorder="1" applyAlignment="1">
      <alignment horizontal="center" vertical="center"/>
    </xf>
    <xf numFmtId="0" fontId="0" fillId="13" borderId="24" xfId="0" applyFill="1" applyBorder="1" applyAlignment="1">
      <alignment horizontal="center" vertical="center"/>
    </xf>
    <xf numFmtId="0" fontId="0" fillId="13" borderId="15" xfId="0" applyFill="1" applyBorder="1" applyAlignment="1">
      <alignment horizontal="center" vertical="center"/>
    </xf>
    <xf numFmtId="0" fontId="1" fillId="13" borderId="0" xfId="0" applyFont="1" applyFill="1" applyAlignment="1">
      <alignment horizontal="center" vertical="center"/>
    </xf>
    <xf numFmtId="0" fontId="0" fillId="12" borderId="4" xfId="0" applyFill="1" applyBorder="1" applyAlignment="1">
      <alignment horizontal="center" vertical="center"/>
    </xf>
    <xf numFmtId="0" fontId="1" fillId="13" borderId="4" xfId="0" applyFont="1" applyFill="1" applyBorder="1" applyAlignment="1">
      <alignment horizontal="center" vertical="center"/>
    </xf>
    <xf numFmtId="0" fontId="0" fillId="3" borderId="22" xfId="0" applyFill="1" applyBorder="1" applyAlignment="1">
      <alignment horizontal="center" vertical="center"/>
    </xf>
    <xf numFmtId="0" fontId="0" fillId="12" borderId="53" xfId="0" applyFill="1" applyBorder="1" applyAlignment="1">
      <alignment horizontal="center" vertical="center"/>
    </xf>
    <xf numFmtId="0" fontId="0" fillId="13" borderId="63" xfId="0" applyFill="1" applyBorder="1" applyAlignment="1">
      <alignment horizontal="center" vertical="center"/>
    </xf>
    <xf numFmtId="0" fontId="0" fillId="13" borderId="0" xfId="0" applyFill="1" applyAlignment="1">
      <alignment horizontal="center" vertical="center"/>
    </xf>
    <xf numFmtId="0" fontId="0" fillId="0" borderId="12" xfId="0" applyBorder="1" applyAlignment="1">
      <alignment horizontal="left"/>
    </xf>
    <xf numFmtId="0" fontId="0" fillId="0" borderId="0" xfId="0" applyAlignment="1">
      <alignment horizontal="left"/>
    </xf>
    <xf numFmtId="0" fontId="0" fillId="0" borderId="25" xfId="0" applyBorder="1" applyAlignment="1">
      <alignment horizontal="left"/>
    </xf>
    <xf numFmtId="0" fontId="0" fillId="0" borderId="13" xfId="0" applyBorder="1" applyAlignment="1">
      <alignment horizontal="left"/>
    </xf>
    <xf numFmtId="0" fontId="0" fillId="0" borderId="26" xfId="0" applyBorder="1" applyAlignment="1">
      <alignment horizontal="left"/>
    </xf>
    <xf numFmtId="0" fontId="0" fillId="0" borderId="42" xfId="0" applyBorder="1"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2" fillId="0" borderId="2"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5" xfId="0" applyBorder="1" applyAlignment="1">
      <alignment horizontal="left"/>
    </xf>
    <xf numFmtId="0" fontId="0" fillId="0" borderId="37" xfId="0" applyBorder="1" applyAlignment="1">
      <alignment horizontal="left"/>
    </xf>
    <xf numFmtId="0" fontId="0" fillId="0" borderId="20" xfId="0" applyBorder="1" applyAlignment="1">
      <alignment horizontal="left"/>
    </xf>
    <xf numFmtId="0" fontId="0" fillId="0" borderId="12" xfId="0" applyBorder="1" applyAlignment="1">
      <alignment horizontal="left" wrapText="1"/>
    </xf>
    <xf numFmtId="0" fontId="0" fillId="0" borderId="0" xfId="0" applyAlignment="1">
      <alignment horizontal="left" wrapText="1"/>
    </xf>
    <xf numFmtId="0" fontId="0" fillId="0" borderId="25"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wrapText="1"/>
    </xf>
    <xf numFmtId="0" fontId="0" fillId="0" borderId="42" xfId="0" applyBorder="1" applyAlignment="1">
      <alignment horizontal="left" wrapText="1"/>
    </xf>
    <xf numFmtId="0" fontId="1" fillId="0" borderId="12" xfId="0" applyFont="1" applyBorder="1" applyAlignment="1">
      <alignment horizontal="left" wrapText="1"/>
    </xf>
    <xf numFmtId="0" fontId="1" fillId="0" borderId="0" xfId="0" applyFont="1" applyAlignment="1">
      <alignment horizontal="left" wrapText="1"/>
    </xf>
    <xf numFmtId="0" fontId="1" fillId="0" borderId="25" xfId="0" applyFont="1" applyBorder="1" applyAlignment="1">
      <alignment horizontal="left" wrapText="1"/>
    </xf>
    <xf numFmtId="0" fontId="0" fillId="0" borderId="5" xfId="0" applyBorder="1" applyAlignment="1">
      <alignment horizontal="left" wrapText="1"/>
    </xf>
    <xf numFmtId="0" fontId="0" fillId="0" borderId="37" xfId="0" applyBorder="1" applyAlignment="1">
      <alignment horizontal="left" wrapText="1"/>
    </xf>
    <xf numFmtId="0" fontId="0" fillId="0" borderId="20" xfId="0" applyBorder="1" applyAlignment="1">
      <alignment horizontal="left" wrapText="1"/>
    </xf>
    <xf numFmtId="0" fontId="34" fillId="2" borderId="9" xfId="6" applyFill="1" applyBorder="1" applyAlignment="1">
      <alignment horizontal="left" vertical="center"/>
    </xf>
    <xf numFmtId="0" fontId="34" fillId="2" borderId="11" xfId="6" applyFill="1" applyBorder="1" applyAlignment="1">
      <alignment horizontal="left" vertical="center"/>
    </xf>
    <xf numFmtId="0" fontId="34" fillId="2" borderId="10" xfId="6" applyFill="1" applyBorder="1" applyAlignment="1">
      <alignment horizontal="left" vertical="center"/>
    </xf>
    <xf numFmtId="0" fontId="12" fillId="13" borderId="16" xfId="0" applyFont="1" applyFill="1" applyBorder="1" applyAlignment="1">
      <alignment horizontal="center" vertical="center"/>
    </xf>
    <xf numFmtId="0" fontId="12" fillId="13" borderId="4" xfId="0" applyFont="1" applyFill="1" applyBorder="1" applyAlignment="1">
      <alignment horizontal="center" vertical="center"/>
    </xf>
    <xf numFmtId="164" fontId="12" fillId="13" borderId="4" xfId="0" applyNumberFormat="1" applyFont="1" applyFill="1" applyBorder="1" applyAlignment="1">
      <alignment horizontal="center" vertical="center"/>
    </xf>
    <xf numFmtId="164" fontId="12" fillId="13" borderId="9" xfId="0" applyNumberFormat="1" applyFont="1" applyFill="1" applyBorder="1" applyAlignment="1">
      <alignment horizontal="center" vertical="center"/>
    </xf>
    <xf numFmtId="0" fontId="10" fillId="13" borderId="46" xfId="0" applyFont="1" applyFill="1" applyBorder="1" applyAlignment="1">
      <alignment horizontal="center" vertical="center"/>
    </xf>
    <xf numFmtId="0" fontId="10" fillId="13" borderId="47" xfId="0" applyFont="1" applyFill="1" applyBorder="1" applyAlignment="1">
      <alignment horizontal="center" vertical="center"/>
    </xf>
    <xf numFmtId="164" fontId="12" fillId="13" borderId="47" xfId="0" applyNumberFormat="1" applyFont="1" applyFill="1" applyBorder="1" applyAlignment="1">
      <alignment horizontal="center" vertical="center"/>
    </xf>
    <xf numFmtId="164" fontId="12" fillId="13" borderId="56" xfId="0" applyNumberFormat="1" applyFont="1" applyFill="1" applyBorder="1" applyAlignment="1">
      <alignment horizontal="center" vertical="center"/>
    </xf>
    <xf numFmtId="164" fontId="12" fillId="13" borderId="46" xfId="0" applyNumberFormat="1" applyFont="1" applyFill="1" applyBorder="1" applyAlignment="1">
      <alignment horizontal="center" vertical="center"/>
    </xf>
    <xf numFmtId="164" fontId="12" fillId="13" borderId="36" xfId="0" applyNumberFormat="1" applyFont="1" applyFill="1" applyBorder="1" applyAlignment="1">
      <alignment horizontal="center" vertical="center"/>
    </xf>
    <xf numFmtId="0" fontId="12" fillId="13" borderId="28" xfId="0" applyFont="1" applyFill="1" applyBorder="1" applyAlignment="1">
      <alignment horizontal="center" vertical="center"/>
    </xf>
    <xf numFmtId="0" fontId="12" fillId="13" borderId="69" xfId="0" applyFont="1" applyFill="1" applyBorder="1" applyAlignment="1">
      <alignment horizontal="center" vertical="center"/>
    </xf>
    <xf numFmtId="164" fontId="12" fillId="13" borderId="41" xfId="0" applyNumberFormat="1" applyFont="1" applyFill="1" applyBorder="1" applyAlignment="1">
      <alignment horizontal="center" vertical="center"/>
    </xf>
    <xf numFmtId="164" fontId="12" fillId="13" borderId="62" xfId="0" applyNumberFormat="1" applyFont="1" applyFill="1" applyBorder="1" applyAlignment="1">
      <alignment horizontal="center" vertical="center"/>
    </xf>
    <xf numFmtId="0" fontId="10" fillId="13" borderId="23" xfId="0" applyFont="1" applyFill="1" applyBorder="1" applyAlignment="1">
      <alignment horizontal="center" vertical="center"/>
    </xf>
    <xf numFmtId="0" fontId="10" fillId="13" borderId="29" xfId="0" applyFont="1" applyFill="1" applyBorder="1" applyAlignment="1">
      <alignment horizontal="center" vertical="center"/>
    </xf>
    <xf numFmtId="0" fontId="10" fillId="13" borderId="33" xfId="0" applyFont="1" applyFill="1" applyBorder="1" applyAlignment="1">
      <alignment horizontal="center" vertical="center"/>
    </xf>
    <xf numFmtId="0" fontId="12" fillId="9" borderId="5" xfId="0"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2" fillId="9" borderId="20" xfId="0" applyFont="1" applyFill="1" applyBorder="1" applyAlignment="1">
      <alignment horizontal="center" vertical="center" wrapText="1"/>
    </xf>
    <xf numFmtId="0" fontId="12" fillId="9" borderId="12"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2" fillId="9" borderId="25"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2" fillId="9" borderId="26" xfId="0" applyFont="1" applyFill="1" applyBorder="1" applyAlignment="1">
      <alignment horizontal="center" vertical="center" wrapText="1"/>
    </xf>
    <xf numFmtId="0" fontId="12" fillId="9" borderId="4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 xfId="0" applyFont="1" applyFill="1" applyBorder="1" applyAlignment="1">
      <alignment horizontal="center" vertical="center"/>
    </xf>
    <xf numFmtId="0" fontId="1" fillId="13" borderId="4"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35" xfId="0" applyFont="1" applyFill="1" applyBorder="1" applyAlignment="1">
      <alignment horizontal="center" vertical="center"/>
    </xf>
    <xf numFmtId="0" fontId="1" fillId="13" borderId="3" xfId="0" applyFont="1" applyFill="1" applyBorder="1" applyAlignment="1">
      <alignment horizontal="center" vertical="center"/>
    </xf>
    <xf numFmtId="0" fontId="0" fillId="13" borderId="4" xfId="0" applyFill="1" applyBorder="1" applyAlignment="1">
      <alignment horizontal="center" vertical="center"/>
    </xf>
    <xf numFmtId="0" fontId="0" fillId="13" borderId="14" xfId="0" applyFill="1" applyBorder="1" applyAlignment="1">
      <alignment horizontal="center" vertical="center"/>
    </xf>
    <xf numFmtId="0" fontId="0" fillId="13" borderId="24" xfId="0" applyFill="1" applyBorder="1" applyAlignment="1">
      <alignment horizontal="center" vertical="center"/>
    </xf>
    <xf numFmtId="0" fontId="0" fillId="13" borderId="15" xfId="0" applyFill="1" applyBorder="1" applyAlignment="1">
      <alignment horizontal="center" vertical="center"/>
    </xf>
    <xf numFmtId="0" fontId="0" fillId="13" borderId="16" xfId="0" applyFill="1" applyBorder="1" applyAlignment="1">
      <alignment horizontal="center" vertical="center"/>
    </xf>
    <xf numFmtId="0" fontId="0" fillId="13" borderId="17" xfId="0" applyFill="1" applyBorder="1" applyAlignment="1">
      <alignment horizontal="center" vertical="center"/>
    </xf>
    <xf numFmtId="0" fontId="0" fillId="13" borderId="18" xfId="0" applyFill="1" applyBorder="1" applyAlignment="1">
      <alignment horizontal="center" vertical="center"/>
    </xf>
    <xf numFmtId="0" fontId="0" fillId="13" borderId="34" xfId="0" applyFill="1" applyBorder="1" applyAlignment="1">
      <alignment horizontal="center" vertical="center"/>
    </xf>
    <xf numFmtId="0" fontId="0" fillId="13" borderId="19" xfId="0" applyFill="1" applyBorder="1" applyAlignment="1">
      <alignment horizontal="center" vertical="center"/>
    </xf>
    <xf numFmtId="0" fontId="0" fillId="13" borderId="5" xfId="0" applyFill="1" applyBorder="1" applyAlignment="1">
      <alignment horizontal="center" vertical="center" wrapText="1"/>
    </xf>
    <xf numFmtId="0" fontId="0" fillId="13" borderId="37" xfId="0" applyFill="1" applyBorder="1" applyAlignment="1">
      <alignment horizontal="center" vertical="center" wrapText="1"/>
    </xf>
    <xf numFmtId="0" fontId="0" fillId="13" borderId="20"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0" xfId="0" applyFill="1" applyAlignment="1">
      <alignment horizontal="center" vertical="center" wrapText="1"/>
    </xf>
    <xf numFmtId="0" fontId="0" fillId="13" borderId="25" xfId="0" applyFill="1" applyBorder="1" applyAlignment="1">
      <alignment horizontal="center" vertical="center" wrapText="1"/>
    </xf>
    <xf numFmtId="0" fontId="14" fillId="13" borderId="5"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 fillId="13" borderId="38" xfId="0" applyFont="1" applyFill="1" applyBorder="1" applyAlignment="1">
      <alignment horizontal="center" vertical="center"/>
    </xf>
    <xf numFmtId="0" fontId="1" fillId="13" borderId="24" xfId="0" applyFont="1" applyFill="1" applyBorder="1" applyAlignment="1">
      <alignment horizontal="center" vertical="center"/>
    </xf>
    <xf numFmtId="0" fontId="1" fillId="13" borderId="64"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15" xfId="0" applyFont="1" applyFill="1" applyBorder="1" applyAlignment="1">
      <alignment horizontal="center" vertical="center"/>
    </xf>
    <xf numFmtId="0" fontId="0" fillId="13" borderId="37" xfId="0" applyFill="1" applyBorder="1" applyAlignment="1">
      <alignment horizontal="center" vertical="center"/>
    </xf>
    <xf numFmtId="0" fontId="0" fillId="13" borderId="20" xfId="0" applyFill="1" applyBorder="1" applyAlignment="1">
      <alignment horizontal="center" vertical="center"/>
    </xf>
    <xf numFmtId="0" fontId="0" fillId="13" borderId="0" xfId="0" applyFill="1" applyAlignment="1">
      <alignment horizontal="center" vertical="center"/>
    </xf>
    <xf numFmtId="0" fontId="0" fillId="13" borderId="25" xfId="0" applyFill="1" applyBorder="1" applyAlignment="1">
      <alignment horizontal="center" vertical="center"/>
    </xf>
    <xf numFmtId="0" fontId="0" fillId="13" borderId="68" xfId="0" applyFill="1" applyBorder="1" applyAlignment="1">
      <alignment horizontal="center" vertical="center"/>
    </xf>
    <xf numFmtId="0" fontId="0" fillId="13" borderId="69" xfId="0" applyFill="1" applyBorder="1" applyAlignment="1">
      <alignment horizontal="center" vertical="center"/>
    </xf>
    <xf numFmtId="0" fontId="0" fillId="13" borderId="71" xfId="0" applyFill="1" applyBorder="1" applyAlignment="1">
      <alignment horizontal="center" vertical="center"/>
    </xf>
    <xf numFmtId="0" fontId="0" fillId="13" borderId="65" xfId="0" applyFill="1" applyBorder="1" applyAlignment="1">
      <alignment horizontal="center" vertical="center"/>
    </xf>
    <xf numFmtId="0" fontId="0" fillId="13" borderId="29" xfId="0" applyFill="1" applyBorder="1" applyAlignment="1">
      <alignment horizontal="center" vertical="center"/>
    </xf>
    <xf numFmtId="0" fontId="0" fillId="13" borderId="33" xfId="0" applyFill="1" applyBorder="1" applyAlignment="1">
      <alignment horizontal="center" vertical="center"/>
    </xf>
    <xf numFmtId="0" fontId="0" fillId="13" borderId="59" xfId="0" applyFill="1" applyBorder="1" applyAlignment="1">
      <alignment horizontal="left" vertical="center" wrapText="1"/>
    </xf>
    <xf numFmtId="0" fontId="0" fillId="13" borderId="0" xfId="0" applyFill="1" applyAlignment="1">
      <alignment horizontal="left" vertical="center" wrapText="1"/>
    </xf>
    <xf numFmtId="0" fontId="0" fillId="13" borderId="71" xfId="0" applyFill="1" applyBorder="1" applyAlignment="1">
      <alignment horizontal="left" vertical="center" wrapText="1"/>
    </xf>
    <xf numFmtId="0" fontId="0" fillId="13" borderId="48" xfId="0" applyFill="1" applyBorder="1" applyAlignment="1">
      <alignment horizontal="center" vertical="center" wrapText="1"/>
    </xf>
    <xf numFmtId="0" fontId="0" fillId="13" borderId="41" xfId="0" applyFill="1" applyBorder="1" applyAlignment="1">
      <alignment horizontal="center" vertical="center"/>
    </xf>
    <xf numFmtId="0" fontId="0" fillId="13" borderId="49" xfId="0" applyFill="1" applyBorder="1" applyAlignment="1">
      <alignment horizontal="center" vertical="center"/>
    </xf>
    <xf numFmtId="0" fontId="0" fillId="13" borderId="52" xfId="0" applyFill="1" applyBorder="1" applyAlignment="1">
      <alignment horizontal="center" vertical="center" wrapText="1"/>
    </xf>
    <xf numFmtId="0" fontId="0" fillId="13" borderId="53" xfId="0" applyFill="1" applyBorder="1" applyAlignment="1">
      <alignment horizontal="center" vertical="center"/>
    </xf>
    <xf numFmtId="0" fontId="0" fillId="13" borderId="61" xfId="0" applyFill="1" applyBorder="1" applyAlignment="1">
      <alignment horizontal="center" vertical="center"/>
    </xf>
    <xf numFmtId="0" fontId="0" fillId="13" borderId="16" xfId="0" applyFill="1" applyBorder="1" applyAlignment="1">
      <alignment horizontal="center" vertical="center" wrapText="1"/>
    </xf>
    <xf numFmtId="0" fontId="1" fillId="13" borderId="11"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41" xfId="0" applyFont="1" applyFill="1" applyBorder="1" applyAlignment="1">
      <alignment horizontal="center" vertical="center"/>
    </xf>
    <xf numFmtId="0" fontId="0" fillId="2" borderId="4" xfId="0" applyFill="1" applyBorder="1" applyAlignment="1">
      <alignment horizontal="center" vertical="center"/>
    </xf>
    <xf numFmtId="0" fontId="1" fillId="13" borderId="57" xfId="0" applyFont="1" applyFill="1" applyBorder="1" applyAlignment="1">
      <alignment horizontal="center" vertical="center"/>
    </xf>
    <xf numFmtId="0" fontId="1" fillId="13" borderId="47" xfId="0" applyFont="1" applyFill="1" applyBorder="1" applyAlignment="1">
      <alignment horizontal="center" vertical="center"/>
    </xf>
    <xf numFmtId="0" fontId="1" fillId="13" borderId="36" xfId="0" applyFont="1" applyFill="1" applyBorder="1" applyAlignment="1">
      <alignment horizontal="center" vertical="center"/>
    </xf>
    <xf numFmtId="1" fontId="0" fillId="2" borderId="10" xfId="0" applyNumberFormat="1" applyFill="1" applyBorder="1" applyAlignment="1">
      <alignment horizontal="center" vertical="center"/>
    </xf>
    <xf numFmtId="1" fontId="0" fillId="2" borderId="4" xfId="0" applyNumberFormat="1" applyFill="1" applyBorder="1" applyAlignment="1">
      <alignment horizontal="center" vertical="center"/>
    </xf>
    <xf numFmtId="0" fontId="12" fillId="13" borderId="2" xfId="0" applyFont="1" applyFill="1" applyBorder="1" applyAlignment="1">
      <alignment horizontal="center" vertical="center"/>
    </xf>
    <xf numFmtId="0" fontId="12" fillId="13" borderId="35" xfId="0" applyFont="1" applyFill="1" applyBorder="1" applyAlignment="1">
      <alignment horizontal="center" vertical="center"/>
    </xf>
    <xf numFmtId="0" fontId="12" fillId="13" borderId="3" xfId="0" applyFont="1" applyFill="1" applyBorder="1" applyAlignment="1">
      <alignment horizontal="center" vertical="center"/>
    </xf>
    <xf numFmtId="0" fontId="0" fillId="3" borderId="21" xfId="0" applyFill="1" applyBorder="1" applyAlignment="1">
      <alignment horizontal="center" vertical="center"/>
    </xf>
    <xf numFmtId="0" fontId="0" fillId="3" borderId="60" xfId="0" applyFill="1" applyBorder="1" applyAlignment="1">
      <alignment horizontal="center" vertical="center"/>
    </xf>
    <xf numFmtId="0" fontId="0" fillId="3" borderId="38" xfId="0" applyFill="1" applyBorder="1" applyAlignment="1">
      <alignment horizontal="center" vertical="center"/>
    </xf>
    <xf numFmtId="0" fontId="14" fillId="2" borderId="51" xfId="0" applyFont="1" applyFill="1" applyBorder="1" applyAlignment="1">
      <alignment horizontal="center" vertical="center" wrapText="1"/>
    </xf>
    <xf numFmtId="0" fontId="14" fillId="2" borderId="40" xfId="0" applyFont="1" applyFill="1" applyBorder="1" applyAlignment="1">
      <alignment horizontal="center" vertical="center" wrapText="1"/>
    </xf>
    <xf numFmtId="0" fontId="14" fillId="2" borderId="63" xfId="0" applyFont="1" applyFill="1" applyBorder="1" applyAlignment="1">
      <alignment horizontal="center" vertical="center" wrapText="1"/>
    </xf>
    <xf numFmtId="0" fontId="0" fillId="3" borderId="64" xfId="0" applyFill="1" applyBorder="1" applyAlignment="1">
      <alignment horizontal="center" vertical="center"/>
    </xf>
    <xf numFmtId="0" fontId="0" fillId="13" borderId="55" xfId="0" applyFill="1" applyBorder="1" applyAlignment="1">
      <alignment horizontal="center" vertical="center"/>
    </xf>
    <xf numFmtId="0" fontId="0" fillId="13" borderId="63" xfId="0" applyFill="1" applyBorder="1" applyAlignment="1">
      <alignment horizontal="center" vertical="center"/>
    </xf>
    <xf numFmtId="0" fontId="0" fillId="13" borderId="40" xfId="0" applyFill="1" applyBorder="1" applyAlignment="1">
      <alignment horizontal="center" vertical="center"/>
    </xf>
    <xf numFmtId="0" fontId="0" fillId="13" borderId="39" xfId="0" applyFill="1" applyBorder="1" applyAlignment="1">
      <alignment horizontal="center" vertical="center"/>
    </xf>
    <xf numFmtId="0" fontId="1" fillId="3" borderId="2"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 xfId="0" applyFont="1" applyFill="1" applyBorder="1" applyAlignment="1">
      <alignment horizontal="center" vertical="center"/>
    </xf>
    <xf numFmtId="0" fontId="0" fillId="13" borderId="9" xfId="0" applyFill="1" applyBorder="1" applyAlignment="1">
      <alignment horizontal="center" vertical="center"/>
    </xf>
    <xf numFmtId="0" fontId="0" fillId="13" borderId="52" xfId="0" applyFill="1" applyBorder="1" applyAlignment="1">
      <alignment horizontal="center" vertical="center"/>
    </xf>
    <xf numFmtId="0" fontId="0" fillId="13" borderId="67" xfId="0" applyFill="1" applyBorder="1" applyAlignment="1">
      <alignment horizontal="center" vertical="center"/>
    </xf>
    <xf numFmtId="0" fontId="10" fillId="13" borderId="56" xfId="0" applyFont="1" applyFill="1" applyBorder="1" applyAlignment="1">
      <alignment horizontal="center" vertical="center"/>
    </xf>
    <xf numFmtId="0" fontId="0" fillId="12" borderId="52" xfId="0" applyFill="1" applyBorder="1" applyAlignment="1">
      <alignment horizontal="center" vertical="center"/>
    </xf>
    <xf numFmtId="0" fontId="0" fillId="12" borderId="53" xfId="0" applyFill="1" applyBorder="1" applyAlignment="1">
      <alignment horizontal="center" vertical="center"/>
    </xf>
    <xf numFmtId="0" fontId="0" fillId="12" borderId="61" xfId="0" applyFill="1" applyBorder="1" applyAlignment="1">
      <alignment horizontal="center" vertical="center"/>
    </xf>
    <xf numFmtId="0" fontId="0" fillId="12" borderId="16" xfId="0" applyFill="1" applyBorder="1" applyAlignment="1">
      <alignment horizontal="center" vertical="center"/>
    </xf>
    <xf numFmtId="0" fontId="0" fillId="12" borderId="4" xfId="0" applyFill="1" applyBorder="1" applyAlignment="1">
      <alignment horizontal="center" vertical="center"/>
    </xf>
    <xf numFmtId="0" fontId="0" fillId="12" borderId="17" xfId="0" applyFill="1" applyBorder="1" applyAlignment="1">
      <alignment horizontal="center" vertical="center"/>
    </xf>
    <xf numFmtId="0" fontId="1" fillId="13" borderId="9" xfId="0" applyFont="1"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10" fillId="13" borderId="36" xfId="0" applyFont="1" applyFill="1" applyBorder="1" applyAlignment="1">
      <alignment horizontal="center" vertical="center"/>
    </xf>
    <xf numFmtId="0" fontId="12" fillId="13" borderId="52" xfId="0" applyFont="1" applyFill="1" applyBorder="1" applyAlignment="1">
      <alignment horizontal="center" vertical="center"/>
    </xf>
    <xf numFmtId="0" fontId="12" fillId="13" borderId="67" xfId="0" applyFont="1" applyFill="1" applyBorder="1" applyAlignment="1">
      <alignment horizontal="center" vertical="center"/>
    </xf>
    <xf numFmtId="0" fontId="1" fillId="13" borderId="46" xfId="0" applyFont="1" applyFill="1" applyBorder="1" applyAlignment="1">
      <alignment horizontal="center" vertical="center"/>
    </xf>
    <xf numFmtId="0" fontId="1" fillId="13" borderId="56" xfId="0" applyFont="1" applyFill="1" applyBorder="1" applyAlignment="1">
      <alignment horizontal="center" vertical="center"/>
    </xf>
    <xf numFmtId="164" fontId="12" fillId="13" borderId="53" xfId="0" applyNumberFormat="1" applyFont="1" applyFill="1" applyBorder="1" applyAlignment="1">
      <alignment horizontal="center" vertical="center"/>
    </xf>
    <xf numFmtId="164" fontId="12" fillId="13" borderId="67" xfId="0" applyNumberFormat="1" applyFont="1" applyFill="1" applyBorder="1" applyAlignment="1">
      <alignment horizontal="center" vertical="center"/>
    </xf>
    <xf numFmtId="0" fontId="13" fillId="6" borderId="2" xfId="0" applyFont="1" applyFill="1" applyBorder="1" applyAlignment="1">
      <alignment horizontal="center" vertical="center"/>
    </xf>
    <xf numFmtId="0" fontId="13" fillId="6" borderId="35" xfId="0" applyFont="1" applyFill="1" applyBorder="1" applyAlignment="1">
      <alignment horizontal="center" vertical="center"/>
    </xf>
    <xf numFmtId="0" fontId="13" fillId="6" borderId="37" xfId="0" applyFont="1" applyFill="1" applyBorder="1" applyAlignment="1">
      <alignment horizontal="center" vertical="center"/>
    </xf>
    <xf numFmtId="0" fontId="13" fillId="6" borderId="20" xfId="0" applyFont="1" applyFill="1" applyBorder="1" applyAlignment="1">
      <alignment horizontal="center" vertical="center"/>
    </xf>
    <xf numFmtId="0" fontId="1" fillId="13" borderId="5" xfId="0" applyFont="1" applyFill="1" applyBorder="1" applyAlignment="1">
      <alignment horizontal="center" vertical="center" wrapText="1"/>
    </xf>
    <xf numFmtId="0" fontId="1" fillId="13" borderId="37" xfId="0" applyFont="1" applyFill="1" applyBorder="1" applyAlignment="1">
      <alignment horizontal="center" vertical="center" wrapText="1"/>
    </xf>
    <xf numFmtId="0" fontId="1" fillId="13" borderId="20"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3" borderId="0" xfId="0" applyFont="1" applyFill="1" applyBorder="1" applyAlignment="1">
      <alignment horizontal="center" vertical="center" wrapText="1"/>
    </xf>
    <xf numFmtId="0" fontId="1" fillId="13" borderId="25"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26"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0" fillId="3" borderId="22" xfId="0" applyFill="1" applyBorder="1" applyAlignment="1">
      <alignment horizontal="center" vertical="center"/>
    </xf>
    <xf numFmtId="0" fontId="0" fillId="13" borderId="2" xfId="0" applyFill="1" applyBorder="1" applyAlignment="1">
      <alignment horizontal="center" vertical="center"/>
    </xf>
    <xf numFmtId="0" fontId="0" fillId="13" borderId="35" xfId="0" applyFill="1" applyBorder="1" applyAlignment="1">
      <alignment horizontal="center" vertical="center"/>
    </xf>
    <xf numFmtId="0" fontId="0" fillId="13" borderId="3" xfId="0"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14" fontId="4" fillId="2" borderId="9" xfId="0" applyNumberFormat="1" applyFont="1" applyFill="1" applyBorder="1" applyAlignment="1">
      <alignment horizontal="center" vertical="center"/>
    </xf>
    <xf numFmtId="0" fontId="4" fillId="2" borderId="10" xfId="0" applyFont="1" applyFill="1" applyBorder="1" applyAlignment="1">
      <alignment horizontal="center" vertical="center"/>
    </xf>
    <xf numFmtId="164" fontId="0" fillId="12" borderId="16" xfId="0" applyNumberFormat="1" applyFill="1" applyBorder="1" applyAlignment="1">
      <alignment horizontal="center" vertical="center"/>
    </xf>
    <xf numFmtId="164" fontId="0" fillId="12" borderId="4" xfId="0" applyNumberFormat="1" applyFill="1" applyBorder="1" applyAlignment="1">
      <alignment horizontal="center" vertical="center"/>
    </xf>
    <xf numFmtId="164" fontId="0" fillId="12" borderId="17" xfId="0" applyNumberFormat="1" applyFill="1" applyBorder="1" applyAlignment="1">
      <alignment horizontal="center" vertical="center"/>
    </xf>
    <xf numFmtId="14" fontId="1" fillId="13" borderId="2" xfId="0" applyNumberFormat="1" applyFont="1" applyFill="1" applyBorder="1" applyAlignment="1">
      <alignment horizontal="center" vertical="center"/>
    </xf>
    <xf numFmtId="0" fontId="1" fillId="13" borderId="11" xfId="0" applyFont="1" applyFill="1" applyBorder="1" applyAlignment="1">
      <alignment horizontal="center" vertical="center" wrapText="1"/>
    </xf>
    <xf numFmtId="0" fontId="1" fillId="13" borderId="40" xfId="0" applyFont="1" applyFill="1" applyBorder="1" applyAlignment="1">
      <alignment horizontal="center" vertical="center" wrapText="1"/>
    </xf>
    <xf numFmtId="0" fontId="1" fillId="13" borderId="58" xfId="0" applyFont="1" applyFill="1" applyBorder="1" applyAlignment="1">
      <alignment horizontal="center" vertical="center" wrapText="1"/>
    </xf>
    <xf numFmtId="0" fontId="1" fillId="13" borderId="31"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13" borderId="52" xfId="0" applyFont="1" applyFill="1" applyBorder="1" applyAlignment="1">
      <alignment horizontal="center" vertical="center" wrapText="1"/>
    </xf>
    <xf numFmtId="0" fontId="1" fillId="13" borderId="16"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13" borderId="5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34" xfId="0" applyFont="1" applyFill="1" applyBorder="1" applyAlignment="1">
      <alignment horizontal="center" vertical="center" wrapText="1"/>
    </xf>
    <xf numFmtId="0" fontId="1" fillId="13" borderId="61"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13" fillId="13" borderId="5" xfId="0" applyFont="1" applyFill="1" applyBorder="1" applyAlignment="1">
      <alignment horizontal="left" vertical="top"/>
    </xf>
    <xf numFmtId="0" fontId="0" fillId="13" borderId="37" xfId="0" applyFill="1" applyBorder="1" applyAlignment="1">
      <alignment horizontal="left" vertical="top"/>
    </xf>
    <xf numFmtId="0" fontId="0" fillId="13" borderId="20" xfId="0" applyFill="1" applyBorder="1" applyAlignment="1">
      <alignment horizontal="left" vertical="top"/>
    </xf>
    <xf numFmtId="0" fontId="0" fillId="13" borderId="13" xfId="0" applyFill="1" applyBorder="1" applyAlignment="1">
      <alignment horizontal="left" vertical="top"/>
    </xf>
    <xf numFmtId="0" fontId="0" fillId="13" borderId="26" xfId="0" applyFill="1" applyBorder="1" applyAlignment="1">
      <alignment horizontal="left" vertical="top"/>
    </xf>
    <xf numFmtId="0" fontId="0" fillId="13" borderId="42" xfId="0" applyFill="1" applyBorder="1" applyAlignment="1">
      <alignment horizontal="left" vertical="top"/>
    </xf>
    <xf numFmtId="0" fontId="1" fillId="13" borderId="2"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7" xfId="0" applyFont="1" applyFill="1" applyBorder="1" applyAlignment="1">
      <alignment horizontal="center" vertical="center"/>
    </xf>
    <xf numFmtId="0" fontId="12" fillId="13" borderId="20" xfId="0" applyFont="1" applyFill="1" applyBorder="1" applyAlignment="1">
      <alignment horizontal="center" vertical="center"/>
    </xf>
    <xf numFmtId="0" fontId="12" fillId="13" borderId="12" xfId="0" applyFont="1" applyFill="1" applyBorder="1" applyAlignment="1">
      <alignment horizontal="center" vertical="center"/>
    </xf>
    <xf numFmtId="0" fontId="12" fillId="13" borderId="0" xfId="0" applyFont="1" applyFill="1" applyAlignment="1">
      <alignment horizontal="center" vertical="center"/>
    </xf>
    <xf numFmtId="0" fontId="12" fillId="13" borderId="25" xfId="0" applyFont="1" applyFill="1" applyBorder="1" applyAlignment="1">
      <alignment horizontal="center" vertical="center"/>
    </xf>
    <xf numFmtId="0" fontId="12" fillId="13" borderId="13" xfId="0" applyFont="1" applyFill="1" applyBorder="1" applyAlignment="1">
      <alignment horizontal="center" vertical="center"/>
    </xf>
    <xf numFmtId="0" fontId="12" fillId="13" borderId="26" xfId="0" applyFont="1" applyFill="1" applyBorder="1" applyAlignment="1">
      <alignment horizontal="center" vertical="center"/>
    </xf>
    <xf numFmtId="0" fontId="12" fillId="13" borderId="42" xfId="0" applyFont="1" applyFill="1" applyBorder="1" applyAlignment="1">
      <alignment horizontal="center" vertical="center"/>
    </xf>
    <xf numFmtId="0" fontId="1" fillId="13" borderId="29" xfId="0" applyFont="1" applyFill="1" applyBorder="1" applyAlignment="1">
      <alignment horizontal="center" vertical="center"/>
    </xf>
    <xf numFmtId="0" fontId="1" fillId="13" borderId="33"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37" xfId="0" applyFont="1" applyFill="1" applyBorder="1" applyAlignment="1">
      <alignment horizontal="center" vertical="center"/>
    </xf>
    <xf numFmtId="0" fontId="1" fillId="13" borderId="20" xfId="0" applyFont="1" applyFill="1" applyBorder="1" applyAlignment="1">
      <alignment horizontal="center" vertical="center"/>
    </xf>
    <xf numFmtId="0" fontId="1" fillId="13" borderId="0" xfId="0" applyFont="1" applyFill="1" applyAlignment="1">
      <alignment horizontal="center" vertical="center" wrapText="1"/>
    </xf>
    <xf numFmtId="0" fontId="12" fillId="13" borderId="16" xfId="0" applyFont="1" applyFill="1" applyBorder="1" applyAlignment="1">
      <alignment horizontal="center" vertical="center" wrapText="1"/>
    </xf>
    <xf numFmtId="0" fontId="12" fillId="13" borderId="17" xfId="0" applyFont="1" applyFill="1" applyBorder="1" applyAlignment="1">
      <alignment horizontal="center" vertical="center"/>
    </xf>
    <xf numFmtId="0" fontId="0" fillId="13" borderId="18" xfId="0" applyFill="1" applyBorder="1" applyAlignment="1">
      <alignment horizontal="center" vertical="center" wrapText="1"/>
    </xf>
    <xf numFmtId="0" fontId="1" fillId="13" borderId="12" xfId="0" applyFont="1" applyFill="1" applyBorder="1" applyAlignment="1">
      <alignment horizontal="center" vertical="center"/>
    </xf>
    <xf numFmtId="0" fontId="1" fillId="13" borderId="0" xfId="0" applyFont="1" applyFill="1" applyAlignment="1">
      <alignment horizontal="center" vertical="center"/>
    </xf>
    <xf numFmtId="0" fontId="1" fillId="13" borderId="25"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26" xfId="0" applyFont="1" applyFill="1" applyBorder="1" applyAlignment="1">
      <alignment horizontal="center" vertical="center"/>
    </xf>
    <xf numFmtId="0" fontId="1" fillId="13" borderId="42" xfId="0" applyFont="1" applyFill="1" applyBorder="1" applyAlignment="1">
      <alignment horizontal="center" vertical="center"/>
    </xf>
    <xf numFmtId="0" fontId="0" fillId="13" borderId="4" xfId="0" applyFill="1" applyBorder="1" applyAlignment="1">
      <alignment horizontal="center" vertical="center" wrapText="1"/>
    </xf>
    <xf numFmtId="0" fontId="0" fillId="13" borderId="17" xfId="0" applyFill="1" applyBorder="1" applyAlignment="1">
      <alignment horizontal="center" vertical="center" wrapText="1"/>
    </xf>
    <xf numFmtId="0" fontId="0" fillId="13" borderId="48" xfId="0" applyFill="1" applyBorder="1" applyAlignment="1">
      <alignment horizontal="center" vertical="center"/>
    </xf>
    <xf numFmtId="0" fontId="0" fillId="13" borderId="11" xfId="0" applyFill="1" applyBorder="1" applyAlignment="1">
      <alignment horizontal="center" vertical="center"/>
    </xf>
    <xf numFmtId="0" fontId="0" fillId="13" borderId="10" xfId="0" applyFill="1" applyBorder="1" applyAlignment="1">
      <alignment horizontal="center" vertical="center"/>
    </xf>
    <xf numFmtId="0" fontId="1" fillId="0" borderId="2" xfId="0" applyFont="1" applyFill="1" applyBorder="1" applyAlignment="1">
      <alignment horizontal="left" vertical="center"/>
    </xf>
    <xf numFmtId="0" fontId="1" fillId="0" borderId="35" xfId="0" applyFont="1" applyFill="1" applyBorder="1" applyAlignment="1">
      <alignment horizontal="left" vertical="center"/>
    </xf>
    <xf numFmtId="0" fontId="1" fillId="0" borderId="3" xfId="0" applyFont="1" applyFill="1" applyBorder="1" applyAlignment="1">
      <alignment horizontal="left" vertical="center"/>
    </xf>
    <xf numFmtId="0" fontId="10" fillId="22" borderId="2" xfId="0" applyFont="1" applyFill="1" applyBorder="1" applyAlignment="1">
      <alignment horizontal="center" vertical="center"/>
    </xf>
    <xf numFmtId="0" fontId="10" fillId="22" borderId="3"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5" xfId="0" applyFont="1" applyFill="1" applyBorder="1" applyAlignment="1">
      <alignment horizontal="center" vertical="center"/>
    </xf>
    <xf numFmtId="0" fontId="10" fillId="0" borderId="3" xfId="0" applyFont="1" applyFill="1" applyBorder="1" applyAlignment="1">
      <alignment horizontal="center" vertical="center"/>
    </xf>
    <xf numFmtId="0" fontId="13" fillId="0" borderId="75" xfId="0" applyFont="1" applyFill="1" applyBorder="1" applyAlignment="1">
      <alignment horizontal="center" vertical="center"/>
    </xf>
    <xf numFmtId="0" fontId="13" fillId="0" borderId="37" xfId="0" applyFont="1" applyFill="1" applyBorder="1" applyAlignment="1">
      <alignment horizontal="center" vertical="center"/>
    </xf>
    <xf numFmtId="0" fontId="13" fillId="0" borderId="20"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10" fillId="0" borderId="21"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51" xfId="0" applyFont="1" applyFill="1" applyBorder="1" applyAlignment="1">
      <alignment horizontal="center" vertical="center"/>
    </xf>
    <xf numFmtId="0" fontId="10" fillId="0" borderId="39"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3" xfId="0" applyFont="1" applyFill="1" applyBorder="1" applyAlignment="1">
      <alignment horizontal="center" vertical="center"/>
    </xf>
    <xf numFmtId="0" fontId="10" fillId="22" borderId="3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35" xfId="0" applyFont="1" applyFill="1" applyBorder="1" applyAlignment="1">
      <alignment horizontal="center" vertical="center"/>
    </xf>
    <xf numFmtId="0" fontId="10" fillId="0" borderId="37" xfId="0" applyFont="1" applyFill="1" applyBorder="1" applyAlignment="1">
      <alignment horizontal="center" vertical="center"/>
    </xf>
    <xf numFmtId="0" fontId="12" fillId="0" borderId="37" xfId="0" applyFont="1" applyFill="1" applyBorder="1" applyAlignment="1">
      <alignment horizontal="center" vertical="center"/>
    </xf>
    <xf numFmtId="0" fontId="12" fillId="0" borderId="4" xfId="0" applyFont="1" applyBorder="1" applyAlignment="1">
      <alignment horizontal="left"/>
    </xf>
    <xf numFmtId="0" fontId="1" fillId="2" borderId="2"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5" xfId="0" applyFont="1" applyFill="1" applyBorder="1" applyAlignment="1">
      <alignment horizontal="center"/>
    </xf>
    <xf numFmtId="0" fontId="1" fillId="2" borderId="37" xfId="0" applyFont="1" applyFill="1" applyBorder="1" applyAlignment="1">
      <alignment horizontal="center"/>
    </xf>
    <xf numFmtId="0" fontId="1" fillId="2" borderId="20" xfId="0" applyFont="1" applyFill="1" applyBorder="1" applyAlignment="1">
      <alignment horizontal="center"/>
    </xf>
    <xf numFmtId="0" fontId="0" fillId="0" borderId="2" xfId="0" applyBorder="1" applyAlignment="1">
      <alignment horizontal="center"/>
    </xf>
    <xf numFmtId="0" fontId="0" fillId="0" borderId="35" xfId="0" applyBorder="1" applyAlignment="1">
      <alignment horizontal="center"/>
    </xf>
    <xf numFmtId="0" fontId="0" fillId="0" borderId="3" xfId="0" applyBorder="1" applyAlignment="1">
      <alignment horizontal="center"/>
    </xf>
    <xf numFmtId="0" fontId="21" fillId="0" borderId="4" xfId="0" applyFont="1" applyBorder="1" applyAlignment="1">
      <alignment horizontal="left" vertical="center"/>
    </xf>
    <xf numFmtId="0" fontId="21" fillId="0" borderId="9" xfId="0" applyFont="1" applyBorder="1" applyAlignment="1">
      <alignment horizontal="left" vertical="center"/>
    </xf>
    <xf numFmtId="0" fontId="21" fillId="0" borderId="11" xfId="0" applyFont="1" applyBorder="1" applyAlignment="1">
      <alignment horizontal="left" vertical="center"/>
    </xf>
    <xf numFmtId="0" fontId="21" fillId="0" borderId="10" xfId="0" applyFont="1" applyBorder="1" applyAlignment="1">
      <alignment horizontal="left" vertical="center"/>
    </xf>
    <xf numFmtId="0" fontId="27" fillId="0" borderId="5"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1" fillId="13" borderId="2" xfId="0" applyFont="1" applyFill="1" applyBorder="1" applyAlignment="1">
      <alignment horizontal="center"/>
    </xf>
    <xf numFmtId="0" fontId="1" fillId="13" borderId="37" xfId="0" applyFont="1" applyFill="1" applyBorder="1" applyAlignment="1">
      <alignment horizontal="center"/>
    </xf>
    <xf numFmtId="0" fontId="1" fillId="13" borderId="20" xfId="0" applyFont="1" applyFill="1" applyBorder="1" applyAlignment="1">
      <alignment horizontal="center"/>
    </xf>
    <xf numFmtId="0" fontId="13" fillId="0" borderId="2" xfId="0" applyFont="1" applyBorder="1" applyAlignment="1">
      <alignment horizontal="center" vertical="center"/>
    </xf>
    <xf numFmtId="0" fontId="13" fillId="0" borderId="35" xfId="0" applyFont="1" applyBorder="1" applyAlignment="1">
      <alignment horizontal="center" vertical="center"/>
    </xf>
    <xf numFmtId="0" fontId="13" fillId="0" borderId="3" xfId="0" applyFont="1" applyBorder="1" applyAlignment="1">
      <alignment horizontal="center" vertical="center"/>
    </xf>
    <xf numFmtId="0" fontId="1" fillId="0" borderId="41" xfId="0" applyFont="1" applyBorder="1" applyAlignment="1">
      <alignment horizontal="center"/>
    </xf>
    <xf numFmtId="0" fontId="1" fillId="18" borderId="23" xfId="0" applyFont="1" applyFill="1" applyBorder="1" applyAlignment="1">
      <alignment horizontal="center"/>
    </xf>
    <xf numFmtId="0" fontId="1" fillId="18" borderId="29" xfId="0" applyFont="1" applyFill="1" applyBorder="1" applyAlignment="1">
      <alignment horizontal="center"/>
    </xf>
    <xf numFmtId="0" fontId="1" fillId="19" borderId="46" xfId="0" applyFont="1" applyFill="1" applyBorder="1" applyAlignment="1">
      <alignment horizontal="center"/>
    </xf>
    <xf numFmtId="0" fontId="1" fillId="19" borderId="47" xfId="0" applyFont="1" applyFill="1" applyBorder="1" applyAlignment="1">
      <alignment horizontal="center"/>
    </xf>
    <xf numFmtId="0" fontId="27" fillId="0" borderId="14" xfId="0" applyFont="1" applyBorder="1" applyAlignment="1">
      <alignment horizontal="center" vertical="center" wrapText="1"/>
    </xf>
    <xf numFmtId="0" fontId="27" fillId="0" borderId="2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34" xfId="0" applyFont="1" applyBorder="1" applyAlignment="1">
      <alignment horizontal="center" vertical="center" wrapText="1"/>
    </xf>
    <xf numFmtId="0" fontId="29" fillId="0" borderId="2" xfId="0" applyFont="1" applyBorder="1" applyAlignment="1">
      <alignment horizontal="center" vertical="top"/>
    </xf>
    <xf numFmtId="0" fontId="29" fillId="0" borderId="35" xfId="0" applyFont="1" applyBorder="1" applyAlignment="1">
      <alignment horizontal="center" vertical="top"/>
    </xf>
    <xf numFmtId="0" fontId="29" fillId="0" borderId="3" xfId="0" applyFont="1" applyBorder="1" applyAlignment="1">
      <alignment horizontal="center" vertical="top"/>
    </xf>
    <xf numFmtId="0" fontId="28" fillId="0" borderId="0" xfId="0" applyFont="1" applyAlignment="1">
      <alignment horizontal="center" vertical="center"/>
    </xf>
    <xf numFmtId="0" fontId="1" fillId="21" borderId="23" xfId="0" applyFont="1" applyFill="1" applyBorder="1" applyAlignment="1">
      <alignment horizontal="center"/>
    </xf>
    <xf numFmtId="0" fontId="1" fillId="21" borderId="29" xfId="0" applyFont="1" applyFill="1" applyBorder="1" applyAlignment="1">
      <alignment horizontal="center"/>
    </xf>
    <xf numFmtId="0" fontId="1" fillId="21" borderId="33" xfId="0" applyFont="1" applyFill="1" applyBorder="1" applyAlignment="1">
      <alignment horizontal="center"/>
    </xf>
    <xf numFmtId="164" fontId="3" fillId="21" borderId="2" xfId="0" applyNumberFormat="1" applyFont="1" applyFill="1" applyBorder="1" applyAlignment="1">
      <alignment horizontal="center"/>
    </xf>
    <xf numFmtId="0" fontId="3" fillId="21" borderId="3" xfId="0" applyFont="1" applyFill="1" applyBorder="1" applyAlignment="1">
      <alignment horizontal="center"/>
    </xf>
    <xf numFmtId="0" fontId="1" fillId="12" borderId="6"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6" xfId="0" applyFont="1" applyFill="1" applyBorder="1" applyAlignment="1">
      <alignment horizontal="center" vertical="center"/>
    </xf>
    <xf numFmtId="0" fontId="1" fillId="12" borderId="8"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164" fontId="3" fillId="4" borderId="2" xfId="0" applyNumberFormat="1" applyFont="1" applyFill="1" applyBorder="1" applyAlignment="1">
      <alignment horizontal="center"/>
    </xf>
    <xf numFmtId="0" fontId="3" fillId="4" borderId="3" xfId="0" applyFont="1" applyFill="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0" borderId="3" xfId="0" applyFont="1" applyBorder="1" applyAlignment="1">
      <alignment horizontal="center"/>
    </xf>
    <xf numFmtId="0" fontId="1" fillId="2" borderId="23" xfId="0" applyFont="1" applyFill="1" applyBorder="1" applyAlignment="1">
      <alignment horizontal="center"/>
    </xf>
    <xf numFmtId="0" fontId="1" fillId="2" borderId="29" xfId="0" applyFont="1" applyFill="1" applyBorder="1" applyAlignment="1">
      <alignment horizontal="center"/>
    </xf>
    <xf numFmtId="0" fontId="1" fillId="2" borderId="33" xfId="0" applyFont="1" applyFill="1" applyBorder="1" applyAlignment="1">
      <alignment horizontal="center"/>
    </xf>
    <xf numFmtId="164" fontId="3" fillId="2" borderId="2" xfId="0" applyNumberFormat="1" applyFont="1" applyFill="1" applyBorder="1" applyAlignment="1">
      <alignment horizontal="center"/>
    </xf>
    <xf numFmtId="0" fontId="3" fillId="2" borderId="3" xfId="0" applyFont="1" applyFill="1" applyBorder="1" applyAlignment="1">
      <alignment horizontal="center"/>
    </xf>
    <xf numFmtId="0" fontId="1" fillId="4" borderId="23" xfId="0" applyFont="1" applyFill="1" applyBorder="1" applyAlignment="1">
      <alignment horizontal="center"/>
    </xf>
    <xf numFmtId="0" fontId="1" fillId="4" borderId="29" xfId="0" applyFont="1" applyFill="1" applyBorder="1" applyAlignment="1">
      <alignment horizontal="center"/>
    </xf>
    <xf numFmtId="0" fontId="1" fillId="4" borderId="33" xfId="0" applyFont="1" applyFill="1" applyBorder="1" applyAlignment="1">
      <alignment horizontal="center"/>
    </xf>
    <xf numFmtId="0" fontId="16" fillId="2" borderId="5" xfId="0" applyFont="1" applyFill="1" applyBorder="1" applyAlignment="1">
      <alignment horizontal="center" vertical="center"/>
    </xf>
    <xf numFmtId="0" fontId="16" fillId="2" borderId="37" xfId="0" applyFont="1" applyFill="1" applyBorder="1" applyAlignment="1">
      <alignment horizontal="center" vertical="center"/>
    </xf>
    <xf numFmtId="0" fontId="16" fillId="2" borderId="20" xfId="0" applyFont="1" applyFill="1" applyBorder="1" applyAlignment="1">
      <alignment horizontal="center" vertical="center"/>
    </xf>
    <xf numFmtId="0" fontId="16" fillId="2" borderId="13" xfId="0" applyFont="1" applyFill="1" applyBorder="1" applyAlignment="1">
      <alignment horizontal="center" vertical="center"/>
    </xf>
    <xf numFmtId="0" fontId="16" fillId="2" borderId="26" xfId="0" applyFont="1" applyFill="1" applyBorder="1" applyAlignment="1">
      <alignment horizontal="center" vertical="center"/>
    </xf>
    <xf numFmtId="0" fontId="16" fillId="2" borderId="42" xfId="0"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2" borderId="3" xfId="0" applyFont="1" applyFill="1" applyBorder="1" applyAlignment="1">
      <alignment horizontal="center" vertical="center"/>
    </xf>
    <xf numFmtId="164" fontId="16" fillId="2" borderId="6" xfId="0" applyNumberFormat="1" applyFont="1" applyFill="1" applyBorder="1" applyAlignment="1">
      <alignment horizontal="center" vertical="center"/>
    </xf>
    <xf numFmtId="164" fontId="16" fillId="2" borderId="8" xfId="0" applyNumberFormat="1" applyFont="1" applyFill="1" applyBorder="1" applyAlignment="1">
      <alignment horizontal="center" vertical="center"/>
    </xf>
    <xf numFmtId="0" fontId="3" fillId="7" borderId="5" xfId="0" applyFont="1" applyFill="1" applyBorder="1" applyAlignment="1">
      <alignment horizontal="center" vertical="center"/>
    </xf>
    <xf numFmtId="0" fontId="3" fillId="7" borderId="37" xfId="0" applyFont="1" applyFill="1" applyBorder="1" applyAlignment="1">
      <alignment horizontal="center" vertical="center"/>
    </xf>
    <xf numFmtId="0" fontId="3" fillId="7" borderId="20"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42" xfId="0" applyFont="1" applyFill="1" applyBorder="1" applyAlignment="1">
      <alignment horizontal="center" vertical="center"/>
    </xf>
    <xf numFmtId="0" fontId="0" fillId="0" borderId="4"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1" fillId="8" borderId="14" xfId="0" applyFont="1" applyFill="1" applyBorder="1" applyAlignment="1">
      <alignment horizontal="center"/>
    </xf>
    <xf numFmtId="0" fontId="1" fillId="8" borderId="24" xfId="0" applyFont="1" applyFill="1" applyBorder="1" applyAlignment="1">
      <alignment horizontal="center"/>
    </xf>
    <xf numFmtId="0" fontId="1" fillId="8" borderId="15" xfId="0" applyFont="1" applyFill="1" applyBorder="1" applyAlignment="1">
      <alignment horizontal="center"/>
    </xf>
    <xf numFmtId="0" fontId="1" fillId="12" borderId="14" xfId="0" applyFont="1" applyFill="1" applyBorder="1" applyAlignment="1">
      <alignment horizontal="center"/>
    </xf>
    <xf numFmtId="0" fontId="1" fillId="12" borderId="24" xfId="0" applyFont="1" applyFill="1" applyBorder="1" applyAlignment="1">
      <alignment horizontal="center"/>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6" borderId="6" xfId="0" applyFont="1" applyFill="1" applyBorder="1" applyAlignment="1">
      <alignment horizontal="center" vertical="center"/>
    </xf>
    <xf numFmtId="0" fontId="1" fillId="6" borderId="8" xfId="0" applyFont="1" applyFill="1" applyBorder="1" applyAlignment="1">
      <alignment horizontal="center" vertical="center"/>
    </xf>
    <xf numFmtId="0" fontId="0" fillId="0" borderId="19" xfId="0" applyBorder="1" applyAlignment="1">
      <alignment horizontal="center"/>
    </xf>
    <xf numFmtId="0" fontId="6" fillId="2" borderId="2" xfId="0" applyFont="1" applyFill="1" applyBorder="1" applyAlignment="1">
      <alignment horizontal="center"/>
    </xf>
    <xf numFmtId="0" fontId="6" fillId="2" borderId="35" xfId="0" applyFont="1" applyFill="1" applyBorder="1" applyAlignment="1">
      <alignment horizontal="center"/>
    </xf>
    <xf numFmtId="0" fontId="6" fillId="2" borderId="3" xfId="0" applyFont="1" applyFill="1" applyBorder="1" applyAlignment="1">
      <alignment horizontal="center"/>
    </xf>
    <xf numFmtId="0" fontId="1" fillId="24" borderId="46" xfId="0" applyFont="1" applyFill="1" applyBorder="1" applyAlignment="1">
      <alignment horizontal="center"/>
    </xf>
    <xf numFmtId="0" fontId="1" fillId="24" borderId="47" xfId="0" applyFont="1" applyFill="1" applyBorder="1" applyAlignment="1">
      <alignment horizontal="center"/>
    </xf>
    <xf numFmtId="0" fontId="1" fillId="24" borderId="36" xfId="0" applyFont="1" applyFill="1" applyBorder="1" applyAlignment="1">
      <alignment horizontal="center"/>
    </xf>
    <xf numFmtId="0" fontId="1" fillId="2" borderId="2" xfId="0" applyFont="1" applyFill="1" applyBorder="1" applyAlignment="1">
      <alignment horizontal="center" vertical="center" wrapText="1"/>
    </xf>
    <xf numFmtId="0" fontId="0" fillId="0" borderId="23"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0" fillId="0" borderId="2" xfId="0" applyBorder="1" applyAlignment="1">
      <alignment horizontal="center" vertical="center"/>
    </xf>
    <xf numFmtId="0" fontId="0" fillId="0" borderId="35" xfId="0" applyBorder="1" applyAlignment="1">
      <alignment horizontal="center" vertical="center"/>
    </xf>
    <xf numFmtId="0" fontId="1" fillId="0" borderId="46" xfId="0" applyFont="1" applyBorder="1" applyAlignment="1">
      <alignment horizontal="center"/>
    </xf>
    <xf numFmtId="0" fontId="1" fillId="0" borderId="47" xfId="0" applyFont="1" applyBorder="1" applyAlignment="1">
      <alignment horizontal="center"/>
    </xf>
    <xf numFmtId="0" fontId="1" fillId="0" borderId="36" xfId="0" applyFont="1" applyBorder="1" applyAlignment="1">
      <alignment horizontal="center"/>
    </xf>
    <xf numFmtId="0" fontId="0" fillId="0" borderId="20"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left"/>
    </xf>
    <xf numFmtId="0" fontId="0" fillId="0" borderId="47" xfId="0" applyBorder="1" applyAlignment="1">
      <alignment horizontal="left"/>
    </xf>
    <xf numFmtId="0" fontId="0" fillId="0" borderId="36" xfId="0" applyBorder="1" applyAlignment="1">
      <alignment horizontal="left"/>
    </xf>
    <xf numFmtId="0" fontId="0" fillId="0" borderId="12" xfId="0" applyFont="1" applyFill="1" applyBorder="1" applyAlignment="1">
      <alignment horizontal="left"/>
    </xf>
    <xf numFmtId="0" fontId="0" fillId="0" borderId="0" xfId="0" applyFont="1" applyFill="1" applyBorder="1" applyAlignment="1">
      <alignment horizontal="left"/>
    </xf>
    <xf numFmtId="0" fontId="0" fillId="0" borderId="25" xfId="0" applyFont="1" applyFill="1" applyBorder="1" applyAlignment="1">
      <alignment horizontal="left"/>
    </xf>
    <xf numFmtId="0" fontId="1" fillId="0" borderId="5" xfId="0" applyFont="1" applyBorder="1" applyAlignment="1">
      <alignment horizontal="center" vertical="center"/>
    </xf>
    <xf numFmtId="0" fontId="1" fillId="0" borderId="37" xfId="0" applyFont="1" applyBorder="1" applyAlignment="1">
      <alignment horizontal="center" vertical="center"/>
    </xf>
    <xf numFmtId="0" fontId="1" fillId="0" borderId="20" xfId="0" applyFont="1" applyBorder="1" applyAlignment="1">
      <alignment horizontal="center" vertical="center"/>
    </xf>
    <xf numFmtId="0" fontId="1" fillId="0" borderId="13"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0" fillId="0" borderId="2" xfId="0" applyFont="1" applyFill="1" applyBorder="1" applyAlignment="1">
      <alignment horizontal="left"/>
    </xf>
    <xf numFmtId="0" fontId="0" fillId="0" borderId="35" xfId="0" applyFont="1" applyFill="1" applyBorder="1" applyAlignment="1">
      <alignment horizontal="left"/>
    </xf>
    <xf numFmtId="0" fontId="0" fillId="0" borderId="3" xfId="0" applyFont="1" applyFill="1" applyBorder="1" applyAlignment="1">
      <alignment horizontal="left"/>
    </xf>
    <xf numFmtId="0" fontId="0" fillId="0" borderId="6" xfId="0" applyFill="1" applyBorder="1" applyAlignment="1">
      <alignment horizontal="center" vertical="center"/>
    </xf>
    <xf numFmtId="0" fontId="0" fillId="0" borderId="8" xfId="0" applyFill="1" applyBorder="1" applyAlignment="1">
      <alignment horizontal="center" vertical="center"/>
    </xf>
    <xf numFmtId="0" fontId="3" fillId="0" borderId="12" xfId="0" applyFont="1" applyBorder="1" applyAlignment="1">
      <alignment horizontal="center" vertical="center"/>
    </xf>
    <xf numFmtId="0" fontId="1" fillId="0" borderId="12" xfId="0" applyFont="1" applyBorder="1" applyAlignment="1">
      <alignment horizontal="center" vertical="center"/>
    </xf>
    <xf numFmtId="0" fontId="1" fillId="0" borderId="0" xfId="0" applyFont="1" applyBorder="1" applyAlignment="1">
      <alignment horizontal="center" vertical="center"/>
    </xf>
    <xf numFmtId="0" fontId="14" fillId="0" borderId="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2" fontId="3" fillId="0" borderId="5" xfId="0" applyNumberFormat="1" applyFont="1" applyFill="1" applyBorder="1" applyAlignment="1">
      <alignment horizontal="center" vertical="center"/>
    </xf>
    <xf numFmtId="2" fontId="3" fillId="0" borderId="20" xfId="0" applyNumberFormat="1" applyFont="1" applyFill="1" applyBorder="1" applyAlignment="1">
      <alignment horizontal="center" vertical="center"/>
    </xf>
    <xf numFmtId="2" fontId="3" fillId="0" borderId="12" xfId="0" applyNumberFormat="1" applyFont="1" applyFill="1" applyBorder="1" applyAlignment="1">
      <alignment horizontal="center" vertical="center"/>
    </xf>
    <xf numFmtId="2" fontId="3" fillId="0" borderId="25" xfId="0" applyNumberFormat="1" applyFont="1" applyFill="1" applyBorder="1" applyAlignment="1">
      <alignment horizontal="center" vertical="center"/>
    </xf>
    <xf numFmtId="2" fontId="3" fillId="0" borderId="13" xfId="0" applyNumberFormat="1" applyFont="1" applyFill="1" applyBorder="1" applyAlignment="1">
      <alignment horizontal="center" vertical="center"/>
    </xf>
    <xf numFmtId="2" fontId="3" fillId="0" borderId="42" xfId="0" applyNumberFormat="1" applyFont="1" applyFill="1" applyBorder="1" applyAlignment="1">
      <alignment horizontal="center" vertical="center"/>
    </xf>
    <xf numFmtId="0" fontId="1" fillId="2" borderId="2" xfId="0" applyFont="1" applyFill="1" applyBorder="1" applyAlignment="1">
      <alignment horizontal="center"/>
    </xf>
    <xf numFmtId="0" fontId="1" fillId="2" borderId="35" xfId="0" applyFont="1" applyFill="1" applyBorder="1" applyAlignment="1">
      <alignment horizontal="center"/>
    </xf>
    <xf numFmtId="0" fontId="1" fillId="2" borderId="3" xfId="0" applyFont="1"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6" borderId="26" xfId="0" applyFont="1" applyFill="1" applyBorder="1" applyAlignment="1">
      <alignment horizontal="center"/>
    </xf>
    <xf numFmtId="0" fontId="1" fillId="6" borderId="42" xfId="0" applyFont="1" applyFill="1" applyBorder="1" applyAlignment="1">
      <alignment horizontal="center"/>
    </xf>
    <xf numFmtId="0" fontId="3" fillId="12" borderId="5" xfId="0" applyFont="1" applyFill="1" applyBorder="1" applyAlignment="1">
      <alignment horizontal="center" vertical="center"/>
    </xf>
    <xf numFmtId="0" fontId="3" fillId="12" borderId="37"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3" xfId="0" applyFont="1" applyFill="1" applyBorder="1" applyAlignment="1">
      <alignment horizontal="center" vertical="center"/>
    </xf>
    <xf numFmtId="0" fontId="3" fillId="12" borderId="26" xfId="0" applyFont="1" applyFill="1" applyBorder="1" applyAlignment="1">
      <alignment horizontal="center" vertical="center"/>
    </xf>
    <xf numFmtId="0" fontId="3" fillId="12" borderId="42" xfId="0" applyFont="1" applyFill="1" applyBorder="1" applyAlignment="1">
      <alignment horizontal="center" vertical="center"/>
    </xf>
    <xf numFmtId="164" fontId="16" fillId="4" borderId="20" xfId="0" applyNumberFormat="1" applyFont="1" applyFill="1" applyBorder="1" applyAlignment="1">
      <alignment horizontal="center" vertical="center"/>
    </xf>
    <xf numFmtId="164" fontId="16" fillId="4" borderId="42" xfId="0" applyNumberFormat="1" applyFont="1" applyFill="1" applyBorder="1" applyAlignment="1">
      <alignment horizontal="center" vertical="center"/>
    </xf>
    <xf numFmtId="0" fontId="1" fillId="8" borderId="23" xfId="0" applyFont="1" applyFill="1" applyBorder="1" applyAlignment="1">
      <alignment horizontal="center"/>
    </xf>
    <xf numFmtId="0" fontId="1" fillId="8" borderId="29" xfId="0" applyFont="1" applyFill="1" applyBorder="1" applyAlignment="1">
      <alignment horizontal="center"/>
    </xf>
    <xf numFmtId="0" fontId="1" fillId="8" borderId="33" xfId="0" applyFont="1" applyFill="1" applyBorder="1" applyAlignment="1">
      <alignment horizontal="center"/>
    </xf>
    <xf numFmtId="0" fontId="3" fillId="2" borderId="2" xfId="0" applyFont="1" applyFill="1" applyBorder="1" applyAlignment="1">
      <alignment horizontal="center" vertical="center"/>
    </xf>
    <xf numFmtId="0" fontId="3" fillId="2" borderId="57"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2" borderId="3" xfId="0" applyFont="1" applyFill="1" applyBorder="1" applyAlignment="1">
      <alignment horizontal="center" vertical="center"/>
    </xf>
    <xf numFmtId="0" fontId="30" fillId="0" borderId="2" xfId="0" applyFont="1" applyBorder="1" applyAlignment="1">
      <alignment horizontal="center" vertical="top"/>
    </xf>
    <xf numFmtId="0" fontId="30" fillId="0" borderId="35" xfId="0" applyFont="1" applyBorder="1" applyAlignment="1">
      <alignment horizontal="center" vertical="top"/>
    </xf>
    <xf numFmtId="0" fontId="30" fillId="0" borderId="3" xfId="0" applyFont="1" applyBorder="1" applyAlignment="1">
      <alignment horizontal="center" vertical="top"/>
    </xf>
    <xf numFmtId="0" fontId="26" fillId="0" borderId="41" xfId="0" applyFont="1" applyBorder="1" applyAlignment="1">
      <alignment horizontal="center" vertical="center" wrapText="1"/>
    </xf>
    <xf numFmtId="0" fontId="1" fillId="18" borderId="5" xfId="0" applyFont="1" applyFill="1" applyBorder="1" applyAlignment="1">
      <alignment horizontal="center"/>
    </xf>
    <xf numFmtId="0" fontId="1" fillId="18" borderId="37" xfId="0" applyFont="1" applyFill="1" applyBorder="1" applyAlignment="1">
      <alignment horizontal="center"/>
    </xf>
    <xf numFmtId="0" fontId="1" fillId="18" borderId="65" xfId="0" applyFont="1" applyFill="1" applyBorder="1" applyAlignment="1">
      <alignment horizontal="center"/>
    </xf>
    <xf numFmtId="0" fontId="26" fillId="0" borderId="67" xfId="0" applyFont="1" applyBorder="1" applyAlignment="1">
      <alignment horizontal="center" vertical="center" wrapText="1"/>
    </xf>
    <xf numFmtId="0" fontId="26" fillId="0" borderId="73"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38" fillId="14" borderId="73" xfId="7" applyFont="1" applyFill="1" applyBorder="1" applyAlignment="1">
      <alignment horizontal="center"/>
    </xf>
    <xf numFmtId="0" fontId="38" fillId="14" borderId="88" xfId="7" applyFont="1" applyFill="1" applyBorder="1" applyAlignment="1">
      <alignment horizontal="center"/>
    </xf>
    <xf numFmtId="0" fontId="38" fillId="14" borderId="68" xfId="7" applyFont="1" applyFill="1" applyBorder="1" applyAlignment="1">
      <alignment horizontal="center"/>
    </xf>
    <xf numFmtId="9" fontId="38" fillId="14" borderId="68" xfId="7" applyNumberFormat="1" applyFont="1" applyFill="1" applyBorder="1" applyAlignment="1">
      <alignment horizontal="center"/>
    </xf>
    <xf numFmtId="0" fontId="38" fillId="14" borderId="62" xfId="7" applyFont="1" applyFill="1" applyBorder="1" applyAlignment="1">
      <alignment horizontal="center"/>
    </xf>
    <xf numFmtId="0" fontId="38" fillId="14" borderId="67" xfId="7" applyFont="1" applyFill="1" applyBorder="1" applyAlignment="1">
      <alignment horizontal="center"/>
    </xf>
    <xf numFmtId="0" fontId="38" fillId="14" borderId="41" xfId="7" applyFont="1" applyFill="1" applyBorder="1" applyAlignment="1">
      <alignment horizontal="center" vertical="center" textRotation="90" wrapText="1"/>
    </xf>
    <xf numFmtId="0" fontId="38" fillId="14" borderId="54" xfId="7" applyFont="1" applyFill="1" applyBorder="1" applyAlignment="1">
      <alignment horizontal="center" vertical="center" textRotation="90" wrapText="1"/>
    </xf>
    <xf numFmtId="0" fontId="38" fillId="14" borderId="53" xfId="7" applyFont="1" applyFill="1" applyBorder="1" applyAlignment="1">
      <alignment horizontal="center" vertical="center" textRotation="90" wrapText="1"/>
    </xf>
    <xf numFmtId="0" fontId="37" fillId="0" borderId="0" xfId="7" applyFont="1" applyAlignment="1">
      <alignment wrapText="1"/>
    </xf>
    <xf numFmtId="0" fontId="38" fillId="14" borderId="9" xfId="7" applyFont="1" applyFill="1" applyBorder="1" applyAlignment="1">
      <alignment horizontal="center"/>
    </xf>
    <xf numFmtId="0" fontId="38" fillId="14" borderId="11" xfId="7" applyFont="1" applyFill="1" applyBorder="1" applyAlignment="1">
      <alignment horizontal="center"/>
    </xf>
    <xf numFmtId="0" fontId="38" fillId="14" borderId="59" xfId="7" applyFont="1" applyFill="1" applyBorder="1" applyAlignment="1">
      <alignment horizontal="center"/>
    </xf>
    <xf numFmtId="0" fontId="38" fillId="14" borderId="0" xfId="7" applyFont="1" applyFill="1" applyAlignment="1">
      <alignment horizontal="center"/>
    </xf>
    <xf numFmtId="0" fontId="38" fillId="0" borderId="0" xfId="7" applyFont="1" applyAlignment="1">
      <alignment horizontal="center"/>
    </xf>
    <xf numFmtId="0" fontId="1" fillId="6" borderId="2" xfId="0" applyFont="1" applyFill="1" applyBorder="1" applyAlignment="1">
      <alignment horizontal="center" vertical="center"/>
    </xf>
    <xf numFmtId="0" fontId="1" fillId="6" borderId="35" xfId="0" applyFont="1" applyFill="1" applyBorder="1" applyAlignment="1">
      <alignment horizontal="center" vertical="center"/>
    </xf>
    <xf numFmtId="0" fontId="1" fillId="6" borderId="3" xfId="0" applyFont="1" applyFill="1" applyBorder="1" applyAlignment="1">
      <alignment horizontal="center" vertical="center"/>
    </xf>
    <xf numFmtId="0" fontId="37" fillId="0" borderId="37" xfId="7" applyFont="1" applyBorder="1" applyAlignment="1">
      <alignment horizontal="center"/>
    </xf>
    <xf numFmtId="0" fontId="37" fillId="25" borderId="4" xfId="7" applyFont="1" applyFill="1" applyBorder="1" applyAlignment="1">
      <alignment horizontal="center"/>
    </xf>
    <xf numFmtId="0" fontId="38" fillId="0" borderId="11" xfId="7" applyFont="1" applyBorder="1" applyAlignment="1">
      <alignment horizontal="center"/>
    </xf>
    <xf numFmtId="0" fontId="38" fillId="0" borderId="68" xfId="7" applyFont="1" applyBorder="1" applyAlignment="1">
      <alignment horizontal="center"/>
    </xf>
    <xf numFmtId="0" fontId="0" fillId="0" borderId="5" xfId="0" applyBorder="1" applyAlignment="1">
      <alignment horizontal="center"/>
    </xf>
    <xf numFmtId="0" fontId="0" fillId="0" borderId="37" xfId="0"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25"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42" xfId="0" applyBorder="1" applyAlignment="1">
      <alignment horizontal="center"/>
    </xf>
    <xf numFmtId="0" fontId="0" fillId="0" borderId="0" xfId="0" applyAlignment="1">
      <alignment horizontal="center"/>
    </xf>
    <xf numFmtId="0" fontId="0" fillId="0" borderId="5" xfId="0" applyBorder="1" applyAlignment="1">
      <alignment horizontal="center" vertical="center" wrapText="1"/>
    </xf>
    <xf numFmtId="0" fontId="0" fillId="0" borderId="37"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5" xfId="0" applyBorder="1" applyAlignment="1">
      <alignment horizontal="center" wrapText="1"/>
    </xf>
    <xf numFmtId="0" fontId="19" fillId="0" borderId="46" xfId="0" applyFont="1" applyBorder="1" applyAlignment="1">
      <alignment horizontal="center" vertical="center"/>
    </xf>
    <xf numFmtId="0" fontId="19" fillId="0" borderId="36" xfId="0" applyFont="1" applyBorder="1" applyAlignment="1">
      <alignment horizontal="center" vertical="center"/>
    </xf>
    <xf numFmtId="164" fontId="1" fillId="0" borderId="46" xfId="0" applyNumberFormat="1" applyFont="1" applyBorder="1" applyAlignment="1">
      <alignment horizontal="center" vertical="center"/>
    </xf>
    <xf numFmtId="164" fontId="1" fillId="0" borderId="36" xfId="0" applyNumberFormat="1" applyFont="1" applyBorder="1" applyAlignment="1">
      <alignment horizontal="center" vertical="center"/>
    </xf>
    <xf numFmtId="2" fontId="16" fillId="3" borderId="30" xfId="0" applyNumberFormat="1" applyFont="1" applyFill="1" applyBorder="1" applyAlignment="1">
      <alignment horizontal="center" vertical="center"/>
    </xf>
    <xf numFmtId="2" fontId="16" fillId="3" borderId="31" xfId="0" applyNumberFormat="1" applyFont="1" applyFill="1" applyBorder="1" applyAlignment="1">
      <alignment horizontal="center" vertical="center"/>
    </xf>
    <xf numFmtId="2" fontId="16" fillId="3" borderId="32" xfId="0" applyNumberFormat="1" applyFont="1" applyFill="1" applyBorder="1" applyAlignment="1">
      <alignment horizontal="center" vertical="center"/>
    </xf>
    <xf numFmtId="0" fontId="19" fillId="0" borderId="43" xfId="0" applyFont="1" applyBorder="1" applyAlignment="1">
      <alignment horizontal="center" vertical="center"/>
    </xf>
    <xf numFmtId="0" fontId="19" fillId="0" borderId="50" xfId="0" applyFont="1" applyBorder="1" applyAlignment="1">
      <alignment horizontal="center" vertical="center"/>
    </xf>
    <xf numFmtId="164" fontId="1" fillId="0" borderId="66" xfId="0" applyNumberFormat="1" applyFont="1" applyBorder="1" applyAlignment="1">
      <alignment horizontal="center" vertical="center"/>
    </xf>
    <xf numFmtId="164" fontId="1" fillId="0" borderId="50" xfId="0" applyNumberFormat="1" applyFont="1" applyBorder="1" applyAlignment="1">
      <alignment horizontal="center" vertical="center"/>
    </xf>
    <xf numFmtId="0" fontId="0" fillId="0" borderId="18"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37" xfId="0" applyFont="1" applyFill="1" applyBorder="1" applyAlignment="1">
      <alignment horizontal="center" vertical="center"/>
    </xf>
    <xf numFmtId="0" fontId="1" fillId="12" borderId="23" xfId="0" applyFont="1" applyFill="1" applyBorder="1" applyAlignment="1">
      <alignment horizontal="center" vertical="center"/>
    </xf>
    <xf numFmtId="0" fontId="1" fillId="12" borderId="33"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37" xfId="0" applyFont="1" applyFill="1" applyBorder="1" applyAlignment="1">
      <alignment horizontal="center" vertical="center"/>
    </xf>
    <xf numFmtId="2" fontId="16" fillId="12" borderId="30" xfId="0" applyNumberFormat="1" applyFont="1" applyFill="1" applyBorder="1" applyAlignment="1">
      <alignment horizontal="center" vertical="center"/>
    </xf>
    <xf numFmtId="2" fontId="16" fillId="12" borderId="31" xfId="0" applyNumberFormat="1" applyFont="1" applyFill="1" applyBorder="1" applyAlignment="1">
      <alignment horizontal="center" vertical="center"/>
    </xf>
    <xf numFmtId="2" fontId="16" fillId="12" borderId="32" xfId="0" applyNumberFormat="1" applyFont="1" applyFill="1" applyBorder="1" applyAlignment="1">
      <alignment horizontal="center" vertical="center"/>
    </xf>
    <xf numFmtId="0" fontId="1" fillId="7" borderId="23" xfId="0" applyFont="1" applyFill="1" applyBorder="1" applyAlignment="1">
      <alignment horizontal="center" vertical="center"/>
    </xf>
    <xf numFmtId="0" fontId="1" fillId="7" borderId="33"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37" xfId="0" applyFont="1" applyFill="1" applyBorder="1" applyAlignment="1">
      <alignment horizontal="center" vertical="center"/>
    </xf>
    <xf numFmtId="2" fontId="16" fillId="7" borderId="30" xfId="0" applyNumberFormat="1" applyFont="1" applyFill="1" applyBorder="1" applyAlignment="1">
      <alignment horizontal="center" vertical="center"/>
    </xf>
    <xf numFmtId="2" fontId="16" fillId="7" borderId="31" xfId="0" applyNumberFormat="1" applyFont="1" applyFill="1" applyBorder="1" applyAlignment="1">
      <alignment horizontal="center" vertical="center"/>
    </xf>
    <xf numFmtId="2" fontId="16" fillId="7" borderId="32" xfId="0" applyNumberFormat="1" applyFont="1" applyFill="1" applyBorder="1" applyAlignment="1">
      <alignment horizontal="center" vertical="center"/>
    </xf>
    <xf numFmtId="0" fontId="1" fillId="3" borderId="23" xfId="0" applyFont="1" applyFill="1" applyBorder="1" applyAlignment="1">
      <alignment horizontal="center" vertical="center"/>
    </xf>
    <xf numFmtId="0" fontId="1" fillId="3" borderId="3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42" xfId="0" applyFont="1" applyFill="1" applyBorder="1" applyAlignment="1">
      <alignment horizontal="center" vertical="center"/>
    </xf>
    <xf numFmtId="0" fontId="10" fillId="0" borderId="5" xfId="0" applyFont="1" applyBorder="1" applyAlignment="1">
      <alignment horizontal="center"/>
    </xf>
    <xf numFmtId="0" fontId="10" fillId="0" borderId="37" xfId="0" applyFont="1" applyBorder="1" applyAlignment="1">
      <alignment horizontal="center"/>
    </xf>
    <xf numFmtId="0" fontId="10" fillId="0" borderId="35" xfId="0" applyFont="1" applyBorder="1" applyAlignment="1">
      <alignment horizontal="center"/>
    </xf>
    <xf numFmtId="0" fontId="10" fillId="0" borderId="20" xfId="0" applyFont="1" applyBorder="1" applyAlignment="1">
      <alignment horizontal="center"/>
    </xf>
    <xf numFmtId="0" fontId="1" fillId="0" borderId="4" xfId="0" applyFont="1" applyBorder="1" applyAlignment="1">
      <alignment horizontal="center"/>
    </xf>
    <xf numFmtId="14" fontId="0" fillId="0" borderId="16" xfId="0" applyNumberFormat="1" applyBorder="1" applyAlignment="1">
      <alignment horizontal="center"/>
    </xf>
    <xf numFmtId="14" fontId="0" fillId="0" borderId="17" xfId="0" applyNumberFormat="1" applyBorder="1" applyAlignment="1">
      <alignment horizontal="center"/>
    </xf>
    <xf numFmtId="0" fontId="14" fillId="7" borderId="2" xfId="0" applyFont="1" applyFill="1" applyBorder="1" applyAlignment="1">
      <alignment horizontal="left"/>
    </xf>
    <xf numFmtId="0" fontId="14" fillId="7" borderId="35" xfId="0" applyFont="1" applyFill="1" applyBorder="1" applyAlignment="1">
      <alignment horizontal="left"/>
    </xf>
    <xf numFmtId="0" fontId="14" fillId="7" borderId="3" xfId="0" applyFont="1" applyFill="1" applyBorder="1" applyAlignment="1">
      <alignment horizontal="left"/>
    </xf>
    <xf numFmtId="0" fontId="1" fillId="19" borderId="23" xfId="0" applyFont="1" applyFill="1" applyBorder="1" applyAlignment="1">
      <alignment horizontal="center" vertical="center"/>
    </xf>
    <xf numFmtId="0" fontId="1" fillId="19" borderId="33" xfId="0" applyFont="1" applyFill="1" applyBorder="1" applyAlignment="1">
      <alignment horizontal="center" vertical="center"/>
    </xf>
    <xf numFmtId="0" fontId="0" fillId="7" borderId="23" xfId="0" applyFill="1" applyBorder="1" applyAlignment="1">
      <alignment horizontal="center"/>
    </xf>
    <xf numFmtId="0" fontId="0" fillId="7" borderId="29" xfId="0" applyFill="1" applyBorder="1" applyAlignment="1">
      <alignment horizontal="center"/>
    </xf>
    <xf numFmtId="0" fontId="0" fillId="7" borderId="33" xfId="0" applyFill="1" applyBorder="1" applyAlignment="1">
      <alignment horizontal="center"/>
    </xf>
    <xf numFmtId="0" fontId="0" fillId="0" borderId="21" xfId="0" applyBorder="1" applyAlignment="1">
      <alignment horizontal="center"/>
    </xf>
    <xf numFmtId="0" fontId="0" fillId="0" borderId="60" xfId="0" applyBorder="1" applyAlignment="1">
      <alignment horizontal="center"/>
    </xf>
    <xf numFmtId="0" fontId="0" fillId="0" borderId="22" xfId="0" applyBorder="1" applyAlignment="1">
      <alignment horizontal="center"/>
    </xf>
    <xf numFmtId="0" fontId="1" fillId="0" borderId="51" xfId="0" applyFont="1" applyBorder="1" applyAlignment="1">
      <alignment horizontal="center"/>
    </xf>
    <xf numFmtId="0" fontId="1" fillId="0" borderId="40" xfId="0" applyFont="1" applyBorder="1" applyAlignment="1">
      <alignment horizontal="center"/>
    </xf>
    <xf numFmtId="0" fontId="1" fillId="0" borderId="39" xfId="0" applyFont="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14" fontId="0" fillId="0" borderId="14" xfId="0" applyNumberFormat="1" applyBorder="1" applyAlignment="1">
      <alignment horizontal="center"/>
    </xf>
    <xf numFmtId="164" fontId="0" fillId="0" borderId="38" xfId="0" applyNumberFormat="1" applyBorder="1" applyAlignment="1">
      <alignment horizontal="center" vertical="center"/>
    </xf>
    <xf numFmtId="164" fontId="0" fillId="0" borderId="24" xfId="0" applyNumberFormat="1" applyBorder="1" applyAlignment="1">
      <alignment horizontal="center" vertical="center"/>
    </xf>
    <xf numFmtId="14" fontId="0" fillId="0" borderId="46" xfId="0" applyNumberFormat="1" applyBorder="1" applyAlignment="1">
      <alignment horizontal="center" vertical="center"/>
    </xf>
    <xf numFmtId="0" fontId="0" fillId="0" borderId="36" xfId="0" applyBorder="1" applyAlignment="1">
      <alignment horizontal="center" vertical="center"/>
    </xf>
    <xf numFmtId="164" fontId="1" fillId="0" borderId="63" xfId="0" applyNumberFormat="1" applyFont="1" applyBorder="1" applyAlignment="1">
      <alignment horizontal="center" vertical="center"/>
    </xf>
    <xf numFmtId="164" fontId="1" fillId="0" borderId="34" xfId="0" applyNumberFormat="1" applyFont="1" applyBorder="1" applyAlignment="1">
      <alignment horizontal="center" vertical="center"/>
    </xf>
    <xf numFmtId="0" fontId="1" fillId="19" borderId="57" xfId="0" applyFont="1" applyFill="1" applyBorder="1" applyAlignment="1">
      <alignment horizontal="center" vertical="center"/>
    </xf>
    <xf numFmtId="0" fontId="1" fillId="19" borderId="36" xfId="0" applyFont="1" applyFill="1" applyBorder="1" applyAlignment="1">
      <alignment horizontal="center" vertical="center"/>
    </xf>
    <xf numFmtId="0" fontId="1" fillId="7" borderId="63" xfId="0" applyFont="1" applyFill="1" applyBorder="1" applyAlignment="1">
      <alignment horizontal="center" vertical="center"/>
    </xf>
    <xf numFmtId="0" fontId="1" fillId="7" borderId="34" xfId="0" applyFont="1" applyFill="1" applyBorder="1" applyAlignment="1">
      <alignment horizontal="center" vertical="center"/>
    </xf>
    <xf numFmtId="0" fontId="13" fillId="0" borderId="0" xfId="0" applyFont="1" applyBorder="1" applyAlignment="1">
      <alignment horizontal="center"/>
    </xf>
    <xf numFmtId="0" fontId="3" fillId="0" borderId="2" xfId="0" applyFont="1" applyFill="1" applyBorder="1" applyAlignment="1">
      <alignment horizontal="center"/>
    </xf>
    <xf numFmtId="0" fontId="3" fillId="0" borderId="35" xfId="0" applyFont="1" applyFill="1" applyBorder="1" applyAlignment="1">
      <alignment horizontal="center"/>
    </xf>
    <xf numFmtId="0" fontId="3" fillId="0" borderId="3" xfId="0" applyFont="1" applyFill="1" applyBorder="1" applyAlignment="1">
      <alignment horizontal="center"/>
    </xf>
    <xf numFmtId="0" fontId="10" fillId="0" borderId="2" xfId="0" applyFont="1" applyBorder="1" applyAlignment="1">
      <alignment horizontal="center" vertical="center"/>
    </xf>
    <xf numFmtId="0" fontId="10" fillId="0" borderId="35" xfId="0" applyFont="1" applyBorder="1" applyAlignment="1">
      <alignment horizontal="center" vertical="center"/>
    </xf>
    <xf numFmtId="0" fontId="10" fillId="0" borderId="3" xfId="0" applyFont="1" applyBorder="1" applyAlignment="1">
      <alignment horizontal="center" vertical="center"/>
    </xf>
    <xf numFmtId="0" fontId="0" fillId="0" borderId="3" xfId="0" applyBorder="1" applyAlignment="1">
      <alignment horizontal="center" vertical="center"/>
    </xf>
    <xf numFmtId="0" fontId="1" fillId="0" borderId="46" xfId="0" applyFont="1" applyBorder="1" applyAlignment="1">
      <alignment horizontal="center" vertical="center"/>
    </xf>
    <xf numFmtId="0" fontId="1" fillId="0" borderId="36" xfId="0" applyFont="1" applyBorder="1" applyAlignment="1">
      <alignment horizontal="center" vertical="center"/>
    </xf>
    <xf numFmtId="0" fontId="1" fillId="0" borderId="57" xfId="0" applyFont="1" applyBorder="1" applyAlignment="1">
      <alignment horizontal="center" vertical="center"/>
    </xf>
    <xf numFmtId="0" fontId="1" fillId="0" borderId="47" xfId="0" applyFont="1" applyBorder="1" applyAlignment="1">
      <alignment horizontal="center" vertical="center"/>
    </xf>
    <xf numFmtId="0" fontId="1" fillId="0" borderId="0" xfId="0" applyFont="1" applyBorder="1" applyAlignment="1">
      <alignment horizontal="center" vertical="center" wrapText="1"/>
    </xf>
    <xf numFmtId="0" fontId="13" fillId="0" borderId="46" xfId="0" applyFont="1" applyBorder="1" applyAlignment="1">
      <alignment horizontal="center"/>
    </xf>
    <xf numFmtId="0" fontId="13" fillId="0" borderId="47" xfId="0" applyFont="1" applyBorder="1" applyAlignment="1">
      <alignment horizontal="center"/>
    </xf>
    <xf numFmtId="0" fontId="13" fillId="0" borderId="36" xfId="0" applyFont="1" applyBorder="1" applyAlignment="1">
      <alignment horizontal="center"/>
    </xf>
    <xf numFmtId="0" fontId="13" fillId="0" borderId="56" xfId="0" applyFont="1" applyBorder="1" applyAlignment="1">
      <alignment horizontal="center"/>
    </xf>
    <xf numFmtId="0" fontId="1" fillId="0" borderId="37" xfId="0" applyFont="1" applyBorder="1" applyAlignment="1">
      <alignment horizontal="center" vertical="center" wrapText="1"/>
    </xf>
    <xf numFmtId="0" fontId="1" fillId="0" borderId="12"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3" xfId="0" applyFont="1" applyBorder="1" applyAlignment="1">
      <alignment horizontal="center" vertical="center" wrapText="1"/>
    </xf>
    <xf numFmtId="14" fontId="1" fillId="6" borderId="2" xfId="0" applyNumberFormat="1" applyFont="1" applyFill="1" applyBorder="1" applyAlignment="1">
      <alignment horizontal="center"/>
    </xf>
    <xf numFmtId="0" fontId="1" fillId="6" borderId="35" xfId="0" applyFont="1" applyFill="1" applyBorder="1" applyAlignment="1">
      <alignment horizontal="center"/>
    </xf>
    <xf numFmtId="0" fontId="1" fillId="6" borderId="3" xfId="0" applyFont="1" applyFill="1" applyBorder="1" applyAlignment="1">
      <alignment horizontal="center"/>
    </xf>
    <xf numFmtId="0" fontId="0" fillId="0" borderId="0" xfId="0" applyBorder="1" applyAlignment="1">
      <alignment horizontal="center" vertical="center" wrapText="1"/>
    </xf>
    <xf numFmtId="0" fontId="13" fillId="0" borderId="5" xfId="0" applyFont="1" applyBorder="1" applyAlignment="1">
      <alignment horizontal="center"/>
    </xf>
    <xf numFmtId="0" fontId="13" fillId="0" borderId="37" xfId="0" applyFont="1" applyBorder="1" applyAlignment="1">
      <alignment horizontal="center"/>
    </xf>
    <xf numFmtId="0" fontId="13" fillId="0" borderId="20" xfId="0" applyFont="1" applyBorder="1" applyAlignment="1">
      <alignment horizontal="center"/>
    </xf>
    <xf numFmtId="0" fontId="13" fillId="0" borderId="2" xfId="0" applyFont="1" applyBorder="1" applyAlignment="1">
      <alignment horizontal="center"/>
    </xf>
    <xf numFmtId="0" fontId="13" fillId="0" borderId="35" xfId="0" applyFont="1" applyBorder="1" applyAlignment="1">
      <alignment horizontal="center"/>
    </xf>
    <xf numFmtId="0" fontId="13" fillId="0" borderId="3" xfId="0" applyFont="1" applyBorder="1" applyAlignment="1">
      <alignment horizontal="center"/>
    </xf>
    <xf numFmtId="0" fontId="0" fillId="0" borderId="14"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15" xfId="0" applyFont="1" applyFill="1" applyBorder="1" applyAlignment="1">
      <alignment horizontal="center" vertical="center" wrapText="1"/>
    </xf>
    <xf numFmtId="2" fontId="14" fillId="0" borderId="5" xfId="0" applyNumberFormat="1" applyFont="1" applyBorder="1" applyAlignment="1">
      <alignment horizontal="center" vertical="center" wrapText="1"/>
    </xf>
    <xf numFmtId="2" fontId="14" fillId="0" borderId="20" xfId="0" applyNumberFormat="1" applyFont="1" applyBorder="1" applyAlignment="1">
      <alignment horizontal="center" vertical="center" wrapText="1"/>
    </xf>
    <xf numFmtId="2" fontId="14" fillId="0" borderId="13" xfId="0" applyNumberFormat="1" applyFont="1" applyBorder="1" applyAlignment="1">
      <alignment horizontal="center" vertical="center" wrapText="1"/>
    </xf>
    <xf numFmtId="2" fontId="14" fillId="0" borderId="42" xfId="0" applyNumberFormat="1" applyFont="1" applyBorder="1" applyAlignment="1">
      <alignment horizontal="center" vertical="center" wrapText="1"/>
    </xf>
    <xf numFmtId="0" fontId="23" fillId="16" borderId="9" xfId="0" applyFont="1" applyFill="1" applyBorder="1" applyAlignment="1">
      <alignment horizontal="center"/>
    </xf>
    <xf numFmtId="0" fontId="23" fillId="16" borderId="10" xfId="0" applyFont="1" applyFill="1" applyBorder="1" applyAlignment="1">
      <alignment horizontal="center"/>
    </xf>
    <xf numFmtId="164" fontId="1" fillId="2" borderId="6" xfId="0" applyNumberFormat="1" applyFont="1" applyFill="1" applyBorder="1" applyAlignment="1">
      <alignment horizontal="center" vertical="center"/>
    </xf>
    <xf numFmtId="0" fontId="3" fillId="2" borderId="30" xfId="0" applyFont="1" applyFill="1" applyBorder="1" applyAlignment="1">
      <alignment horizontal="center" vertical="center"/>
    </xf>
    <xf numFmtId="0" fontId="3" fillId="2" borderId="32"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2" xfId="0" applyFont="1" applyFill="1" applyBorder="1" applyAlignment="1">
      <alignment horizontal="center" vertical="center"/>
    </xf>
    <xf numFmtId="0" fontId="5" fillId="0" borderId="3" xfId="2" applyNumberFormat="1" applyFont="1" applyFill="1" applyBorder="1" applyAlignment="1">
      <alignment horizontal="center" vertical="center"/>
    </xf>
    <xf numFmtId="9" fontId="48" fillId="0" borderId="0" xfId="2" applyFont="1" applyFill="1" applyBorder="1" applyAlignment="1">
      <alignment horizontal="center" vertical="center"/>
    </xf>
  </cellXfs>
  <cellStyles count="9">
    <cellStyle name="Hipervínculo" xfId="6" builtinId="8"/>
    <cellStyle name="Hyperlink_weight-loss-log" xfId="1" xr:uid="{3163F24B-4E9C-4F27-B736-E1A838DD186B}"/>
    <cellStyle name="Millares [0]" xfId="5" builtinId="6"/>
    <cellStyle name="Normal" xfId="0" builtinId="0"/>
    <cellStyle name="Normal 2" xfId="3" xr:uid="{C732E169-160A-4FA2-864D-AFE413ABC158}"/>
    <cellStyle name="Normal 3" xfId="7" xr:uid="{DCB48453-920D-40A4-8890-8EF00008EE71}"/>
    <cellStyle name="Porcentaje" xfId="2" builtinId="5"/>
    <cellStyle name="Porcentaje 2" xfId="4" xr:uid="{3810D913-E8EC-476D-8D16-718B4FE8C399}"/>
    <cellStyle name="Porcentaje 3" xfId="8" xr:uid="{F375E578-DD2F-4B50-8CB5-D57FECF64A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r>
              <a:rPr lang="es-CL" sz="1100" b="1">
                <a:solidFill>
                  <a:schemeClr val="dk1"/>
                </a:solidFill>
                <a:latin typeface="+mn-lt"/>
                <a:ea typeface="+mn-ea"/>
                <a:cs typeface="+mn-cs"/>
              </a:rPr>
              <a:t>Distribución</a:t>
            </a:r>
            <a:r>
              <a:rPr lang="es-CL" sz="1100" b="1" baseline="0">
                <a:solidFill>
                  <a:schemeClr val="dk1"/>
                </a:solidFill>
                <a:latin typeface="+mn-lt"/>
                <a:ea typeface="+mn-ea"/>
                <a:cs typeface="+mn-cs"/>
              </a:rPr>
              <a:t> en Día de Descanso o Recuperación</a:t>
            </a:r>
            <a:endParaRPr lang="es-CL" sz="1100" b="1"/>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1208834189843917"/>
          <c:h val="0.658407699037620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2B-45AA-9F20-480A66DDFCBC}"/>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8F4D-4E62-AF26-6E81F2C7B1F8}"/>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4D-4E62-AF26-6E81F2C7B1F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0-8F4D-4E62-AF26-6E81F2C7B1F8}"/>
            </c:ext>
          </c:extLst>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r>
              <a:rPr lang="es-CL" sz="1000" b="1">
                <a:solidFill>
                  <a:schemeClr val="dk1"/>
                </a:solidFill>
                <a:latin typeface="+mn-lt"/>
                <a:ea typeface="+mn-ea"/>
                <a:cs typeface="+mn-cs"/>
              </a:rPr>
              <a:t>Distribución</a:t>
            </a:r>
            <a:r>
              <a:rPr lang="es-CL" sz="1000" b="1" baseline="0">
                <a:solidFill>
                  <a:schemeClr val="dk1"/>
                </a:solidFill>
                <a:latin typeface="+mn-lt"/>
                <a:ea typeface="+mn-ea"/>
                <a:cs typeface="+mn-cs"/>
              </a:rPr>
              <a:t> en Día de Descanso o Recuperación</a:t>
            </a:r>
            <a:endParaRPr lang="es-CL" sz="1000" b="1"/>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1208834189843917"/>
          <c:h val="0.658407699037620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F7-433F-9AE2-C31ED217C673}"/>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F7-433F-9AE2-C31ED217C673}"/>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F7-433F-9AE2-C31ED217C673}"/>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6-33F7-433F-9AE2-C31ED217C673}"/>
            </c:ext>
          </c:extLst>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Entrenamiento.</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1"/>
          <c:order val="0"/>
          <c:dPt>
            <c:idx val="1"/>
            <c:bubble3D val="0"/>
            <c:spPr>
              <a:solidFill>
                <a:srgbClr val="FFC000"/>
              </a:solidFill>
            </c:spPr>
            <c:extLst>
              <c:ext xmlns:c16="http://schemas.microsoft.com/office/drawing/2014/chart" uri="{C3380CC4-5D6E-409C-BE32-E72D297353CC}">
                <c16:uniqueId val="{00000001-01CE-4133-9912-58DCF735DF26}"/>
              </c:ext>
            </c:extLst>
          </c:dPt>
          <c:dPt>
            <c:idx val="2"/>
            <c:bubble3D val="0"/>
            <c:spPr>
              <a:solidFill>
                <a:schemeClr val="accent2"/>
              </a:solidFill>
            </c:spPr>
            <c:extLst>
              <c:ext xmlns:c16="http://schemas.microsoft.com/office/drawing/2014/chart" uri="{C3380CC4-5D6E-409C-BE32-E72D297353CC}">
                <c16:uniqueId val="{00000003-01CE-4133-9912-58DCF735DF2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4-01CE-4133-9912-58DCF735DF26}"/>
            </c:ext>
          </c:extLst>
        </c:ser>
        <c:ser>
          <c:idx val="0"/>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01CE-4133-9912-58DCF735DF26}"/>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8-01CE-4133-9912-58DCF735DF26}"/>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01CE-4133-9912-58DCF735DF26}"/>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B-01CE-4133-9912-58DCF735DF26}"/>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bg1">
        <a:lumMod val="9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Competencia.</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2"/>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REQUERIMIENTOS!$B$120:$B$122</c:f>
              <c:strCache>
                <c:ptCount val="3"/>
                <c:pt idx="0">
                  <c:v>Carbohidratos.</c:v>
                </c:pt>
                <c:pt idx="1">
                  <c:v>Grasa</c:v>
                </c:pt>
                <c:pt idx="2">
                  <c:v>Proteina</c:v>
                </c:pt>
              </c:strCache>
            </c:strRef>
          </c:cat>
          <c:val>
            <c:numRef>
              <c:f>REQUERIMIENTOS!$C$120:$C$122</c:f>
              <c:numCache>
                <c:formatCode>0%</c:formatCode>
                <c:ptCount val="3"/>
                <c:pt idx="0">
                  <c:v>0.65</c:v>
                </c:pt>
                <c:pt idx="1">
                  <c:v>0.18</c:v>
                </c:pt>
                <c:pt idx="2">
                  <c:v>0.17</c:v>
                </c:pt>
              </c:numCache>
            </c:numRef>
          </c:val>
          <c:extLst>
            <c:ext xmlns:c16="http://schemas.microsoft.com/office/drawing/2014/chart" uri="{C3380CC4-5D6E-409C-BE32-E72D297353CC}">
              <c16:uniqueId val="{00000000-C76F-45F6-8C4F-C5ACEB36E6A5}"/>
            </c:ext>
          </c:extLst>
        </c:ser>
        <c:ser>
          <c:idx val="1"/>
          <c:order val="1"/>
          <c:dPt>
            <c:idx val="1"/>
            <c:bubble3D val="0"/>
            <c:spPr>
              <a:solidFill>
                <a:srgbClr val="FFC000"/>
              </a:solidFill>
            </c:spPr>
            <c:extLst>
              <c:ext xmlns:c16="http://schemas.microsoft.com/office/drawing/2014/chart" uri="{C3380CC4-5D6E-409C-BE32-E72D297353CC}">
                <c16:uniqueId val="{00000002-C76F-45F6-8C4F-C5ACEB36E6A5}"/>
              </c:ext>
            </c:extLst>
          </c:dPt>
          <c:dPt>
            <c:idx val="2"/>
            <c:bubble3D val="0"/>
            <c:spPr>
              <a:solidFill>
                <a:schemeClr val="accent2"/>
              </a:solidFill>
            </c:spPr>
            <c:extLst>
              <c:ext xmlns:c16="http://schemas.microsoft.com/office/drawing/2014/chart" uri="{C3380CC4-5D6E-409C-BE32-E72D297353CC}">
                <c16:uniqueId val="{00000004-C76F-45F6-8C4F-C5ACEB36E6A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5-C76F-45F6-8C4F-C5ACEB36E6A5}"/>
            </c:ext>
          </c:extLst>
        </c:ser>
        <c:ser>
          <c:idx val="0"/>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C76F-45F6-8C4F-C5ACEB36E6A5}"/>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C76F-45F6-8C4F-C5ACEB36E6A5}"/>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C76F-45F6-8C4F-C5ACEB36E6A5}"/>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C-C76F-45F6-8C4F-C5ACEB36E6A5}"/>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bg1">
        <a:lumMod val="9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DISTRIBUCIÓN (%)</a:t>
            </a:r>
          </a:p>
          <a:p>
            <a:pPr>
              <a:defRPr/>
            </a:pPr>
            <a:r>
              <a:rPr lang="en-US"/>
              <a:t>BI-COMPARTIMENTAL</a:t>
            </a:r>
            <a:endParaRPr lang="es-CL"/>
          </a:p>
        </c:rich>
      </c:tx>
      <c:layout>
        <c:manualLayout>
          <c:xMode val="edge"/>
          <c:yMode val="edge"/>
          <c:x val="0.10348206474190724"/>
          <c:y val="3.28060986131397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05328566212694E-2"/>
          <c:y val="0.29514491881874427"/>
          <c:w val="0.65114762229524459"/>
          <c:h val="0.60631242476554148"/>
        </c:manualLayout>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C827-4BF2-861D-2F26311422C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C827-4BF2-861D-2F26311422C8}"/>
              </c:ext>
            </c:extLst>
          </c:dPt>
          <c:dPt>
            <c:idx val="2"/>
            <c:bubble3D val="0"/>
            <c:spPr>
              <a:solidFill>
                <a:schemeClr val="accent2">
                  <a:lumMod val="75000"/>
                </a:schemeClr>
              </a:solidFill>
              <a:ln>
                <a:noFill/>
              </a:ln>
              <a:effectLst/>
              <a:sp3d/>
            </c:spPr>
            <c:extLst>
              <c:ext xmlns:c16="http://schemas.microsoft.com/office/drawing/2014/chart" uri="{C3380CC4-5D6E-409C-BE32-E72D297353CC}">
                <c16:uniqueId val="{00000005-C827-4BF2-861D-2F26311422C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168968968968969"/>
                      <c:h val="0.13533875338753387"/>
                    </c:manualLayout>
                  </c15:layout>
                </c:ext>
                <c:ext xmlns:c16="http://schemas.microsoft.com/office/drawing/2014/chart" uri="{C3380CC4-5D6E-409C-BE32-E72D297353CC}">
                  <c16:uniqueId val="{00000001-C827-4BF2-861D-2F26311422C8}"/>
                </c:ext>
              </c:extLst>
            </c:dLbl>
            <c:dLbl>
              <c:idx val="1"/>
              <c:layout>
                <c:manualLayout>
                  <c:x val="4.8048048048048124E-2"/>
                  <c:y val="-6.504065040650407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041025277245749"/>
                      <c:h val="0.13533875338753387"/>
                    </c:manualLayout>
                  </c15:layout>
                </c:ext>
                <c:ext xmlns:c16="http://schemas.microsoft.com/office/drawing/2014/chart" uri="{C3380CC4-5D6E-409C-BE32-E72D297353CC}">
                  <c16:uniqueId val="{00000003-C827-4BF2-861D-2F26311422C8}"/>
                </c:ext>
              </c:extLst>
            </c:dLbl>
            <c:dLbl>
              <c:idx val="2"/>
              <c:layout>
                <c:manualLayout>
                  <c:x val="0"/>
                  <c:y val="-0.1300813008130081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787787787787793"/>
                      <c:h val="0.19487826216844845"/>
                    </c:manualLayout>
                  </c15:layout>
                </c:ext>
                <c:ext xmlns:c16="http://schemas.microsoft.com/office/drawing/2014/chart" uri="{C3380CC4-5D6E-409C-BE32-E72D297353CC}">
                  <c16:uniqueId val="{00000005-C827-4BF2-861D-2F26311422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L"/>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'ANTROPOMETRIA INICIAL'!$K$46:$M$46</c:f>
              <c:strCache>
                <c:ptCount val="3"/>
                <c:pt idx="0">
                  <c:v>% M.L.G</c:v>
                </c:pt>
                <c:pt idx="1">
                  <c:v>%GRASA</c:v>
                </c:pt>
                <c:pt idx="2">
                  <c:v>%MUSCULO</c:v>
                </c:pt>
              </c:strCache>
            </c:strRef>
          </c:cat>
          <c:val>
            <c:numRef>
              <c:f>'ANTROPOMETRIA INICIAL'!$K$47:$M$47</c:f>
              <c:numCache>
                <c:formatCode>0%</c:formatCode>
                <c:ptCount val="3"/>
                <c:pt idx="0">
                  <c:v>0.24423586340992354</c:v>
                </c:pt>
                <c:pt idx="1">
                  <c:v>0.40411320956523011</c:v>
                </c:pt>
                <c:pt idx="2" formatCode="0.0%">
                  <c:v>0.35165092702484635</c:v>
                </c:pt>
              </c:numCache>
            </c:numRef>
          </c:val>
          <c:extLst>
            <c:ext xmlns:c16="http://schemas.microsoft.com/office/drawing/2014/chart" uri="{C3380CC4-5D6E-409C-BE32-E72D297353CC}">
              <c16:uniqueId val="{00000006-C827-4BF2-861D-2F26311422C8}"/>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DISTRIBUCIÓN (KG.)</a:t>
            </a:r>
          </a:p>
          <a:p>
            <a:pPr algn="ctr" rtl="0">
              <a:defRPr lang="en-US" sz="1600" b="1">
                <a:solidFill>
                  <a:srgbClr val="44546A"/>
                </a:solidFill>
              </a:defRPr>
            </a:pPr>
            <a:r>
              <a:rPr lang="en-US" sz="1600" b="1" i="0" u="none" strike="noStrike" kern="1200" baseline="0">
                <a:solidFill>
                  <a:srgbClr val="44546A"/>
                </a:solidFill>
                <a:latin typeface="+mn-lt"/>
                <a:ea typeface="+mn-ea"/>
                <a:cs typeface="+mn-cs"/>
              </a:rPr>
              <a:t>BI-COMPARTIMENTAL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s-CL"/>
        </a:p>
      </c:txPr>
    </c:title>
    <c:autoTitleDeleted val="0"/>
    <c:plotArea>
      <c:layout/>
      <c:lineChart>
        <c:grouping val="standard"/>
        <c:varyColors val="0"/>
        <c:ser>
          <c:idx val="0"/>
          <c:order val="0"/>
          <c:tx>
            <c:strRef>
              <c:f>'ANTROPOMETRIA INICIAL'!$P$54</c:f>
              <c:strCache>
                <c:ptCount val="1"/>
                <c:pt idx="0">
                  <c:v>KG. GRASA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1.1647055694630707E-2"/>
                  <c:y val="9.5721548277200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E9-4A86-9BB4-A96D9542DE3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INICIAL'!$Q$54:$R$54</c:f>
              <c:numCache>
                <c:formatCode>0.0</c:formatCode>
                <c:ptCount val="2"/>
                <c:pt idx="0">
                  <c:v>39.037336044001229</c:v>
                </c:pt>
              </c:numCache>
            </c:numRef>
          </c:val>
          <c:smooth val="0"/>
          <c:extLst>
            <c:ext xmlns:c16="http://schemas.microsoft.com/office/drawing/2014/chart" uri="{C3380CC4-5D6E-409C-BE32-E72D297353CC}">
              <c16:uniqueId val="{00000000-E007-4B82-A3D6-FE19FAFDDD0D}"/>
            </c:ext>
          </c:extLst>
        </c:ser>
        <c:ser>
          <c:idx val="1"/>
          <c:order val="1"/>
          <c:tx>
            <c:strRef>
              <c:f>'ANTROPOMETRIA INICIAL'!$P$55</c:f>
              <c:strCache>
                <c:ptCount val="1"/>
                <c:pt idx="0">
                  <c:v>KG. MUSCULO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6588222778522828E-2"/>
                  <c:y val="-0.106357275863556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E9-4A86-9BB4-A96D9542DE3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INICIAL'!$Q$55:$R$55</c:f>
              <c:numCache>
                <c:formatCode>0.0</c:formatCode>
                <c:ptCount val="2"/>
                <c:pt idx="0">
                  <c:v>33.969479550600155</c:v>
                </c:pt>
              </c:numCache>
            </c:numRef>
          </c:val>
          <c:smooth val="0"/>
          <c:extLst>
            <c:ext xmlns:c16="http://schemas.microsoft.com/office/drawing/2014/chart" uri="{C3380CC4-5D6E-409C-BE32-E72D297353CC}">
              <c16:uniqueId val="{00000001-E007-4B82-A3D6-FE19FAFDDD0D}"/>
            </c:ext>
          </c:extLst>
        </c:ser>
        <c:ser>
          <c:idx val="2"/>
          <c:order val="2"/>
          <c:tx>
            <c:strRef>
              <c:f>'ANTROPOMETRIA INICIAL'!$P$56</c:f>
              <c:strCache>
                <c:ptCount val="1"/>
                <c:pt idx="0">
                  <c:v>KG. M.L.G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INICIAL'!$Q$56:$R$56</c:f>
              <c:numCache>
                <c:formatCode>0.0</c:formatCode>
                <c:ptCount val="2"/>
              </c:numCache>
            </c:numRef>
          </c:val>
          <c:smooth val="0"/>
          <c:extLst>
            <c:ext xmlns:c16="http://schemas.microsoft.com/office/drawing/2014/chart" uri="{C3380CC4-5D6E-409C-BE32-E72D297353CC}">
              <c16:uniqueId val="{00000002-E007-4B82-A3D6-FE19FAFDDD0D}"/>
            </c:ext>
          </c:extLst>
        </c:ser>
        <c:ser>
          <c:idx val="3"/>
          <c:order val="3"/>
          <c:tx>
            <c:strRef>
              <c:f>'ANTROPOMETRIA INICIAL'!$P$57</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INICIAL'!$Q$57:$R$57</c:f>
              <c:numCache>
                <c:formatCode>0.0</c:formatCode>
                <c:ptCount val="2"/>
              </c:numCache>
            </c:numRef>
          </c:val>
          <c:smooth val="0"/>
          <c:extLst>
            <c:ext xmlns:c16="http://schemas.microsoft.com/office/drawing/2014/chart" uri="{C3380CC4-5D6E-409C-BE32-E72D297353CC}">
              <c16:uniqueId val="{00000003-E007-4B82-A3D6-FE19FAFDDD0D}"/>
            </c:ext>
          </c:extLst>
        </c:ser>
        <c:dLbls>
          <c:showLegendKey val="0"/>
          <c:showVal val="1"/>
          <c:showCatName val="0"/>
          <c:showSerName val="0"/>
          <c:showPercent val="0"/>
          <c:showBubbleSize val="0"/>
        </c:dLbls>
        <c:marker val="1"/>
        <c:smooth val="0"/>
        <c:axId val="1609782895"/>
        <c:axId val="1609783311"/>
      </c:lineChart>
      <c:dateAx>
        <c:axId val="1609782895"/>
        <c:scaling>
          <c:orientation val="minMax"/>
        </c:scaling>
        <c:delete val="0"/>
        <c:axPos val="b"/>
        <c:numFmt formatCode="d/m/yy;@"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3311"/>
        <c:crosses val="autoZero"/>
        <c:auto val="1"/>
        <c:lblOffset val="100"/>
        <c:baseTimeUnit val="months"/>
      </c:dateAx>
      <c:valAx>
        <c:axId val="1609783311"/>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2895"/>
        <c:crosses val="autoZero"/>
        <c:crossBetween val="between"/>
        <c:majorUnit val="5"/>
      </c:valAx>
      <c:spPr>
        <a:noFill/>
        <a:ln w="25400">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1" i="0" u="none" strike="noStrike" kern="1200" spc="0" baseline="0">
              <a:solidFill>
                <a:schemeClr val="dk1"/>
              </a:solidFill>
              <a:latin typeface="+mn-lt"/>
              <a:ea typeface="+mn-ea"/>
              <a:cs typeface="+mn-cs"/>
            </a:defRPr>
          </a:pPr>
          <a:endParaRPr lang="es-CL"/>
        </a:p>
      </c:txPr>
    </c:title>
    <c:autoTitleDeleted val="0"/>
    <c:plotArea>
      <c:layout/>
      <c:lineChart>
        <c:grouping val="stacked"/>
        <c:varyColors val="0"/>
        <c:ser>
          <c:idx val="0"/>
          <c:order val="0"/>
          <c:tx>
            <c:strRef>
              <c:f>'ANTROPOMETRIA INICIAL'!$L$76</c:f>
              <c:strCache>
                <c:ptCount val="1"/>
                <c:pt idx="0">
                  <c:v>MASA CORPORAL (KG.)</c:v>
                </c:pt>
              </c:strCache>
            </c:strRef>
          </c:tx>
          <c:spPr>
            <a:ln w="28575"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7A6A-45A1-BC61-53377C883D56}"/>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'ANTROPOMETRIA INICIAL'!$K$77:$K$78</c:f>
              <c:strCache>
                <c:ptCount val="2"/>
                <c:pt idx="0">
                  <c:v>11-11-21</c:v>
                </c:pt>
                <c:pt idx="1">
                  <c:v>OBJETIVO</c:v>
                </c:pt>
              </c:strCache>
            </c:strRef>
          </c:cat>
          <c:val>
            <c:numRef>
              <c:f>'ANTROPOMETRIA INICIAL'!$L$77:$L$78</c:f>
              <c:numCache>
                <c:formatCode>0.0</c:formatCode>
                <c:ptCount val="2"/>
                <c:pt idx="0">
                  <c:v>96.6</c:v>
                </c:pt>
                <c:pt idx="1">
                  <c:v>48.375</c:v>
                </c:pt>
              </c:numCache>
            </c:numRef>
          </c:val>
          <c:smooth val="0"/>
          <c:extLst>
            <c:ext xmlns:c16="http://schemas.microsoft.com/office/drawing/2014/chart" uri="{C3380CC4-5D6E-409C-BE32-E72D297353CC}">
              <c16:uniqueId val="{00000000-7A6A-45A1-BC61-53377C883D56}"/>
            </c:ext>
          </c:extLst>
        </c:ser>
        <c:dLbls>
          <c:showLegendKey val="0"/>
          <c:showVal val="0"/>
          <c:showCatName val="0"/>
          <c:showSerName val="0"/>
          <c:showPercent val="0"/>
          <c:showBubbleSize val="0"/>
        </c:dLbls>
        <c:marker val="1"/>
        <c:smooth val="0"/>
        <c:axId val="1042509216"/>
        <c:axId val="1042511296"/>
      </c:lineChart>
      <c:catAx>
        <c:axId val="104250921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11296"/>
        <c:crosses val="autoZero"/>
        <c:auto val="1"/>
        <c:lblAlgn val="ctr"/>
        <c:lblOffset val="100"/>
        <c:noMultiLvlLbl val="0"/>
      </c:catAx>
      <c:valAx>
        <c:axId val="1042511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09216"/>
        <c:crosses val="autoZero"/>
        <c:crossBetween val="between"/>
        <c:majorUnit val="30"/>
        <c:minorUnit val="0.60000000000000009"/>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INICIAL'!$K$91</c:f>
              <c:strCache>
                <c:ptCount val="1"/>
                <c:pt idx="0">
                  <c:v>SUMATORIA DE PLIEGUES mm.</c:v>
                </c:pt>
              </c:strCache>
            </c:strRef>
          </c:tx>
          <c:spPr>
            <a:ln w="28575" cap="rnd">
              <a:solidFill>
                <a:schemeClr val="accent1"/>
              </a:solidFill>
              <a:round/>
            </a:ln>
            <a:effectLst/>
          </c:spPr>
          <c:marker>
            <c:symbol val="circle"/>
            <c:size val="5"/>
            <c:spPr>
              <a:solidFill>
                <a:srgbClr val="FFFF00"/>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INICIAL'!$J$92</c:f>
              <c:numCache>
                <c:formatCode>d/m/yy;@</c:formatCode>
                <c:ptCount val="1"/>
                <c:pt idx="0">
                  <c:v>44511</c:v>
                </c:pt>
              </c:numCache>
            </c:numRef>
          </c:cat>
          <c:val>
            <c:numRef>
              <c:f>'ANTROPOMETRIA INICIAL'!$K$92</c:f>
              <c:numCache>
                <c:formatCode>0.0</c:formatCode>
                <c:ptCount val="1"/>
                <c:pt idx="0">
                  <c:v>204</c:v>
                </c:pt>
              </c:numCache>
            </c:numRef>
          </c:val>
          <c:smooth val="0"/>
          <c:extLst>
            <c:ext xmlns:c16="http://schemas.microsoft.com/office/drawing/2014/chart" uri="{C3380CC4-5D6E-409C-BE32-E72D297353CC}">
              <c16:uniqueId val="{00000000-3C20-4759-9390-74325312ED5F}"/>
            </c:ext>
          </c:extLst>
        </c:ser>
        <c:dLbls>
          <c:showLegendKey val="0"/>
          <c:showVal val="0"/>
          <c:showCatName val="0"/>
          <c:showSerName val="0"/>
          <c:showPercent val="0"/>
          <c:showBubbleSize val="0"/>
        </c:dLbls>
        <c:marker val="1"/>
        <c:smooth val="0"/>
        <c:axId val="1024999216"/>
        <c:axId val="1024984240"/>
      </c:lineChart>
      <c:dateAx>
        <c:axId val="1024999216"/>
        <c:scaling>
          <c:orientation val="minMax"/>
        </c:scaling>
        <c:delete val="0"/>
        <c:axPos val="b"/>
        <c:numFmt formatCode="d/m/yy;@"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84240"/>
        <c:crosses val="autoZero"/>
        <c:auto val="1"/>
        <c:lblOffset val="100"/>
        <c:baseTimeUnit val="days"/>
      </c:dateAx>
      <c:valAx>
        <c:axId val="102498424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ysClr val="windowText" lastClr="000000"/>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9921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s-CL"/>
              <a:t>PLIEGUES (mm)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'ANTROPOMETRIA INICIAL'!$A$102:$A$110</c15:sqref>
                  </c15:fullRef>
                </c:ext>
              </c:extLst>
              <c:f>'ANTROPOMETRIA INICIAL'!$A$103:$A$110</c:f>
              <c:strCache>
                <c:ptCount val="8"/>
                <c:pt idx="0">
                  <c:v>TRÍCEPS</c:v>
                </c:pt>
                <c:pt idx="1">
                  <c:v>SUBESCAPULAR</c:v>
                </c:pt>
                <c:pt idx="2">
                  <c:v>BÍCEPS</c:v>
                </c:pt>
                <c:pt idx="3">
                  <c:v>CRESTA ILÍACA</c:v>
                </c:pt>
                <c:pt idx="4">
                  <c:v>SUPRAESPINAL</c:v>
                </c:pt>
                <c:pt idx="5">
                  <c:v>ABDOMINAL</c:v>
                </c:pt>
                <c:pt idx="6">
                  <c:v>MUSLO ANTERIOR</c:v>
                </c:pt>
                <c:pt idx="7">
                  <c:v>PANTORRILLA MEDIAL</c:v>
                </c:pt>
              </c:strCache>
            </c:strRef>
          </c:cat>
          <c:val>
            <c:numRef>
              <c:extLst>
                <c:ext xmlns:c15="http://schemas.microsoft.com/office/drawing/2012/chart" uri="{02D57815-91ED-43cb-92C2-25804820EDAC}">
                  <c15:fullRef>
                    <c15:sqref>'ANTROPOMETRIA INICIAL'!$B$102:$B$110</c15:sqref>
                  </c15:fullRef>
                </c:ext>
              </c:extLst>
              <c:f>'ANTROPOMETRIA INICIAL'!$B$103:$B$110</c:f>
              <c:numCache>
                <c:formatCode>0.0</c:formatCode>
                <c:ptCount val="8"/>
                <c:pt idx="0">
                  <c:v>30</c:v>
                </c:pt>
                <c:pt idx="1">
                  <c:v>36</c:v>
                </c:pt>
                <c:pt idx="2">
                  <c:v>15</c:v>
                </c:pt>
                <c:pt idx="3">
                  <c:v>32.5</c:v>
                </c:pt>
                <c:pt idx="4">
                  <c:v>32</c:v>
                </c:pt>
                <c:pt idx="5">
                  <c:v>27</c:v>
                </c:pt>
                <c:pt idx="6">
                  <c:v>47</c:v>
                </c:pt>
                <c:pt idx="7">
                  <c:v>32</c:v>
                </c:pt>
              </c:numCache>
            </c:numRef>
          </c:val>
          <c:smooth val="0"/>
          <c:extLst>
            <c:ext xmlns:c16="http://schemas.microsoft.com/office/drawing/2014/chart" uri="{C3380CC4-5D6E-409C-BE32-E72D297353CC}">
              <c16:uniqueId val="{00000000-DFF4-4B62-8FF2-FA1C46D77E9B}"/>
            </c:ext>
          </c:extLst>
        </c:ser>
        <c:dLbls>
          <c:showLegendKey val="0"/>
          <c:showVal val="0"/>
          <c:showCatName val="0"/>
          <c:showSerName val="0"/>
          <c:showPercent val="0"/>
          <c:showBubbleSize val="0"/>
        </c:dLbls>
        <c:marker val="1"/>
        <c:smooth val="0"/>
        <c:axId val="1015643456"/>
        <c:axId val="1015643872"/>
      </c:lineChart>
      <c:catAx>
        <c:axId val="101564345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872"/>
        <c:crosses val="autoZero"/>
        <c:auto val="1"/>
        <c:lblAlgn val="ctr"/>
        <c:lblOffset val="100"/>
        <c:noMultiLvlLbl val="0"/>
      </c:catAx>
      <c:valAx>
        <c:axId val="10156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96475233664823E-2"/>
          <c:y val="0.12118450471468845"/>
          <c:w val="0.87169811320755008"/>
          <c:h val="0.78216664901192301"/>
        </c:manualLayout>
      </c:layout>
      <c:scatterChart>
        <c:scatterStyle val="lineMarker"/>
        <c:varyColors val="0"/>
        <c:ser>
          <c:idx val="0"/>
          <c:order val="0"/>
          <c:tx>
            <c:v>MESOMORFO</c:v>
          </c:tx>
          <c:spPr>
            <a:ln w="25400" cap="rnd">
              <a:noFill/>
              <a:round/>
            </a:ln>
            <a:effectLst/>
          </c:spPr>
          <c:marker>
            <c:symbol val="diamond"/>
            <c:size val="6"/>
            <c:spPr>
              <a:solidFill>
                <a:schemeClr val="accent1"/>
              </a:solidFill>
              <a:ln w="9525">
                <a:solidFill>
                  <a:schemeClr val="accent1"/>
                </a:solidFill>
                <a:round/>
              </a:ln>
              <a:effectLst/>
            </c:spPr>
          </c:marker>
          <c:dLbls>
            <c:dLbl>
              <c:idx val="0"/>
              <c:layout>
                <c:manualLayout>
                  <c:x val="-0.31823448469301491"/>
                  <c:y val="-0.27155458431917967"/>
                </c:manualLayout>
              </c:layout>
              <c:tx>
                <c:rich>
                  <a:bodyPr/>
                  <a:lstStyle/>
                  <a:p>
                    <a:r>
                      <a:rPr lang="en-US" b="1"/>
                      <a:t>MESOMORFO</a:t>
                    </a:r>
                  </a:p>
                </c:rich>
              </c:tx>
              <c:dLblPos val="r"/>
              <c:showLegendKey val="0"/>
              <c:showVal val="0"/>
              <c:showCatName val="0"/>
              <c:showSerName val="0"/>
              <c:showPercent val="0"/>
              <c:showBubbleSize val="0"/>
              <c:extLst>
                <c:ext xmlns:c15="http://schemas.microsoft.com/office/drawing/2012/chart" uri="{CE6537A1-D6FC-4f65-9D91-7224C49458BB}">
                  <c15:layout>
                    <c:manualLayout>
                      <c:w val="0.39191585787918548"/>
                      <c:h val="8.4192880089314789E-2"/>
                    </c:manualLayout>
                  </c15:layout>
                  <c15:showDataLabelsRange val="0"/>
                </c:ext>
                <c:ext xmlns:c16="http://schemas.microsoft.com/office/drawing/2014/chart" uri="{C3380CC4-5D6E-409C-BE32-E72D297353CC}">
                  <c16:uniqueId val="{00000000-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'ANTROPOMETRIA INICIAL'!$L$151</c:f>
              <c:numCache>
                <c:formatCode>0.0</c:formatCode>
                <c:ptCount val="1"/>
                <c:pt idx="0">
                  <c:v>9.1548999999999978</c:v>
                </c:pt>
              </c:numCache>
            </c:numRef>
          </c:xVal>
          <c:yVal>
            <c:numLit>
              <c:formatCode>General</c:formatCode>
              <c:ptCount val="1"/>
              <c:pt idx="0">
                <c:v>5</c:v>
              </c:pt>
            </c:numLit>
          </c:yVal>
          <c:smooth val="0"/>
          <c:extLst>
            <c:ext xmlns:c16="http://schemas.microsoft.com/office/drawing/2014/chart" uri="{C3380CC4-5D6E-409C-BE32-E72D297353CC}">
              <c16:uniqueId val="{00000001-A7B9-46E6-9B45-76884E5DF6B8}"/>
            </c:ext>
          </c:extLst>
        </c:ser>
        <c:ser>
          <c:idx val="2"/>
          <c:order val="1"/>
          <c:tx>
            <c:v>ENDOMORFO</c:v>
          </c:tx>
          <c:spPr>
            <a:ln w="25400" cap="rnd">
              <a:noFill/>
              <a:round/>
            </a:ln>
            <a:effectLst/>
          </c:spPr>
          <c:marker>
            <c:symbol val="triangle"/>
            <c:size val="6"/>
            <c:spPr>
              <a:solidFill>
                <a:schemeClr val="accent3"/>
              </a:solidFill>
              <a:ln w="9525">
                <a:solidFill>
                  <a:schemeClr val="accent3"/>
                </a:solidFill>
                <a:round/>
              </a:ln>
              <a:effectLst/>
            </c:spPr>
          </c:marker>
          <c:dLbls>
            <c:dLbl>
              <c:idx val="0"/>
              <c:layout>
                <c:manualLayout>
                  <c:x val="-0.14154712418862117"/>
                  <c:y val="7.5335881047276398E-2"/>
                </c:manualLayout>
              </c:layout>
              <c:tx>
                <c:rich>
                  <a:bodyPr/>
                  <a:lstStyle/>
                  <a:p>
                    <a:fld id="{1D3E8C60-99F9-47F2-8C22-23CD24A7C138}"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7609562326208675"/>
                      <c:h val="8.4192796212973361E-2"/>
                    </c:manualLayout>
                  </c15:layout>
                  <c15:dlblFieldTable/>
                  <c15:showDataLabelsRange val="0"/>
                </c:ext>
                <c:ext xmlns:c16="http://schemas.microsoft.com/office/drawing/2014/chart" uri="{C3380CC4-5D6E-409C-BE32-E72D297353CC}">
                  <c16:uniqueId val="{00000002-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3-A7B9-46E6-9B45-76884E5DF6B8}"/>
            </c:ext>
          </c:extLst>
        </c:ser>
        <c:ser>
          <c:idx val="3"/>
          <c:order val="2"/>
          <c:tx>
            <c:v>ECTOMORFO</c:v>
          </c:tx>
          <c:spPr>
            <a:ln w="25400" cap="rnd">
              <a:noFill/>
              <a:round/>
            </a:ln>
            <a:effectLst/>
          </c:spPr>
          <c:marker>
            <c:symbol val="x"/>
            <c:size val="6"/>
            <c:spPr>
              <a:noFill/>
              <a:ln w="9525">
                <a:solidFill>
                  <a:schemeClr val="accent4"/>
                </a:solidFill>
                <a:round/>
              </a:ln>
              <a:effectLst/>
            </c:spPr>
          </c:marker>
          <c:dLbls>
            <c:dLbl>
              <c:idx val="0"/>
              <c:layout>
                <c:manualLayout>
                  <c:x val="-4.2911514374930973E-2"/>
                  <c:y val="6.7860730371666511E-2"/>
                </c:manualLayout>
              </c:layout>
              <c:tx>
                <c:rich>
                  <a:bodyPr/>
                  <a:lstStyle/>
                  <a:p>
                    <a:fld id="{C5385681-B31F-4D94-A62B-7E29C2CDE7B1}"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556545260117295"/>
                      <c:h val="9.2212301587301593E-2"/>
                    </c:manualLayout>
                  </c15:layout>
                  <c15:dlblFieldTable/>
                  <c15:showDataLabelsRange val="0"/>
                </c:ext>
                <c:ext xmlns:c16="http://schemas.microsoft.com/office/drawing/2014/chart" uri="{C3380CC4-5D6E-409C-BE32-E72D297353CC}">
                  <c16:uniqueId val="{00000004-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5-A7B9-46E6-9B45-76884E5DF6B8}"/>
            </c:ext>
          </c:extLst>
        </c:ser>
        <c:ser>
          <c:idx val="1"/>
          <c:order val="3"/>
          <c:tx>
            <c:strRef>
              <c:f>'ANTROPOMETRIA INICIAL'!$K$147:$M$147</c:f>
              <c:strCache>
                <c:ptCount val="1"/>
                <c:pt idx="0">
                  <c:v>CARTA DE SOMATOTIPO</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'ANTROPOMETRIA INICIAL'!$L$149</c:f>
              <c:numCache>
                <c:formatCode>0.0</c:formatCode>
                <c:ptCount val="1"/>
                <c:pt idx="0">
                  <c:v>-8.1885488000000013</c:v>
                </c:pt>
              </c:numCache>
            </c:numRef>
          </c:xVal>
          <c:yVal>
            <c:numRef>
              <c:f>'ANTROPOMETRIA INICIAL'!$M$149</c:f>
              <c:numCache>
                <c:formatCode>0.0</c:formatCode>
                <c:ptCount val="1"/>
                <c:pt idx="0">
                  <c:v>9.9212511999999951</c:v>
                </c:pt>
              </c:numCache>
            </c:numRef>
          </c:yVal>
          <c:smooth val="0"/>
          <c:extLst>
            <c:ext xmlns:c16="http://schemas.microsoft.com/office/drawing/2014/chart" uri="{C3380CC4-5D6E-409C-BE32-E72D297353CC}">
              <c16:uniqueId val="{00000006-A7B9-46E6-9B45-76884E5DF6B8}"/>
            </c:ext>
          </c:extLst>
        </c:ser>
        <c:ser>
          <c:idx val="4"/>
          <c:order val="4"/>
          <c:tx>
            <c:strRef>
              <c:f>'ANTROPOMETRIA INICIAL'!$K$154:$M$154</c:f>
              <c:strCache>
                <c:ptCount val="1"/>
                <c:pt idx="0">
                  <c:v>REFERENCIA</c:v>
                </c:pt>
              </c:strCache>
            </c:strRef>
          </c:tx>
          <c:spPr>
            <a:ln w="25400" cap="rnd">
              <a:noFill/>
              <a:round/>
            </a:ln>
            <a:effectLst/>
          </c:spPr>
          <c:marker>
            <c:symbol val="star"/>
            <c:size val="6"/>
            <c:spPr>
              <a:noFill/>
              <a:ln w="9525">
                <a:solidFill>
                  <a:schemeClr val="accent5"/>
                </a:solidFill>
                <a:round/>
              </a:ln>
              <a:effectLst/>
            </c:spPr>
          </c:marker>
          <c:xVal>
            <c:numRef>
              <c:f>'ANTROPOMETRIA INICIAL'!$L$157</c:f>
              <c:numCache>
                <c:formatCode>General</c:formatCode>
                <c:ptCount val="1"/>
                <c:pt idx="0">
                  <c:v>-2.1999999999999997</c:v>
                </c:pt>
              </c:numCache>
            </c:numRef>
          </c:xVal>
          <c:yVal>
            <c:numRef>
              <c:f>'ANTROPOMETRIA INICIAL'!$M$157</c:f>
              <c:numCache>
                <c:formatCode>General</c:formatCode>
                <c:ptCount val="1"/>
                <c:pt idx="0">
                  <c:v>11</c:v>
                </c:pt>
              </c:numCache>
            </c:numRef>
          </c:yVal>
          <c:smooth val="0"/>
          <c:extLst>
            <c:ext xmlns:c16="http://schemas.microsoft.com/office/drawing/2014/chart" uri="{C3380CC4-5D6E-409C-BE32-E72D297353CC}">
              <c16:uniqueId val="{00000007-A7B9-46E6-9B45-76884E5DF6B8}"/>
            </c:ext>
          </c:extLst>
        </c:ser>
        <c:dLbls>
          <c:showLegendKey val="0"/>
          <c:showVal val="0"/>
          <c:showCatName val="0"/>
          <c:showSerName val="0"/>
          <c:showPercent val="0"/>
          <c:showBubbleSize val="0"/>
        </c:dLbls>
        <c:axId val="76250496"/>
        <c:axId val="76280960"/>
      </c:scatterChart>
      <c:valAx>
        <c:axId val="76250496"/>
        <c:scaling>
          <c:orientation val="minMax"/>
          <c:max val="8"/>
          <c:min val="-8"/>
        </c:scaling>
        <c:delete val="0"/>
        <c:axPos val="b"/>
        <c:majorGridlines>
          <c:spPr>
            <a:ln w="3175" cap="flat" cmpd="sng" algn="ctr">
              <a:solidFill>
                <a:schemeClr val="tx1">
                  <a:lumMod val="15000"/>
                  <a:lumOff val="85000"/>
                </a:schemeClr>
              </a:solidFill>
              <a:round/>
              <a:headEnd type="oval" w="med" len="med"/>
              <a:tailEnd type="oval" w="med" len="med"/>
            </a:ln>
            <a:effectLst>
              <a:outerShdw blurRad="50800" dist="38100" dir="8100000" algn="tr" rotWithShape="0">
                <a:prstClr val="black">
                  <a:alpha val="40000"/>
                </a:prstClr>
              </a:outerShdw>
            </a:effectLst>
          </c:spPr>
        </c:majorGridlines>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80960"/>
        <c:crossesAt val="-10"/>
        <c:crossBetween val="midCat"/>
        <c:majorUnit val="1"/>
        <c:minorUnit val="0.5"/>
      </c:valAx>
      <c:valAx>
        <c:axId val="76280960"/>
        <c:scaling>
          <c:orientation val="minMax"/>
          <c:max val="16"/>
          <c:min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50496"/>
        <c:crossesAt val="10"/>
        <c:crossBetween val="midCat"/>
        <c:majorUnit val="2"/>
        <c:minorUnit val="1"/>
      </c:valAx>
      <c:spPr>
        <a:noFill/>
        <a:ln>
          <a:noFill/>
        </a:ln>
        <a:effectLst/>
      </c:spPr>
    </c:plotArea>
    <c:plotVisOnly val="1"/>
    <c:dispBlanksAs val="gap"/>
    <c:showDLblsOverMax val="0"/>
  </c:chart>
  <c:spPr>
    <a:solidFill>
      <a:schemeClr val="bg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CL"/>
    </a:p>
  </c:txPr>
  <c:printSettings>
    <c:headerFooter alignWithMargins="0"/>
    <c:pageMargins b="1" l="0.75000000000000178" r="0.75000000000000178" t="1" header="0" footer="0"/>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Entrenamiento.</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1"/>
          <c:order val="0"/>
          <c:dPt>
            <c:idx val="1"/>
            <c:bubble3D val="0"/>
            <c:spPr>
              <a:solidFill>
                <a:srgbClr val="FFC000"/>
              </a:solidFill>
            </c:spPr>
            <c:extLst>
              <c:ext xmlns:c16="http://schemas.microsoft.com/office/drawing/2014/chart" uri="{C3380CC4-5D6E-409C-BE32-E72D297353CC}">
                <c16:uniqueId val="{0000000B-DD8A-4222-AF4F-D3B1C798B2D5}"/>
              </c:ext>
            </c:extLst>
          </c:dPt>
          <c:dPt>
            <c:idx val="2"/>
            <c:bubble3D val="0"/>
            <c:spPr>
              <a:solidFill>
                <a:schemeClr val="accent2"/>
              </a:solidFill>
            </c:spPr>
            <c:extLst>
              <c:ext xmlns:c16="http://schemas.microsoft.com/office/drawing/2014/chart" uri="{C3380CC4-5D6E-409C-BE32-E72D297353CC}">
                <c16:uniqueId val="{0000000C-DD8A-4222-AF4F-D3B1C798B2D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A-DD8A-4222-AF4F-D3B1C798B2D5}"/>
            </c:ext>
          </c:extLst>
        </c:ser>
        <c:ser>
          <c:idx val="0"/>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DD8A-4222-AF4F-D3B1C798B2D5}"/>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DD8A-4222-AF4F-D3B1C798B2D5}"/>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DD8A-4222-AF4F-D3B1C798B2D5}"/>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9-DD8A-4222-AF4F-D3B1C798B2D5}"/>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accent4">
        <a:lumMod val="20000"/>
        <a:lumOff val="80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Competencia.</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2"/>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REQUERIMIENTOS!$B$120:$B$122</c:f>
              <c:strCache>
                <c:ptCount val="3"/>
                <c:pt idx="0">
                  <c:v>Carbohidratos.</c:v>
                </c:pt>
                <c:pt idx="1">
                  <c:v>Grasa</c:v>
                </c:pt>
                <c:pt idx="2">
                  <c:v>Proteina</c:v>
                </c:pt>
              </c:strCache>
            </c:strRef>
          </c:cat>
          <c:val>
            <c:numRef>
              <c:f>REQUERIMIENTOS!$C$120:$C$122</c:f>
              <c:numCache>
                <c:formatCode>0%</c:formatCode>
                <c:ptCount val="3"/>
                <c:pt idx="0">
                  <c:v>0.65</c:v>
                </c:pt>
                <c:pt idx="1">
                  <c:v>0.18</c:v>
                </c:pt>
                <c:pt idx="2">
                  <c:v>0.17</c:v>
                </c:pt>
              </c:numCache>
            </c:numRef>
          </c:val>
          <c:extLst>
            <c:ext xmlns:c16="http://schemas.microsoft.com/office/drawing/2014/chart" uri="{C3380CC4-5D6E-409C-BE32-E72D297353CC}">
              <c16:uniqueId val="{00000010-0B72-4A13-8B31-E5C721898F87}"/>
            </c:ext>
          </c:extLst>
        </c:ser>
        <c:ser>
          <c:idx val="1"/>
          <c:order val="1"/>
          <c:dPt>
            <c:idx val="1"/>
            <c:bubble3D val="0"/>
            <c:spPr>
              <a:solidFill>
                <a:srgbClr val="FFC000"/>
              </a:solidFill>
            </c:spPr>
            <c:extLst>
              <c:ext xmlns:c16="http://schemas.microsoft.com/office/drawing/2014/chart" uri="{C3380CC4-5D6E-409C-BE32-E72D297353CC}">
                <c16:uniqueId val="{00000004-0B72-4A13-8B31-E5C721898F87}"/>
              </c:ext>
            </c:extLst>
          </c:dPt>
          <c:dPt>
            <c:idx val="2"/>
            <c:bubble3D val="0"/>
            <c:spPr>
              <a:solidFill>
                <a:schemeClr val="accent2"/>
              </a:solidFill>
            </c:spPr>
            <c:extLst>
              <c:ext xmlns:c16="http://schemas.microsoft.com/office/drawing/2014/chart" uri="{C3380CC4-5D6E-409C-BE32-E72D297353CC}">
                <c16:uniqueId val="{00000006-0B72-4A13-8B31-E5C721898F8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7-0B72-4A13-8B31-E5C721898F87}"/>
            </c:ext>
          </c:extLst>
        </c:ser>
        <c:ser>
          <c:idx val="0"/>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0B72-4A13-8B31-E5C721898F87}"/>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C-0B72-4A13-8B31-E5C721898F87}"/>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0B72-4A13-8B31-E5C721898F87}"/>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F-0B72-4A13-8B31-E5C721898F87}"/>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accent2">
        <a:lumMod val="20000"/>
        <a:lumOff val="80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DISTRIBUCIÓN (%)</a:t>
            </a:r>
          </a:p>
          <a:p>
            <a:pPr>
              <a:defRPr/>
            </a:pPr>
            <a:r>
              <a:rPr lang="en-US"/>
              <a:t>BI-COMPARTIMENTAL</a:t>
            </a:r>
            <a:endParaRPr lang="es-CL"/>
          </a:p>
        </c:rich>
      </c:tx>
      <c:layout>
        <c:manualLayout>
          <c:xMode val="edge"/>
          <c:yMode val="edge"/>
          <c:x val="0.10348206474190724"/>
          <c:y val="3.28060986131397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05328566212694E-2"/>
          <c:y val="0.29514491881874427"/>
          <c:w val="0.65114762229524459"/>
          <c:h val="0.60631242476554148"/>
        </c:manualLayout>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2-3C7D-44CE-B22D-7B51906CA66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3C7D-44CE-B22D-7B51906CA663}"/>
              </c:ext>
            </c:extLst>
          </c:dPt>
          <c:dPt>
            <c:idx val="2"/>
            <c:bubble3D val="0"/>
            <c:spPr>
              <a:solidFill>
                <a:schemeClr val="accent2">
                  <a:lumMod val="75000"/>
                </a:schemeClr>
              </a:solidFill>
              <a:ln>
                <a:noFill/>
              </a:ln>
              <a:effectLst/>
              <a:sp3d/>
            </c:spPr>
            <c:extLst>
              <c:ext xmlns:c16="http://schemas.microsoft.com/office/drawing/2014/chart" uri="{C3380CC4-5D6E-409C-BE32-E72D297353CC}">
                <c16:uniqueId val="{00000004-3C7D-44CE-B22D-7B51906CA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L"/>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'ANTROPOMETRIA INICIAL'!$K$46:$M$46</c:f>
              <c:strCache>
                <c:ptCount val="3"/>
                <c:pt idx="0">
                  <c:v>% M.L.G</c:v>
                </c:pt>
                <c:pt idx="1">
                  <c:v>%GRASA</c:v>
                </c:pt>
                <c:pt idx="2">
                  <c:v>%MUSCULO</c:v>
                </c:pt>
              </c:strCache>
            </c:strRef>
          </c:cat>
          <c:val>
            <c:numRef>
              <c:f>'ANTROPOMETRIA INICIAL'!$K$47:$M$47</c:f>
              <c:numCache>
                <c:formatCode>0%</c:formatCode>
                <c:ptCount val="3"/>
                <c:pt idx="0">
                  <c:v>0.24423586340992354</c:v>
                </c:pt>
                <c:pt idx="1">
                  <c:v>0.40411320956523011</c:v>
                </c:pt>
                <c:pt idx="2" formatCode="0.0%">
                  <c:v>0.35165092702484635</c:v>
                </c:pt>
              </c:numCache>
            </c:numRef>
          </c:val>
          <c:extLst>
            <c:ext xmlns:c16="http://schemas.microsoft.com/office/drawing/2014/chart" uri="{C3380CC4-5D6E-409C-BE32-E72D297353CC}">
              <c16:uniqueId val="{00000000-3C7D-44CE-B22D-7B51906CA663}"/>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800" b="1" i="0" baseline="0">
                <a:effectLst/>
              </a:rPr>
              <a:t>DISTRIBUCIÓN (%)</a:t>
            </a:r>
            <a:endParaRPr lang="es-CL">
              <a:effectLst/>
            </a:endParaRPr>
          </a:p>
          <a:p>
            <a:pPr>
              <a:defRPr/>
            </a:pPr>
            <a:r>
              <a:rPr lang="en-US" sz="1800" b="1" i="0" baseline="0">
                <a:effectLst/>
              </a:rPr>
              <a:t>BI-COMPARTIMENTAL</a:t>
            </a:r>
            <a:endParaRPr lang="es-C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INICIAL'!$P$54</c:f>
              <c:strCache>
                <c:ptCount val="1"/>
                <c:pt idx="0">
                  <c:v>KG. GRASA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INICIAL'!$Q$54:$R$54</c:f>
              <c:numCache>
                <c:formatCode>0.0</c:formatCode>
                <c:ptCount val="2"/>
                <c:pt idx="0">
                  <c:v>39.037336044001229</c:v>
                </c:pt>
              </c:numCache>
            </c:numRef>
          </c:val>
          <c:smooth val="0"/>
          <c:extLst>
            <c:ext xmlns:c16="http://schemas.microsoft.com/office/drawing/2014/chart" uri="{C3380CC4-5D6E-409C-BE32-E72D297353CC}">
              <c16:uniqueId val="{00000000-AA76-4682-9E6F-BEC70D8D98D2}"/>
            </c:ext>
          </c:extLst>
        </c:ser>
        <c:ser>
          <c:idx val="1"/>
          <c:order val="1"/>
          <c:tx>
            <c:strRef>
              <c:f>'ANTROPOMETRIA INICIAL'!$P$55</c:f>
              <c:strCache>
                <c:ptCount val="1"/>
                <c:pt idx="0">
                  <c:v>KG. MUSCULO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INICIAL'!$Q$55:$R$55</c:f>
              <c:numCache>
                <c:formatCode>0.0</c:formatCode>
                <c:ptCount val="2"/>
                <c:pt idx="0">
                  <c:v>33.969479550600155</c:v>
                </c:pt>
              </c:numCache>
            </c:numRef>
          </c:val>
          <c:smooth val="0"/>
          <c:extLst>
            <c:ext xmlns:c16="http://schemas.microsoft.com/office/drawing/2014/chart" uri="{C3380CC4-5D6E-409C-BE32-E72D297353CC}">
              <c16:uniqueId val="{00000001-AA76-4682-9E6F-BEC70D8D98D2}"/>
            </c:ext>
          </c:extLst>
        </c:ser>
        <c:ser>
          <c:idx val="2"/>
          <c:order val="2"/>
          <c:tx>
            <c:strRef>
              <c:f>'ANTROPOMETRIA INICIAL'!$P$56</c:f>
              <c:strCache>
                <c:ptCount val="1"/>
                <c:pt idx="0">
                  <c:v>KG. M.L.G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INICIAL'!$Q$56:$R$56</c:f>
              <c:numCache>
                <c:formatCode>0.0</c:formatCode>
                <c:ptCount val="2"/>
              </c:numCache>
            </c:numRef>
          </c:val>
          <c:smooth val="0"/>
          <c:extLst>
            <c:ext xmlns:c16="http://schemas.microsoft.com/office/drawing/2014/chart" uri="{C3380CC4-5D6E-409C-BE32-E72D297353CC}">
              <c16:uniqueId val="{00000003-AA76-4682-9E6F-BEC70D8D98D2}"/>
            </c:ext>
          </c:extLst>
        </c:ser>
        <c:ser>
          <c:idx val="3"/>
          <c:order val="3"/>
          <c:tx>
            <c:strRef>
              <c:f>'ANTROPOMETRIA INICIAL'!$P$57</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44511</c:v>
                </c:pt>
              </c:numCache>
            </c:numRef>
          </c:cat>
          <c:val>
            <c:numRef>
              <c:f>'ANTROPOMETRIA INICIAL'!$Q$57:$R$57</c:f>
              <c:numCache>
                <c:formatCode>0.0</c:formatCode>
                <c:ptCount val="2"/>
              </c:numCache>
            </c:numRef>
          </c:val>
          <c:smooth val="0"/>
          <c:extLst>
            <c:ext xmlns:c16="http://schemas.microsoft.com/office/drawing/2014/chart" uri="{C3380CC4-5D6E-409C-BE32-E72D297353CC}">
              <c16:uniqueId val="{00000004-AA76-4682-9E6F-BEC70D8D98D2}"/>
            </c:ext>
          </c:extLst>
        </c:ser>
        <c:dLbls>
          <c:showLegendKey val="0"/>
          <c:showVal val="1"/>
          <c:showCatName val="0"/>
          <c:showSerName val="0"/>
          <c:showPercent val="0"/>
          <c:showBubbleSize val="0"/>
        </c:dLbls>
        <c:marker val="1"/>
        <c:smooth val="0"/>
        <c:axId val="1609782895"/>
        <c:axId val="1609783311"/>
      </c:lineChart>
      <c:dateAx>
        <c:axId val="1609782895"/>
        <c:scaling>
          <c:orientation val="minMax"/>
        </c:scaling>
        <c:delete val="0"/>
        <c:axPos val="b"/>
        <c:numFmt formatCode="d/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3311"/>
        <c:crosses val="autoZero"/>
        <c:auto val="1"/>
        <c:lblOffset val="100"/>
        <c:baseTimeUnit val="months"/>
      </c:dateAx>
      <c:valAx>
        <c:axId val="16097833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2895"/>
        <c:crosses val="autoZero"/>
        <c:crossBetween val="between"/>
      </c:valAx>
      <c:spPr>
        <a:noFill/>
        <a:ln w="25400">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cked"/>
        <c:varyColors val="0"/>
        <c:ser>
          <c:idx val="0"/>
          <c:order val="0"/>
          <c:tx>
            <c:strRef>
              <c:f>'ANTROPOMETRIA INICIAL'!$L$76</c:f>
              <c:strCache>
                <c:ptCount val="1"/>
                <c:pt idx="0">
                  <c:v>MASA CORPORAL (KG.)</c:v>
                </c:pt>
              </c:strCache>
            </c:strRef>
          </c:tx>
          <c:spPr>
            <a:ln w="28575" cap="rnd">
              <a:noFill/>
              <a:round/>
            </a:ln>
            <a:effectLst/>
          </c:spPr>
          <c:marker>
            <c:symbol val="circle"/>
            <c:size val="5"/>
            <c:spPr>
              <a:solidFill>
                <a:schemeClr val="accent1"/>
              </a:solidFill>
              <a:ln w="9525">
                <a:solidFill>
                  <a:schemeClr val="accent1"/>
                </a:solidFill>
              </a:ln>
              <a:effectLst/>
            </c:spPr>
          </c:marker>
          <c:cat>
            <c:strRef>
              <c:f>'ANTROPOMETRIA INICIAL'!$K$77:$K$78</c:f>
              <c:strCache>
                <c:ptCount val="2"/>
                <c:pt idx="0">
                  <c:v>11-11-21</c:v>
                </c:pt>
                <c:pt idx="1">
                  <c:v>OBJETIVO</c:v>
                </c:pt>
              </c:strCache>
            </c:strRef>
          </c:cat>
          <c:val>
            <c:numRef>
              <c:f>'ANTROPOMETRIA INICIAL'!$L$77:$L$78</c:f>
              <c:numCache>
                <c:formatCode>0.0</c:formatCode>
                <c:ptCount val="2"/>
                <c:pt idx="0">
                  <c:v>96.6</c:v>
                </c:pt>
                <c:pt idx="1">
                  <c:v>48.375</c:v>
                </c:pt>
              </c:numCache>
            </c:numRef>
          </c:val>
          <c:smooth val="0"/>
          <c:extLst>
            <c:ext xmlns:c16="http://schemas.microsoft.com/office/drawing/2014/chart" uri="{C3380CC4-5D6E-409C-BE32-E72D297353CC}">
              <c16:uniqueId val="{00000000-A87D-401B-8AA6-18AE901F8FA2}"/>
            </c:ext>
          </c:extLst>
        </c:ser>
        <c:dLbls>
          <c:showLegendKey val="0"/>
          <c:showVal val="0"/>
          <c:showCatName val="0"/>
          <c:showSerName val="0"/>
          <c:showPercent val="0"/>
          <c:showBubbleSize val="0"/>
        </c:dLbls>
        <c:marker val="1"/>
        <c:smooth val="0"/>
        <c:axId val="1042509216"/>
        <c:axId val="1042511296"/>
      </c:lineChart>
      <c:catAx>
        <c:axId val="104250921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11296"/>
        <c:crosses val="autoZero"/>
        <c:auto val="1"/>
        <c:lblAlgn val="ctr"/>
        <c:lblOffset val="100"/>
        <c:noMultiLvlLbl val="0"/>
      </c:catAx>
      <c:valAx>
        <c:axId val="1042511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09216"/>
        <c:crosses val="autoZero"/>
        <c:crossBetween val="between"/>
        <c:majorUnit val="3"/>
        <c:minorUnit val="0.60000000000000009"/>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INICIAL'!$K$91</c:f>
              <c:strCache>
                <c:ptCount val="1"/>
                <c:pt idx="0">
                  <c:v>SUMATORIA DE PLIEGUES mm.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INICIAL'!$J$92</c:f>
              <c:numCache>
                <c:formatCode>d/m/yy;@</c:formatCode>
                <c:ptCount val="1"/>
                <c:pt idx="0">
                  <c:v>44511</c:v>
                </c:pt>
              </c:numCache>
            </c:numRef>
          </c:cat>
          <c:val>
            <c:numRef>
              <c:f>'ANTROPOMETRIA INICIAL'!$K$92</c:f>
              <c:numCache>
                <c:formatCode>0.0</c:formatCode>
                <c:ptCount val="1"/>
                <c:pt idx="0">
                  <c:v>204</c:v>
                </c:pt>
              </c:numCache>
            </c:numRef>
          </c:val>
          <c:smooth val="0"/>
          <c:extLst>
            <c:ext xmlns:c16="http://schemas.microsoft.com/office/drawing/2014/chart" uri="{C3380CC4-5D6E-409C-BE32-E72D297353CC}">
              <c16:uniqueId val="{00000000-64DC-4B93-B587-C2BEE3C1C82F}"/>
            </c:ext>
          </c:extLst>
        </c:ser>
        <c:dLbls>
          <c:showLegendKey val="0"/>
          <c:showVal val="0"/>
          <c:showCatName val="0"/>
          <c:showSerName val="0"/>
          <c:showPercent val="0"/>
          <c:showBubbleSize val="0"/>
        </c:dLbls>
        <c:marker val="1"/>
        <c:smooth val="0"/>
        <c:axId val="1024999216"/>
        <c:axId val="1024984240"/>
      </c:lineChart>
      <c:dateAx>
        <c:axId val="1024999216"/>
        <c:scaling>
          <c:orientation val="minMax"/>
        </c:scaling>
        <c:delete val="0"/>
        <c:axPos val="b"/>
        <c:numFmt formatCode="d/m/yy;@"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84240"/>
        <c:crosses val="autoZero"/>
        <c:auto val="1"/>
        <c:lblOffset val="100"/>
        <c:baseTimeUnit val="days"/>
      </c:dateAx>
      <c:valAx>
        <c:axId val="102498424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ysClr val="windowText" lastClr="000000"/>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9921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s-CL"/>
              <a:t>PLIEGUES (mm)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'ANTROPOMETRIA INICIAL'!$A$102:$A$110</c15:sqref>
                  </c15:fullRef>
                </c:ext>
              </c:extLst>
              <c:f>'ANTROPOMETRIA INICIAL'!$A$103:$A$110</c:f>
              <c:strCache>
                <c:ptCount val="8"/>
                <c:pt idx="0">
                  <c:v>TRÍCEPS</c:v>
                </c:pt>
                <c:pt idx="1">
                  <c:v>SUBESCAPULAR</c:v>
                </c:pt>
                <c:pt idx="2">
                  <c:v>BÍCEPS</c:v>
                </c:pt>
                <c:pt idx="3">
                  <c:v>CRESTA ILÍACA</c:v>
                </c:pt>
                <c:pt idx="4">
                  <c:v>SUPRAESPINAL</c:v>
                </c:pt>
                <c:pt idx="5">
                  <c:v>ABDOMINAL</c:v>
                </c:pt>
                <c:pt idx="6">
                  <c:v>MUSLO ANTERIOR</c:v>
                </c:pt>
                <c:pt idx="7">
                  <c:v>PANTORRILLA MEDIAL</c:v>
                </c:pt>
              </c:strCache>
            </c:strRef>
          </c:cat>
          <c:val>
            <c:numRef>
              <c:extLst>
                <c:ext xmlns:c15="http://schemas.microsoft.com/office/drawing/2012/chart" uri="{02D57815-91ED-43cb-92C2-25804820EDAC}">
                  <c15:fullRef>
                    <c15:sqref>'ANTROPOMETRIA INICIAL'!$B$102:$B$110</c15:sqref>
                  </c15:fullRef>
                </c:ext>
              </c:extLst>
              <c:f>'ANTROPOMETRIA INICIAL'!$B$103:$B$110</c:f>
              <c:numCache>
                <c:formatCode>0.0</c:formatCode>
                <c:ptCount val="8"/>
                <c:pt idx="0">
                  <c:v>30</c:v>
                </c:pt>
                <c:pt idx="1">
                  <c:v>36</c:v>
                </c:pt>
                <c:pt idx="2">
                  <c:v>15</c:v>
                </c:pt>
                <c:pt idx="3">
                  <c:v>32.5</c:v>
                </c:pt>
                <c:pt idx="4">
                  <c:v>32</c:v>
                </c:pt>
                <c:pt idx="5">
                  <c:v>27</c:v>
                </c:pt>
                <c:pt idx="6">
                  <c:v>47</c:v>
                </c:pt>
                <c:pt idx="7">
                  <c:v>32</c:v>
                </c:pt>
              </c:numCache>
            </c:numRef>
          </c:val>
          <c:smooth val="0"/>
          <c:extLst>
            <c:ext xmlns:c16="http://schemas.microsoft.com/office/drawing/2014/chart" uri="{C3380CC4-5D6E-409C-BE32-E72D297353CC}">
              <c16:uniqueId val="{00000000-5ADC-4127-8C45-D3B83F24D271}"/>
            </c:ext>
          </c:extLst>
        </c:ser>
        <c:dLbls>
          <c:showLegendKey val="0"/>
          <c:showVal val="0"/>
          <c:showCatName val="0"/>
          <c:showSerName val="0"/>
          <c:showPercent val="0"/>
          <c:showBubbleSize val="0"/>
        </c:dLbls>
        <c:marker val="1"/>
        <c:smooth val="0"/>
        <c:axId val="1015643456"/>
        <c:axId val="1015643872"/>
      </c:lineChart>
      <c:catAx>
        <c:axId val="101564345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872"/>
        <c:crosses val="autoZero"/>
        <c:auto val="1"/>
        <c:lblAlgn val="ctr"/>
        <c:lblOffset val="100"/>
        <c:noMultiLvlLbl val="0"/>
      </c:catAx>
      <c:valAx>
        <c:axId val="10156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96475233664823E-2"/>
          <c:y val="0.12118450471468845"/>
          <c:w val="0.87169811320755008"/>
          <c:h val="0.78216664901192301"/>
        </c:manualLayout>
      </c:layout>
      <c:scatterChart>
        <c:scatterStyle val="lineMarker"/>
        <c:varyColors val="0"/>
        <c:ser>
          <c:idx val="0"/>
          <c:order val="0"/>
          <c:tx>
            <c:v>MESOMORFO</c:v>
          </c:tx>
          <c:spPr>
            <a:ln w="25400" cap="rnd">
              <a:noFill/>
              <a:round/>
            </a:ln>
            <a:effectLst/>
          </c:spPr>
          <c:marker>
            <c:symbol val="diamond"/>
            <c:size val="6"/>
            <c:spPr>
              <a:solidFill>
                <a:schemeClr val="accent1"/>
              </a:solidFill>
              <a:ln w="9525">
                <a:solidFill>
                  <a:schemeClr val="accent1"/>
                </a:solidFill>
                <a:round/>
              </a:ln>
              <a:effectLst/>
            </c:spPr>
          </c:marker>
          <c:dLbls>
            <c:dLbl>
              <c:idx val="0"/>
              <c:layout>
                <c:manualLayout>
                  <c:x val="-0.31823448469301491"/>
                  <c:y val="-0.27155458431917967"/>
                </c:manualLayout>
              </c:layout>
              <c:tx>
                <c:rich>
                  <a:bodyPr/>
                  <a:lstStyle/>
                  <a:p>
                    <a:r>
                      <a:rPr lang="en-US" b="1"/>
                      <a:t>MESOMORFO</a:t>
                    </a:r>
                  </a:p>
                </c:rich>
              </c:tx>
              <c:dLblPos val="r"/>
              <c:showLegendKey val="0"/>
              <c:showVal val="0"/>
              <c:showCatName val="0"/>
              <c:showSerName val="0"/>
              <c:showPercent val="0"/>
              <c:showBubbleSize val="0"/>
              <c:extLst>
                <c:ext xmlns:c15="http://schemas.microsoft.com/office/drawing/2012/chart" uri="{CE6537A1-D6FC-4f65-9D91-7224C49458BB}">
                  <c15:layout>
                    <c:manualLayout>
                      <c:w val="0.39191585787918548"/>
                      <c:h val="8.4192880089314789E-2"/>
                    </c:manualLayout>
                  </c15:layout>
                  <c15:showDataLabelsRange val="0"/>
                </c:ext>
                <c:ext xmlns:c16="http://schemas.microsoft.com/office/drawing/2014/chart" uri="{C3380CC4-5D6E-409C-BE32-E72D297353CC}">
                  <c16:uniqueId val="{00000000-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'ANTROPOMETRIA INICIAL'!$L$151</c:f>
              <c:numCache>
                <c:formatCode>0.0</c:formatCode>
                <c:ptCount val="1"/>
                <c:pt idx="0">
                  <c:v>9.1548999999999978</c:v>
                </c:pt>
              </c:numCache>
            </c:numRef>
          </c:xVal>
          <c:yVal>
            <c:numLit>
              <c:formatCode>General</c:formatCode>
              <c:ptCount val="1"/>
              <c:pt idx="0">
                <c:v>5</c:v>
              </c:pt>
            </c:numLit>
          </c:yVal>
          <c:smooth val="0"/>
          <c:extLst>
            <c:ext xmlns:c16="http://schemas.microsoft.com/office/drawing/2014/chart" uri="{C3380CC4-5D6E-409C-BE32-E72D297353CC}">
              <c16:uniqueId val="{00000001-7D08-47FC-A31A-4F2600F09A3B}"/>
            </c:ext>
          </c:extLst>
        </c:ser>
        <c:ser>
          <c:idx val="2"/>
          <c:order val="1"/>
          <c:tx>
            <c:v>ENDOMORFO</c:v>
          </c:tx>
          <c:spPr>
            <a:ln w="25400" cap="rnd">
              <a:noFill/>
              <a:round/>
            </a:ln>
            <a:effectLst/>
          </c:spPr>
          <c:marker>
            <c:symbol val="triangle"/>
            <c:size val="6"/>
            <c:spPr>
              <a:solidFill>
                <a:schemeClr val="accent3"/>
              </a:solidFill>
              <a:ln w="9525">
                <a:solidFill>
                  <a:schemeClr val="accent3"/>
                </a:solidFill>
                <a:round/>
              </a:ln>
              <a:effectLst/>
            </c:spPr>
          </c:marker>
          <c:dLbls>
            <c:dLbl>
              <c:idx val="0"/>
              <c:layout>
                <c:manualLayout>
                  <c:x val="-0.14154712418862117"/>
                  <c:y val="7.5335881047276398E-2"/>
                </c:manualLayout>
              </c:layout>
              <c:tx>
                <c:rich>
                  <a:bodyPr/>
                  <a:lstStyle/>
                  <a:p>
                    <a:fld id="{1D3E8C60-99F9-47F2-8C22-23CD24A7C138}"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7609562326208675"/>
                      <c:h val="8.4192796212973361E-2"/>
                    </c:manualLayout>
                  </c15:layout>
                  <c15:dlblFieldTable/>
                  <c15:showDataLabelsRange val="0"/>
                </c:ext>
                <c:ext xmlns:c16="http://schemas.microsoft.com/office/drawing/2014/chart" uri="{C3380CC4-5D6E-409C-BE32-E72D297353CC}">
                  <c16:uniqueId val="{00000002-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3-7D08-47FC-A31A-4F2600F09A3B}"/>
            </c:ext>
          </c:extLst>
        </c:ser>
        <c:ser>
          <c:idx val="3"/>
          <c:order val="2"/>
          <c:tx>
            <c:v>ECTOMORFO</c:v>
          </c:tx>
          <c:spPr>
            <a:ln w="25400" cap="rnd">
              <a:noFill/>
              <a:round/>
            </a:ln>
            <a:effectLst/>
          </c:spPr>
          <c:marker>
            <c:symbol val="x"/>
            <c:size val="6"/>
            <c:spPr>
              <a:noFill/>
              <a:ln w="9525">
                <a:solidFill>
                  <a:schemeClr val="accent4"/>
                </a:solidFill>
                <a:round/>
              </a:ln>
              <a:effectLst/>
            </c:spPr>
          </c:marker>
          <c:dLbls>
            <c:dLbl>
              <c:idx val="0"/>
              <c:layout>
                <c:manualLayout>
                  <c:x val="-4.2911514374930973E-2"/>
                  <c:y val="6.7860730371666511E-2"/>
                </c:manualLayout>
              </c:layout>
              <c:tx>
                <c:rich>
                  <a:bodyPr/>
                  <a:lstStyle/>
                  <a:p>
                    <a:fld id="{C5385681-B31F-4D94-A62B-7E29C2CDE7B1}"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556545260117295"/>
                      <c:h val="9.2212301587301593E-2"/>
                    </c:manualLayout>
                  </c15:layout>
                  <c15:dlblFieldTable/>
                  <c15:showDataLabelsRange val="0"/>
                </c:ext>
                <c:ext xmlns:c16="http://schemas.microsoft.com/office/drawing/2014/chart" uri="{C3380CC4-5D6E-409C-BE32-E72D297353CC}">
                  <c16:uniqueId val="{00000004-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5-7D08-47FC-A31A-4F2600F09A3B}"/>
            </c:ext>
          </c:extLst>
        </c:ser>
        <c:ser>
          <c:idx val="1"/>
          <c:order val="3"/>
          <c:tx>
            <c:strRef>
              <c:f>'ANTROPOMETRIA INICIAL'!$K$147:$M$147</c:f>
              <c:strCache>
                <c:ptCount val="1"/>
                <c:pt idx="0">
                  <c:v>CARTA DE SOMATOTIPO</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'ANTROPOMETRIA INICIAL'!$L$149</c:f>
              <c:numCache>
                <c:formatCode>0.0</c:formatCode>
                <c:ptCount val="1"/>
                <c:pt idx="0">
                  <c:v>-8.1885488000000013</c:v>
                </c:pt>
              </c:numCache>
            </c:numRef>
          </c:xVal>
          <c:yVal>
            <c:numRef>
              <c:f>'ANTROPOMETRIA INICIAL'!$M$149</c:f>
              <c:numCache>
                <c:formatCode>0.0</c:formatCode>
                <c:ptCount val="1"/>
                <c:pt idx="0">
                  <c:v>9.9212511999999951</c:v>
                </c:pt>
              </c:numCache>
            </c:numRef>
          </c:yVal>
          <c:smooth val="0"/>
          <c:extLst>
            <c:ext xmlns:c16="http://schemas.microsoft.com/office/drawing/2014/chart" uri="{C3380CC4-5D6E-409C-BE32-E72D297353CC}">
              <c16:uniqueId val="{00000008-7D08-47FC-A31A-4F2600F09A3B}"/>
            </c:ext>
          </c:extLst>
        </c:ser>
        <c:ser>
          <c:idx val="4"/>
          <c:order val="4"/>
          <c:tx>
            <c:strRef>
              <c:f>'ANTROPOMETRIA INICIAL'!$K$154:$M$154</c:f>
              <c:strCache>
                <c:ptCount val="1"/>
                <c:pt idx="0">
                  <c:v>REFERENCIA</c:v>
                </c:pt>
              </c:strCache>
            </c:strRef>
          </c:tx>
          <c:spPr>
            <a:ln w="25400" cap="rnd">
              <a:noFill/>
              <a:round/>
            </a:ln>
            <a:effectLst/>
          </c:spPr>
          <c:marker>
            <c:symbol val="star"/>
            <c:size val="6"/>
            <c:spPr>
              <a:noFill/>
              <a:ln w="9525">
                <a:solidFill>
                  <a:schemeClr val="accent5"/>
                </a:solidFill>
                <a:round/>
              </a:ln>
              <a:effectLst/>
            </c:spPr>
          </c:marker>
          <c:xVal>
            <c:numRef>
              <c:f>'ANTROPOMETRIA INICIAL'!$L$157</c:f>
              <c:numCache>
                <c:formatCode>General</c:formatCode>
                <c:ptCount val="1"/>
                <c:pt idx="0">
                  <c:v>-2.1999999999999997</c:v>
                </c:pt>
              </c:numCache>
            </c:numRef>
          </c:xVal>
          <c:yVal>
            <c:numRef>
              <c:f>'ANTROPOMETRIA INICIAL'!$M$157</c:f>
              <c:numCache>
                <c:formatCode>General</c:formatCode>
                <c:ptCount val="1"/>
                <c:pt idx="0">
                  <c:v>11</c:v>
                </c:pt>
              </c:numCache>
            </c:numRef>
          </c:yVal>
          <c:smooth val="0"/>
          <c:extLst>
            <c:ext xmlns:c16="http://schemas.microsoft.com/office/drawing/2014/chart" uri="{C3380CC4-5D6E-409C-BE32-E72D297353CC}">
              <c16:uniqueId val="{0000000A-7D08-47FC-A31A-4F2600F09A3B}"/>
            </c:ext>
          </c:extLst>
        </c:ser>
        <c:dLbls>
          <c:showLegendKey val="0"/>
          <c:showVal val="0"/>
          <c:showCatName val="0"/>
          <c:showSerName val="0"/>
          <c:showPercent val="0"/>
          <c:showBubbleSize val="0"/>
        </c:dLbls>
        <c:axId val="76250496"/>
        <c:axId val="76280960"/>
      </c:scatterChart>
      <c:valAx>
        <c:axId val="76250496"/>
        <c:scaling>
          <c:orientation val="minMax"/>
          <c:max val="8"/>
          <c:min val="-8"/>
        </c:scaling>
        <c:delete val="0"/>
        <c:axPos val="b"/>
        <c:majorGridlines>
          <c:spPr>
            <a:ln w="3175" cap="flat" cmpd="sng" algn="ctr">
              <a:solidFill>
                <a:schemeClr val="tx1">
                  <a:lumMod val="15000"/>
                  <a:lumOff val="85000"/>
                </a:schemeClr>
              </a:solidFill>
              <a:round/>
              <a:headEnd type="oval" w="med" len="med"/>
              <a:tailEnd type="oval" w="med" len="med"/>
            </a:ln>
            <a:effectLst>
              <a:outerShdw blurRad="50800" dist="38100" dir="8100000" algn="tr" rotWithShape="0">
                <a:prstClr val="black">
                  <a:alpha val="40000"/>
                </a:prstClr>
              </a:outerShdw>
            </a:effectLst>
          </c:spPr>
        </c:majorGridlines>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80960"/>
        <c:crossesAt val="-10"/>
        <c:crossBetween val="midCat"/>
        <c:majorUnit val="1"/>
        <c:minorUnit val="0.5"/>
      </c:valAx>
      <c:valAx>
        <c:axId val="76280960"/>
        <c:scaling>
          <c:orientation val="minMax"/>
          <c:max val="16"/>
          <c:min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50496"/>
        <c:crossesAt val="10"/>
        <c:crossBetween val="midCat"/>
        <c:majorUnit val="2"/>
        <c:minorUnit val="1"/>
      </c:valAx>
      <c:spPr>
        <a:noFill/>
        <a:ln>
          <a:noFill/>
        </a:ln>
        <a:effectLst/>
      </c:spPr>
    </c:plotArea>
    <c:plotVisOnly val="1"/>
    <c:dispBlanksAs val="gap"/>
    <c:showDLblsOverMax val="0"/>
  </c:chart>
  <c:spPr>
    <a:solidFill>
      <a:schemeClr val="bg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CL"/>
    </a:p>
  </c:txPr>
  <c:printSettings>
    <c:headerFooter alignWithMargins="0"/>
    <c:pageMargins b="1" l="0.75000000000000178" r="0.75000000000000178" t="1" header="0" footer="0"/>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0</xdr:colOff>
      <xdr:row>98</xdr:row>
      <xdr:rowOff>0</xdr:rowOff>
    </xdr:from>
    <xdr:to>
      <xdr:col>13</xdr:col>
      <xdr:colOff>9525</xdr:colOff>
      <xdr:row>106</xdr:row>
      <xdr:rowOff>0</xdr:rowOff>
    </xdr:to>
    <xdr:graphicFrame macro="">
      <xdr:nvGraphicFramePr>
        <xdr:cNvPr id="2" name="Gráfico 1">
          <a:extLst>
            <a:ext uri="{FF2B5EF4-FFF2-40B4-BE49-F238E27FC236}">
              <a16:creationId xmlns:a16="http://schemas.microsoft.com/office/drawing/2014/main" id="{07F538D4-111B-42E6-98E7-BFEBF3150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752475</xdr:colOff>
      <xdr:row>106</xdr:row>
      <xdr:rowOff>180975</xdr:rowOff>
    </xdr:from>
    <xdr:to>
      <xdr:col>12</xdr:col>
      <xdr:colOff>904875</xdr:colOff>
      <xdr:row>114</xdr:row>
      <xdr:rowOff>171450</xdr:rowOff>
    </xdr:to>
    <xdr:graphicFrame macro="">
      <xdr:nvGraphicFramePr>
        <xdr:cNvPr id="3" name="Gráfico 2">
          <a:extLst>
            <a:ext uri="{FF2B5EF4-FFF2-40B4-BE49-F238E27FC236}">
              <a16:creationId xmlns:a16="http://schemas.microsoft.com/office/drawing/2014/main" id="{E257D70A-6D77-44E4-9290-780B4E518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742950</xdr:colOff>
      <xdr:row>116</xdr:row>
      <xdr:rowOff>0</xdr:rowOff>
    </xdr:from>
    <xdr:to>
      <xdr:col>12</xdr:col>
      <xdr:colOff>923925</xdr:colOff>
      <xdr:row>124</xdr:row>
      <xdr:rowOff>0</xdr:rowOff>
    </xdr:to>
    <xdr:graphicFrame macro="">
      <xdr:nvGraphicFramePr>
        <xdr:cNvPr id="4" name="Gráfico 3">
          <a:extLst>
            <a:ext uri="{FF2B5EF4-FFF2-40B4-BE49-F238E27FC236}">
              <a16:creationId xmlns:a16="http://schemas.microsoft.com/office/drawing/2014/main" id="{8D2042C6-3058-4647-92D5-F3A87A897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51</xdr:row>
      <xdr:rowOff>0</xdr:rowOff>
    </xdr:from>
    <xdr:to>
      <xdr:col>3</xdr:col>
      <xdr:colOff>170142</xdr:colOff>
      <xdr:row>57</xdr:row>
      <xdr:rowOff>117764</xdr:rowOff>
    </xdr:to>
    <xdr:pic>
      <xdr:nvPicPr>
        <xdr:cNvPr id="2" name="Picture 5">
          <a:extLst>
            <a:ext uri="{FF2B5EF4-FFF2-40B4-BE49-F238E27FC236}">
              <a16:creationId xmlns:a16="http://schemas.microsoft.com/office/drawing/2014/main" id="{C6DA634F-10B7-4172-82F4-99B9C789CBE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4125" t="52964" r="30758" b="23530"/>
        <a:stretch/>
      </xdr:blipFill>
      <xdr:spPr bwMode="auto">
        <a:xfrm>
          <a:off x="1" y="8478982"/>
          <a:ext cx="2289886"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xdr:row>
      <xdr:rowOff>147451</xdr:rowOff>
    </xdr:from>
    <xdr:to>
      <xdr:col>3</xdr:col>
      <xdr:colOff>179759</xdr:colOff>
      <xdr:row>65</xdr:row>
      <xdr:rowOff>141513</xdr:rowOff>
    </xdr:to>
    <xdr:pic>
      <xdr:nvPicPr>
        <xdr:cNvPr id="3" name="Picture 6">
          <a:extLst>
            <a:ext uri="{FF2B5EF4-FFF2-40B4-BE49-F238E27FC236}">
              <a16:creationId xmlns:a16="http://schemas.microsoft.com/office/drawing/2014/main" id="{C533D1D3-4F1E-41B3-A5C8-9C3229B8A8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3237" t="36083" r="30005" b="41632"/>
        <a:stretch/>
      </xdr:blipFill>
      <xdr:spPr bwMode="auto">
        <a:xfrm>
          <a:off x="0" y="9817924"/>
          <a:ext cx="2299504" cy="1164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50</xdr:row>
      <xdr:rowOff>166688</xdr:rowOff>
    </xdr:from>
    <xdr:to>
      <xdr:col>13</xdr:col>
      <xdr:colOff>762000</xdr:colOff>
      <xdr:row>66</xdr:row>
      <xdr:rowOff>123825</xdr:rowOff>
    </xdr:to>
    <xdr:graphicFrame macro="">
      <xdr:nvGraphicFramePr>
        <xdr:cNvPr id="5" name="Gráfico 4">
          <a:extLst>
            <a:ext uri="{FF2B5EF4-FFF2-40B4-BE49-F238E27FC236}">
              <a16:creationId xmlns:a16="http://schemas.microsoft.com/office/drawing/2014/main" id="{B8FFF81D-C282-491E-8203-C732A3564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57</xdr:row>
      <xdr:rowOff>100013</xdr:rowOff>
    </xdr:from>
    <xdr:to>
      <xdr:col>18</xdr:col>
      <xdr:colOff>733425</xdr:colOff>
      <xdr:row>71</xdr:row>
      <xdr:rowOff>133350</xdr:rowOff>
    </xdr:to>
    <xdr:graphicFrame macro="">
      <xdr:nvGraphicFramePr>
        <xdr:cNvPr id="16" name="Gráfico 15">
          <a:extLst>
            <a:ext uri="{FF2B5EF4-FFF2-40B4-BE49-F238E27FC236}">
              <a16:creationId xmlns:a16="http://schemas.microsoft.com/office/drawing/2014/main" id="{5034ABC9-8051-4813-8D79-E31BC0272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504825</xdr:colOff>
      <xdr:row>75</xdr:row>
      <xdr:rowOff>9524</xdr:rowOff>
    </xdr:from>
    <xdr:to>
      <xdr:col>17</xdr:col>
      <xdr:colOff>76200</xdr:colOff>
      <xdr:row>87</xdr:row>
      <xdr:rowOff>9525</xdr:rowOff>
    </xdr:to>
    <xdr:graphicFrame macro="">
      <xdr:nvGraphicFramePr>
        <xdr:cNvPr id="8" name="Gráfico 7">
          <a:extLst>
            <a:ext uri="{FF2B5EF4-FFF2-40B4-BE49-F238E27FC236}">
              <a16:creationId xmlns:a16="http://schemas.microsoft.com/office/drawing/2014/main" id="{7DB256C6-DC7B-4E58-88B1-2577B9D31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876300</xdr:colOff>
      <xdr:row>78</xdr:row>
      <xdr:rowOff>119063</xdr:rowOff>
    </xdr:from>
    <xdr:to>
      <xdr:col>8</xdr:col>
      <xdr:colOff>228600</xdr:colOff>
      <xdr:row>97</xdr:row>
      <xdr:rowOff>9525</xdr:rowOff>
    </xdr:to>
    <xdr:graphicFrame macro="">
      <xdr:nvGraphicFramePr>
        <xdr:cNvPr id="11" name="Gráfico 10">
          <a:extLst>
            <a:ext uri="{FF2B5EF4-FFF2-40B4-BE49-F238E27FC236}">
              <a16:creationId xmlns:a16="http://schemas.microsoft.com/office/drawing/2014/main" id="{A9A0C064-6D4C-4ABA-A32B-840433AFA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457200</xdr:colOff>
      <xdr:row>96</xdr:row>
      <xdr:rowOff>23813</xdr:rowOff>
    </xdr:from>
    <xdr:to>
      <xdr:col>14</xdr:col>
      <xdr:colOff>428625</xdr:colOff>
      <xdr:row>112</xdr:row>
      <xdr:rowOff>23813</xdr:rowOff>
    </xdr:to>
    <xdr:graphicFrame macro="">
      <xdr:nvGraphicFramePr>
        <xdr:cNvPr id="12" name="Gráfico 11">
          <a:extLst>
            <a:ext uri="{FF2B5EF4-FFF2-40B4-BE49-F238E27FC236}">
              <a16:creationId xmlns:a16="http://schemas.microsoft.com/office/drawing/2014/main" id="{7D2B78D8-1B93-4654-9804-F3BF41864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134</xdr:row>
      <xdr:rowOff>104775</xdr:rowOff>
    </xdr:from>
    <xdr:to>
      <xdr:col>17</xdr:col>
      <xdr:colOff>219075</xdr:colOff>
      <xdr:row>152</xdr:row>
      <xdr:rowOff>38100</xdr:rowOff>
    </xdr:to>
    <xdr:graphicFrame macro="">
      <xdr:nvGraphicFramePr>
        <xdr:cNvPr id="17" name="Gráfico 1">
          <a:extLst>
            <a:ext uri="{FF2B5EF4-FFF2-40B4-BE49-F238E27FC236}">
              <a16:creationId xmlns:a16="http://schemas.microsoft.com/office/drawing/2014/main" id="{1172A3C8-9FCD-4388-81DF-0316F9B05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0.09177</cdr:x>
      <cdr:y>0.41649</cdr:y>
    </cdr:from>
    <cdr:to>
      <cdr:x>0.78222</cdr:x>
      <cdr:y>0.81598</cdr:y>
    </cdr:to>
    <cdr:sp macro="" textlink="">
      <cdr:nvSpPr>
        <cdr:cNvPr id="2049" name="Line 1"/>
        <cdr:cNvSpPr>
          <a:spLocks xmlns:a="http://schemas.openxmlformats.org/drawingml/2006/main" noChangeShapeType="1"/>
        </cdr:cNvSpPr>
      </cdr:nvSpPr>
      <cdr:spPr bwMode="auto">
        <a:xfrm xmlns:a="http://schemas.openxmlformats.org/drawingml/2006/main" flipV="1">
          <a:off x="433728" y="2056535"/>
          <a:ext cx="3263214" cy="1972558"/>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0.16759</cdr:x>
      <cdr:y>0.4201</cdr:y>
    </cdr:from>
    <cdr:to>
      <cdr:x>0.88062</cdr:x>
      <cdr:y>0.81186</cdr:y>
    </cdr:to>
    <cdr:sp macro="" textlink="">
      <cdr:nvSpPr>
        <cdr:cNvPr id="2050" name="Line 2"/>
        <cdr:cNvSpPr>
          <a:spLocks xmlns:a="http://schemas.openxmlformats.org/drawingml/2006/main" noChangeShapeType="1"/>
        </cdr:cNvSpPr>
      </cdr:nvSpPr>
      <cdr:spPr bwMode="auto">
        <a:xfrm xmlns:a="http://schemas.openxmlformats.org/drawingml/2006/main">
          <a:off x="659674" y="2070100"/>
          <a:ext cx="2806700" cy="1930400"/>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0.47732</cdr:x>
      <cdr:y>0.1178</cdr:y>
    </cdr:from>
    <cdr:to>
      <cdr:x>0.47762</cdr:x>
      <cdr:y>0.86856</cdr:y>
    </cdr:to>
    <cdr:sp macro="" textlink="">
      <cdr:nvSpPr>
        <cdr:cNvPr id="2051" name="Line 3"/>
        <cdr:cNvSpPr>
          <a:spLocks xmlns:a="http://schemas.openxmlformats.org/drawingml/2006/main" noChangeShapeType="1"/>
        </cdr:cNvSpPr>
      </cdr:nvSpPr>
      <cdr:spPr bwMode="auto">
        <a:xfrm xmlns:a="http://schemas.openxmlformats.org/drawingml/2006/main" flipH="1">
          <a:off x="2255929" y="581660"/>
          <a:ext cx="1405" cy="3707065"/>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0.07564</cdr:x>
      <cdr:y>0.12706</cdr:y>
    </cdr:from>
    <cdr:to>
      <cdr:x>0.88224</cdr:x>
      <cdr:y>0.88862</cdr:y>
    </cdr:to>
    <cdr:sp macro="" textlink="">
      <cdr:nvSpPr>
        <cdr:cNvPr id="2052" name="Freeform 4"/>
        <cdr:cNvSpPr>
          <a:spLocks xmlns:a="http://schemas.openxmlformats.org/drawingml/2006/main"/>
        </cdr:cNvSpPr>
      </cdr:nvSpPr>
      <cdr:spPr bwMode="auto">
        <a:xfrm xmlns:a="http://schemas.openxmlformats.org/drawingml/2006/main">
          <a:off x="357476" y="627381"/>
          <a:ext cx="3812166" cy="3760404"/>
        </a:xfrm>
        <a:custGeom xmlns:a="http://schemas.openxmlformats.org/drawingml/2006/main">
          <a:avLst/>
          <a:gdLst>
            <a:gd name="T0" fmla="*/ 0 w 3737808"/>
            <a:gd name="T1" fmla="*/ 4111709 h 4472036"/>
            <a:gd name="T2" fmla="*/ 12310 w 3737808"/>
            <a:gd name="T3" fmla="*/ 3453308 h 4472036"/>
            <a:gd name="T4" fmla="*/ 81510 w 3737808"/>
            <a:gd name="T5" fmla="*/ 2851671 h 4472036"/>
            <a:gd name="T6" fmla="*/ 221242 w 3737808"/>
            <a:gd name="T7" fmla="*/ 2294600 h 4472036"/>
            <a:gd name="T8" fmla="*/ 447949 w 3737808"/>
            <a:gd name="T9" fmla="*/ 1688947 h 4472036"/>
            <a:gd name="T10" fmla="*/ 678757 w 3737808"/>
            <a:gd name="T11" fmla="*/ 1255146 h 4472036"/>
            <a:gd name="T12" fmla="*/ 1017537 w 3737808"/>
            <a:gd name="T13" fmla="*/ 781274 h 4472036"/>
            <a:gd name="T14" fmla="*/ 1472967 w 3737808"/>
            <a:gd name="T15" fmla="*/ 313173 h 4472036"/>
            <a:gd name="T16" fmla="*/ 1874726 w 3737808"/>
            <a:gd name="T17" fmla="*/ 0 h 4472036"/>
            <a:gd name="T18" fmla="*/ 2285355 w 3737808"/>
            <a:gd name="T19" fmla="*/ 327408 h 4472036"/>
            <a:gd name="T20" fmla="*/ 2687448 w 3737808"/>
            <a:gd name="T21" fmla="*/ 755263 h 4472036"/>
            <a:gd name="T22" fmla="*/ 3004220 w 3737808"/>
            <a:gd name="T23" fmla="*/ 1193723 h 4472036"/>
            <a:gd name="T24" fmla="*/ 3272037 w 3737808"/>
            <a:gd name="T25" fmla="*/ 1711001 h 4472036"/>
            <a:gd name="T26" fmla="*/ 3458345 w 3737808"/>
            <a:gd name="T27" fmla="*/ 2254810 h 4472036"/>
            <a:gd name="T28" fmla="*/ 3593033 w 3737808"/>
            <a:gd name="T29" fmla="*/ 2786826 h 4472036"/>
            <a:gd name="T30" fmla="*/ 3690193 w 3737808"/>
            <a:gd name="T31" fmla="*/ 3425771 h 4472036"/>
            <a:gd name="T32" fmla="*/ 3737808 w 3737808"/>
            <a:gd name="T33" fmla="*/ 4111709 h 4472036"/>
            <a:gd name="T34" fmla="*/ 3318617 w 3737808"/>
            <a:gd name="T35" fmla="*/ 4257610 h 4472036"/>
            <a:gd name="T36" fmla="*/ 2899421 w 3737808"/>
            <a:gd name="T37" fmla="*/ 4350455 h 4472036"/>
            <a:gd name="T38" fmla="*/ 2387075 w 3737808"/>
            <a:gd name="T39" fmla="*/ 4443300 h 4472036"/>
            <a:gd name="T40" fmla="*/ 1874726 w 3737808"/>
            <a:gd name="T41" fmla="*/ 4469826 h 4472036"/>
            <a:gd name="T42" fmla="*/ 1350734 w 3737808"/>
            <a:gd name="T43" fmla="*/ 4430036 h 4472036"/>
            <a:gd name="T44" fmla="*/ 884963 w 3737808"/>
            <a:gd name="T45" fmla="*/ 4363718 h 4472036"/>
            <a:gd name="T46" fmla="*/ 477415 w 3737808"/>
            <a:gd name="T47" fmla="*/ 4270873 h 4472036"/>
            <a:gd name="T48" fmla="*/ 0 w 3737808"/>
            <a:gd name="T49" fmla="*/ 4111709 h 44720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737808" h="4472036">
              <a:moveTo>
                <a:pt x="0" y="4111709"/>
              </a:moveTo>
              <a:cubicBezTo>
                <a:pt x="6154" y="3782508"/>
                <a:pt x="12310" y="3453308"/>
                <a:pt x="12310" y="3453308"/>
              </a:cubicBezTo>
              <a:cubicBezTo>
                <a:pt x="25895" y="3243302"/>
                <a:pt x="46688" y="3044789"/>
                <a:pt x="81510" y="2851671"/>
              </a:cubicBezTo>
              <a:cubicBezTo>
                <a:pt x="116331" y="2658553"/>
                <a:pt x="157198" y="2484711"/>
                <a:pt x="221242" y="2294600"/>
              </a:cubicBezTo>
              <a:cubicBezTo>
                <a:pt x="285286" y="2104487"/>
                <a:pt x="369256" y="1861238"/>
                <a:pt x="447949" y="1688947"/>
              </a:cubicBezTo>
              <a:cubicBezTo>
                <a:pt x="526642" y="1516654"/>
                <a:pt x="586796" y="1410101"/>
                <a:pt x="678757" y="1255146"/>
              </a:cubicBezTo>
              <a:cubicBezTo>
                <a:pt x="770718" y="1100193"/>
                <a:pt x="887610" y="939218"/>
                <a:pt x="1017537" y="781274"/>
              </a:cubicBezTo>
              <a:cubicBezTo>
                <a:pt x="1147464" y="623328"/>
                <a:pt x="1330103" y="443385"/>
                <a:pt x="1472967" y="313173"/>
              </a:cubicBezTo>
              <a:cubicBezTo>
                <a:pt x="1472967" y="313173"/>
                <a:pt x="1673846" y="156586"/>
                <a:pt x="1874726" y="0"/>
              </a:cubicBezTo>
              <a:cubicBezTo>
                <a:pt x="2080041" y="163705"/>
                <a:pt x="2285355" y="327408"/>
                <a:pt x="2285355" y="327408"/>
              </a:cubicBezTo>
              <a:cubicBezTo>
                <a:pt x="2420809" y="453284"/>
                <a:pt x="2567635" y="610878"/>
                <a:pt x="2687448" y="755263"/>
              </a:cubicBezTo>
              <a:cubicBezTo>
                <a:pt x="2807258" y="899647"/>
                <a:pt x="2906788" y="1034432"/>
                <a:pt x="3004220" y="1193723"/>
              </a:cubicBezTo>
              <a:cubicBezTo>
                <a:pt x="3101651" y="1353012"/>
                <a:pt x="3196349" y="1534153"/>
                <a:pt x="3272037" y="1711001"/>
              </a:cubicBezTo>
              <a:cubicBezTo>
                <a:pt x="3347725" y="1887849"/>
                <a:pt x="3402064" y="2073540"/>
                <a:pt x="3458345" y="2254810"/>
              </a:cubicBezTo>
              <a:cubicBezTo>
                <a:pt x="3514626" y="2436077"/>
                <a:pt x="3550335" y="2592294"/>
                <a:pt x="3593033" y="2786826"/>
              </a:cubicBezTo>
              <a:cubicBezTo>
                <a:pt x="3635728" y="2981359"/>
                <a:pt x="3668845" y="3206922"/>
                <a:pt x="3690193" y="3425771"/>
              </a:cubicBezTo>
              <a:cubicBezTo>
                <a:pt x="3690193" y="3425771"/>
                <a:pt x="3726163" y="3766857"/>
                <a:pt x="3737808" y="4111709"/>
              </a:cubicBezTo>
              <a:cubicBezTo>
                <a:pt x="3528212" y="4184661"/>
                <a:pt x="3318617" y="4257610"/>
                <a:pt x="3318617" y="4257610"/>
              </a:cubicBezTo>
              <a:cubicBezTo>
                <a:pt x="3178885" y="4297402"/>
                <a:pt x="3054679" y="4319506"/>
                <a:pt x="2899421" y="4350455"/>
              </a:cubicBezTo>
              <a:cubicBezTo>
                <a:pt x="2744165" y="4381404"/>
                <a:pt x="2557857" y="4423405"/>
                <a:pt x="2387075" y="4443300"/>
              </a:cubicBezTo>
              <a:cubicBezTo>
                <a:pt x="2216291" y="4463195"/>
                <a:pt x="2047449" y="4472036"/>
                <a:pt x="1874726" y="4469826"/>
              </a:cubicBezTo>
              <a:cubicBezTo>
                <a:pt x="1702002" y="4467616"/>
                <a:pt x="1515695" y="4447721"/>
                <a:pt x="1350734" y="4430036"/>
              </a:cubicBezTo>
              <a:cubicBezTo>
                <a:pt x="1185774" y="4412351"/>
                <a:pt x="1030518" y="4390244"/>
                <a:pt x="884963" y="4363718"/>
              </a:cubicBezTo>
              <a:cubicBezTo>
                <a:pt x="739410" y="4337191"/>
                <a:pt x="624909" y="4312873"/>
                <a:pt x="477415" y="4270873"/>
              </a:cubicBezTo>
              <a:cubicBezTo>
                <a:pt x="477415" y="4270873"/>
                <a:pt x="238708" y="4191291"/>
                <a:pt x="0" y="4111709"/>
              </a:cubicBezTo>
              <a:close/>
            </a:path>
          </a:pathLst>
        </a:custGeom>
        <a:noFill xmlns:a="http://schemas.openxmlformats.org/drawingml/2006/main"/>
        <a:ln xmlns:a="http://schemas.openxmlformats.org/drawingml/2006/main" w="19050" cap="flat" cmpd="sng">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0.49313</cdr:x>
      <cdr:y>0.46968</cdr:y>
    </cdr:from>
    <cdr:to>
      <cdr:x>0.50883</cdr:x>
      <cdr:y>0.48915</cdr:y>
    </cdr:to>
    <cdr:sp macro="" textlink="">
      <cdr:nvSpPr>
        <cdr:cNvPr id="2053" name="Text Box 5"/>
        <cdr:cNvSpPr txBox="1">
          <a:spLocks xmlns:a="http://schemas.openxmlformats.org/drawingml/2006/main" noChangeArrowheads="1"/>
        </cdr:cNvSpPr>
      </cdr:nvSpPr>
      <cdr:spPr bwMode="auto">
        <a:xfrm xmlns:a="http://schemas.openxmlformats.org/drawingml/2006/main">
          <a:off x="2497325" y="3233160"/>
          <a:ext cx="79400" cy="1339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txBody>
        <a:bodyPr xmlns:a="http://schemas.openxmlformats.org/drawingml/2006/main" vertOverflow="clip" wrap="square" lIns="18288" tIns="0" rIns="0" bIns="0" anchor="ctr" upright="1"/>
        <a:lstStyle xmlns:a="http://schemas.openxmlformats.org/drawingml/2006/main"/>
        <a:p xmlns:a="http://schemas.openxmlformats.org/drawingml/2006/main">
          <a:endParaRPr lang="es-CL"/>
        </a:p>
      </cdr:txBody>
    </cdr:sp>
  </cdr:relSizeAnchor>
  <cdr:relSizeAnchor xmlns:cdr="http://schemas.openxmlformats.org/drawingml/2006/chartDrawing">
    <cdr:from>
      <cdr:x>0.08809</cdr:x>
      <cdr:y>0.02539</cdr:y>
    </cdr:from>
    <cdr:to>
      <cdr:x>0.97619</cdr:x>
      <cdr:y>0.10156</cdr:y>
    </cdr:to>
    <cdr:sp macro="" textlink="">
      <cdr:nvSpPr>
        <cdr:cNvPr id="8" name="7 CuadroTexto"/>
        <cdr:cNvSpPr txBox="1"/>
      </cdr:nvSpPr>
      <cdr:spPr>
        <a:xfrm xmlns:a="http://schemas.openxmlformats.org/drawingml/2006/main">
          <a:off x="281939" y="99061"/>
          <a:ext cx="2842259" cy="297180"/>
        </a:xfrm>
        <a:prstGeom xmlns:a="http://schemas.openxmlformats.org/drawingml/2006/main" prst="rect">
          <a:avLst/>
        </a:prstGeom>
      </cdr:spPr>
      <cdr:txBody>
        <a:bodyPr xmlns:a="http://schemas.openxmlformats.org/drawingml/2006/main" vert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xmlns:a="http://schemas.openxmlformats.org/drawingml/2006/main"/>
        <a:p xmlns:a="http://schemas.openxmlformats.org/drawingml/2006/main">
          <a:pPr algn="ctr"/>
          <a:r>
            <a:rPr lang="es-CL" sz="1400" b="1">
              <a:effectLst>
                <a:glow rad="101600">
                  <a:schemeClr val="accent6">
                    <a:satMod val="175000"/>
                    <a:alpha val="40000"/>
                  </a:schemeClr>
                </a:glow>
                <a:outerShdw blurRad="50800" dist="38100" algn="l" rotWithShape="0">
                  <a:prstClr val="black">
                    <a:alpha val="40000"/>
                  </a:prstClr>
                </a:outerShdw>
                <a:reflection blurRad="6350" stA="55000" endA="300" endPos="45500" dir="5400000" sy="-100000" algn="bl" rotWithShape="0"/>
              </a:effectLst>
              <a:latin typeface="Bell MT" pitchFamily="18" charset="0"/>
            </a:rPr>
            <a:t>SOMATO-CARTA</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xdr:colOff>
      <xdr:row>51</xdr:row>
      <xdr:rowOff>0</xdr:rowOff>
    </xdr:from>
    <xdr:to>
      <xdr:col>3</xdr:col>
      <xdr:colOff>170142</xdr:colOff>
      <xdr:row>57</xdr:row>
      <xdr:rowOff>117764</xdr:rowOff>
    </xdr:to>
    <xdr:pic>
      <xdr:nvPicPr>
        <xdr:cNvPr id="2" name="Picture 5">
          <a:extLst>
            <a:ext uri="{FF2B5EF4-FFF2-40B4-BE49-F238E27FC236}">
              <a16:creationId xmlns:a16="http://schemas.microsoft.com/office/drawing/2014/main" id="{1B839E53-0D80-4246-AEAE-5C6B3C139DC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4125" t="52964" r="30758" b="23530"/>
        <a:stretch/>
      </xdr:blipFill>
      <xdr:spPr bwMode="auto">
        <a:xfrm>
          <a:off x="1" y="8854440"/>
          <a:ext cx="2341841" cy="11312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xdr:row>
      <xdr:rowOff>147451</xdr:rowOff>
    </xdr:from>
    <xdr:to>
      <xdr:col>3</xdr:col>
      <xdr:colOff>179759</xdr:colOff>
      <xdr:row>65</xdr:row>
      <xdr:rowOff>141513</xdr:rowOff>
    </xdr:to>
    <xdr:pic>
      <xdr:nvPicPr>
        <xdr:cNvPr id="3" name="Picture 6">
          <a:extLst>
            <a:ext uri="{FF2B5EF4-FFF2-40B4-BE49-F238E27FC236}">
              <a16:creationId xmlns:a16="http://schemas.microsoft.com/office/drawing/2014/main" id="{BC7D992B-8A79-4CFF-85A4-FF08A72DDF8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3237" t="36083" r="30005" b="41632"/>
        <a:stretch/>
      </xdr:blipFill>
      <xdr:spPr bwMode="auto">
        <a:xfrm>
          <a:off x="0" y="10182991"/>
          <a:ext cx="2351459" cy="1182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xdr:colOff>
      <xdr:row>30</xdr:row>
      <xdr:rowOff>1</xdr:rowOff>
    </xdr:from>
    <xdr:to>
      <xdr:col>29</xdr:col>
      <xdr:colOff>7621</xdr:colOff>
      <xdr:row>38</xdr:row>
      <xdr:rowOff>7621</xdr:rowOff>
    </xdr:to>
    <xdr:graphicFrame macro="">
      <xdr:nvGraphicFramePr>
        <xdr:cNvPr id="14" name="Gráfico 13">
          <a:extLst>
            <a:ext uri="{FF2B5EF4-FFF2-40B4-BE49-F238E27FC236}">
              <a16:creationId xmlns:a16="http://schemas.microsoft.com/office/drawing/2014/main" id="{2A6D7970-D5F1-4C35-B48A-9A45C6B0A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38</xdr:row>
      <xdr:rowOff>1</xdr:rowOff>
    </xdr:from>
    <xdr:to>
      <xdr:col>29</xdr:col>
      <xdr:colOff>15240</xdr:colOff>
      <xdr:row>46</xdr:row>
      <xdr:rowOff>7621</xdr:rowOff>
    </xdr:to>
    <xdr:graphicFrame macro="">
      <xdr:nvGraphicFramePr>
        <xdr:cNvPr id="15" name="Gráfico 14">
          <a:extLst>
            <a:ext uri="{FF2B5EF4-FFF2-40B4-BE49-F238E27FC236}">
              <a16:creationId xmlns:a16="http://schemas.microsoft.com/office/drawing/2014/main" id="{4A62079D-CF02-453C-9A29-FE870447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46</xdr:row>
      <xdr:rowOff>1</xdr:rowOff>
    </xdr:from>
    <xdr:to>
      <xdr:col>29</xdr:col>
      <xdr:colOff>15241</xdr:colOff>
      <xdr:row>54</xdr:row>
      <xdr:rowOff>15241</xdr:rowOff>
    </xdr:to>
    <xdr:graphicFrame macro="">
      <xdr:nvGraphicFramePr>
        <xdr:cNvPr id="16" name="Gráfico 15">
          <a:extLst>
            <a:ext uri="{FF2B5EF4-FFF2-40B4-BE49-F238E27FC236}">
              <a16:creationId xmlns:a16="http://schemas.microsoft.com/office/drawing/2014/main" id="{4B62FA5C-F694-464F-95B7-D34BA64B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12</xdr:col>
      <xdr:colOff>19050</xdr:colOff>
      <xdr:row>19</xdr:row>
      <xdr:rowOff>171450</xdr:rowOff>
    </xdr:to>
    <xdr:graphicFrame macro="">
      <xdr:nvGraphicFramePr>
        <xdr:cNvPr id="17" name="Gráfico 16">
          <a:extLst>
            <a:ext uri="{FF2B5EF4-FFF2-40B4-BE49-F238E27FC236}">
              <a16:creationId xmlns:a16="http://schemas.microsoft.com/office/drawing/2014/main" id="{8AA98C4E-1C6C-478A-A40A-52753A98B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7</xdr:row>
      <xdr:rowOff>0</xdr:rowOff>
    </xdr:from>
    <xdr:to>
      <xdr:col>17</xdr:col>
      <xdr:colOff>0</xdr:colOff>
      <xdr:row>19</xdr:row>
      <xdr:rowOff>171450</xdr:rowOff>
    </xdr:to>
    <xdr:graphicFrame macro="">
      <xdr:nvGraphicFramePr>
        <xdr:cNvPr id="21" name="Gráfico 20">
          <a:extLst>
            <a:ext uri="{FF2B5EF4-FFF2-40B4-BE49-F238E27FC236}">
              <a16:creationId xmlns:a16="http://schemas.microsoft.com/office/drawing/2014/main" id="{8A7919B3-5E78-4B5E-B3DD-0F510CEF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24</xdr:row>
      <xdr:rowOff>0</xdr:rowOff>
    </xdr:from>
    <xdr:to>
      <xdr:col>12</xdr:col>
      <xdr:colOff>0</xdr:colOff>
      <xdr:row>37</xdr:row>
      <xdr:rowOff>9525</xdr:rowOff>
    </xdr:to>
    <xdr:graphicFrame macro="">
      <xdr:nvGraphicFramePr>
        <xdr:cNvPr id="7" name="Gráfico 6">
          <a:extLst>
            <a:ext uri="{FF2B5EF4-FFF2-40B4-BE49-F238E27FC236}">
              <a16:creationId xmlns:a16="http://schemas.microsoft.com/office/drawing/2014/main" id="{B48CE63E-5196-4CC9-B8DF-2EEFFB18F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40</xdr:row>
      <xdr:rowOff>9526</xdr:rowOff>
    </xdr:from>
    <xdr:to>
      <xdr:col>11</xdr:col>
      <xdr:colOff>1</xdr:colOff>
      <xdr:row>52</xdr:row>
      <xdr:rowOff>171451</xdr:rowOff>
    </xdr:to>
    <xdr:graphicFrame macro="">
      <xdr:nvGraphicFramePr>
        <xdr:cNvPr id="8" name="Gráfico 7">
          <a:extLst>
            <a:ext uri="{FF2B5EF4-FFF2-40B4-BE49-F238E27FC236}">
              <a16:creationId xmlns:a16="http://schemas.microsoft.com/office/drawing/2014/main" id="{C26D910B-A0E1-4004-929D-92125504C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23</xdr:row>
      <xdr:rowOff>190499</xdr:rowOff>
    </xdr:from>
    <xdr:to>
      <xdr:col>16</xdr:col>
      <xdr:colOff>819150</xdr:colOff>
      <xdr:row>36</xdr:row>
      <xdr:rowOff>171449</xdr:rowOff>
    </xdr:to>
    <xdr:graphicFrame macro="">
      <xdr:nvGraphicFramePr>
        <xdr:cNvPr id="9" name="Gráfico 8">
          <a:extLst>
            <a:ext uri="{FF2B5EF4-FFF2-40B4-BE49-F238E27FC236}">
              <a16:creationId xmlns:a16="http://schemas.microsoft.com/office/drawing/2014/main" id="{7D552027-516F-4943-8B75-7FF186654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76201</xdr:colOff>
      <xdr:row>6</xdr:row>
      <xdr:rowOff>152400</xdr:rowOff>
    </xdr:from>
    <xdr:to>
      <xdr:col>32</xdr:col>
      <xdr:colOff>295276</xdr:colOff>
      <xdr:row>21</xdr:row>
      <xdr:rowOff>161925</xdr:rowOff>
    </xdr:to>
    <xdr:graphicFrame macro="">
      <xdr:nvGraphicFramePr>
        <xdr:cNvPr id="11" name="Gráfico 1">
          <a:extLst>
            <a:ext uri="{FF2B5EF4-FFF2-40B4-BE49-F238E27FC236}">
              <a16:creationId xmlns:a16="http://schemas.microsoft.com/office/drawing/2014/main" id="{FEA11698-E1CB-4542-ABCC-71545502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0.09177</cdr:x>
      <cdr:y>0.41649</cdr:y>
    </cdr:from>
    <cdr:to>
      <cdr:x>0.78222</cdr:x>
      <cdr:y>0.81598</cdr:y>
    </cdr:to>
    <cdr:sp macro="" textlink="">
      <cdr:nvSpPr>
        <cdr:cNvPr id="2049" name="Line 1"/>
        <cdr:cNvSpPr>
          <a:spLocks xmlns:a="http://schemas.openxmlformats.org/drawingml/2006/main" noChangeShapeType="1"/>
        </cdr:cNvSpPr>
      </cdr:nvSpPr>
      <cdr:spPr bwMode="auto">
        <a:xfrm xmlns:a="http://schemas.openxmlformats.org/drawingml/2006/main" flipV="1">
          <a:off x="433728" y="2056535"/>
          <a:ext cx="3263214" cy="1972558"/>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0.16759</cdr:x>
      <cdr:y>0.4201</cdr:y>
    </cdr:from>
    <cdr:to>
      <cdr:x>0.88062</cdr:x>
      <cdr:y>0.81186</cdr:y>
    </cdr:to>
    <cdr:sp macro="" textlink="">
      <cdr:nvSpPr>
        <cdr:cNvPr id="2050" name="Line 2"/>
        <cdr:cNvSpPr>
          <a:spLocks xmlns:a="http://schemas.openxmlformats.org/drawingml/2006/main" noChangeShapeType="1"/>
        </cdr:cNvSpPr>
      </cdr:nvSpPr>
      <cdr:spPr bwMode="auto">
        <a:xfrm xmlns:a="http://schemas.openxmlformats.org/drawingml/2006/main">
          <a:off x="659674" y="2070100"/>
          <a:ext cx="2806700" cy="1930400"/>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0.47732</cdr:x>
      <cdr:y>0.1178</cdr:y>
    </cdr:from>
    <cdr:to>
      <cdr:x>0.47762</cdr:x>
      <cdr:y>0.86856</cdr:y>
    </cdr:to>
    <cdr:sp macro="" textlink="">
      <cdr:nvSpPr>
        <cdr:cNvPr id="2051" name="Line 3"/>
        <cdr:cNvSpPr>
          <a:spLocks xmlns:a="http://schemas.openxmlformats.org/drawingml/2006/main" noChangeShapeType="1"/>
        </cdr:cNvSpPr>
      </cdr:nvSpPr>
      <cdr:spPr bwMode="auto">
        <a:xfrm xmlns:a="http://schemas.openxmlformats.org/drawingml/2006/main" flipH="1">
          <a:off x="2255929" y="581660"/>
          <a:ext cx="1405" cy="3707065"/>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0.07564</cdr:x>
      <cdr:y>0.12706</cdr:y>
    </cdr:from>
    <cdr:to>
      <cdr:x>0.88224</cdr:x>
      <cdr:y>0.88862</cdr:y>
    </cdr:to>
    <cdr:sp macro="" textlink="">
      <cdr:nvSpPr>
        <cdr:cNvPr id="2052" name="Freeform 4"/>
        <cdr:cNvSpPr>
          <a:spLocks xmlns:a="http://schemas.openxmlformats.org/drawingml/2006/main"/>
        </cdr:cNvSpPr>
      </cdr:nvSpPr>
      <cdr:spPr bwMode="auto">
        <a:xfrm xmlns:a="http://schemas.openxmlformats.org/drawingml/2006/main">
          <a:off x="357476" y="627381"/>
          <a:ext cx="3812166" cy="3760404"/>
        </a:xfrm>
        <a:custGeom xmlns:a="http://schemas.openxmlformats.org/drawingml/2006/main">
          <a:avLst/>
          <a:gdLst>
            <a:gd name="T0" fmla="*/ 0 w 3737808"/>
            <a:gd name="T1" fmla="*/ 4111709 h 4472036"/>
            <a:gd name="T2" fmla="*/ 12310 w 3737808"/>
            <a:gd name="T3" fmla="*/ 3453308 h 4472036"/>
            <a:gd name="T4" fmla="*/ 81510 w 3737808"/>
            <a:gd name="T5" fmla="*/ 2851671 h 4472036"/>
            <a:gd name="T6" fmla="*/ 221242 w 3737808"/>
            <a:gd name="T7" fmla="*/ 2294600 h 4472036"/>
            <a:gd name="T8" fmla="*/ 447949 w 3737808"/>
            <a:gd name="T9" fmla="*/ 1688947 h 4472036"/>
            <a:gd name="T10" fmla="*/ 678757 w 3737808"/>
            <a:gd name="T11" fmla="*/ 1255146 h 4472036"/>
            <a:gd name="T12" fmla="*/ 1017537 w 3737808"/>
            <a:gd name="T13" fmla="*/ 781274 h 4472036"/>
            <a:gd name="T14" fmla="*/ 1472967 w 3737808"/>
            <a:gd name="T15" fmla="*/ 313173 h 4472036"/>
            <a:gd name="T16" fmla="*/ 1874726 w 3737808"/>
            <a:gd name="T17" fmla="*/ 0 h 4472036"/>
            <a:gd name="T18" fmla="*/ 2285355 w 3737808"/>
            <a:gd name="T19" fmla="*/ 327408 h 4472036"/>
            <a:gd name="T20" fmla="*/ 2687448 w 3737808"/>
            <a:gd name="T21" fmla="*/ 755263 h 4472036"/>
            <a:gd name="T22" fmla="*/ 3004220 w 3737808"/>
            <a:gd name="T23" fmla="*/ 1193723 h 4472036"/>
            <a:gd name="T24" fmla="*/ 3272037 w 3737808"/>
            <a:gd name="T25" fmla="*/ 1711001 h 4472036"/>
            <a:gd name="T26" fmla="*/ 3458345 w 3737808"/>
            <a:gd name="T27" fmla="*/ 2254810 h 4472036"/>
            <a:gd name="T28" fmla="*/ 3593033 w 3737808"/>
            <a:gd name="T29" fmla="*/ 2786826 h 4472036"/>
            <a:gd name="T30" fmla="*/ 3690193 w 3737808"/>
            <a:gd name="T31" fmla="*/ 3425771 h 4472036"/>
            <a:gd name="T32" fmla="*/ 3737808 w 3737808"/>
            <a:gd name="T33" fmla="*/ 4111709 h 4472036"/>
            <a:gd name="T34" fmla="*/ 3318617 w 3737808"/>
            <a:gd name="T35" fmla="*/ 4257610 h 4472036"/>
            <a:gd name="T36" fmla="*/ 2899421 w 3737808"/>
            <a:gd name="T37" fmla="*/ 4350455 h 4472036"/>
            <a:gd name="T38" fmla="*/ 2387075 w 3737808"/>
            <a:gd name="T39" fmla="*/ 4443300 h 4472036"/>
            <a:gd name="T40" fmla="*/ 1874726 w 3737808"/>
            <a:gd name="T41" fmla="*/ 4469826 h 4472036"/>
            <a:gd name="T42" fmla="*/ 1350734 w 3737808"/>
            <a:gd name="T43" fmla="*/ 4430036 h 4472036"/>
            <a:gd name="T44" fmla="*/ 884963 w 3737808"/>
            <a:gd name="T45" fmla="*/ 4363718 h 4472036"/>
            <a:gd name="T46" fmla="*/ 477415 w 3737808"/>
            <a:gd name="T47" fmla="*/ 4270873 h 4472036"/>
            <a:gd name="T48" fmla="*/ 0 w 3737808"/>
            <a:gd name="T49" fmla="*/ 4111709 h 44720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737808" h="4472036">
              <a:moveTo>
                <a:pt x="0" y="4111709"/>
              </a:moveTo>
              <a:cubicBezTo>
                <a:pt x="6154" y="3782508"/>
                <a:pt x="12310" y="3453308"/>
                <a:pt x="12310" y="3453308"/>
              </a:cubicBezTo>
              <a:cubicBezTo>
                <a:pt x="25895" y="3243302"/>
                <a:pt x="46688" y="3044789"/>
                <a:pt x="81510" y="2851671"/>
              </a:cubicBezTo>
              <a:cubicBezTo>
                <a:pt x="116331" y="2658553"/>
                <a:pt x="157198" y="2484711"/>
                <a:pt x="221242" y="2294600"/>
              </a:cubicBezTo>
              <a:cubicBezTo>
                <a:pt x="285286" y="2104487"/>
                <a:pt x="369256" y="1861238"/>
                <a:pt x="447949" y="1688947"/>
              </a:cubicBezTo>
              <a:cubicBezTo>
                <a:pt x="526642" y="1516654"/>
                <a:pt x="586796" y="1410101"/>
                <a:pt x="678757" y="1255146"/>
              </a:cubicBezTo>
              <a:cubicBezTo>
                <a:pt x="770718" y="1100193"/>
                <a:pt x="887610" y="939218"/>
                <a:pt x="1017537" y="781274"/>
              </a:cubicBezTo>
              <a:cubicBezTo>
                <a:pt x="1147464" y="623328"/>
                <a:pt x="1330103" y="443385"/>
                <a:pt x="1472967" y="313173"/>
              </a:cubicBezTo>
              <a:cubicBezTo>
                <a:pt x="1472967" y="313173"/>
                <a:pt x="1673846" y="156586"/>
                <a:pt x="1874726" y="0"/>
              </a:cubicBezTo>
              <a:cubicBezTo>
                <a:pt x="2080041" y="163705"/>
                <a:pt x="2285355" y="327408"/>
                <a:pt x="2285355" y="327408"/>
              </a:cubicBezTo>
              <a:cubicBezTo>
                <a:pt x="2420809" y="453284"/>
                <a:pt x="2567635" y="610878"/>
                <a:pt x="2687448" y="755263"/>
              </a:cubicBezTo>
              <a:cubicBezTo>
                <a:pt x="2807258" y="899647"/>
                <a:pt x="2906788" y="1034432"/>
                <a:pt x="3004220" y="1193723"/>
              </a:cubicBezTo>
              <a:cubicBezTo>
                <a:pt x="3101651" y="1353012"/>
                <a:pt x="3196349" y="1534153"/>
                <a:pt x="3272037" y="1711001"/>
              </a:cubicBezTo>
              <a:cubicBezTo>
                <a:pt x="3347725" y="1887849"/>
                <a:pt x="3402064" y="2073540"/>
                <a:pt x="3458345" y="2254810"/>
              </a:cubicBezTo>
              <a:cubicBezTo>
                <a:pt x="3514626" y="2436077"/>
                <a:pt x="3550335" y="2592294"/>
                <a:pt x="3593033" y="2786826"/>
              </a:cubicBezTo>
              <a:cubicBezTo>
                <a:pt x="3635728" y="2981359"/>
                <a:pt x="3668845" y="3206922"/>
                <a:pt x="3690193" y="3425771"/>
              </a:cubicBezTo>
              <a:cubicBezTo>
                <a:pt x="3690193" y="3425771"/>
                <a:pt x="3726163" y="3766857"/>
                <a:pt x="3737808" y="4111709"/>
              </a:cubicBezTo>
              <a:cubicBezTo>
                <a:pt x="3528212" y="4184661"/>
                <a:pt x="3318617" y="4257610"/>
                <a:pt x="3318617" y="4257610"/>
              </a:cubicBezTo>
              <a:cubicBezTo>
                <a:pt x="3178885" y="4297402"/>
                <a:pt x="3054679" y="4319506"/>
                <a:pt x="2899421" y="4350455"/>
              </a:cubicBezTo>
              <a:cubicBezTo>
                <a:pt x="2744165" y="4381404"/>
                <a:pt x="2557857" y="4423405"/>
                <a:pt x="2387075" y="4443300"/>
              </a:cubicBezTo>
              <a:cubicBezTo>
                <a:pt x="2216291" y="4463195"/>
                <a:pt x="2047449" y="4472036"/>
                <a:pt x="1874726" y="4469826"/>
              </a:cubicBezTo>
              <a:cubicBezTo>
                <a:pt x="1702002" y="4467616"/>
                <a:pt x="1515695" y="4447721"/>
                <a:pt x="1350734" y="4430036"/>
              </a:cubicBezTo>
              <a:cubicBezTo>
                <a:pt x="1185774" y="4412351"/>
                <a:pt x="1030518" y="4390244"/>
                <a:pt x="884963" y="4363718"/>
              </a:cubicBezTo>
              <a:cubicBezTo>
                <a:pt x="739410" y="4337191"/>
                <a:pt x="624909" y="4312873"/>
                <a:pt x="477415" y="4270873"/>
              </a:cubicBezTo>
              <a:cubicBezTo>
                <a:pt x="477415" y="4270873"/>
                <a:pt x="238708" y="4191291"/>
                <a:pt x="0" y="4111709"/>
              </a:cubicBezTo>
              <a:close/>
            </a:path>
          </a:pathLst>
        </a:custGeom>
        <a:noFill xmlns:a="http://schemas.openxmlformats.org/drawingml/2006/main"/>
        <a:ln xmlns:a="http://schemas.openxmlformats.org/drawingml/2006/main" w="19050" cap="flat" cmpd="sng">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0.49313</cdr:x>
      <cdr:y>0.46968</cdr:y>
    </cdr:from>
    <cdr:to>
      <cdr:x>0.50883</cdr:x>
      <cdr:y>0.48915</cdr:y>
    </cdr:to>
    <cdr:sp macro="" textlink="">
      <cdr:nvSpPr>
        <cdr:cNvPr id="2053" name="Text Box 5"/>
        <cdr:cNvSpPr txBox="1">
          <a:spLocks xmlns:a="http://schemas.openxmlformats.org/drawingml/2006/main" noChangeArrowheads="1"/>
        </cdr:cNvSpPr>
      </cdr:nvSpPr>
      <cdr:spPr bwMode="auto">
        <a:xfrm xmlns:a="http://schemas.openxmlformats.org/drawingml/2006/main">
          <a:off x="2497325" y="3233160"/>
          <a:ext cx="79400" cy="1339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txBody>
        <a:bodyPr xmlns:a="http://schemas.openxmlformats.org/drawingml/2006/main" vertOverflow="clip" wrap="square" lIns="18288" tIns="0" rIns="0" bIns="0" anchor="ctr" upright="1"/>
        <a:lstStyle xmlns:a="http://schemas.openxmlformats.org/drawingml/2006/main"/>
        <a:p xmlns:a="http://schemas.openxmlformats.org/drawingml/2006/main">
          <a:endParaRPr lang="es-CL"/>
        </a:p>
      </cdr:txBody>
    </cdr:sp>
  </cdr:relSizeAnchor>
  <cdr:relSizeAnchor xmlns:cdr="http://schemas.openxmlformats.org/drawingml/2006/chartDrawing">
    <cdr:from>
      <cdr:x>0.08809</cdr:x>
      <cdr:y>0.02539</cdr:y>
    </cdr:from>
    <cdr:to>
      <cdr:x>0.97619</cdr:x>
      <cdr:y>0.10156</cdr:y>
    </cdr:to>
    <cdr:sp macro="" textlink="">
      <cdr:nvSpPr>
        <cdr:cNvPr id="8" name="7 CuadroTexto"/>
        <cdr:cNvSpPr txBox="1"/>
      </cdr:nvSpPr>
      <cdr:spPr>
        <a:xfrm xmlns:a="http://schemas.openxmlformats.org/drawingml/2006/main">
          <a:off x="281939" y="99061"/>
          <a:ext cx="2842259" cy="297180"/>
        </a:xfrm>
        <a:prstGeom xmlns:a="http://schemas.openxmlformats.org/drawingml/2006/main" prst="rect">
          <a:avLst/>
        </a:prstGeom>
      </cdr:spPr>
      <cdr:txBody>
        <a:bodyPr xmlns:a="http://schemas.openxmlformats.org/drawingml/2006/main" vert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xmlns:a="http://schemas.openxmlformats.org/drawingml/2006/main"/>
        <a:p xmlns:a="http://schemas.openxmlformats.org/drawingml/2006/main">
          <a:pPr algn="ctr"/>
          <a:r>
            <a:rPr lang="es-CL" sz="1400" b="1">
              <a:effectLst>
                <a:glow rad="101600">
                  <a:schemeClr val="accent6">
                    <a:satMod val="175000"/>
                    <a:alpha val="40000"/>
                  </a:schemeClr>
                </a:glow>
                <a:outerShdw blurRad="50800" dist="38100" algn="l" rotWithShape="0">
                  <a:prstClr val="black">
                    <a:alpha val="40000"/>
                  </a:prstClr>
                </a:outerShdw>
                <a:reflection blurRad="6350" stA="55000" endA="300" endPos="45500" dir="5400000" sy="-100000" algn="bl" rotWithShape="0"/>
              </a:effectLst>
              <a:latin typeface="Bell MT" pitchFamily="18" charset="0"/>
            </a:rPr>
            <a:t>SOMATO-CARTA</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Desktop/PENTACOMPARTIMENT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WINDOWS/Escritorio/Arangio/Antrop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rna/Desktop/PLANTILLA%20CALCULO%20PERFIL%20RESTRINGIDO%20ISAK%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rna/Desktop/NUTRICION%202021/NUTRICION/CARPETA%20ISAK%201/Somatotipo/PLANTILLA%20CALCULO%20DE%20SOMATOTIP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 datos brutos"/>
      <sheetName val="Presentación"/>
      <sheetName val="Resultados SW"/>
    </sheetNames>
    <sheetDataSet>
      <sheetData sheetId="0">
        <row r="4">
          <cell r="U4">
            <v>1</v>
          </cell>
          <cell r="V4">
            <v>16.600000000000001</v>
          </cell>
          <cell r="X4">
            <v>21</v>
          </cell>
          <cell r="Z4">
            <v>18.899999999999999</v>
          </cell>
          <cell r="AB4">
            <v>26</v>
          </cell>
        </row>
        <row r="5">
          <cell r="U5">
            <v>2</v>
          </cell>
          <cell r="V5">
            <v>16.600000000000001</v>
          </cell>
          <cell r="W5">
            <v>20</v>
          </cell>
          <cell r="X5">
            <v>21</v>
          </cell>
          <cell r="Y5">
            <v>24</v>
          </cell>
          <cell r="Z5">
            <v>19</v>
          </cell>
          <cell r="AA5">
            <v>23.1</v>
          </cell>
          <cell r="AB5">
            <v>26.1</v>
          </cell>
          <cell r="AC5">
            <v>28</v>
          </cell>
        </row>
        <row r="6">
          <cell r="U6">
            <v>3</v>
          </cell>
          <cell r="V6">
            <v>20.100000000000001</v>
          </cell>
          <cell r="W6">
            <v>26</v>
          </cell>
          <cell r="X6">
            <v>24</v>
          </cell>
          <cell r="Y6">
            <v>29</v>
          </cell>
          <cell r="Z6">
            <v>23.2</v>
          </cell>
          <cell r="AA6">
            <v>27.5</v>
          </cell>
          <cell r="AB6">
            <v>28.1</v>
          </cell>
          <cell r="AC6">
            <v>30</v>
          </cell>
        </row>
        <row r="7">
          <cell r="U7">
            <v>4</v>
          </cell>
          <cell r="V7">
            <v>26.1</v>
          </cell>
          <cell r="W7">
            <v>30.6</v>
          </cell>
          <cell r="X7">
            <v>29.1</v>
          </cell>
          <cell r="Y7">
            <v>34</v>
          </cell>
          <cell r="Z7">
            <v>27.6</v>
          </cell>
          <cell r="AA7">
            <v>33</v>
          </cell>
          <cell r="AB7">
            <v>30.1</v>
          </cell>
          <cell r="AC7">
            <v>36</v>
          </cell>
        </row>
        <row r="8">
          <cell r="U8">
            <v>5</v>
          </cell>
          <cell r="V8">
            <v>30.6</v>
          </cell>
          <cell r="X8">
            <v>34</v>
          </cell>
          <cell r="Z8">
            <v>33</v>
          </cell>
          <cell r="AB8">
            <v>36</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 datos bru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GOREF_MASC"/>
      <sheetName val="ARGOREF_FEM"/>
      <sheetName val="INGRESO DATOS"/>
    </sheetNames>
    <sheetDataSet>
      <sheetData sheetId="0">
        <row r="4">
          <cell r="D4">
            <v>74.660919540229898</v>
          </cell>
          <cell r="E4">
            <v>8.9657144921034497</v>
          </cell>
        </row>
        <row r="5">
          <cell r="D5">
            <v>175.37241379310342</v>
          </cell>
          <cell r="E5">
            <v>7.3421163170332582</v>
          </cell>
        </row>
        <row r="6">
          <cell r="D6">
            <v>92.365517241379337</v>
          </cell>
          <cell r="E6">
            <v>4.2269849496102223</v>
          </cell>
        </row>
        <row r="21">
          <cell r="D21">
            <v>7.0893103448275863</v>
          </cell>
          <cell r="E21">
            <v>0.33592909378995334</v>
          </cell>
        </row>
        <row r="22">
          <cell r="D22">
            <v>9.8919540229885037</v>
          </cell>
          <cell r="E22">
            <v>0.50121211004621746</v>
          </cell>
        </row>
        <row r="23">
          <cell r="D23">
            <v>57.005747126436802</v>
          </cell>
          <cell r="E23">
            <v>1.545838849706447</v>
          </cell>
        </row>
        <row r="25">
          <cell r="D25">
            <v>31.126436781609208</v>
          </cell>
          <cell r="E25">
            <v>2.6227741291586955</v>
          </cell>
        </row>
        <row r="26">
          <cell r="D26">
            <v>33.333333333333329</v>
          </cell>
          <cell r="E26">
            <v>2.7348596608128979</v>
          </cell>
        </row>
        <row r="27">
          <cell r="D27">
            <v>27.656321839080466</v>
          </cell>
          <cell r="E27">
            <v>1.5507463431511119</v>
          </cell>
        </row>
        <row r="30">
          <cell r="D30">
            <v>80.82528735632188</v>
          </cell>
          <cell r="E30">
            <v>5.5790975845849564</v>
          </cell>
        </row>
        <row r="31">
          <cell r="D31">
            <v>96.795402298850618</v>
          </cell>
          <cell r="E31">
            <v>4.9335092478937197</v>
          </cell>
        </row>
        <row r="33">
          <cell r="D33">
            <v>53.155172413793117</v>
          </cell>
          <cell r="E33">
            <v>2.896178661964707</v>
          </cell>
        </row>
        <row r="34">
          <cell r="D34">
            <v>37.433333333333323</v>
          </cell>
          <cell r="E34">
            <v>2.1871541808600226</v>
          </cell>
        </row>
        <row r="36">
          <cell r="D36">
            <v>9.0735632183908042</v>
          </cell>
          <cell r="E36">
            <v>3.8025835700222896</v>
          </cell>
        </row>
        <row r="37">
          <cell r="D37">
            <v>10.555172413793104</v>
          </cell>
          <cell r="E37">
            <v>3.2458473871433857</v>
          </cell>
        </row>
        <row r="38">
          <cell r="D38">
            <v>4.2149425287356337</v>
          </cell>
          <cell r="E38">
            <v>1.7849844462635591</v>
          </cell>
        </row>
        <row r="39">
          <cell r="D39">
            <v>15.18620689655172</v>
          </cell>
          <cell r="E39">
            <v>6.6269564450159191</v>
          </cell>
        </row>
        <row r="40">
          <cell r="D40">
            <v>8.87816091954023</v>
          </cell>
          <cell r="E40">
            <v>4.1549193395287265</v>
          </cell>
        </row>
        <row r="41">
          <cell r="D41">
            <v>18.454022988505749</v>
          </cell>
          <cell r="E41">
            <v>9.0831149840469827</v>
          </cell>
        </row>
        <row r="42">
          <cell r="D42">
            <v>12.728735632183904</v>
          </cell>
          <cell r="E42">
            <v>4.8382177202319951</v>
          </cell>
        </row>
        <row r="43">
          <cell r="D43">
            <v>7.7781609195402277</v>
          </cell>
          <cell r="E43">
            <v>3.532553766517744</v>
          </cell>
        </row>
        <row r="44">
          <cell r="D44">
            <v>67.467816091954035</v>
          </cell>
          <cell r="E44">
            <v>24.525978131659102</v>
          </cell>
        </row>
        <row r="50">
          <cell r="D50">
            <v>41.846639184326811</v>
          </cell>
          <cell r="E50">
            <v>8.5180180685029967</v>
          </cell>
        </row>
        <row r="52">
          <cell r="D52">
            <v>32.789914465595814</v>
          </cell>
          <cell r="E52">
            <v>4.9030574833489258</v>
          </cell>
        </row>
        <row r="53">
          <cell r="D53">
            <v>24.234811089289426</v>
          </cell>
          <cell r="E53">
            <v>2.0836065321260921</v>
          </cell>
        </row>
        <row r="54">
          <cell r="D54">
            <v>14.562169472589636</v>
          </cell>
          <cell r="E54">
            <v>4.7398264807610282</v>
          </cell>
        </row>
      </sheetData>
      <sheetData sheetId="1">
        <row r="4">
          <cell r="D4">
            <v>56.627777777777808</v>
          </cell>
          <cell r="E4">
            <v>9.1874734918551315</v>
          </cell>
        </row>
        <row r="5">
          <cell r="D5">
            <v>161.11333333333323</v>
          </cell>
          <cell r="E5">
            <v>6.6918733206311725</v>
          </cell>
        </row>
        <row r="6">
          <cell r="D6">
            <v>85.752222222222244</v>
          </cell>
          <cell r="E6">
            <v>3.3102913337204209</v>
          </cell>
        </row>
        <row r="21">
          <cell r="D21">
            <v>6.1486666666666654</v>
          </cell>
          <cell r="E21">
            <v>0.35798813614141883</v>
          </cell>
        </row>
        <row r="22">
          <cell r="D22">
            <v>8.9438888888888837</v>
          </cell>
          <cell r="E22">
            <v>0.5500678087811901</v>
          </cell>
        </row>
        <row r="23">
          <cell r="D23">
            <v>54.864444444444416</v>
          </cell>
          <cell r="E23">
            <v>1.5616406750616363</v>
          </cell>
        </row>
        <row r="25">
          <cell r="D25">
            <v>26.378888888888891</v>
          </cell>
          <cell r="E25">
            <v>3.0974616082336759</v>
          </cell>
        </row>
        <row r="26">
          <cell r="D26">
            <v>27.006666666666657</v>
          </cell>
          <cell r="E26">
            <v>2.8453312834115554</v>
          </cell>
        </row>
        <row r="27">
          <cell r="D27">
            <v>23.147777777777783</v>
          </cell>
          <cell r="E27">
            <v>1.8514633008937804</v>
          </cell>
        </row>
        <row r="30">
          <cell r="D30">
            <v>69.616666666666632</v>
          </cell>
          <cell r="E30">
            <v>6.5343732452216443</v>
          </cell>
        </row>
        <row r="31">
          <cell r="D31">
            <v>95.636666666666713</v>
          </cell>
          <cell r="E31">
            <v>5.8717462900208437</v>
          </cell>
        </row>
        <row r="33">
          <cell r="D33">
            <v>48.672222222222246</v>
          </cell>
          <cell r="E33">
            <v>4.1342914499050387</v>
          </cell>
        </row>
        <row r="34">
          <cell r="D34">
            <v>34.323333333333309</v>
          </cell>
          <cell r="E34">
            <v>2.36510445881901</v>
          </cell>
        </row>
        <row r="36">
          <cell r="D36">
            <v>15.77666666666666</v>
          </cell>
          <cell r="E36">
            <v>4.4489122518565551</v>
          </cell>
        </row>
        <row r="37">
          <cell r="D37">
            <v>10.941111111111107</v>
          </cell>
          <cell r="E37">
            <v>3.9512164090456032</v>
          </cell>
        </row>
        <row r="38">
          <cell r="D38">
            <v>6.9045454545454552</v>
          </cell>
          <cell r="E38">
            <v>2.9276293454119187</v>
          </cell>
        </row>
        <row r="39">
          <cell r="D39">
            <v>17.928888888888885</v>
          </cell>
          <cell r="E39">
            <v>7.6688373412982864</v>
          </cell>
        </row>
        <row r="40">
          <cell r="D40">
            <v>10.204444444444439</v>
          </cell>
          <cell r="E40">
            <v>3.8168435429960299</v>
          </cell>
        </row>
        <row r="41">
          <cell r="D41">
            <v>20.581111111111106</v>
          </cell>
          <cell r="E41">
            <v>7.7011146784661308</v>
          </cell>
        </row>
        <row r="42">
          <cell r="D42">
            <v>22.668888888888883</v>
          </cell>
          <cell r="E42">
            <v>7.2509688534263281</v>
          </cell>
        </row>
        <row r="43">
          <cell r="D43">
            <v>15.742222222222219</v>
          </cell>
          <cell r="E43">
            <v>5.5552784450239683</v>
          </cell>
        </row>
        <row r="44">
          <cell r="D44">
            <v>95.914444444444442</v>
          </cell>
          <cell r="E44">
            <v>24.968634531388556</v>
          </cell>
        </row>
        <row r="50">
          <cell r="D50">
            <v>27.449561326608077</v>
          </cell>
          <cell r="E50">
            <v>8.2727686353196077</v>
          </cell>
        </row>
        <row r="52">
          <cell r="D52">
            <v>26.455149535461963</v>
          </cell>
          <cell r="E52">
            <v>5.4029812127039198</v>
          </cell>
        </row>
        <row r="53">
          <cell r="D53">
            <v>21.751519649930426</v>
          </cell>
          <cell r="E53">
            <v>2.6970782698209899</v>
          </cell>
        </row>
        <row r="54">
          <cell r="D54">
            <v>25.79358555577905</v>
          </cell>
          <cell r="E54">
            <v>4.207998113024197</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SOMATOTIPO"/>
    </sheetNames>
    <sheetDataSet>
      <sheetData sheetId="0">
        <row r="16">
          <cell r="V16" t="e">
            <v>#DIV/0!</v>
          </cell>
          <cell r="W16" t="e">
            <v>#DIV/0!</v>
          </cell>
        </row>
        <row r="17">
          <cell r="V17" t="e">
            <v>#DIV/0!</v>
          </cell>
          <cell r="W17" t="e">
            <v>#DIV/0!</v>
          </cell>
        </row>
        <row r="18">
          <cell r="V18" t="e">
            <v>#DIV/0!</v>
          </cell>
          <cell r="W18" t="e">
            <v>#DIV/0!</v>
          </cell>
        </row>
        <row r="19">
          <cell r="V19" t="e">
            <v>#DIV/0!</v>
          </cell>
          <cell r="W19" t="e">
            <v>#DIV/0!</v>
          </cell>
        </row>
        <row r="20">
          <cell r="V20" t="e">
            <v>#DIV/0!</v>
          </cell>
          <cell r="W20" t="e">
            <v>#DIV/0!</v>
          </cell>
        </row>
        <row r="21">
          <cell r="V21" t="e">
            <v>#DIV/0!</v>
          </cell>
          <cell r="W21" t="e">
            <v>#DIV/0!</v>
          </cell>
        </row>
        <row r="22">
          <cell r="V22" t="e">
            <v>#DIV/0!</v>
          </cell>
          <cell r="W22" t="e">
            <v>#DIV/0!</v>
          </cell>
        </row>
        <row r="23">
          <cell r="V23" t="e">
            <v>#DIV/0!</v>
          </cell>
          <cell r="W23" t="e">
            <v>#DIV/0!</v>
          </cell>
        </row>
        <row r="24">
          <cell r="V24" t="e">
            <v>#DIV/0!</v>
          </cell>
          <cell r="W24" t="e">
            <v>#DIV/0!</v>
          </cell>
        </row>
        <row r="25">
          <cell r="V25" t="e">
            <v>#DIV/0!</v>
          </cell>
          <cell r="W25" t="e">
            <v>#DIV/0!</v>
          </cell>
        </row>
        <row r="26">
          <cell r="V26" t="e">
            <v>#DIV/0!</v>
          </cell>
          <cell r="W26" t="e">
            <v>#DIV/0!</v>
          </cell>
        </row>
        <row r="27">
          <cell r="V27" t="e">
            <v>#DIV/0!</v>
          </cell>
          <cell r="W27" t="e">
            <v>#DIV/0!</v>
          </cell>
        </row>
        <row r="28">
          <cell r="V28" t="e">
            <v>#DIV/0!</v>
          </cell>
          <cell r="W28" t="e">
            <v>#DIV/0!</v>
          </cell>
        </row>
        <row r="29">
          <cell r="V29" t="e">
            <v>#DIV/0!</v>
          </cell>
          <cell r="W29" t="e">
            <v>#DIV/0!</v>
          </cell>
        </row>
        <row r="30">
          <cell r="V30" t="e">
            <v>#DIV/0!</v>
          </cell>
          <cell r="W30" t="e">
            <v>#DIV/0!</v>
          </cell>
        </row>
        <row r="31">
          <cell r="V31" t="e">
            <v>#DIV/0!</v>
          </cell>
          <cell r="W31" t="e">
            <v>#DIV/0!</v>
          </cell>
        </row>
        <row r="32">
          <cell r="V32" t="e">
            <v>#DIV/0!</v>
          </cell>
          <cell r="W32" t="e">
            <v>#DIV/0!</v>
          </cell>
        </row>
        <row r="33">
          <cell r="V33" t="e">
            <v>#DIV/0!</v>
          </cell>
          <cell r="W33" t="e">
            <v>#DIV/0!</v>
          </cell>
        </row>
        <row r="34">
          <cell r="V34" t="e">
            <v>#DIV/0!</v>
          </cell>
          <cell r="W34" t="e">
            <v>#DIV/0!</v>
          </cell>
        </row>
        <row r="35">
          <cell r="V35" t="e">
            <v>#DIV/0!</v>
          </cell>
          <cell r="W35" t="e">
            <v>#DIV/0!</v>
          </cell>
        </row>
        <row r="36">
          <cell r="V36" t="e">
            <v>#DIV/0!</v>
          </cell>
          <cell r="W36" t="e">
            <v>#DIV/0!</v>
          </cell>
        </row>
        <row r="37">
          <cell r="V37" t="e">
            <v>#DIV/0!</v>
          </cell>
          <cell r="W37" t="e">
            <v>#DIV/0!</v>
          </cell>
        </row>
        <row r="38">
          <cell r="V38" t="e">
            <v>#DIV/0!</v>
          </cell>
          <cell r="W38" t="e">
            <v>#DIV/0!</v>
          </cell>
        </row>
        <row r="39">
          <cell r="V39" t="e">
            <v>#DIV/0!</v>
          </cell>
          <cell r="W39" t="e">
            <v>#DIV/0!</v>
          </cell>
        </row>
        <row r="40">
          <cell r="V40" t="e">
            <v>#DIV/0!</v>
          </cell>
          <cell r="W40" t="e">
            <v>#DIV/0!</v>
          </cell>
        </row>
        <row r="41">
          <cell r="V41" t="e">
            <v>#DIV/0!</v>
          </cell>
          <cell r="W41" t="e">
            <v>#DIV/0!</v>
          </cell>
        </row>
        <row r="42">
          <cell r="V42" t="e">
            <v>#DIV/0!</v>
          </cell>
          <cell r="W42" t="e">
            <v>#DIV/0!</v>
          </cell>
        </row>
        <row r="43">
          <cell r="V43" t="e">
            <v>#DIV/0!</v>
          </cell>
          <cell r="W43" t="e">
            <v>#DIV/0!</v>
          </cell>
        </row>
        <row r="44">
          <cell r="V44" t="e">
            <v>#DIV/0!</v>
          </cell>
          <cell r="W44" t="e">
            <v>#DIV/0!</v>
          </cell>
        </row>
        <row r="45">
          <cell r="V45" t="e">
            <v>#DIV/0!</v>
          </cell>
          <cell r="W45" t="e">
            <v>#DIV/0!</v>
          </cell>
        </row>
        <row r="46">
          <cell r="V46" t="e">
            <v>#DIV/0!</v>
          </cell>
          <cell r="W46" t="e">
            <v>#DIV/0!</v>
          </cell>
        </row>
        <row r="47">
          <cell r="V47" t="e">
            <v>#DIV/0!</v>
          </cell>
          <cell r="W47" t="e">
            <v>#DIV/0!</v>
          </cell>
        </row>
        <row r="48">
          <cell r="V48" t="e">
            <v>#DIV/0!</v>
          </cell>
          <cell r="W48" t="e">
            <v>#DIV/0!</v>
          </cell>
        </row>
        <row r="49">
          <cell r="V49" t="e">
            <v>#DIV/0!</v>
          </cell>
          <cell r="W49" t="e">
            <v>#DIV/0!</v>
          </cell>
        </row>
        <row r="50">
          <cell r="V50" t="e">
            <v>#DIV/0!</v>
          </cell>
          <cell r="W50" t="e">
            <v>#DIV/0!</v>
          </cell>
        </row>
        <row r="51">
          <cell r="V51" t="e">
            <v>#DIV/0!</v>
          </cell>
          <cell r="W51" t="e">
            <v>#DIV/0!</v>
          </cell>
        </row>
        <row r="52">
          <cell r="V52" t="e">
            <v>#DIV/0!</v>
          </cell>
          <cell r="W52" t="e">
            <v>#DIV/0!</v>
          </cell>
        </row>
        <row r="53">
          <cell r="V53" t="e">
            <v>#DIV/0!</v>
          </cell>
          <cell r="W53" t="e">
            <v>#DIV/0!</v>
          </cell>
        </row>
        <row r="54">
          <cell r="V54" t="e">
            <v>#DIV/0!</v>
          </cell>
          <cell r="W54" t="e">
            <v>#DIV/0!</v>
          </cell>
        </row>
        <row r="55">
          <cell r="V55" t="e">
            <v>#DIV/0!</v>
          </cell>
          <cell r="W55" t="e">
            <v>#DIV/0!</v>
          </cell>
        </row>
        <row r="56">
          <cell r="V56" t="e">
            <v>#DIV/0!</v>
          </cell>
          <cell r="W56" t="e">
            <v>#DIV/0!</v>
          </cell>
        </row>
        <row r="57">
          <cell r="V57" t="e">
            <v>#DIV/0!</v>
          </cell>
          <cell r="W57" t="e">
            <v>#DIV/0!</v>
          </cell>
        </row>
        <row r="58">
          <cell r="V58" t="e">
            <v>#DIV/0!</v>
          </cell>
          <cell r="W58" t="e">
            <v>#DIV/0!</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DREITA19906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NDREITA199066@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B858-C6A8-4828-BD05-1FFD0DC4D931}">
  <dimension ref="B2:K195"/>
  <sheetViews>
    <sheetView topLeftCell="A181" workbookViewId="0">
      <selection activeCell="B14" sqref="B14:K14"/>
    </sheetView>
  </sheetViews>
  <sheetFormatPr baseColWidth="10" defaultRowHeight="14.4" x14ac:dyDescent="0.3"/>
  <cols>
    <col min="3" max="3" width="15.33203125" customWidth="1"/>
  </cols>
  <sheetData>
    <row r="2" spans="2:11" ht="15" thickBot="1" x14ac:dyDescent="0.35"/>
    <row r="3" spans="2:11" ht="16.2" thickBot="1" x14ac:dyDescent="0.35">
      <c r="B3" s="502" t="s">
        <v>16</v>
      </c>
      <c r="C3" s="503"/>
      <c r="D3" s="504" t="s">
        <v>17</v>
      </c>
      <c r="E3" s="505"/>
      <c r="F3" s="506"/>
    </row>
    <row r="4" spans="2:11" ht="15" thickBot="1" x14ac:dyDescent="0.35"/>
    <row r="5" spans="2:11" ht="14.4" customHeight="1" x14ac:dyDescent="0.3">
      <c r="B5" s="507" t="s">
        <v>18</v>
      </c>
      <c r="C5" s="508"/>
      <c r="D5" s="508"/>
      <c r="E5" s="508"/>
      <c r="F5" s="508"/>
      <c r="G5" s="508"/>
      <c r="H5" s="508"/>
      <c r="I5" s="508"/>
      <c r="J5" s="508"/>
      <c r="K5" s="509"/>
    </row>
    <row r="6" spans="2:11" x14ac:dyDescent="0.3">
      <c r="B6" s="496"/>
      <c r="C6" s="497"/>
      <c r="D6" s="497"/>
      <c r="E6" s="497"/>
      <c r="F6" s="497"/>
      <c r="G6" s="497"/>
      <c r="H6" s="497"/>
      <c r="I6" s="497"/>
      <c r="J6" s="497"/>
      <c r="K6" s="498"/>
    </row>
    <row r="7" spans="2:11" x14ac:dyDescent="0.3">
      <c r="B7" s="496" t="s">
        <v>19</v>
      </c>
      <c r="C7" s="497"/>
      <c r="D7" s="497"/>
      <c r="E7" s="497"/>
      <c r="F7" s="497"/>
      <c r="G7" s="497"/>
      <c r="H7" s="497"/>
      <c r="I7" s="497"/>
      <c r="J7" s="497"/>
      <c r="K7" s="498"/>
    </row>
    <row r="8" spans="2:11" x14ac:dyDescent="0.3">
      <c r="B8" s="496"/>
      <c r="C8" s="497"/>
      <c r="D8" s="497"/>
      <c r="E8" s="497"/>
      <c r="F8" s="497"/>
      <c r="G8" s="497"/>
      <c r="H8" s="497"/>
      <c r="I8" s="497"/>
      <c r="J8" s="497"/>
      <c r="K8" s="498"/>
    </row>
    <row r="9" spans="2:11" x14ac:dyDescent="0.3">
      <c r="B9" s="496" t="s">
        <v>20</v>
      </c>
      <c r="C9" s="497"/>
      <c r="D9" s="497"/>
      <c r="E9" s="497"/>
      <c r="F9" s="497"/>
      <c r="G9" s="497"/>
      <c r="H9" s="497"/>
      <c r="I9" s="497"/>
      <c r="J9" s="497"/>
      <c r="K9" s="498"/>
    </row>
    <row r="10" spans="2:11" x14ac:dyDescent="0.3">
      <c r="B10" s="496"/>
      <c r="C10" s="497"/>
      <c r="D10" s="497"/>
      <c r="E10" s="497"/>
      <c r="F10" s="497"/>
      <c r="G10" s="497"/>
      <c r="H10" s="497"/>
      <c r="I10" s="497"/>
      <c r="J10" s="497"/>
      <c r="K10" s="498"/>
    </row>
    <row r="11" spans="2:11" x14ac:dyDescent="0.3">
      <c r="B11" s="496" t="s">
        <v>21</v>
      </c>
      <c r="C11" s="497"/>
      <c r="D11" s="497"/>
      <c r="E11" s="497"/>
      <c r="F11" s="497"/>
      <c r="G11" s="497"/>
      <c r="H11" s="497"/>
      <c r="I11" s="497"/>
      <c r="J11" s="497"/>
      <c r="K11" s="498"/>
    </row>
    <row r="12" spans="2:11" x14ac:dyDescent="0.3">
      <c r="B12" s="496" t="s">
        <v>22</v>
      </c>
      <c r="C12" s="497"/>
      <c r="D12" s="497"/>
      <c r="E12" s="497"/>
      <c r="F12" s="497"/>
      <c r="G12" s="497"/>
      <c r="H12" s="497"/>
      <c r="I12" s="497"/>
      <c r="J12" s="497"/>
      <c r="K12" s="498"/>
    </row>
    <row r="13" spans="2:11" x14ac:dyDescent="0.3">
      <c r="B13" s="496" t="s">
        <v>23</v>
      </c>
      <c r="C13" s="497"/>
      <c r="D13" s="497"/>
      <c r="E13" s="497"/>
      <c r="F13" s="497"/>
      <c r="G13" s="497"/>
      <c r="H13" s="497"/>
      <c r="I13" s="497"/>
      <c r="J13" s="497"/>
      <c r="K13" s="498"/>
    </row>
    <row r="14" spans="2:11" x14ac:dyDescent="0.3">
      <c r="B14" s="496" t="s">
        <v>24</v>
      </c>
      <c r="C14" s="497"/>
      <c r="D14" s="497"/>
      <c r="E14" s="497"/>
      <c r="F14" s="497"/>
      <c r="G14" s="497"/>
      <c r="H14" s="497"/>
      <c r="I14" s="497"/>
      <c r="J14" s="497"/>
      <c r="K14" s="498"/>
    </row>
    <row r="15" spans="2:11" x14ac:dyDescent="0.3">
      <c r="B15" s="496" t="s">
        <v>25</v>
      </c>
      <c r="C15" s="497"/>
      <c r="D15" s="497"/>
      <c r="E15" s="497"/>
      <c r="F15" s="497"/>
      <c r="G15" s="497"/>
      <c r="H15" s="497"/>
      <c r="I15" s="497"/>
      <c r="J15" s="497"/>
      <c r="K15" s="498"/>
    </row>
    <row r="16" spans="2:11" x14ac:dyDescent="0.3">
      <c r="B16" s="496" t="s">
        <v>26</v>
      </c>
      <c r="C16" s="497"/>
      <c r="D16" s="497"/>
      <c r="E16" s="497"/>
      <c r="F16" s="497"/>
      <c r="G16" s="497"/>
      <c r="H16" s="497"/>
      <c r="I16" s="497"/>
      <c r="J16" s="497"/>
      <c r="K16" s="498"/>
    </row>
    <row r="17" spans="2:11" x14ac:dyDescent="0.3">
      <c r="B17" s="496" t="s">
        <v>27</v>
      </c>
      <c r="C17" s="497"/>
      <c r="D17" s="497"/>
      <c r="E17" s="497"/>
      <c r="F17" s="497"/>
      <c r="G17" s="497"/>
      <c r="H17" s="497"/>
      <c r="I17" s="497"/>
      <c r="J17" s="497"/>
      <c r="K17" s="498"/>
    </row>
    <row r="18" spans="2:11" x14ac:dyDescent="0.3">
      <c r="B18" s="496"/>
      <c r="C18" s="497"/>
      <c r="D18" s="497"/>
      <c r="E18" s="497"/>
      <c r="F18" s="497"/>
      <c r="G18" s="497"/>
      <c r="H18" s="497"/>
      <c r="I18" s="497"/>
      <c r="J18" s="497"/>
      <c r="K18" s="498"/>
    </row>
    <row r="19" spans="2:11" x14ac:dyDescent="0.3">
      <c r="B19" s="496" t="s">
        <v>28</v>
      </c>
      <c r="C19" s="497"/>
      <c r="D19" s="497"/>
      <c r="E19" s="497"/>
      <c r="F19" s="497"/>
      <c r="G19" s="497"/>
      <c r="H19" s="497"/>
      <c r="I19" s="497"/>
      <c r="J19" s="497"/>
      <c r="K19" s="498"/>
    </row>
    <row r="20" spans="2:11" x14ac:dyDescent="0.3">
      <c r="B20" s="496"/>
      <c r="C20" s="497"/>
      <c r="D20" s="497"/>
      <c r="E20" s="497"/>
      <c r="F20" s="497"/>
      <c r="G20" s="497"/>
      <c r="H20" s="497"/>
      <c r="I20" s="497"/>
      <c r="J20" s="497"/>
      <c r="K20" s="498"/>
    </row>
    <row r="21" spans="2:11" x14ac:dyDescent="0.3">
      <c r="B21" s="496" t="s">
        <v>20</v>
      </c>
      <c r="C21" s="497"/>
      <c r="D21" s="497"/>
      <c r="E21" s="497"/>
      <c r="F21" s="497"/>
      <c r="G21" s="497"/>
      <c r="H21" s="497"/>
      <c r="I21" s="497"/>
      <c r="J21" s="497"/>
      <c r="K21" s="498"/>
    </row>
    <row r="22" spans="2:11" x14ac:dyDescent="0.3">
      <c r="B22" s="496"/>
      <c r="C22" s="497"/>
      <c r="D22" s="497"/>
      <c r="E22" s="497"/>
      <c r="F22" s="497"/>
      <c r="G22" s="497"/>
      <c r="H22" s="497"/>
      <c r="I22" s="497"/>
      <c r="J22" s="497"/>
      <c r="K22" s="498"/>
    </row>
    <row r="23" spans="2:11" x14ac:dyDescent="0.3">
      <c r="B23" s="496" t="s">
        <v>29</v>
      </c>
      <c r="C23" s="497"/>
      <c r="D23" s="497"/>
      <c r="E23" s="497"/>
      <c r="F23" s="497"/>
      <c r="G23" s="497"/>
      <c r="H23" s="497"/>
      <c r="I23" s="497"/>
      <c r="J23" s="497"/>
      <c r="K23" s="498"/>
    </row>
    <row r="24" spans="2:11" x14ac:dyDescent="0.3">
      <c r="B24" s="496" t="s">
        <v>30</v>
      </c>
      <c r="C24" s="497"/>
      <c r="D24" s="497"/>
      <c r="E24" s="497"/>
      <c r="F24" s="497"/>
      <c r="G24" s="497"/>
      <c r="H24" s="497"/>
      <c r="I24" s="497"/>
      <c r="J24" s="497"/>
      <c r="K24" s="498"/>
    </row>
    <row r="25" spans="2:11" x14ac:dyDescent="0.3">
      <c r="B25" s="496" t="s">
        <v>31</v>
      </c>
      <c r="C25" s="497"/>
      <c r="D25" s="497"/>
      <c r="E25" s="497"/>
      <c r="F25" s="497"/>
      <c r="G25" s="497"/>
      <c r="H25" s="497"/>
      <c r="I25" s="497"/>
      <c r="J25" s="497"/>
      <c r="K25" s="498"/>
    </row>
    <row r="26" spans="2:11" ht="15" thickBot="1" x14ac:dyDescent="0.35">
      <c r="B26" s="499" t="s">
        <v>32</v>
      </c>
      <c r="C26" s="500"/>
      <c r="D26" s="500"/>
      <c r="E26" s="500"/>
      <c r="F26" s="500"/>
      <c r="G26" s="500"/>
      <c r="H26" s="500"/>
      <c r="I26" s="500"/>
      <c r="J26" s="500"/>
      <c r="K26" s="501"/>
    </row>
    <row r="27" spans="2:11" ht="15" thickBot="1" x14ac:dyDescent="0.35"/>
    <row r="28" spans="2:11" ht="16.2" thickBot="1" x14ac:dyDescent="0.35">
      <c r="B28" s="502" t="s">
        <v>47</v>
      </c>
      <c r="C28" s="503"/>
      <c r="D28" s="504" t="s">
        <v>17</v>
      </c>
      <c r="E28" s="505"/>
      <c r="F28" s="506"/>
    </row>
    <row r="29" spans="2:11" ht="15" thickBot="1" x14ac:dyDescent="0.35"/>
    <row r="30" spans="2:11" x14ac:dyDescent="0.3">
      <c r="B30" s="519" t="s">
        <v>33</v>
      </c>
      <c r="C30" s="520"/>
      <c r="D30" s="520"/>
      <c r="E30" s="520"/>
      <c r="F30" s="520"/>
      <c r="G30" s="520"/>
      <c r="H30" s="520"/>
      <c r="I30" s="520"/>
      <c r="J30" s="520"/>
      <c r="K30" s="521"/>
    </row>
    <row r="31" spans="2:11" x14ac:dyDescent="0.3">
      <c r="B31" s="510"/>
      <c r="C31" s="511"/>
      <c r="D31" s="511"/>
      <c r="E31" s="511"/>
      <c r="F31" s="511"/>
      <c r="G31" s="511"/>
      <c r="H31" s="511"/>
      <c r="I31" s="511"/>
      <c r="J31" s="511"/>
      <c r="K31" s="512"/>
    </row>
    <row r="32" spans="2:11" x14ac:dyDescent="0.3">
      <c r="B32" s="510" t="s">
        <v>34</v>
      </c>
      <c r="C32" s="511"/>
      <c r="D32" s="511"/>
      <c r="E32" s="511"/>
      <c r="F32" s="511"/>
      <c r="G32" s="511"/>
      <c r="H32" s="511"/>
      <c r="I32" s="511"/>
      <c r="J32" s="511"/>
      <c r="K32" s="512"/>
    </row>
    <row r="33" spans="2:11" x14ac:dyDescent="0.3">
      <c r="B33" s="510"/>
      <c r="C33" s="511"/>
      <c r="D33" s="511"/>
      <c r="E33" s="511"/>
      <c r="F33" s="511"/>
      <c r="G33" s="511"/>
      <c r="H33" s="511"/>
      <c r="I33" s="511"/>
      <c r="J33" s="511"/>
      <c r="K33" s="512"/>
    </row>
    <row r="34" spans="2:11" x14ac:dyDescent="0.3">
      <c r="B34" s="510" t="s">
        <v>20</v>
      </c>
      <c r="C34" s="511"/>
      <c r="D34" s="511"/>
      <c r="E34" s="511"/>
      <c r="F34" s="511"/>
      <c r="G34" s="511"/>
      <c r="H34" s="511"/>
      <c r="I34" s="511"/>
      <c r="J34" s="511"/>
      <c r="K34" s="512"/>
    </row>
    <row r="35" spans="2:11" x14ac:dyDescent="0.3">
      <c r="B35" s="510"/>
      <c r="C35" s="511"/>
      <c r="D35" s="511"/>
      <c r="E35" s="511"/>
      <c r="F35" s="511"/>
      <c r="G35" s="511"/>
      <c r="H35" s="511"/>
      <c r="I35" s="511"/>
      <c r="J35" s="511"/>
      <c r="K35" s="512"/>
    </row>
    <row r="36" spans="2:11" x14ac:dyDescent="0.3">
      <c r="B36" s="510" t="s">
        <v>35</v>
      </c>
      <c r="C36" s="511"/>
      <c r="D36" s="511"/>
      <c r="E36" s="511"/>
      <c r="F36" s="511"/>
      <c r="G36" s="511"/>
      <c r="H36" s="511"/>
      <c r="I36" s="511"/>
      <c r="J36" s="511"/>
      <c r="K36" s="512"/>
    </row>
    <row r="37" spans="2:11" x14ac:dyDescent="0.3">
      <c r="B37" s="510" t="s">
        <v>36</v>
      </c>
      <c r="C37" s="511"/>
      <c r="D37" s="511"/>
      <c r="E37" s="511"/>
      <c r="F37" s="511"/>
      <c r="G37" s="511"/>
      <c r="H37" s="511"/>
      <c r="I37" s="511"/>
      <c r="J37" s="511"/>
      <c r="K37" s="512"/>
    </row>
    <row r="38" spans="2:11" x14ac:dyDescent="0.3">
      <c r="B38" s="510" t="s">
        <v>37</v>
      </c>
      <c r="C38" s="511"/>
      <c r="D38" s="511"/>
      <c r="E38" s="511"/>
      <c r="F38" s="511"/>
      <c r="G38" s="511"/>
      <c r="H38" s="511"/>
      <c r="I38" s="511"/>
      <c r="J38" s="511"/>
      <c r="K38" s="512"/>
    </row>
    <row r="39" spans="2:11" x14ac:dyDescent="0.3">
      <c r="B39" s="510" t="s">
        <v>38</v>
      </c>
      <c r="C39" s="511"/>
      <c r="D39" s="511"/>
      <c r="E39" s="511"/>
      <c r="F39" s="511"/>
      <c r="G39" s="511"/>
      <c r="H39" s="511"/>
      <c r="I39" s="511"/>
      <c r="J39" s="511"/>
      <c r="K39" s="512"/>
    </row>
    <row r="40" spans="2:11" x14ac:dyDescent="0.3">
      <c r="B40" s="510" t="s">
        <v>39</v>
      </c>
      <c r="C40" s="511"/>
      <c r="D40" s="511"/>
      <c r="E40" s="511"/>
      <c r="F40" s="511"/>
      <c r="G40" s="511"/>
      <c r="H40" s="511"/>
      <c r="I40" s="511"/>
      <c r="J40" s="511"/>
      <c r="K40" s="512"/>
    </row>
    <row r="41" spans="2:11" x14ac:dyDescent="0.3">
      <c r="B41" s="510" t="s">
        <v>40</v>
      </c>
      <c r="C41" s="511"/>
      <c r="D41" s="511"/>
      <c r="E41" s="511"/>
      <c r="F41" s="511"/>
      <c r="G41" s="511"/>
      <c r="H41" s="511"/>
      <c r="I41" s="511"/>
      <c r="J41" s="511"/>
      <c r="K41" s="512"/>
    </row>
    <row r="42" spans="2:11" x14ac:dyDescent="0.3">
      <c r="B42" s="510" t="s">
        <v>41</v>
      </c>
      <c r="C42" s="511"/>
      <c r="D42" s="511"/>
      <c r="E42" s="511"/>
      <c r="F42" s="511"/>
      <c r="G42" s="511"/>
      <c r="H42" s="511"/>
      <c r="I42" s="511"/>
      <c r="J42" s="511"/>
      <c r="K42" s="512"/>
    </row>
    <row r="43" spans="2:11" x14ac:dyDescent="0.3">
      <c r="B43" s="510"/>
      <c r="C43" s="511"/>
      <c r="D43" s="511"/>
      <c r="E43" s="511"/>
      <c r="F43" s="511"/>
      <c r="G43" s="511"/>
      <c r="H43" s="511"/>
      <c r="I43" s="511"/>
      <c r="J43" s="511"/>
      <c r="K43" s="512"/>
    </row>
    <row r="44" spans="2:11" x14ac:dyDescent="0.3">
      <c r="B44" s="510" t="s">
        <v>46</v>
      </c>
      <c r="C44" s="511"/>
      <c r="D44" s="511"/>
      <c r="E44" s="511"/>
      <c r="F44" s="511"/>
      <c r="G44" s="511"/>
      <c r="H44" s="511"/>
      <c r="I44" s="511"/>
      <c r="J44" s="511"/>
      <c r="K44" s="512"/>
    </row>
    <row r="45" spans="2:11" x14ac:dyDescent="0.3">
      <c r="B45" s="510"/>
      <c r="C45" s="511"/>
      <c r="D45" s="511"/>
      <c r="E45" s="511"/>
      <c r="F45" s="511"/>
      <c r="G45" s="511"/>
      <c r="H45" s="511"/>
      <c r="I45" s="511"/>
      <c r="J45" s="511"/>
      <c r="K45" s="512"/>
    </row>
    <row r="46" spans="2:11" x14ac:dyDescent="0.3">
      <c r="B46" s="510" t="s">
        <v>20</v>
      </c>
      <c r="C46" s="511"/>
      <c r="D46" s="511"/>
      <c r="E46" s="511"/>
      <c r="F46" s="511"/>
      <c r="G46" s="511"/>
      <c r="H46" s="511"/>
      <c r="I46" s="511"/>
      <c r="J46" s="511"/>
      <c r="K46" s="512"/>
    </row>
    <row r="47" spans="2:11" x14ac:dyDescent="0.3">
      <c r="B47" s="510"/>
      <c r="C47" s="511"/>
      <c r="D47" s="511"/>
      <c r="E47" s="511"/>
      <c r="F47" s="511"/>
      <c r="G47" s="511"/>
      <c r="H47" s="511"/>
      <c r="I47" s="511"/>
      <c r="J47" s="511"/>
      <c r="K47" s="512"/>
    </row>
    <row r="48" spans="2:11" x14ac:dyDescent="0.3">
      <c r="B48" s="510" t="s">
        <v>42</v>
      </c>
      <c r="C48" s="511"/>
      <c r="D48" s="511"/>
      <c r="E48" s="511"/>
      <c r="F48" s="511"/>
      <c r="G48" s="511"/>
      <c r="H48" s="511"/>
      <c r="I48" s="511"/>
      <c r="J48" s="511"/>
      <c r="K48" s="512"/>
    </row>
    <row r="49" spans="2:11" x14ac:dyDescent="0.3">
      <c r="B49" s="510" t="s">
        <v>43</v>
      </c>
      <c r="C49" s="511"/>
      <c r="D49" s="511"/>
      <c r="E49" s="511"/>
      <c r="F49" s="511"/>
      <c r="G49" s="511"/>
      <c r="H49" s="511"/>
      <c r="I49" s="511"/>
      <c r="J49" s="511"/>
      <c r="K49" s="512"/>
    </row>
    <row r="50" spans="2:11" x14ac:dyDescent="0.3">
      <c r="B50" s="510" t="s">
        <v>44</v>
      </c>
      <c r="C50" s="511"/>
      <c r="D50" s="511"/>
      <c r="E50" s="511"/>
      <c r="F50" s="511"/>
      <c r="G50" s="511"/>
      <c r="H50" s="511"/>
      <c r="I50" s="511"/>
      <c r="J50" s="511"/>
      <c r="K50" s="512"/>
    </row>
    <row r="51" spans="2:11" ht="15" thickBot="1" x14ac:dyDescent="0.35">
      <c r="B51" s="513" t="s">
        <v>45</v>
      </c>
      <c r="C51" s="514"/>
      <c r="D51" s="514"/>
      <c r="E51" s="514"/>
      <c r="F51" s="514"/>
      <c r="G51" s="514"/>
      <c r="H51" s="514"/>
      <c r="I51" s="514"/>
      <c r="J51" s="514"/>
      <c r="K51" s="515"/>
    </row>
    <row r="52" spans="2:11" ht="15" thickBot="1" x14ac:dyDescent="0.35"/>
    <row r="53" spans="2:11" ht="16.2" thickBot="1" x14ac:dyDescent="0.35">
      <c r="B53" s="502" t="s">
        <v>48</v>
      </c>
      <c r="C53" s="503"/>
      <c r="D53" s="504" t="s">
        <v>17</v>
      </c>
      <c r="E53" s="505"/>
      <c r="F53" s="506"/>
    </row>
    <row r="54" spans="2:11" ht="15" thickBot="1" x14ac:dyDescent="0.35"/>
    <row r="55" spans="2:11" x14ac:dyDescent="0.3">
      <c r="B55" s="519" t="s">
        <v>49</v>
      </c>
      <c r="C55" s="520"/>
      <c r="D55" s="520"/>
      <c r="E55" s="520"/>
      <c r="F55" s="520"/>
      <c r="G55" s="520"/>
      <c r="H55" s="520"/>
      <c r="I55" s="520"/>
      <c r="J55" s="520"/>
      <c r="K55" s="521"/>
    </row>
    <row r="56" spans="2:11" x14ac:dyDescent="0.3">
      <c r="B56" s="510"/>
      <c r="C56" s="511"/>
      <c r="D56" s="511"/>
      <c r="E56" s="511"/>
      <c r="F56" s="511"/>
      <c r="G56" s="511"/>
      <c r="H56" s="511"/>
      <c r="I56" s="511"/>
      <c r="J56" s="511"/>
      <c r="K56" s="512"/>
    </row>
    <row r="57" spans="2:11" x14ac:dyDescent="0.3">
      <c r="B57" s="510" t="s">
        <v>50</v>
      </c>
      <c r="C57" s="511"/>
      <c r="D57" s="511"/>
      <c r="E57" s="511"/>
      <c r="F57" s="511"/>
      <c r="G57" s="511"/>
      <c r="H57" s="511"/>
      <c r="I57" s="511"/>
      <c r="J57" s="511"/>
      <c r="K57" s="512"/>
    </row>
    <row r="58" spans="2:11" x14ac:dyDescent="0.3">
      <c r="B58" s="510"/>
      <c r="C58" s="511"/>
      <c r="D58" s="511"/>
      <c r="E58" s="511"/>
      <c r="F58" s="511"/>
      <c r="G58" s="511"/>
      <c r="H58" s="511"/>
      <c r="I58" s="511"/>
      <c r="J58" s="511"/>
      <c r="K58" s="512"/>
    </row>
    <row r="59" spans="2:11" x14ac:dyDescent="0.3">
      <c r="B59" s="510" t="s">
        <v>51</v>
      </c>
      <c r="C59" s="511"/>
      <c r="D59" s="511"/>
      <c r="E59" s="511"/>
      <c r="F59" s="511"/>
      <c r="G59" s="511"/>
      <c r="H59" s="511"/>
      <c r="I59" s="511"/>
      <c r="J59" s="511"/>
      <c r="K59" s="512"/>
    </row>
    <row r="60" spans="2:11" x14ac:dyDescent="0.3">
      <c r="B60" s="510"/>
      <c r="C60" s="511"/>
      <c r="D60" s="511"/>
      <c r="E60" s="511"/>
      <c r="F60" s="511"/>
      <c r="G60" s="511"/>
      <c r="H60" s="511"/>
      <c r="I60" s="511"/>
      <c r="J60" s="511"/>
      <c r="K60" s="512"/>
    </row>
    <row r="61" spans="2:11" x14ac:dyDescent="0.3">
      <c r="B61" s="510" t="s">
        <v>20</v>
      </c>
      <c r="C61" s="511"/>
      <c r="D61" s="511"/>
      <c r="E61" s="511"/>
      <c r="F61" s="511"/>
      <c r="G61" s="511"/>
      <c r="H61" s="511"/>
      <c r="I61" s="511"/>
      <c r="J61" s="511"/>
      <c r="K61" s="512"/>
    </row>
    <row r="62" spans="2:11" x14ac:dyDescent="0.3">
      <c r="B62" s="510"/>
      <c r="C62" s="511"/>
      <c r="D62" s="511"/>
      <c r="E62" s="511"/>
      <c r="F62" s="511"/>
      <c r="G62" s="511"/>
      <c r="H62" s="511"/>
      <c r="I62" s="511"/>
      <c r="J62" s="511"/>
      <c r="K62" s="512"/>
    </row>
    <row r="63" spans="2:11" x14ac:dyDescent="0.3">
      <c r="B63" s="510" t="s">
        <v>52</v>
      </c>
      <c r="C63" s="511"/>
      <c r="D63" s="511"/>
      <c r="E63" s="511"/>
      <c r="F63" s="511"/>
      <c r="G63" s="511"/>
      <c r="H63" s="511"/>
      <c r="I63" s="511"/>
      <c r="J63" s="511"/>
      <c r="K63" s="512"/>
    </row>
    <row r="64" spans="2:11" x14ac:dyDescent="0.3">
      <c r="B64" s="510" t="s">
        <v>53</v>
      </c>
      <c r="C64" s="511"/>
      <c r="D64" s="511"/>
      <c r="E64" s="511"/>
      <c r="F64" s="511"/>
      <c r="G64" s="511"/>
      <c r="H64" s="511"/>
      <c r="I64" s="511"/>
      <c r="J64" s="511"/>
      <c r="K64" s="512"/>
    </row>
    <row r="65" spans="2:11" x14ac:dyDescent="0.3">
      <c r="B65" s="510" t="s">
        <v>54</v>
      </c>
      <c r="C65" s="511"/>
      <c r="D65" s="511"/>
      <c r="E65" s="511"/>
      <c r="F65" s="511"/>
      <c r="G65" s="511"/>
      <c r="H65" s="511"/>
      <c r="I65" s="511"/>
      <c r="J65" s="511"/>
      <c r="K65" s="512"/>
    </row>
    <row r="66" spans="2:11" x14ac:dyDescent="0.3">
      <c r="B66" s="510" t="s">
        <v>55</v>
      </c>
      <c r="C66" s="511"/>
      <c r="D66" s="511"/>
      <c r="E66" s="511"/>
      <c r="F66" s="511"/>
      <c r="G66" s="511"/>
      <c r="H66" s="511"/>
      <c r="I66" s="511"/>
      <c r="J66" s="511"/>
      <c r="K66" s="512"/>
    </row>
    <row r="67" spans="2:11" x14ac:dyDescent="0.3">
      <c r="B67" s="510" t="s">
        <v>56</v>
      </c>
      <c r="C67" s="511"/>
      <c r="D67" s="511"/>
      <c r="E67" s="511"/>
      <c r="F67" s="511"/>
      <c r="G67" s="511"/>
      <c r="H67" s="511"/>
      <c r="I67" s="511"/>
      <c r="J67" s="511"/>
      <c r="K67" s="512"/>
    </row>
    <row r="68" spans="2:11" x14ac:dyDescent="0.3">
      <c r="B68" s="510" t="s">
        <v>57</v>
      </c>
      <c r="C68" s="511"/>
      <c r="D68" s="511"/>
      <c r="E68" s="511"/>
      <c r="F68" s="511"/>
      <c r="G68" s="511"/>
      <c r="H68" s="511"/>
      <c r="I68" s="511"/>
      <c r="J68" s="511"/>
      <c r="K68" s="512"/>
    </row>
    <row r="69" spans="2:11" x14ac:dyDescent="0.3">
      <c r="B69" s="510"/>
      <c r="C69" s="511"/>
      <c r="D69" s="511"/>
      <c r="E69" s="511"/>
      <c r="F69" s="511"/>
      <c r="G69" s="511"/>
      <c r="H69" s="511"/>
      <c r="I69" s="511"/>
      <c r="J69" s="511"/>
      <c r="K69" s="512"/>
    </row>
    <row r="70" spans="2:11" x14ac:dyDescent="0.3">
      <c r="B70" s="510" t="s">
        <v>58</v>
      </c>
      <c r="C70" s="511"/>
      <c r="D70" s="511"/>
      <c r="E70" s="511"/>
      <c r="F70" s="511"/>
      <c r="G70" s="511"/>
      <c r="H70" s="511"/>
      <c r="I70" s="511"/>
      <c r="J70" s="511"/>
      <c r="K70" s="512"/>
    </row>
    <row r="71" spans="2:11" x14ac:dyDescent="0.3">
      <c r="B71" s="510"/>
      <c r="C71" s="511"/>
      <c r="D71" s="511"/>
      <c r="E71" s="511"/>
      <c r="F71" s="511"/>
      <c r="G71" s="511"/>
      <c r="H71" s="511"/>
      <c r="I71" s="511"/>
      <c r="J71" s="511"/>
      <c r="K71" s="512"/>
    </row>
    <row r="72" spans="2:11" x14ac:dyDescent="0.3">
      <c r="B72" s="510" t="s">
        <v>59</v>
      </c>
      <c r="C72" s="511"/>
      <c r="D72" s="511"/>
      <c r="E72" s="511"/>
      <c r="F72" s="511"/>
      <c r="G72" s="511"/>
      <c r="H72" s="511"/>
      <c r="I72" s="511"/>
      <c r="J72" s="511"/>
      <c r="K72" s="512"/>
    </row>
    <row r="73" spans="2:11" x14ac:dyDescent="0.3">
      <c r="B73" s="510"/>
      <c r="C73" s="511"/>
      <c r="D73" s="511"/>
      <c r="E73" s="511"/>
      <c r="F73" s="511"/>
      <c r="G73" s="511"/>
      <c r="H73" s="511"/>
      <c r="I73" s="511"/>
      <c r="J73" s="511"/>
      <c r="K73" s="512"/>
    </row>
    <row r="74" spans="2:11" x14ac:dyDescent="0.3">
      <c r="B74" s="510" t="s">
        <v>20</v>
      </c>
      <c r="C74" s="511"/>
      <c r="D74" s="511"/>
      <c r="E74" s="511"/>
      <c r="F74" s="511"/>
      <c r="G74" s="511"/>
      <c r="H74" s="511"/>
      <c r="I74" s="511"/>
      <c r="J74" s="511"/>
      <c r="K74" s="512"/>
    </row>
    <row r="75" spans="2:11" x14ac:dyDescent="0.3">
      <c r="B75" s="510"/>
      <c r="C75" s="511"/>
      <c r="D75" s="511"/>
      <c r="E75" s="511"/>
      <c r="F75" s="511"/>
      <c r="G75" s="511"/>
      <c r="H75" s="511"/>
      <c r="I75" s="511"/>
      <c r="J75" s="511"/>
      <c r="K75" s="512"/>
    </row>
    <row r="76" spans="2:11" x14ac:dyDescent="0.3">
      <c r="B76" s="510" t="s">
        <v>60</v>
      </c>
      <c r="C76" s="511"/>
      <c r="D76" s="511"/>
      <c r="E76" s="511"/>
      <c r="F76" s="511"/>
      <c r="G76" s="511"/>
      <c r="H76" s="511"/>
      <c r="I76" s="511"/>
      <c r="J76" s="511"/>
      <c r="K76" s="512"/>
    </row>
    <row r="77" spans="2:11" x14ac:dyDescent="0.3">
      <c r="B77" s="510" t="s">
        <v>61</v>
      </c>
      <c r="C77" s="511"/>
      <c r="D77" s="511"/>
      <c r="E77" s="511"/>
      <c r="F77" s="511"/>
      <c r="G77" s="511"/>
      <c r="H77" s="511"/>
      <c r="I77" s="511"/>
      <c r="J77" s="511"/>
      <c r="K77" s="512"/>
    </row>
    <row r="78" spans="2:11" x14ac:dyDescent="0.3">
      <c r="B78" s="510" t="s">
        <v>62</v>
      </c>
      <c r="C78" s="511"/>
      <c r="D78" s="511"/>
      <c r="E78" s="511"/>
      <c r="F78" s="511"/>
      <c r="G78" s="511"/>
      <c r="H78" s="511"/>
      <c r="I78" s="511"/>
      <c r="J78" s="511"/>
      <c r="K78" s="512"/>
    </row>
    <row r="79" spans="2:11" x14ac:dyDescent="0.3">
      <c r="B79" s="510" t="s">
        <v>63</v>
      </c>
      <c r="C79" s="511"/>
      <c r="D79" s="511"/>
      <c r="E79" s="511"/>
      <c r="F79" s="511"/>
      <c r="G79" s="511"/>
      <c r="H79" s="511"/>
      <c r="I79" s="511"/>
      <c r="J79" s="511"/>
      <c r="K79" s="512"/>
    </row>
    <row r="80" spans="2:11" x14ac:dyDescent="0.3">
      <c r="B80" s="510"/>
      <c r="C80" s="511"/>
      <c r="D80" s="511"/>
      <c r="E80" s="511"/>
      <c r="F80" s="511"/>
      <c r="G80" s="511"/>
      <c r="H80" s="511"/>
      <c r="I80" s="511"/>
      <c r="J80" s="511"/>
      <c r="K80" s="512"/>
    </row>
    <row r="81" spans="2:11" x14ac:dyDescent="0.3">
      <c r="B81" s="510" t="s">
        <v>64</v>
      </c>
      <c r="C81" s="511"/>
      <c r="D81" s="511"/>
      <c r="E81" s="511"/>
      <c r="F81" s="511"/>
      <c r="G81" s="511"/>
      <c r="H81" s="511"/>
      <c r="I81" s="511"/>
      <c r="J81" s="511"/>
      <c r="K81" s="512"/>
    </row>
    <row r="82" spans="2:11" x14ac:dyDescent="0.3">
      <c r="B82" s="510"/>
      <c r="C82" s="511"/>
      <c r="D82" s="511"/>
      <c r="E82" s="511"/>
      <c r="F82" s="511"/>
      <c r="G82" s="511"/>
      <c r="H82" s="511"/>
      <c r="I82" s="511"/>
      <c r="J82" s="511"/>
      <c r="K82" s="512"/>
    </row>
    <row r="83" spans="2:11" x14ac:dyDescent="0.3">
      <c r="B83" s="510" t="s">
        <v>20</v>
      </c>
      <c r="C83" s="511"/>
      <c r="D83" s="511"/>
      <c r="E83" s="511"/>
      <c r="F83" s="511"/>
      <c r="G83" s="511"/>
      <c r="H83" s="511"/>
      <c r="I83" s="511"/>
      <c r="J83" s="511"/>
      <c r="K83" s="512"/>
    </row>
    <row r="84" spans="2:11" x14ac:dyDescent="0.3">
      <c r="B84" s="510"/>
      <c r="C84" s="511"/>
      <c r="D84" s="511"/>
      <c r="E84" s="511"/>
      <c r="F84" s="511"/>
      <c r="G84" s="511"/>
      <c r="H84" s="511"/>
      <c r="I84" s="511"/>
      <c r="J84" s="511"/>
      <c r="K84" s="512"/>
    </row>
    <row r="85" spans="2:11" x14ac:dyDescent="0.3">
      <c r="B85" s="510" t="s">
        <v>65</v>
      </c>
      <c r="C85" s="511"/>
      <c r="D85" s="511"/>
      <c r="E85" s="511"/>
      <c r="F85" s="511"/>
      <c r="G85" s="511"/>
      <c r="H85" s="511"/>
      <c r="I85" s="511"/>
      <c r="J85" s="511"/>
      <c r="K85" s="512"/>
    </row>
    <row r="86" spans="2:11" x14ac:dyDescent="0.3">
      <c r="B86" s="510" t="s">
        <v>66</v>
      </c>
      <c r="C86" s="511"/>
      <c r="D86" s="511"/>
      <c r="E86" s="511"/>
      <c r="F86" s="511"/>
      <c r="G86" s="511"/>
      <c r="H86" s="511"/>
      <c r="I86" s="511"/>
      <c r="J86" s="511"/>
      <c r="K86" s="512"/>
    </row>
    <row r="87" spans="2:11" x14ac:dyDescent="0.3">
      <c r="B87" s="510" t="s">
        <v>67</v>
      </c>
      <c r="C87" s="511"/>
      <c r="D87" s="511"/>
      <c r="E87" s="511"/>
      <c r="F87" s="511"/>
      <c r="G87" s="511"/>
      <c r="H87" s="511"/>
      <c r="I87" s="511"/>
      <c r="J87" s="511"/>
      <c r="K87" s="512"/>
    </row>
    <row r="88" spans="2:11" x14ac:dyDescent="0.3">
      <c r="B88" s="510" t="s">
        <v>68</v>
      </c>
      <c r="C88" s="511"/>
      <c r="D88" s="511"/>
      <c r="E88" s="511"/>
      <c r="F88" s="511"/>
      <c r="G88" s="511"/>
      <c r="H88" s="511"/>
      <c r="I88" s="511"/>
      <c r="J88" s="511"/>
      <c r="K88" s="512"/>
    </row>
    <row r="89" spans="2:11" x14ac:dyDescent="0.3">
      <c r="B89" s="510" t="s">
        <v>69</v>
      </c>
      <c r="C89" s="511"/>
      <c r="D89" s="511"/>
      <c r="E89" s="511"/>
      <c r="F89" s="511"/>
      <c r="G89" s="511"/>
      <c r="H89" s="511"/>
      <c r="I89" s="511"/>
      <c r="J89" s="511"/>
      <c r="K89" s="512"/>
    </row>
    <row r="90" spans="2:11" x14ac:dyDescent="0.3">
      <c r="B90" s="510" t="s">
        <v>70</v>
      </c>
      <c r="C90" s="511"/>
      <c r="D90" s="511"/>
      <c r="E90" s="511"/>
      <c r="F90" s="511"/>
      <c r="G90" s="511"/>
      <c r="H90" s="511"/>
      <c r="I90" s="511"/>
      <c r="J90" s="511"/>
      <c r="K90" s="512"/>
    </row>
    <row r="91" spans="2:11" x14ac:dyDescent="0.3">
      <c r="B91" s="510"/>
      <c r="C91" s="511"/>
      <c r="D91" s="511"/>
      <c r="E91" s="511"/>
      <c r="F91" s="511"/>
      <c r="G91" s="511"/>
      <c r="H91" s="511"/>
      <c r="I91" s="511"/>
      <c r="J91" s="511"/>
      <c r="K91" s="512"/>
    </row>
    <row r="92" spans="2:11" x14ac:dyDescent="0.3">
      <c r="B92" s="516" t="s">
        <v>75</v>
      </c>
      <c r="C92" s="517"/>
      <c r="D92" s="517"/>
      <c r="E92" s="517"/>
      <c r="F92" s="517"/>
      <c r="G92" s="517"/>
      <c r="H92" s="517"/>
      <c r="I92" s="517"/>
      <c r="J92" s="517"/>
      <c r="K92" s="518"/>
    </row>
    <row r="93" spans="2:11" x14ac:dyDescent="0.3">
      <c r="B93" s="510"/>
      <c r="C93" s="511"/>
      <c r="D93" s="511"/>
      <c r="E93" s="511"/>
      <c r="F93" s="511"/>
      <c r="G93" s="511"/>
      <c r="H93" s="511"/>
      <c r="I93" s="511"/>
      <c r="J93" s="511"/>
      <c r="K93" s="512"/>
    </row>
    <row r="94" spans="2:11" x14ac:dyDescent="0.3">
      <c r="B94" s="510" t="s">
        <v>71</v>
      </c>
      <c r="C94" s="511"/>
      <c r="D94" s="511"/>
      <c r="E94" s="511"/>
      <c r="F94" s="511"/>
      <c r="G94" s="511"/>
      <c r="H94" s="511"/>
      <c r="I94" s="511"/>
      <c r="J94" s="511"/>
      <c r="K94" s="512"/>
    </row>
    <row r="95" spans="2:11" x14ac:dyDescent="0.3">
      <c r="B95" s="510" t="s">
        <v>65</v>
      </c>
      <c r="C95" s="511"/>
      <c r="D95" s="511"/>
      <c r="E95" s="511"/>
      <c r="F95" s="511"/>
      <c r="G95" s="511"/>
      <c r="H95" s="511"/>
      <c r="I95" s="511"/>
      <c r="J95" s="511"/>
      <c r="K95" s="512"/>
    </row>
    <row r="96" spans="2:11" x14ac:dyDescent="0.3">
      <c r="B96" s="510" t="s">
        <v>72</v>
      </c>
      <c r="C96" s="511"/>
      <c r="D96" s="511"/>
      <c r="E96" s="511"/>
      <c r="F96" s="511"/>
      <c r="G96" s="511"/>
      <c r="H96" s="511"/>
      <c r="I96" s="511"/>
      <c r="J96" s="511"/>
      <c r="K96" s="512"/>
    </row>
    <row r="97" spans="2:11" x14ac:dyDescent="0.3">
      <c r="B97" s="510" t="s">
        <v>73</v>
      </c>
      <c r="C97" s="511"/>
      <c r="D97" s="511"/>
      <c r="E97" s="511"/>
      <c r="F97" s="511"/>
      <c r="G97" s="511"/>
      <c r="H97" s="511"/>
      <c r="I97" s="511"/>
      <c r="J97" s="511"/>
      <c r="K97" s="512"/>
    </row>
    <row r="98" spans="2:11" x14ac:dyDescent="0.3">
      <c r="B98" s="510"/>
      <c r="C98" s="511"/>
      <c r="D98" s="511"/>
      <c r="E98" s="511"/>
      <c r="F98" s="511"/>
      <c r="G98" s="511"/>
      <c r="H98" s="511"/>
      <c r="I98" s="511"/>
      <c r="J98" s="511"/>
      <c r="K98" s="512"/>
    </row>
    <row r="99" spans="2:11" ht="15" thickBot="1" x14ac:dyDescent="0.35">
      <c r="B99" s="513" t="s">
        <v>74</v>
      </c>
      <c r="C99" s="514"/>
      <c r="D99" s="514"/>
      <c r="E99" s="514"/>
      <c r="F99" s="514"/>
      <c r="G99" s="514"/>
      <c r="H99" s="514"/>
      <c r="I99" s="514"/>
      <c r="J99" s="514"/>
      <c r="K99" s="515"/>
    </row>
    <row r="100" spans="2:11" ht="15" thickBot="1" x14ac:dyDescent="0.35"/>
    <row r="101" spans="2:11" ht="16.2" thickBot="1" x14ac:dyDescent="0.35">
      <c r="B101" s="502" t="s">
        <v>76</v>
      </c>
      <c r="C101" s="503"/>
      <c r="D101" s="504" t="s">
        <v>17</v>
      </c>
      <c r="E101" s="505"/>
      <c r="F101" s="506"/>
    </row>
    <row r="102" spans="2:11" ht="15" thickBot="1" x14ac:dyDescent="0.35"/>
    <row r="103" spans="2:11" x14ac:dyDescent="0.3">
      <c r="B103" s="507" t="s">
        <v>77</v>
      </c>
      <c r="C103" s="508"/>
      <c r="D103" s="508"/>
      <c r="E103" s="508"/>
      <c r="F103" s="508"/>
      <c r="G103" s="508"/>
      <c r="H103" s="508"/>
      <c r="I103" s="508"/>
      <c r="J103" s="508"/>
      <c r="K103" s="509"/>
    </row>
    <row r="104" spans="2:11" x14ac:dyDescent="0.3">
      <c r="B104" s="496"/>
      <c r="C104" s="497"/>
      <c r="D104" s="497"/>
      <c r="E104" s="497"/>
      <c r="F104" s="497"/>
      <c r="G104" s="497"/>
      <c r="H104" s="497"/>
      <c r="I104" s="497"/>
      <c r="J104" s="497"/>
      <c r="K104" s="498"/>
    </row>
    <row r="105" spans="2:11" x14ac:dyDescent="0.3">
      <c r="B105" s="496" t="s">
        <v>99</v>
      </c>
      <c r="C105" s="497"/>
      <c r="D105" s="497"/>
      <c r="E105" s="497"/>
      <c r="F105" s="497"/>
      <c r="G105" s="497"/>
      <c r="H105" s="497"/>
      <c r="I105" s="497"/>
      <c r="J105" s="497"/>
      <c r="K105" s="498"/>
    </row>
    <row r="106" spans="2:11" x14ac:dyDescent="0.3">
      <c r="B106" s="496"/>
      <c r="C106" s="497"/>
      <c r="D106" s="497"/>
      <c r="E106" s="497"/>
      <c r="F106" s="497"/>
      <c r="G106" s="497"/>
      <c r="H106" s="497"/>
      <c r="I106" s="497"/>
      <c r="J106" s="497"/>
      <c r="K106" s="498"/>
    </row>
    <row r="107" spans="2:11" x14ac:dyDescent="0.3">
      <c r="B107" s="496" t="s">
        <v>78</v>
      </c>
      <c r="C107" s="497"/>
      <c r="D107" s="497"/>
      <c r="E107" s="497"/>
      <c r="F107" s="497"/>
      <c r="G107" s="497"/>
      <c r="H107" s="497"/>
      <c r="I107" s="497"/>
      <c r="J107" s="497"/>
      <c r="K107" s="498"/>
    </row>
    <row r="108" spans="2:11" x14ac:dyDescent="0.3">
      <c r="B108" s="496"/>
      <c r="C108" s="497"/>
      <c r="D108" s="497"/>
      <c r="E108" s="497"/>
      <c r="F108" s="497"/>
      <c r="G108" s="497"/>
      <c r="H108" s="497"/>
      <c r="I108" s="497"/>
      <c r="J108" s="497"/>
      <c r="K108" s="498"/>
    </row>
    <row r="109" spans="2:11" x14ac:dyDescent="0.3">
      <c r="B109" s="496" t="s">
        <v>79</v>
      </c>
      <c r="C109" s="497"/>
      <c r="D109" s="497"/>
      <c r="E109" s="497"/>
      <c r="F109" s="497"/>
      <c r="G109" s="497"/>
      <c r="H109" s="497"/>
      <c r="I109" s="497"/>
      <c r="J109" s="497"/>
      <c r="K109" s="498"/>
    </row>
    <row r="110" spans="2:11" x14ac:dyDescent="0.3">
      <c r="B110" s="496" t="s">
        <v>80</v>
      </c>
      <c r="C110" s="497"/>
      <c r="D110" s="497"/>
      <c r="E110" s="497"/>
      <c r="F110" s="497"/>
      <c r="G110" s="497"/>
      <c r="H110" s="497"/>
      <c r="I110" s="497"/>
      <c r="J110" s="497"/>
      <c r="K110" s="498"/>
    </row>
    <row r="111" spans="2:11" x14ac:dyDescent="0.3">
      <c r="B111" s="496" t="s">
        <v>81</v>
      </c>
      <c r="C111" s="497"/>
      <c r="D111" s="497"/>
      <c r="E111" s="497"/>
      <c r="F111" s="497"/>
      <c r="G111" s="497"/>
      <c r="H111" s="497"/>
      <c r="I111" s="497"/>
      <c r="J111" s="497"/>
      <c r="K111" s="498"/>
    </row>
    <row r="112" spans="2:11" x14ac:dyDescent="0.3">
      <c r="B112" s="496" t="s">
        <v>100</v>
      </c>
      <c r="C112" s="497"/>
      <c r="D112" s="497"/>
      <c r="E112" s="497"/>
      <c r="F112" s="497"/>
      <c r="G112" s="497"/>
      <c r="H112" s="497"/>
      <c r="I112" s="497"/>
      <c r="J112" s="497"/>
      <c r="K112" s="498"/>
    </row>
    <row r="113" spans="2:11" x14ac:dyDescent="0.3">
      <c r="B113" s="496"/>
      <c r="C113" s="497"/>
      <c r="D113" s="497"/>
      <c r="E113" s="497"/>
      <c r="F113" s="497"/>
      <c r="G113" s="497"/>
      <c r="H113" s="497"/>
      <c r="I113" s="497"/>
      <c r="J113" s="497"/>
      <c r="K113" s="498"/>
    </row>
    <row r="114" spans="2:11" x14ac:dyDescent="0.3">
      <c r="B114" s="496" t="s">
        <v>82</v>
      </c>
      <c r="C114" s="497"/>
      <c r="D114" s="497"/>
      <c r="E114" s="497"/>
      <c r="F114" s="497"/>
      <c r="G114" s="497"/>
      <c r="H114" s="497"/>
      <c r="I114" s="497"/>
      <c r="J114" s="497"/>
      <c r="K114" s="498"/>
    </row>
    <row r="115" spans="2:11" x14ac:dyDescent="0.3">
      <c r="B115" s="496"/>
      <c r="C115" s="497"/>
      <c r="D115" s="497"/>
      <c r="E115" s="497"/>
      <c r="F115" s="497"/>
      <c r="G115" s="497"/>
      <c r="H115" s="497"/>
      <c r="I115" s="497"/>
      <c r="J115" s="497"/>
      <c r="K115" s="498"/>
    </row>
    <row r="116" spans="2:11" x14ac:dyDescent="0.3">
      <c r="B116" s="496" t="s">
        <v>101</v>
      </c>
      <c r="C116" s="497"/>
      <c r="D116" s="497"/>
      <c r="E116" s="497"/>
      <c r="F116" s="497"/>
      <c r="G116" s="497"/>
      <c r="H116" s="497"/>
      <c r="I116" s="497"/>
      <c r="J116" s="497"/>
      <c r="K116" s="498"/>
    </row>
    <row r="117" spans="2:11" x14ac:dyDescent="0.3">
      <c r="B117" s="496"/>
      <c r="C117" s="497"/>
      <c r="D117" s="497"/>
      <c r="E117" s="497"/>
      <c r="F117" s="497"/>
      <c r="G117" s="497"/>
      <c r="H117" s="497"/>
      <c r="I117" s="497"/>
      <c r="J117" s="497"/>
      <c r="K117" s="498"/>
    </row>
    <row r="118" spans="2:11" x14ac:dyDescent="0.3">
      <c r="B118" s="496" t="s">
        <v>78</v>
      </c>
      <c r="C118" s="497"/>
      <c r="D118" s="497"/>
      <c r="E118" s="497"/>
      <c r="F118" s="497"/>
      <c r="G118" s="497"/>
      <c r="H118" s="497"/>
      <c r="I118" s="497"/>
      <c r="J118" s="497"/>
      <c r="K118" s="498"/>
    </row>
    <row r="119" spans="2:11" x14ac:dyDescent="0.3">
      <c r="B119" s="496"/>
      <c r="C119" s="497"/>
      <c r="D119" s="497"/>
      <c r="E119" s="497"/>
      <c r="F119" s="497"/>
      <c r="G119" s="497"/>
      <c r="H119" s="497"/>
      <c r="I119" s="497"/>
      <c r="J119" s="497"/>
      <c r="K119" s="498"/>
    </row>
    <row r="120" spans="2:11" x14ac:dyDescent="0.3">
      <c r="B120" s="496" t="s">
        <v>83</v>
      </c>
      <c r="C120" s="497"/>
      <c r="D120" s="497"/>
      <c r="E120" s="497"/>
      <c r="F120" s="497"/>
      <c r="G120" s="497"/>
      <c r="H120" s="497"/>
      <c r="I120" s="497"/>
      <c r="J120" s="497"/>
      <c r="K120" s="498"/>
    </row>
    <row r="121" spans="2:11" x14ac:dyDescent="0.3">
      <c r="B121" s="496" t="s">
        <v>84</v>
      </c>
      <c r="C121" s="497"/>
      <c r="D121" s="497"/>
      <c r="E121" s="497"/>
      <c r="F121" s="497"/>
      <c r="G121" s="497"/>
      <c r="H121" s="497"/>
      <c r="I121" s="497"/>
      <c r="J121" s="497"/>
      <c r="K121" s="498"/>
    </row>
    <row r="122" spans="2:11" x14ac:dyDescent="0.3">
      <c r="B122" s="496" t="s">
        <v>102</v>
      </c>
      <c r="C122" s="497"/>
      <c r="D122" s="497"/>
      <c r="E122" s="497"/>
      <c r="F122" s="497"/>
      <c r="G122" s="497"/>
      <c r="H122" s="497"/>
      <c r="I122" s="497"/>
      <c r="J122" s="497"/>
      <c r="K122" s="498"/>
    </row>
    <row r="123" spans="2:11" x14ac:dyDescent="0.3">
      <c r="B123" s="496" t="s">
        <v>103</v>
      </c>
      <c r="C123" s="497"/>
      <c r="D123" s="497"/>
      <c r="E123" s="497"/>
      <c r="F123" s="497"/>
      <c r="G123" s="497"/>
      <c r="H123" s="497"/>
      <c r="I123" s="497"/>
      <c r="J123" s="497"/>
      <c r="K123" s="498"/>
    </row>
    <row r="124" spans="2:11" x14ac:dyDescent="0.3">
      <c r="B124" s="496" t="s">
        <v>85</v>
      </c>
      <c r="C124" s="497"/>
      <c r="D124" s="497"/>
      <c r="E124" s="497"/>
      <c r="F124" s="497"/>
      <c r="G124" s="497"/>
      <c r="H124" s="497"/>
      <c r="I124" s="497"/>
      <c r="J124" s="497"/>
      <c r="K124" s="498"/>
    </row>
    <row r="125" spans="2:11" x14ac:dyDescent="0.3">
      <c r="B125" s="496" t="s">
        <v>86</v>
      </c>
      <c r="C125" s="497"/>
      <c r="D125" s="497"/>
      <c r="E125" s="497"/>
      <c r="F125" s="497"/>
      <c r="G125" s="497"/>
      <c r="H125" s="497"/>
      <c r="I125" s="497"/>
      <c r="J125" s="497"/>
      <c r="K125" s="498"/>
    </row>
    <row r="126" spans="2:11" x14ac:dyDescent="0.3">
      <c r="B126" s="496"/>
      <c r="C126" s="497"/>
      <c r="D126" s="497"/>
      <c r="E126" s="497"/>
      <c r="F126" s="497"/>
      <c r="G126" s="497"/>
      <c r="H126" s="497"/>
      <c r="I126" s="497"/>
      <c r="J126" s="497"/>
      <c r="K126" s="498"/>
    </row>
    <row r="127" spans="2:11" x14ac:dyDescent="0.3">
      <c r="B127" s="496" t="s">
        <v>87</v>
      </c>
      <c r="C127" s="497"/>
      <c r="D127" s="497"/>
      <c r="E127" s="497"/>
      <c r="F127" s="497"/>
      <c r="G127" s="497"/>
      <c r="H127" s="497"/>
      <c r="I127" s="497"/>
      <c r="J127" s="497"/>
      <c r="K127" s="498"/>
    </row>
    <row r="128" spans="2:11" x14ac:dyDescent="0.3">
      <c r="B128" s="496"/>
      <c r="C128" s="497"/>
      <c r="D128" s="497"/>
      <c r="E128" s="497"/>
      <c r="F128" s="497"/>
      <c r="G128" s="497"/>
      <c r="H128" s="497"/>
      <c r="I128" s="497"/>
      <c r="J128" s="497"/>
      <c r="K128" s="498"/>
    </row>
    <row r="129" spans="2:11" x14ac:dyDescent="0.3">
      <c r="B129" s="496" t="s">
        <v>88</v>
      </c>
      <c r="C129" s="497"/>
      <c r="D129" s="497"/>
      <c r="E129" s="497"/>
      <c r="F129" s="497"/>
      <c r="G129" s="497"/>
      <c r="H129" s="497"/>
      <c r="I129" s="497"/>
      <c r="J129" s="497"/>
      <c r="K129" s="498"/>
    </row>
    <row r="130" spans="2:11" x14ac:dyDescent="0.3">
      <c r="B130" s="496"/>
      <c r="C130" s="497"/>
      <c r="D130" s="497"/>
      <c r="E130" s="497"/>
      <c r="F130" s="497"/>
      <c r="G130" s="497"/>
      <c r="H130" s="497"/>
      <c r="I130" s="497"/>
      <c r="J130" s="497"/>
      <c r="K130" s="498"/>
    </row>
    <row r="131" spans="2:11" x14ac:dyDescent="0.3">
      <c r="B131" s="496" t="s">
        <v>104</v>
      </c>
      <c r="C131" s="497"/>
      <c r="D131" s="497"/>
      <c r="E131" s="497"/>
      <c r="F131" s="497"/>
      <c r="G131" s="497"/>
      <c r="H131" s="497"/>
      <c r="I131" s="497"/>
      <c r="J131" s="497"/>
      <c r="K131" s="498"/>
    </row>
    <row r="132" spans="2:11" x14ac:dyDescent="0.3">
      <c r="B132" s="496"/>
      <c r="C132" s="497"/>
      <c r="D132" s="497"/>
      <c r="E132" s="497"/>
      <c r="F132" s="497"/>
      <c r="G132" s="497"/>
      <c r="H132" s="497"/>
      <c r="I132" s="497"/>
      <c r="J132" s="497"/>
      <c r="K132" s="498"/>
    </row>
    <row r="133" spans="2:11" x14ac:dyDescent="0.3">
      <c r="B133" s="496" t="s">
        <v>78</v>
      </c>
      <c r="C133" s="497"/>
      <c r="D133" s="497"/>
      <c r="E133" s="497"/>
      <c r="F133" s="497"/>
      <c r="G133" s="497"/>
      <c r="H133" s="497"/>
      <c r="I133" s="497"/>
      <c r="J133" s="497"/>
      <c r="K133" s="498"/>
    </row>
    <row r="134" spans="2:11" x14ac:dyDescent="0.3">
      <c r="B134" s="496"/>
      <c r="C134" s="497"/>
      <c r="D134" s="497"/>
      <c r="E134" s="497"/>
      <c r="F134" s="497"/>
      <c r="G134" s="497"/>
      <c r="H134" s="497"/>
      <c r="I134" s="497"/>
      <c r="J134" s="497"/>
      <c r="K134" s="498"/>
    </row>
    <row r="135" spans="2:11" x14ac:dyDescent="0.3">
      <c r="B135" s="496" t="s">
        <v>89</v>
      </c>
      <c r="C135" s="497"/>
      <c r="D135" s="497"/>
      <c r="E135" s="497"/>
      <c r="F135" s="497"/>
      <c r="G135" s="497"/>
      <c r="H135" s="497"/>
      <c r="I135" s="497"/>
      <c r="J135" s="497"/>
      <c r="K135" s="498"/>
    </row>
    <row r="136" spans="2:11" x14ac:dyDescent="0.3">
      <c r="B136" s="496" t="s">
        <v>90</v>
      </c>
      <c r="C136" s="497"/>
      <c r="D136" s="497"/>
      <c r="E136" s="497"/>
      <c r="F136" s="497"/>
      <c r="G136" s="497"/>
      <c r="H136" s="497"/>
      <c r="I136" s="497"/>
      <c r="J136" s="497"/>
      <c r="K136" s="498"/>
    </row>
    <row r="137" spans="2:11" x14ac:dyDescent="0.3">
      <c r="B137" s="496" t="s">
        <v>91</v>
      </c>
      <c r="C137" s="497"/>
      <c r="D137" s="497"/>
      <c r="E137" s="497"/>
      <c r="F137" s="497"/>
      <c r="G137" s="497"/>
      <c r="H137" s="497"/>
      <c r="I137" s="497"/>
      <c r="J137" s="497"/>
      <c r="K137" s="498"/>
    </row>
    <row r="138" spans="2:11" x14ac:dyDescent="0.3">
      <c r="B138" s="496" t="s">
        <v>105</v>
      </c>
      <c r="C138" s="497"/>
      <c r="D138" s="497"/>
      <c r="E138" s="497"/>
      <c r="F138" s="497"/>
      <c r="G138" s="497"/>
      <c r="H138" s="497"/>
      <c r="I138" s="497"/>
      <c r="J138" s="497"/>
      <c r="K138" s="498"/>
    </row>
    <row r="139" spans="2:11" x14ac:dyDescent="0.3">
      <c r="B139" s="496" t="s">
        <v>106</v>
      </c>
      <c r="C139" s="497"/>
      <c r="D139" s="497"/>
      <c r="E139" s="497"/>
      <c r="F139" s="497"/>
      <c r="G139" s="497"/>
      <c r="H139" s="497"/>
      <c r="I139" s="497"/>
      <c r="J139" s="497"/>
      <c r="K139" s="498"/>
    </row>
    <row r="140" spans="2:11" x14ac:dyDescent="0.3">
      <c r="B140" s="496" t="s">
        <v>92</v>
      </c>
      <c r="C140" s="497"/>
      <c r="D140" s="497"/>
      <c r="E140" s="497"/>
      <c r="F140" s="497"/>
      <c r="G140" s="497"/>
      <c r="H140" s="497"/>
      <c r="I140" s="497"/>
      <c r="J140" s="497"/>
      <c r="K140" s="498"/>
    </row>
    <row r="141" spans="2:11" x14ac:dyDescent="0.3">
      <c r="B141" s="496" t="s">
        <v>93</v>
      </c>
      <c r="C141" s="497"/>
      <c r="D141" s="497"/>
      <c r="E141" s="497"/>
      <c r="F141" s="497"/>
      <c r="G141" s="497"/>
      <c r="H141" s="497"/>
      <c r="I141" s="497"/>
      <c r="J141" s="497"/>
      <c r="K141" s="498"/>
    </row>
    <row r="142" spans="2:11" x14ac:dyDescent="0.3">
      <c r="B142" s="496"/>
      <c r="C142" s="497"/>
      <c r="D142" s="497"/>
      <c r="E142" s="497"/>
      <c r="F142" s="497"/>
      <c r="G142" s="497"/>
      <c r="H142" s="497"/>
      <c r="I142" s="497"/>
      <c r="J142" s="497"/>
      <c r="K142" s="498"/>
    </row>
    <row r="143" spans="2:11" x14ac:dyDescent="0.3">
      <c r="B143" s="496" t="s">
        <v>94</v>
      </c>
      <c r="C143" s="497"/>
      <c r="D143" s="497"/>
      <c r="E143" s="497"/>
      <c r="F143" s="497"/>
      <c r="G143" s="497"/>
      <c r="H143" s="497"/>
      <c r="I143" s="497"/>
      <c r="J143" s="497"/>
      <c r="K143" s="498"/>
    </row>
    <row r="144" spans="2:11" x14ac:dyDescent="0.3">
      <c r="B144" s="496"/>
      <c r="C144" s="497"/>
      <c r="D144" s="497"/>
      <c r="E144" s="497"/>
      <c r="F144" s="497"/>
      <c r="G144" s="497"/>
      <c r="H144" s="497"/>
      <c r="I144" s="497"/>
      <c r="J144" s="497"/>
      <c r="K144" s="498"/>
    </row>
    <row r="145" spans="2:11" x14ac:dyDescent="0.3">
      <c r="B145" s="496" t="s">
        <v>107</v>
      </c>
      <c r="C145" s="497"/>
      <c r="D145" s="497"/>
      <c r="E145" s="497"/>
      <c r="F145" s="497"/>
      <c r="G145" s="497"/>
      <c r="H145" s="497"/>
      <c r="I145" s="497"/>
      <c r="J145" s="497"/>
      <c r="K145" s="498"/>
    </row>
    <row r="146" spans="2:11" x14ac:dyDescent="0.3">
      <c r="B146" s="496"/>
      <c r="C146" s="497"/>
      <c r="D146" s="497"/>
      <c r="E146" s="497"/>
      <c r="F146" s="497"/>
      <c r="G146" s="497"/>
      <c r="H146" s="497"/>
      <c r="I146" s="497"/>
      <c r="J146" s="497"/>
      <c r="K146" s="498"/>
    </row>
    <row r="147" spans="2:11" x14ac:dyDescent="0.3">
      <c r="B147" s="496" t="s">
        <v>78</v>
      </c>
      <c r="C147" s="497"/>
      <c r="D147" s="497"/>
      <c r="E147" s="497"/>
      <c r="F147" s="497"/>
      <c r="G147" s="497"/>
      <c r="H147" s="497"/>
      <c r="I147" s="497"/>
      <c r="J147" s="497"/>
      <c r="K147" s="498"/>
    </row>
    <row r="148" spans="2:11" x14ac:dyDescent="0.3">
      <c r="B148" s="496"/>
      <c r="C148" s="497"/>
      <c r="D148" s="497"/>
      <c r="E148" s="497"/>
      <c r="F148" s="497"/>
      <c r="G148" s="497"/>
      <c r="H148" s="497"/>
      <c r="I148" s="497"/>
      <c r="J148" s="497"/>
      <c r="K148" s="498"/>
    </row>
    <row r="149" spans="2:11" x14ac:dyDescent="0.3">
      <c r="B149" s="496" t="s">
        <v>95</v>
      </c>
      <c r="C149" s="497"/>
      <c r="D149" s="497"/>
      <c r="E149" s="497"/>
      <c r="F149" s="497"/>
      <c r="G149" s="497"/>
      <c r="H149" s="497"/>
      <c r="I149" s="497"/>
      <c r="J149" s="497"/>
      <c r="K149" s="498"/>
    </row>
    <row r="150" spans="2:11" x14ac:dyDescent="0.3">
      <c r="B150" s="496" t="s">
        <v>96</v>
      </c>
      <c r="C150" s="497"/>
      <c r="D150" s="497"/>
      <c r="E150" s="497"/>
      <c r="F150" s="497"/>
      <c r="G150" s="497"/>
      <c r="H150" s="497"/>
      <c r="I150" s="497"/>
      <c r="J150" s="497"/>
      <c r="K150" s="498"/>
    </row>
    <row r="151" spans="2:11" x14ac:dyDescent="0.3">
      <c r="B151" s="496" t="s">
        <v>97</v>
      </c>
      <c r="C151" s="497"/>
      <c r="D151" s="497"/>
      <c r="E151" s="497"/>
      <c r="F151" s="497"/>
      <c r="G151" s="497"/>
      <c r="H151" s="497"/>
      <c r="I151" s="497"/>
      <c r="J151" s="497"/>
      <c r="K151" s="498"/>
    </row>
    <row r="152" spans="2:11" x14ac:dyDescent="0.3">
      <c r="B152" s="496" t="s">
        <v>98</v>
      </c>
      <c r="C152" s="497"/>
      <c r="D152" s="497"/>
      <c r="E152" s="497"/>
      <c r="F152" s="497"/>
      <c r="G152" s="497"/>
      <c r="H152" s="497"/>
      <c r="I152" s="497"/>
      <c r="J152" s="497"/>
      <c r="K152" s="498"/>
    </row>
    <row r="153" spans="2:11" x14ac:dyDescent="0.3">
      <c r="B153" s="496" t="s">
        <v>108</v>
      </c>
      <c r="C153" s="497"/>
      <c r="D153" s="497"/>
      <c r="E153" s="497"/>
      <c r="F153" s="497"/>
      <c r="G153" s="497"/>
      <c r="H153" s="497"/>
      <c r="I153" s="497"/>
      <c r="J153" s="497"/>
      <c r="K153" s="498"/>
    </row>
    <row r="154" spans="2:11" x14ac:dyDescent="0.3">
      <c r="B154" s="496" t="s">
        <v>109</v>
      </c>
      <c r="C154" s="497"/>
      <c r="D154" s="497"/>
      <c r="E154" s="497"/>
      <c r="F154" s="497"/>
      <c r="G154" s="497"/>
      <c r="H154" s="497"/>
      <c r="I154" s="497"/>
      <c r="J154" s="497"/>
      <c r="K154" s="498"/>
    </row>
    <row r="155" spans="2:11" ht="15" thickBot="1" x14ac:dyDescent="0.35">
      <c r="B155" s="499" t="s">
        <v>110</v>
      </c>
      <c r="C155" s="500"/>
      <c r="D155" s="500"/>
      <c r="E155" s="500"/>
      <c r="F155" s="500"/>
      <c r="G155" s="500"/>
      <c r="H155" s="500"/>
      <c r="I155" s="500"/>
      <c r="J155" s="500"/>
      <c r="K155" s="501"/>
    </row>
    <row r="156" spans="2:11" ht="15" thickBot="1" x14ac:dyDescent="0.35"/>
    <row r="157" spans="2:11" ht="16.2" thickBot="1" x14ac:dyDescent="0.35">
      <c r="B157" s="502" t="s">
        <v>111</v>
      </c>
      <c r="C157" s="503"/>
      <c r="D157" s="504" t="s">
        <v>17</v>
      </c>
      <c r="E157" s="505"/>
      <c r="F157" s="506"/>
    </row>
    <row r="158" spans="2:11" ht="15" thickBot="1" x14ac:dyDescent="0.35"/>
    <row r="159" spans="2:11" x14ac:dyDescent="0.3">
      <c r="B159" s="507" t="s">
        <v>112</v>
      </c>
      <c r="C159" s="508"/>
      <c r="D159" s="508"/>
      <c r="E159" s="508"/>
      <c r="F159" s="508"/>
      <c r="G159" s="508"/>
      <c r="H159" s="508"/>
      <c r="I159" s="508"/>
      <c r="J159" s="508"/>
      <c r="K159" s="509"/>
    </row>
    <row r="160" spans="2:11" x14ac:dyDescent="0.3">
      <c r="B160" s="496"/>
      <c r="C160" s="497"/>
      <c r="D160" s="497"/>
      <c r="E160" s="497"/>
      <c r="F160" s="497"/>
      <c r="G160" s="497"/>
      <c r="H160" s="497"/>
      <c r="I160" s="497"/>
      <c r="J160" s="497"/>
      <c r="K160" s="498"/>
    </row>
    <row r="161" spans="2:11" x14ac:dyDescent="0.3">
      <c r="B161" s="496" t="s">
        <v>20</v>
      </c>
      <c r="C161" s="497"/>
      <c r="D161" s="497"/>
      <c r="E161" s="497"/>
      <c r="F161" s="497"/>
      <c r="G161" s="497"/>
      <c r="H161" s="497"/>
      <c r="I161" s="497"/>
      <c r="J161" s="497"/>
      <c r="K161" s="498"/>
    </row>
    <row r="162" spans="2:11" x14ac:dyDescent="0.3">
      <c r="B162" s="496"/>
      <c r="C162" s="497"/>
      <c r="D162" s="497"/>
      <c r="E162" s="497"/>
      <c r="F162" s="497"/>
      <c r="G162" s="497"/>
      <c r="H162" s="497"/>
      <c r="I162" s="497"/>
      <c r="J162" s="497"/>
      <c r="K162" s="498"/>
    </row>
    <row r="163" spans="2:11" x14ac:dyDescent="0.3">
      <c r="B163" s="496" t="s">
        <v>113</v>
      </c>
      <c r="C163" s="497"/>
      <c r="D163" s="497"/>
      <c r="E163" s="497"/>
      <c r="F163" s="497"/>
      <c r="G163" s="497"/>
      <c r="H163" s="497"/>
      <c r="I163" s="497"/>
      <c r="J163" s="497"/>
      <c r="K163" s="498"/>
    </row>
    <row r="164" spans="2:11" x14ac:dyDescent="0.3">
      <c r="B164" s="496" t="s">
        <v>114</v>
      </c>
      <c r="C164" s="497"/>
      <c r="D164" s="497"/>
      <c r="E164" s="497"/>
      <c r="F164" s="497"/>
      <c r="G164" s="497"/>
      <c r="H164" s="497"/>
      <c r="I164" s="497"/>
      <c r="J164" s="497"/>
      <c r="K164" s="498"/>
    </row>
    <row r="165" spans="2:11" x14ac:dyDescent="0.3">
      <c r="B165" s="496" t="s">
        <v>115</v>
      </c>
      <c r="C165" s="497"/>
      <c r="D165" s="497"/>
      <c r="E165" s="497"/>
      <c r="F165" s="497"/>
      <c r="G165" s="497"/>
      <c r="H165" s="497"/>
      <c r="I165" s="497"/>
      <c r="J165" s="497"/>
      <c r="K165" s="498"/>
    </row>
    <row r="166" spans="2:11" x14ac:dyDescent="0.3">
      <c r="B166" s="496"/>
      <c r="C166" s="497"/>
      <c r="D166" s="497"/>
      <c r="E166" s="497"/>
      <c r="F166" s="497"/>
      <c r="G166" s="497"/>
      <c r="H166" s="497"/>
      <c r="I166" s="497"/>
      <c r="J166" s="497"/>
      <c r="K166" s="498"/>
    </row>
    <row r="167" spans="2:11" x14ac:dyDescent="0.3">
      <c r="B167" s="496" t="s">
        <v>116</v>
      </c>
      <c r="C167" s="497"/>
      <c r="D167" s="497"/>
      <c r="E167" s="497"/>
      <c r="F167" s="497"/>
      <c r="G167" s="497"/>
      <c r="H167" s="497"/>
      <c r="I167" s="497"/>
      <c r="J167" s="497"/>
      <c r="K167" s="498"/>
    </row>
    <row r="168" spans="2:11" x14ac:dyDescent="0.3">
      <c r="B168" s="496"/>
      <c r="C168" s="497"/>
      <c r="D168" s="497"/>
      <c r="E168" s="497"/>
      <c r="F168" s="497"/>
      <c r="G168" s="497"/>
      <c r="H168" s="497"/>
      <c r="I168" s="497"/>
      <c r="J168" s="497"/>
      <c r="K168" s="498"/>
    </row>
    <row r="169" spans="2:11" x14ac:dyDescent="0.3">
      <c r="B169" s="496" t="s">
        <v>20</v>
      </c>
      <c r="C169" s="497"/>
      <c r="D169" s="497"/>
      <c r="E169" s="497"/>
      <c r="F169" s="497"/>
      <c r="G169" s="497"/>
      <c r="H169" s="497"/>
      <c r="I169" s="497"/>
      <c r="J169" s="497"/>
      <c r="K169" s="498"/>
    </row>
    <row r="170" spans="2:11" x14ac:dyDescent="0.3">
      <c r="B170" s="496"/>
      <c r="C170" s="497"/>
      <c r="D170" s="497"/>
      <c r="E170" s="497"/>
      <c r="F170" s="497"/>
      <c r="G170" s="497"/>
      <c r="H170" s="497"/>
      <c r="I170" s="497"/>
      <c r="J170" s="497"/>
      <c r="K170" s="498"/>
    </row>
    <row r="171" spans="2:11" x14ac:dyDescent="0.3">
      <c r="B171" s="496" t="s">
        <v>117</v>
      </c>
      <c r="C171" s="497"/>
      <c r="D171" s="497"/>
      <c r="E171" s="497"/>
      <c r="F171" s="497"/>
      <c r="G171" s="497"/>
      <c r="H171" s="497"/>
      <c r="I171" s="497"/>
      <c r="J171" s="497"/>
      <c r="K171" s="498"/>
    </row>
    <row r="172" spans="2:11" x14ac:dyDescent="0.3">
      <c r="B172" s="496" t="s">
        <v>118</v>
      </c>
      <c r="C172" s="497"/>
      <c r="D172" s="497"/>
      <c r="E172" s="497"/>
      <c r="F172" s="497"/>
      <c r="G172" s="497"/>
      <c r="H172" s="497"/>
      <c r="I172" s="497"/>
      <c r="J172" s="497"/>
      <c r="K172" s="498"/>
    </row>
    <row r="173" spans="2:11" x14ac:dyDescent="0.3">
      <c r="B173" s="496" t="s">
        <v>119</v>
      </c>
      <c r="C173" s="497"/>
      <c r="D173" s="497"/>
      <c r="E173" s="497"/>
      <c r="F173" s="497"/>
      <c r="G173" s="497"/>
      <c r="H173" s="497"/>
      <c r="I173" s="497"/>
      <c r="J173" s="497"/>
      <c r="K173" s="498"/>
    </row>
    <row r="174" spans="2:11" x14ac:dyDescent="0.3">
      <c r="B174" s="496" t="s">
        <v>120</v>
      </c>
      <c r="C174" s="497"/>
      <c r="D174" s="497"/>
      <c r="E174" s="497"/>
      <c r="F174" s="497"/>
      <c r="G174" s="497"/>
      <c r="H174" s="497"/>
      <c r="I174" s="497"/>
      <c r="J174" s="497"/>
      <c r="K174" s="498"/>
    </row>
    <row r="175" spans="2:11" x14ac:dyDescent="0.3">
      <c r="B175" s="496" t="s">
        <v>121</v>
      </c>
      <c r="C175" s="497"/>
      <c r="D175" s="497"/>
      <c r="E175" s="497"/>
      <c r="F175" s="497"/>
      <c r="G175" s="497"/>
      <c r="H175" s="497"/>
      <c r="I175" s="497"/>
      <c r="J175" s="497"/>
      <c r="K175" s="498"/>
    </row>
    <row r="176" spans="2:11" x14ac:dyDescent="0.3">
      <c r="B176" s="496" t="s">
        <v>122</v>
      </c>
      <c r="C176" s="497"/>
      <c r="D176" s="497"/>
      <c r="E176" s="497"/>
      <c r="F176" s="497"/>
      <c r="G176" s="497"/>
      <c r="H176" s="497"/>
      <c r="I176" s="497"/>
      <c r="J176" s="497"/>
      <c r="K176" s="498"/>
    </row>
    <row r="177" spans="2:11" x14ac:dyDescent="0.3">
      <c r="B177" s="496"/>
      <c r="C177" s="497"/>
      <c r="D177" s="497"/>
      <c r="E177" s="497"/>
      <c r="F177" s="497"/>
      <c r="G177" s="497"/>
      <c r="H177" s="497"/>
      <c r="I177" s="497"/>
      <c r="J177" s="497"/>
      <c r="K177" s="498"/>
    </row>
    <row r="178" spans="2:11" x14ac:dyDescent="0.3">
      <c r="B178" s="496" t="s">
        <v>123</v>
      </c>
      <c r="C178" s="497"/>
      <c r="D178" s="497"/>
      <c r="E178" s="497"/>
      <c r="F178" s="497"/>
      <c r="G178" s="497"/>
      <c r="H178" s="497"/>
      <c r="I178" s="497"/>
      <c r="J178" s="497"/>
      <c r="K178" s="498"/>
    </row>
    <row r="179" spans="2:11" x14ac:dyDescent="0.3">
      <c r="B179" s="496"/>
      <c r="C179" s="497"/>
      <c r="D179" s="497"/>
      <c r="E179" s="497"/>
      <c r="F179" s="497"/>
      <c r="G179" s="497"/>
      <c r="H179" s="497"/>
      <c r="I179" s="497"/>
      <c r="J179" s="497"/>
      <c r="K179" s="498"/>
    </row>
    <row r="180" spans="2:11" x14ac:dyDescent="0.3">
      <c r="B180" s="496" t="s">
        <v>20</v>
      </c>
      <c r="C180" s="497"/>
      <c r="D180" s="497"/>
      <c r="E180" s="497"/>
      <c r="F180" s="497"/>
      <c r="G180" s="497"/>
      <c r="H180" s="497"/>
      <c r="I180" s="497"/>
      <c r="J180" s="497"/>
      <c r="K180" s="498"/>
    </row>
    <row r="181" spans="2:11" x14ac:dyDescent="0.3">
      <c r="B181" s="496"/>
      <c r="C181" s="497"/>
      <c r="D181" s="497"/>
      <c r="E181" s="497"/>
      <c r="F181" s="497"/>
      <c r="G181" s="497"/>
      <c r="H181" s="497"/>
      <c r="I181" s="497"/>
      <c r="J181" s="497"/>
      <c r="K181" s="498"/>
    </row>
    <row r="182" spans="2:11" x14ac:dyDescent="0.3">
      <c r="B182" s="496" t="s">
        <v>124</v>
      </c>
      <c r="C182" s="497"/>
      <c r="D182" s="497"/>
      <c r="E182" s="497"/>
      <c r="F182" s="497"/>
      <c r="G182" s="497"/>
      <c r="H182" s="497"/>
      <c r="I182" s="497"/>
      <c r="J182" s="497"/>
      <c r="K182" s="498"/>
    </row>
    <row r="183" spans="2:11" x14ac:dyDescent="0.3">
      <c r="B183" s="496" t="s">
        <v>125</v>
      </c>
      <c r="C183" s="497"/>
      <c r="D183" s="497"/>
      <c r="E183" s="497"/>
      <c r="F183" s="497"/>
      <c r="G183" s="497"/>
      <c r="H183" s="497"/>
      <c r="I183" s="497"/>
      <c r="J183" s="497"/>
      <c r="K183" s="498"/>
    </row>
    <row r="184" spans="2:11" x14ac:dyDescent="0.3">
      <c r="B184" s="496" t="s">
        <v>126</v>
      </c>
      <c r="C184" s="497"/>
      <c r="D184" s="497"/>
      <c r="E184" s="497"/>
      <c r="F184" s="497"/>
      <c r="G184" s="497"/>
      <c r="H184" s="497"/>
      <c r="I184" s="497"/>
      <c r="J184" s="497"/>
      <c r="K184" s="498"/>
    </row>
    <row r="185" spans="2:11" ht="15" thickBot="1" x14ac:dyDescent="0.35">
      <c r="B185" s="1" t="s">
        <v>127</v>
      </c>
      <c r="C185" s="2"/>
      <c r="D185" s="2"/>
      <c r="E185" s="2"/>
      <c r="F185" s="2"/>
      <c r="G185" s="2"/>
      <c r="H185" s="2"/>
      <c r="I185" s="2"/>
      <c r="J185" s="2"/>
      <c r="K185" s="3"/>
    </row>
    <row r="186" spans="2:11" ht="15" thickBot="1" x14ac:dyDescent="0.35"/>
    <row r="187" spans="2:11" ht="16.2" thickBot="1" x14ac:dyDescent="0.35">
      <c r="B187" s="502" t="s">
        <v>131</v>
      </c>
      <c r="C187" s="503"/>
      <c r="D187" s="504" t="s">
        <v>17</v>
      </c>
      <c r="E187" s="505"/>
      <c r="F187" s="506"/>
    </row>
    <row r="188" spans="2:11" ht="15" thickBot="1" x14ac:dyDescent="0.35"/>
    <row r="189" spans="2:11" x14ac:dyDescent="0.3">
      <c r="B189" s="507" t="s">
        <v>128</v>
      </c>
      <c r="C189" s="508"/>
      <c r="D189" s="508"/>
      <c r="E189" s="508"/>
      <c r="F189" s="508"/>
      <c r="G189" s="508"/>
      <c r="H189" s="508"/>
      <c r="I189" s="508"/>
      <c r="J189" s="508"/>
      <c r="K189" s="509"/>
    </row>
    <row r="190" spans="2:11" x14ac:dyDescent="0.3">
      <c r="B190" s="496"/>
      <c r="C190" s="497"/>
      <c r="D190" s="497"/>
      <c r="E190" s="497"/>
      <c r="F190" s="497"/>
      <c r="G190" s="497"/>
      <c r="H190" s="497"/>
      <c r="I190" s="497"/>
      <c r="J190" s="497"/>
      <c r="K190" s="498"/>
    </row>
    <row r="191" spans="2:11" x14ac:dyDescent="0.3">
      <c r="B191" s="496" t="s">
        <v>129</v>
      </c>
      <c r="C191" s="497"/>
      <c r="D191" s="497"/>
      <c r="E191" s="497"/>
      <c r="F191" s="497"/>
      <c r="G191" s="497"/>
      <c r="H191" s="497"/>
      <c r="I191" s="497"/>
      <c r="J191" s="497"/>
      <c r="K191" s="498"/>
    </row>
    <row r="192" spans="2:11" x14ac:dyDescent="0.3">
      <c r="B192" s="496"/>
      <c r="C192" s="497"/>
      <c r="D192" s="497"/>
      <c r="E192" s="497"/>
      <c r="F192" s="497"/>
      <c r="G192" s="497"/>
      <c r="H192" s="497"/>
      <c r="I192" s="497"/>
      <c r="J192" s="497"/>
      <c r="K192" s="498"/>
    </row>
    <row r="193" spans="2:11" x14ac:dyDescent="0.3">
      <c r="B193" s="496" t="s">
        <v>20</v>
      </c>
      <c r="C193" s="497"/>
      <c r="D193" s="497"/>
      <c r="E193" s="497"/>
      <c r="F193" s="497"/>
      <c r="G193" s="497"/>
      <c r="H193" s="497"/>
      <c r="I193" s="497"/>
      <c r="J193" s="497"/>
      <c r="K193" s="498"/>
    </row>
    <row r="194" spans="2:11" x14ac:dyDescent="0.3">
      <c r="B194" s="496"/>
      <c r="C194" s="497"/>
      <c r="D194" s="497"/>
      <c r="E194" s="497"/>
      <c r="F194" s="497"/>
      <c r="G194" s="497"/>
      <c r="H194" s="497"/>
      <c r="I194" s="497"/>
      <c r="J194" s="497"/>
      <c r="K194" s="498"/>
    </row>
    <row r="195" spans="2:11" ht="15" thickBot="1" x14ac:dyDescent="0.35">
      <c r="B195" s="499" t="s">
        <v>130</v>
      </c>
      <c r="C195" s="500"/>
      <c r="D195" s="500"/>
      <c r="E195" s="500"/>
      <c r="F195" s="500"/>
      <c r="G195" s="500"/>
      <c r="H195" s="500"/>
      <c r="I195" s="500"/>
      <c r="J195" s="500"/>
      <c r="K195" s="501"/>
    </row>
  </sheetData>
  <mergeCells count="187">
    <mergeCell ref="B5:K5"/>
    <mergeCell ref="B6:K6"/>
    <mergeCell ref="B7:K7"/>
    <mergeCell ref="B8:K8"/>
    <mergeCell ref="B9:K9"/>
    <mergeCell ref="B10:K10"/>
    <mergeCell ref="B11:K11"/>
    <mergeCell ref="B12:K12"/>
    <mergeCell ref="B13:K13"/>
    <mergeCell ref="B33:K33"/>
    <mergeCell ref="B34:K34"/>
    <mergeCell ref="B35:K35"/>
    <mergeCell ref="B36:K36"/>
    <mergeCell ref="B37:K37"/>
    <mergeCell ref="B38:K38"/>
    <mergeCell ref="B26:K26"/>
    <mergeCell ref="B3:C3"/>
    <mergeCell ref="D3:F3"/>
    <mergeCell ref="B30:K30"/>
    <mergeCell ref="B31:K31"/>
    <mergeCell ref="B32:K32"/>
    <mergeCell ref="B20:K20"/>
    <mergeCell ref="B21:K21"/>
    <mergeCell ref="B22:K22"/>
    <mergeCell ref="B23:K23"/>
    <mergeCell ref="B24:K24"/>
    <mergeCell ref="B25:K25"/>
    <mergeCell ref="B14:K14"/>
    <mergeCell ref="B15:K15"/>
    <mergeCell ref="B16:K16"/>
    <mergeCell ref="B17:K17"/>
    <mergeCell ref="B18:K18"/>
    <mergeCell ref="B19:K19"/>
    <mergeCell ref="B56:K56"/>
    <mergeCell ref="B57:K57"/>
    <mergeCell ref="B58:K58"/>
    <mergeCell ref="B59:K59"/>
    <mergeCell ref="B60:K60"/>
    <mergeCell ref="B61:K61"/>
    <mergeCell ref="B51:K51"/>
    <mergeCell ref="B28:C28"/>
    <mergeCell ref="D28:F28"/>
    <mergeCell ref="B53:C53"/>
    <mergeCell ref="D53:F53"/>
    <mergeCell ref="B55:K55"/>
    <mergeCell ref="B45:K45"/>
    <mergeCell ref="B46:K46"/>
    <mergeCell ref="B47:K47"/>
    <mergeCell ref="B48:K48"/>
    <mergeCell ref="B49:K49"/>
    <mergeCell ref="B50:K50"/>
    <mergeCell ref="B39:K39"/>
    <mergeCell ref="B40:K40"/>
    <mergeCell ref="B41:K41"/>
    <mergeCell ref="B42:K42"/>
    <mergeCell ref="B43:K43"/>
    <mergeCell ref="B44:K44"/>
    <mergeCell ref="B68:K68"/>
    <mergeCell ref="B69:K69"/>
    <mergeCell ref="B70:K70"/>
    <mergeCell ref="B71:K71"/>
    <mergeCell ref="B72:K72"/>
    <mergeCell ref="B73:K73"/>
    <mergeCell ref="B62:K62"/>
    <mergeCell ref="B63:K63"/>
    <mergeCell ref="B64:K64"/>
    <mergeCell ref="B65:K65"/>
    <mergeCell ref="B66:K66"/>
    <mergeCell ref="B67:K67"/>
    <mergeCell ref="B80:K80"/>
    <mergeCell ref="B81:K81"/>
    <mergeCell ref="B82:K82"/>
    <mergeCell ref="B83:K83"/>
    <mergeCell ref="B84:K84"/>
    <mergeCell ref="B85:K85"/>
    <mergeCell ref="B74:K74"/>
    <mergeCell ref="B75:K75"/>
    <mergeCell ref="B76:K76"/>
    <mergeCell ref="B77:K77"/>
    <mergeCell ref="B78:K78"/>
    <mergeCell ref="B79:K79"/>
    <mergeCell ref="B92:K92"/>
    <mergeCell ref="B93:K93"/>
    <mergeCell ref="B94:K94"/>
    <mergeCell ref="B95:K95"/>
    <mergeCell ref="B96:K96"/>
    <mergeCell ref="B97:K97"/>
    <mergeCell ref="B86:K86"/>
    <mergeCell ref="B87:K87"/>
    <mergeCell ref="B88:K88"/>
    <mergeCell ref="B89:K89"/>
    <mergeCell ref="B90:K90"/>
    <mergeCell ref="B91:K91"/>
    <mergeCell ref="B105:K105"/>
    <mergeCell ref="B106:K106"/>
    <mergeCell ref="B107:K107"/>
    <mergeCell ref="B108:K108"/>
    <mergeCell ref="B109:K109"/>
    <mergeCell ref="B110:K110"/>
    <mergeCell ref="B98:K98"/>
    <mergeCell ref="B99:K99"/>
    <mergeCell ref="B101:C101"/>
    <mergeCell ref="D101:F101"/>
    <mergeCell ref="B103:K103"/>
    <mergeCell ref="B104:K104"/>
    <mergeCell ref="B117:K117"/>
    <mergeCell ref="B118:K118"/>
    <mergeCell ref="B119:K119"/>
    <mergeCell ref="B120:K120"/>
    <mergeCell ref="B121:K121"/>
    <mergeCell ref="B122:K122"/>
    <mergeCell ref="B111:K111"/>
    <mergeCell ref="B112:K112"/>
    <mergeCell ref="B113:K113"/>
    <mergeCell ref="B114:K114"/>
    <mergeCell ref="B115:K115"/>
    <mergeCell ref="B116:K116"/>
    <mergeCell ref="B129:K129"/>
    <mergeCell ref="B130:K130"/>
    <mergeCell ref="B131:K131"/>
    <mergeCell ref="B132:K132"/>
    <mergeCell ref="B133:K133"/>
    <mergeCell ref="B134:K134"/>
    <mergeCell ref="B123:K123"/>
    <mergeCell ref="B124:K124"/>
    <mergeCell ref="B125:K125"/>
    <mergeCell ref="B126:K126"/>
    <mergeCell ref="B127:K127"/>
    <mergeCell ref="B128:K128"/>
    <mergeCell ref="B141:K141"/>
    <mergeCell ref="B142:K142"/>
    <mergeCell ref="B143:K143"/>
    <mergeCell ref="B144:K144"/>
    <mergeCell ref="B145:K145"/>
    <mergeCell ref="B146:K146"/>
    <mergeCell ref="B135:K135"/>
    <mergeCell ref="B136:K136"/>
    <mergeCell ref="B137:K137"/>
    <mergeCell ref="B138:K138"/>
    <mergeCell ref="B139:K139"/>
    <mergeCell ref="B140:K140"/>
    <mergeCell ref="B153:K153"/>
    <mergeCell ref="B154:K154"/>
    <mergeCell ref="B155:K155"/>
    <mergeCell ref="B157:C157"/>
    <mergeCell ref="D157:F157"/>
    <mergeCell ref="B159:K159"/>
    <mergeCell ref="B147:K147"/>
    <mergeCell ref="B148:K148"/>
    <mergeCell ref="B149:K149"/>
    <mergeCell ref="B150:K150"/>
    <mergeCell ref="B151:K151"/>
    <mergeCell ref="B152:K152"/>
    <mergeCell ref="B166:K166"/>
    <mergeCell ref="B167:K167"/>
    <mergeCell ref="B168:K168"/>
    <mergeCell ref="B169:K169"/>
    <mergeCell ref="B170:K170"/>
    <mergeCell ref="B171:K171"/>
    <mergeCell ref="B160:K160"/>
    <mergeCell ref="B161:K161"/>
    <mergeCell ref="B162:K162"/>
    <mergeCell ref="B163:K163"/>
    <mergeCell ref="B164:K164"/>
    <mergeCell ref="B165:K165"/>
    <mergeCell ref="B178:K178"/>
    <mergeCell ref="B179:K179"/>
    <mergeCell ref="B180:K180"/>
    <mergeCell ref="B181:K181"/>
    <mergeCell ref="B182:K182"/>
    <mergeCell ref="B183:K183"/>
    <mergeCell ref="B172:K172"/>
    <mergeCell ref="B173:K173"/>
    <mergeCell ref="B174:K174"/>
    <mergeCell ref="B175:K175"/>
    <mergeCell ref="B176:K176"/>
    <mergeCell ref="B177:K177"/>
    <mergeCell ref="B192:K192"/>
    <mergeCell ref="B193:K193"/>
    <mergeCell ref="B194:K194"/>
    <mergeCell ref="B195:K195"/>
    <mergeCell ref="B184:K184"/>
    <mergeCell ref="B187:C187"/>
    <mergeCell ref="D187:F187"/>
    <mergeCell ref="B189:K189"/>
    <mergeCell ref="B190:K190"/>
    <mergeCell ref="B191:K19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ECD6-44FF-4485-AC7A-584DD70A0B66}">
  <sheetPr>
    <tabColor rgb="FFFFC000"/>
  </sheetPr>
  <dimension ref="A1:R82"/>
  <sheetViews>
    <sheetView topLeftCell="A9" zoomScale="80" zoomScaleNormal="80" workbookViewId="0">
      <selection activeCell="D6" sqref="D6"/>
    </sheetView>
  </sheetViews>
  <sheetFormatPr baseColWidth="10" defaultRowHeight="13.2" x14ac:dyDescent="0.25"/>
  <cols>
    <col min="1" max="1" width="17.5546875" style="340" bestFit="1" customWidth="1"/>
    <col min="2" max="2" width="7.44140625" style="350" bestFit="1" customWidth="1"/>
    <col min="3" max="5" width="6.6640625" style="350" customWidth="1"/>
    <col min="6" max="8" width="6.6640625" style="323" customWidth="1"/>
    <col min="9" max="9" width="11.44140625" style="420" bestFit="1" customWidth="1"/>
    <col min="10" max="10" width="6.6640625" style="323" customWidth="1"/>
    <col min="11" max="11" width="14.109375" style="340" customWidth="1"/>
    <col min="12" max="12" width="11.6640625" style="323" bestFit="1" customWidth="1"/>
    <col min="13" max="13" width="11.5546875" style="323"/>
    <col min="14" max="14" width="11.6640625" style="323" bestFit="1" customWidth="1"/>
    <col min="15" max="256" width="11.5546875" style="323"/>
    <col min="257" max="257" width="17.5546875" style="323" bestFit="1" customWidth="1"/>
    <col min="258" max="264" width="6.6640625" style="323" customWidth="1"/>
    <col min="265" max="265" width="6.88671875" style="323" customWidth="1"/>
    <col min="266" max="266" width="6.6640625" style="323" customWidth="1"/>
    <col min="267" max="267" width="14.109375" style="323" customWidth="1"/>
    <col min="268" max="268" width="11.6640625" style="323" bestFit="1" customWidth="1"/>
    <col min="269" max="269" width="11.5546875" style="323"/>
    <col min="270" max="270" width="11.6640625" style="323" bestFit="1" customWidth="1"/>
    <col min="271" max="512" width="11.5546875" style="323"/>
    <col min="513" max="513" width="17.5546875" style="323" bestFit="1" customWidth="1"/>
    <col min="514" max="520" width="6.6640625" style="323" customWidth="1"/>
    <col min="521" max="521" width="6.88671875" style="323" customWidth="1"/>
    <col min="522" max="522" width="6.6640625" style="323" customWidth="1"/>
    <col min="523" max="523" width="14.109375" style="323" customWidth="1"/>
    <col min="524" max="524" width="11.6640625" style="323" bestFit="1" customWidth="1"/>
    <col min="525" max="525" width="11.5546875" style="323"/>
    <col min="526" max="526" width="11.6640625" style="323" bestFit="1" customWidth="1"/>
    <col min="527" max="768" width="11.5546875" style="323"/>
    <col min="769" max="769" width="17.5546875" style="323" bestFit="1" customWidth="1"/>
    <col min="770" max="776" width="6.6640625" style="323" customWidth="1"/>
    <col min="777" max="777" width="6.88671875" style="323" customWidth="1"/>
    <col min="778" max="778" width="6.6640625" style="323" customWidth="1"/>
    <col min="779" max="779" width="14.109375" style="323" customWidth="1"/>
    <col min="780" max="780" width="11.6640625" style="323" bestFit="1" customWidth="1"/>
    <col min="781" max="781" width="11.5546875" style="323"/>
    <col min="782" max="782" width="11.6640625" style="323" bestFit="1" customWidth="1"/>
    <col min="783" max="1024" width="11.5546875" style="323"/>
    <col min="1025" max="1025" width="17.5546875" style="323" bestFit="1" customWidth="1"/>
    <col min="1026" max="1032" width="6.6640625" style="323" customWidth="1"/>
    <col min="1033" max="1033" width="6.88671875" style="323" customWidth="1"/>
    <col min="1034" max="1034" width="6.6640625" style="323" customWidth="1"/>
    <col min="1035" max="1035" width="14.109375" style="323" customWidth="1"/>
    <col min="1036" max="1036" width="11.6640625" style="323" bestFit="1" customWidth="1"/>
    <col min="1037" max="1037" width="11.5546875" style="323"/>
    <col min="1038" max="1038" width="11.6640625" style="323" bestFit="1" customWidth="1"/>
    <col min="1039" max="1280" width="11.5546875" style="323"/>
    <col min="1281" max="1281" width="17.5546875" style="323" bestFit="1" customWidth="1"/>
    <col min="1282" max="1288" width="6.6640625" style="323" customWidth="1"/>
    <col min="1289" max="1289" width="6.88671875" style="323" customWidth="1"/>
    <col min="1290" max="1290" width="6.6640625" style="323" customWidth="1"/>
    <col min="1291" max="1291" width="14.109375" style="323" customWidth="1"/>
    <col min="1292" max="1292" width="11.6640625" style="323" bestFit="1" customWidth="1"/>
    <col min="1293" max="1293" width="11.5546875" style="323"/>
    <col min="1294" max="1294" width="11.6640625" style="323" bestFit="1" customWidth="1"/>
    <col min="1295" max="1536" width="11.5546875" style="323"/>
    <col min="1537" max="1537" width="17.5546875" style="323" bestFit="1" customWidth="1"/>
    <col min="1538" max="1544" width="6.6640625" style="323" customWidth="1"/>
    <col min="1545" max="1545" width="6.88671875" style="323" customWidth="1"/>
    <col min="1546" max="1546" width="6.6640625" style="323" customWidth="1"/>
    <col min="1547" max="1547" width="14.109375" style="323" customWidth="1"/>
    <col min="1548" max="1548" width="11.6640625" style="323" bestFit="1" customWidth="1"/>
    <col min="1549" max="1549" width="11.5546875" style="323"/>
    <col min="1550" max="1550" width="11.6640625" style="323" bestFit="1" customWidth="1"/>
    <col min="1551" max="1792" width="11.5546875" style="323"/>
    <col min="1793" max="1793" width="17.5546875" style="323" bestFit="1" customWidth="1"/>
    <col min="1794" max="1800" width="6.6640625" style="323" customWidth="1"/>
    <col min="1801" max="1801" width="6.88671875" style="323" customWidth="1"/>
    <col min="1802" max="1802" width="6.6640625" style="323" customWidth="1"/>
    <col min="1803" max="1803" width="14.109375" style="323" customWidth="1"/>
    <col min="1804" max="1804" width="11.6640625" style="323" bestFit="1" customWidth="1"/>
    <col min="1805" max="1805" width="11.5546875" style="323"/>
    <col min="1806" max="1806" width="11.6640625" style="323" bestFit="1" customWidth="1"/>
    <col min="1807" max="2048" width="11.5546875" style="323"/>
    <col min="2049" max="2049" width="17.5546875" style="323" bestFit="1" customWidth="1"/>
    <col min="2050" max="2056" width="6.6640625" style="323" customWidth="1"/>
    <col min="2057" max="2057" width="6.88671875" style="323" customWidth="1"/>
    <col min="2058" max="2058" width="6.6640625" style="323" customWidth="1"/>
    <col min="2059" max="2059" width="14.109375" style="323" customWidth="1"/>
    <col min="2060" max="2060" width="11.6640625" style="323" bestFit="1" customWidth="1"/>
    <col min="2061" max="2061" width="11.5546875" style="323"/>
    <col min="2062" max="2062" width="11.6640625" style="323" bestFit="1" customWidth="1"/>
    <col min="2063" max="2304" width="11.5546875" style="323"/>
    <col min="2305" max="2305" width="17.5546875" style="323" bestFit="1" customWidth="1"/>
    <col min="2306" max="2312" width="6.6640625" style="323" customWidth="1"/>
    <col min="2313" max="2313" width="6.88671875" style="323" customWidth="1"/>
    <col min="2314" max="2314" width="6.6640625" style="323" customWidth="1"/>
    <col min="2315" max="2315" width="14.109375" style="323" customWidth="1"/>
    <col min="2316" max="2316" width="11.6640625" style="323" bestFit="1" customWidth="1"/>
    <col min="2317" max="2317" width="11.5546875" style="323"/>
    <col min="2318" max="2318" width="11.6640625" style="323" bestFit="1" customWidth="1"/>
    <col min="2319" max="2560" width="11.5546875" style="323"/>
    <col min="2561" max="2561" width="17.5546875" style="323" bestFit="1" customWidth="1"/>
    <col min="2562" max="2568" width="6.6640625" style="323" customWidth="1"/>
    <col min="2569" max="2569" width="6.88671875" style="323" customWidth="1"/>
    <col min="2570" max="2570" width="6.6640625" style="323" customWidth="1"/>
    <col min="2571" max="2571" width="14.109375" style="323" customWidth="1"/>
    <col min="2572" max="2572" width="11.6640625" style="323" bestFit="1" customWidth="1"/>
    <col min="2573" max="2573" width="11.5546875" style="323"/>
    <col min="2574" max="2574" width="11.6640625" style="323" bestFit="1" customWidth="1"/>
    <col min="2575" max="2816" width="11.5546875" style="323"/>
    <col min="2817" max="2817" width="17.5546875" style="323" bestFit="1" customWidth="1"/>
    <col min="2818" max="2824" width="6.6640625" style="323" customWidth="1"/>
    <col min="2825" max="2825" width="6.88671875" style="323" customWidth="1"/>
    <col min="2826" max="2826" width="6.6640625" style="323" customWidth="1"/>
    <col min="2827" max="2827" width="14.109375" style="323" customWidth="1"/>
    <col min="2828" max="2828" width="11.6640625" style="323" bestFit="1" customWidth="1"/>
    <col min="2829" max="2829" width="11.5546875" style="323"/>
    <col min="2830" max="2830" width="11.6640625" style="323" bestFit="1" customWidth="1"/>
    <col min="2831" max="3072" width="11.5546875" style="323"/>
    <col min="3073" max="3073" width="17.5546875" style="323" bestFit="1" customWidth="1"/>
    <col min="3074" max="3080" width="6.6640625" style="323" customWidth="1"/>
    <col min="3081" max="3081" width="6.88671875" style="323" customWidth="1"/>
    <col min="3082" max="3082" width="6.6640625" style="323" customWidth="1"/>
    <col min="3083" max="3083" width="14.109375" style="323" customWidth="1"/>
    <col min="3084" max="3084" width="11.6640625" style="323" bestFit="1" customWidth="1"/>
    <col min="3085" max="3085" width="11.5546875" style="323"/>
    <col min="3086" max="3086" width="11.6640625" style="323" bestFit="1" customWidth="1"/>
    <col min="3087" max="3328" width="11.5546875" style="323"/>
    <col min="3329" max="3329" width="17.5546875" style="323" bestFit="1" customWidth="1"/>
    <col min="3330" max="3336" width="6.6640625" style="323" customWidth="1"/>
    <col min="3337" max="3337" width="6.88671875" style="323" customWidth="1"/>
    <col min="3338" max="3338" width="6.6640625" style="323" customWidth="1"/>
    <col min="3339" max="3339" width="14.109375" style="323" customWidth="1"/>
    <col min="3340" max="3340" width="11.6640625" style="323" bestFit="1" customWidth="1"/>
    <col min="3341" max="3341" width="11.5546875" style="323"/>
    <col min="3342" max="3342" width="11.6640625" style="323" bestFit="1" customWidth="1"/>
    <col min="3343" max="3584" width="11.5546875" style="323"/>
    <col min="3585" max="3585" width="17.5546875" style="323" bestFit="1" customWidth="1"/>
    <col min="3586" max="3592" width="6.6640625" style="323" customWidth="1"/>
    <col min="3593" max="3593" width="6.88671875" style="323" customWidth="1"/>
    <col min="3594" max="3594" width="6.6640625" style="323" customWidth="1"/>
    <col min="3595" max="3595" width="14.109375" style="323" customWidth="1"/>
    <col min="3596" max="3596" width="11.6640625" style="323" bestFit="1" customWidth="1"/>
    <col min="3597" max="3597" width="11.5546875" style="323"/>
    <col min="3598" max="3598" width="11.6640625" style="323" bestFit="1" customWidth="1"/>
    <col min="3599" max="3840" width="11.5546875" style="323"/>
    <col min="3841" max="3841" width="17.5546875" style="323" bestFit="1" customWidth="1"/>
    <col min="3842" max="3848" width="6.6640625" style="323" customWidth="1"/>
    <col min="3849" max="3849" width="6.88671875" style="323" customWidth="1"/>
    <col min="3850" max="3850" width="6.6640625" style="323" customWidth="1"/>
    <col min="3851" max="3851" width="14.109375" style="323" customWidth="1"/>
    <col min="3852" max="3852" width="11.6640625" style="323" bestFit="1" customWidth="1"/>
    <col min="3853" max="3853" width="11.5546875" style="323"/>
    <col min="3854" max="3854" width="11.6640625" style="323" bestFit="1" customWidth="1"/>
    <col min="3855" max="4096" width="11.5546875" style="323"/>
    <col min="4097" max="4097" width="17.5546875" style="323" bestFit="1" customWidth="1"/>
    <col min="4098" max="4104" width="6.6640625" style="323" customWidth="1"/>
    <col min="4105" max="4105" width="6.88671875" style="323" customWidth="1"/>
    <col min="4106" max="4106" width="6.6640625" style="323" customWidth="1"/>
    <col min="4107" max="4107" width="14.109375" style="323" customWidth="1"/>
    <col min="4108" max="4108" width="11.6640625" style="323" bestFit="1" customWidth="1"/>
    <col min="4109" max="4109" width="11.5546875" style="323"/>
    <col min="4110" max="4110" width="11.6640625" style="323" bestFit="1" customWidth="1"/>
    <col min="4111" max="4352" width="11.5546875" style="323"/>
    <col min="4353" max="4353" width="17.5546875" style="323" bestFit="1" customWidth="1"/>
    <col min="4354" max="4360" width="6.6640625" style="323" customWidth="1"/>
    <col min="4361" max="4361" width="6.88671875" style="323" customWidth="1"/>
    <col min="4362" max="4362" width="6.6640625" style="323" customWidth="1"/>
    <col min="4363" max="4363" width="14.109375" style="323" customWidth="1"/>
    <col min="4364" max="4364" width="11.6640625" style="323" bestFit="1" customWidth="1"/>
    <col min="4365" max="4365" width="11.5546875" style="323"/>
    <col min="4366" max="4366" width="11.6640625" style="323" bestFit="1" customWidth="1"/>
    <col min="4367" max="4608" width="11.5546875" style="323"/>
    <col min="4609" max="4609" width="17.5546875" style="323" bestFit="1" customWidth="1"/>
    <col min="4610" max="4616" width="6.6640625" style="323" customWidth="1"/>
    <col min="4617" max="4617" width="6.88671875" style="323" customWidth="1"/>
    <col min="4618" max="4618" width="6.6640625" style="323" customWidth="1"/>
    <col min="4619" max="4619" width="14.109375" style="323" customWidth="1"/>
    <col min="4620" max="4620" width="11.6640625" style="323" bestFit="1" customWidth="1"/>
    <col min="4621" max="4621" width="11.5546875" style="323"/>
    <col min="4622" max="4622" width="11.6640625" style="323" bestFit="1" customWidth="1"/>
    <col min="4623" max="4864" width="11.5546875" style="323"/>
    <col min="4865" max="4865" width="17.5546875" style="323" bestFit="1" customWidth="1"/>
    <col min="4866" max="4872" width="6.6640625" style="323" customWidth="1"/>
    <col min="4873" max="4873" width="6.88671875" style="323" customWidth="1"/>
    <col min="4874" max="4874" width="6.6640625" style="323" customWidth="1"/>
    <col min="4875" max="4875" width="14.109375" style="323" customWidth="1"/>
    <col min="4876" max="4876" width="11.6640625" style="323" bestFit="1" customWidth="1"/>
    <col min="4877" max="4877" width="11.5546875" style="323"/>
    <col min="4878" max="4878" width="11.6640625" style="323" bestFit="1" customWidth="1"/>
    <col min="4879" max="5120" width="11.5546875" style="323"/>
    <col min="5121" max="5121" width="17.5546875" style="323" bestFit="1" customWidth="1"/>
    <col min="5122" max="5128" width="6.6640625" style="323" customWidth="1"/>
    <col min="5129" max="5129" width="6.88671875" style="323" customWidth="1"/>
    <col min="5130" max="5130" width="6.6640625" style="323" customWidth="1"/>
    <col min="5131" max="5131" width="14.109375" style="323" customWidth="1"/>
    <col min="5132" max="5132" width="11.6640625" style="323" bestFit="1" customWidth="1"/>
    <col min="5133" max="5133" width="11.5546875" style="323"/>
    <col min="5134" max="5134" width="11.6640625" style="323" bestFit="1" customWidth="1"/>
    <col min="5135" max="5376" width="11.5546875" style="323"/>
    <col min="5377" max="5377" width="17.5546875" style="323" bestFit="1" customWidth="1"/>
    <col min="5378" max="5384" width="6.6640625" style="323" customWidth="1"/>
    <col min="5385" max="5385" width="6.88671875" style="323" customWidth="1"/>
    <col min="5386" max="5386" width="6.6640625" style="323" customWidth="1"/>
    <col min="5387" max="5387" width="14.109375" style="323" customWidth="1"/>
    <col min="5388" max="5388" width="11.6640625" style="323" bestFit="1" customWidth="1"/>
    <col min="5389" max="5389" width="11.5546875" style="323"/>
    <col min="5390" max="5390" width="11.6640625" style="323" bestFit="1" customWidth="1"/>
    <col min="5391" max="5632" width="11.5546875" style="323"/>
    <col min="5633" max="5633" width="17.5546875" style="323" bestFit="1" customWidth="1"/>
    <col min="5634" max="5640" width="6.6640625" style="323" customWidth="1"/>
    <col min="5641" max="5641" width="6.88671875" style="323" customWidth="1"/>
    <col min="5642" max="5642" width="6.6640625" style="323" customWidth="1"/>
    <col min="5643" max="5643" width="14.109375" style="323" customWidth="1"/>
    <col min="5644" max="5644" width="11.6640625" style="323" bestFit="1" customWidth="1"/>
    <col min="5645" max="5645" width="11.5546875" style="323"/>
    <col min="5646" max="5646" width="11.6640625" style="323" bestFit="1" customWidth="1"/>
    <col min="5647" max="5888" width="11.5546875" style="323"/>
    <col min="5889" max="5889" width="17.5546875" style="323" bestFit="1" customWidth="1"/>
    <col min="5890" max="5896" width="6.6640625" style="323" customWidth="1"/>
    <col min="5897" max="5897" width="6.88671875" style="323" customWidth="1"/>
    <col min="5898" max="5898" width="6.6640625" style="323" customWidth="1"/>
    <col min="5899" max="5899" width="14.109375" style="323" customWidth="1"/>
    <col min="5900" max="5900" width="11.6640625" style="323" bestFit="1" customWidth="1"/>
    <col min="5901" max="5901" width="11.5546875" style="323"/>
    <col min="5902" max="5902" width="11.6640625" style="323" bestFit="1" customWidth="1"/>
    <col min="5903" max="6144" width="11.5546875" style="323"/>
    <col min="6145" max="6145" width="17.5546875" style="323" bestFit="1" customWidth="1"/>
    <col min="6146" max="6152" width="6.6640625" style="323" customWidth="1"/>
    <col min="6153" max="6153" width="6.88671875" style="323" customWidth="1"/>
    <col min="6154" max="6154" width="6.6640625" style="323" customWidth="1"/>
    <col min="6155" max="6155" width="14.109375" style="323" customWidth="1"/>
    <col min="6156" max="6156" width="11.6640625" style="323" bestFit="1" customWidth="1"/>
    <col min="6157" max="6157" width="11.5546875" style="323"/>
    <col min="6158" max="6158" width="11.6640625" style="323" bestFit="1" customWidth="1"/>
    <col min="6159" max="6400" width="11.5546875" style="323"/>
    <col min="6401" max="6401" width="17.5546875" style="323" bestFit="1" customWidth="1"/>
    <col min="6402" max="6408" width="6.6640625" style="323" customWidth="1"/>
    <col min="6409" max="6409" width="6.88671875" style="323" customWidth="1"/>
    <col min="6410" max="6410" width="6.6640625" style="323" customWidth="1"/>
    <col min="6411" max="6411" width="14.109375" style="323" customWidth="1"/>
    <col min="6412" max="6412" width="11.6640625" style="323" bestFit="1" customWidth="1"/>
    <col min="6413" max="6413" width="11.5546875" style="323"/>
    <col min="6414" max="6414" width="11.6640625" style="323" bestFit="1" customWidth="1"/>
    <col min="6415" max="6656" width="11.5546875" style="323"/>
    <col min="6657" max="6657" width="17.5546875" style="323" bestFit="1" customWidth="1"/>
    <col min="6658" max="6664" width="6.6640625" style="323" customWidth="1"/>
    <col min="6665" max="6665" width="6.88671875" style="323" customWidth="1"/>
    <col min="6666" max="6666" width="6.6640625" style="323" customWidth="1"/>
    <col min="6667" max="6667" width="14.109375" style="323" customWidth="1"/>
    <col min="6668" max="6668" width="11.6640625" style="323" bestFit="1" customWidth="1"/>
    <col min="6669" max="6669" width="11.5546875" style="323"/>
    <col min="6670" max="6670" width="11.6640625" style="323" bestFit="1" customWidth="1"/>
    <col min="6671" max="6912" width="11.5546875" style="323"/>
    <col min="6913" max="6913" width="17.5546875" style="323" bestFit="1" customWidth="1"/>
    <col min="6914" max="6920" width="6.6640625" style="323" customWidth="1"/>
    <col min="6921" max="6921" width="6.88671875" style="323" customWidth="1"/>
    <col min="6922" max="6922" width="6.6640625" style="323" customWidth="1"/>
    <col min="6923" max="6923" width="14.109375" style="323" customWidth="1"/>
    <col min="6924" max="6924" width="11.6640625" style="323" bestFit="1" customWidth="1"/>
    <col min="6925" max="6925" width="11.5546875" style="323"/>
    <col min="6926" max="6926" width="11.6640625" style="323" bestFit="1" customWidth="1"/>
    <col min="6927" max="7168" width="11.5546875" style="323"/>
    <col min="7169" max="7169" width="17.5546875" style="323" bestFit="1" customWidth="1"/>
    <col min="7170" max="7176" width="6.6640625" style="323" customWidth="1"/>
    <col min="7177" max="7177" width="6.88671875" style="323" customWidth="1"/>
    <col min="7178" max="7178" width="6.6640625" style="323" customWidth="1"/>
    <col min="7179" max="7179" width="14.109375" style="323" customWidth="1"/>
    <col min="7180" max="7180" width="11.6640625" style="323" bestFit="1" customWidth="1"/>
    <col min="7181" max="7181" width="11.5546875" style="323"/>
    <col min="7182" max="7182" width="11.6640625" style="323" bestFit="1" customWidth="1"/>
    <col min="7183" max="7424" width="11.5546875" style="323"/>
    <col min="7425" max="7425" width="17.5546875" style="323" bestFit="1" customWidth="1"/>
    <col min="7426" max="7432" width="6.6640625" style="323" customWidth="1"/>
    <col min="7433" max="7433" width="6.88671875" style="323" customWidth="1"/>
    <col min="7434" max="7434" width="6.6640625" style="323" customWidth="1"/>
    <col min="7435" max="7435" width="14.109375" style="323" customWidth="1"/>
    <col min="7436" max="7436" width="11.6640625" style="323" bestFit="1" customWidth="1"/>
    <col min="7437" max="7437" width="11.5546875" style="323"/>
    <col min="7438" max="7438" width="11.6640625" style="323" bestFit="1" customWidth="1"/>
    <col min="7439" max="7680" width="11.5546875" style="323"/>
    <col min="7681" max="7681" width="17.5546875" style="323" bestFit="1" customWidth="1"/>
    <col min="7682" max="7688" width="6.6640625" style="323" customWidth="1"/>
    <col min="7689" max="7689" width="6.88671875" style="323" customWidth="1"/>
    <col min="7690" max="7690" width="6.6640625" style="323" customWidth="1"/>
    <col min="7691" max="7691" width="14.109375" style="323" customWidth="1"/>
    <col min="7692" max="7692" width="11.6640625" style="323" bestFit="1" customWidth="1"/>
    <col min="7693" max="7693" width="11.5546875" style="323"/>
    <col min="7694" max="7694" width="11.6640625" style="323" bestFit="1" customWidth="1"/>
    <col min="7695" max="7936" width="11.5546875" style="323"/>
    <col min="7937" max="7937" width="17.5546875" style="323" bestFit="1" customWidth="1"/>
    <col min="7938" max="7944" width="6.6640625" style="323" customWidth="1"/>
    <col min="7945" max="7945" width="6.88671875" style="323" customWidth="1"/>
    <col min="7946" max="7946" width="6.6640625" style="323" customWidth="1"/>
    <col min="7947" max="7947" width="14.109375" style="323" customWidth="1"/>
    <col min="7948" max="7948" width="11.6640625" style="323" bestFit="1" customWidth="1"/>
    <col min="7949" max="7949" width="11.5546875" style="323"/>
    <col min="7950" max="7950" width="11.6640625" style="323" bestFit="1" customWidth="1"/>
    <col min="7951" max="8192" width="11.5546875" style="323"/>
    <col min="8193" max="8193" width="17.5546875" style="323" bestFit="1" customWidth="1"/>
    <col min="8194" max="8200" width="6.6640625" style="323" customWidth="1"/>
    <col min="8201" max="8201" width="6.88671875" style="323" customWidth="1"/>
    <col min="8202" max="8202" width="6.6640625" style="323" customWidth="1"/>
    <col min="8203" max="8203" width="14.109375" style="323" customWidth="1"/>
    <col min="8204" max="8204" width="11.6640625" style="323" bestFit="1" customWidth="1"/>
    <col min="8205" max="8205" width="11.5546875" style="323"/>
    <col min="8206" max="8206" width="11.6640625" style="323" bestFit="1" customWidth="1"/>
    <col min="8207" max="8448" width="11.5546875" style="323"/>
    <col min="8449" max="8449" width="17.5546875" style="323" bestFit="1" customWidth="1"/>
    <col min="8450" max="8456" width="6.6640625" style="323" customWidth="1"/>
    <col min="8457" max="8457" width="6.88671875" style="323" customWidth="1"/>
    <col min="8458" max="8458" width="6.6640625" style="323" customWidth="1"/>
    <col min="8459" max="8459" width="14.109375" style="323" customWidth="1"/>
    <col min="8460" max="8460" width="11.6640625" style="323" bestFit="1" customWidth="1"/>
    <col min="8461" max="8461" width="11.5546875" style="323"/>
    <col min="8462" max="8462" width="11.6640625" style="323" bestFit="1" customWidth="1"/>
    <col min="8463" max="8704" width="11.5546875" style="323"/>
    <col min="8705" max="8705" width="17.5546875" style="323" bestFit="1" customWidth="1"/>
    <col min="8706" max="8712" width="6.6640625" style="323" customWidth="1"/>
    <col min="8713" max="8713" width="6.88671875" style="323" customWidth="1"/>
    <col min="8714" max="8714" width="6.6640625" style="323" customWidth="1"/>
    <col min="8715" max="8715" width="14.109375" style="323" customWidth="1"/>
    <col min="8716" max="8716" width="11.6640625" style="323" bestFit="1" customWidth="1"/>
    <col min="8717" max="8717" width="11.5546875" style="323"/>
    <col min="8718" max="8718" width="11.6640625" style="323" bestFit="1" customWidth="1"/>
    <col min="8719" max="8960" width="11.5546875" style="323"/>
    <col min="8961" max="8961" width="17.5546875" style="323" bestFit="1" customWidth="1"/>
    <col min="8962" max="8968" width="6.6640625" style="323" customWidth="1"/>
    <col min="8969" max="8969" width="6.88671875" style="323" customWidth="1"/>
    <col min="8970" max="8970" width="6.6640625" style="323" customWidth="1"/>
    <col min="8971" max="8971" width="14.109375" style="323" customWidth="1"/>
    <col min="8972" max="8972" width="11.6640625" style="323" bestFit="1" customWidth="1"/>
    <col min="8973" max="8973" width="11.5546875" style="323"/>
    <col min="8974" max="8974" width="11.6640625" style="323" bestFit="1" customWidth="1"/>
    <col min="8975" max="9216" width="11.5546875" style="323"/>
    <col min="9217" max="9217" width="17.5546875" style="323" bestFit="1" customWidth="1"/>
    <col min="9218" max="9224" width="6.6640625" style="323" customWidth="1"/>
    <col min="9225" max="9225" width="6.88671875" style="323" customWidth="1"/>
    <col min="9226" max="9226" width="6.6640625" style="323" customWidth="1"/>
    <col min="9227" max="9227" width="14.109375" style="323" customWidth="1"/>
    <col min="9228" max="9228" width="11.6640625" style="323" bestFit="1" customWidth="1"/>
    <col min="9229" max="9229" width="11.5546875" style="323"/>
    <col min="9230" max="9230" width="11.6640625" style="323" bestFit="1" customWidth="1"/>
    <col min="9231" max="9472" width="11.5546875" style="323"/>
    <col min="9473" max="9473" width="17.5546875" style="323" bestFit="1" customWidth="1"/>
    <col min="9474" max="9480" width="6.6640625" style="323" customWidth="1"/>
    <col min="9481" max="9481" width="6.88671875" style="323" customWidth="1"/>
    <col min="9482" max="9482" width="6.6640625" style="323" customWidth="1"/>
    <col min="9483" max="9483" width="14.109375" style="323" customWidth="1"/>
    <col min="9484" max="9484" width="11.6640625" style="323" bestFit="1" customWidth="1"/>
    <col min="9485" max="9485" width="11.5546875" style="323"/>
    <col min="9486" max="9486" width="11.6640625" style="323" bestFit="1" customWidth="1"/>
    <col min="9487" max="9728" width="11.5546875" style="323"/>
    <col min="9729" max="9729" width="17.5546875" style="323" bestFit="1" customWidth="1"/>
    <col min="9730" max="9736" width="6.6640625" style="323" customWidth="1"/>
    <col min="9737" max="9737" width="6.88671875" style="323" customWidth="1"/>
    <col min="9738" max="9738" width="6.6640625" style="323" customWidth="1"/>
    <col min="9739" max="9739" width="14.109375" style="323" customWidth="1"/>
    <col min="9740" max="9740" width="11.6640625" style="323" bestFit="1" customWidth="1"/>
    <col min="9741" max="9741" width="11.5546875" style="323"/>
    <col min="9742" max="9742" width="11.6640625" style="323" bestFit="1" customWidth="1"/>
    <col min="9743" max="9984" width="11.5546875" style="323"/>
    <col min="9985" max="9985" width="17.5546875" style="323" bestFit="1" customWidth="1"/>
    <col min="9986" max="9992" width="6.6640625" style="323" customWidth="1"/>
    <col min="9993" max="9993" width="6.88671875" style="323" customWidth="1"/>
    <col min="9994" max="9994" width="6.6640625" style="323" customWidth="1"/>
    <col min="9995" max="9995" width="14.109375" style="323" customWidth="1"/>
    <col min="9996" max="9996" width="11.6640625" style="323" bestFit="1" customWidth="1"/>
    <col min="9997" max="9997" width="11.5546875" style="323"/>
    <col min="9998" max="9998" width="11.6640625" style="323" bestFit="1" customWidth="1"/>
    <col min="9999" max="10240" width="11.5546875" style="323"/>
    <col min="10241" max="10241" width="17.5546875" style="323" bestFit="1" customWidth="1"/>
    <col min="10242" max="10248" width="6.6640625" style="323" customWidth="1"/>
    <col min="10249" max="10249" width="6.88671875" style="323" customWidth="1"/>
    <col min="10250" max="10250" width="6.6640625" style="323" customWidth="1"/>
    <col min="10251" max="10251" width="14.109375" style="323" customWidth="1"/>
    <col min="10252" max="10252" width="11.6640625" style="323" bestFit="1" customWidth="1"/>
    <col min="10253" max="10253" width="11.5546875" style="323"/>
    <col min="10254" max="10254" width="11.6640625" style="323" bestFit="1" customWidth="1"/>
    <col min="10255" max="10496" width="11.5546875" style="323"/>
    <col min="10497" max="10497" width="17.5546875" style="323" bestFit="1" customWidth="1"/>
    <col min="10498" max="10504" width="6.6640625" style="323" customWidth="1"/>
    <col min="10505" max="10505" width="6.88671875" style="323" customWidth="1"/>
    <col min="10506" max="10506" width="6.6640625" style="323" customWidth="1"/>
    <col min="10507" max="10507" width="14.109375" style="323" customWidth="1"/>
    <col min="10508" max="10508" width="11.6640625" style="323" bestFit="1" customWidth="1"/>
    <col min="10509" max="10509" width="11.5546875" style="323"/>
    <col min="10510" max="10510" width="11.6640625" style="323" bestFit="1" customWidth="1"/>
    <col min="10511" max="10752" width="11.5546875" style="323"/>
    <col min="10753" max="10753" width="17.5546875" style="323" bestFit="1" customWidth="1"/>
    <col min="10754" max="10760" width="6.6640625" style="323" customWidth="1"/>
    <col min="10761" max="10761" width="6.88671875" style="323" customWidth="1"/>
    <col min="10762" max="10762" width="6.6640625" style="323" customWidth="1"/>
    <col min="10763" max="10763" width="14.109375" style="323" customWidth="1"/>
    <col min="10764" max="10764" width="11.6640625" style="323" bestFit="1" customWidth="1"/>
    <col min="10765" max="10765" width="11.5546875" style="323"/>
    <col min="10766" max="10766" width="11.6640625" style="323" bestFit="1" customWidth="1"/>
    <col min="10767" max="11008" width="11.5546875" style="323"/>
    <col min="11009" max="11009" width="17.5546875" style="323" bestFit="1" customWidth="1"/>
    <col min="11010" max="11016" width="6.6640625" style="323" customWidth="1"/>
    <col min="11017" max="11017" width="6.88671875" style="323" customWidth="1"/>
    <col min="11018" max="11018" width="6.6640625" style="323" customWidth="1"/>
    <col min="11019" max="11019" width="14.109375" style="323" customWidth="1"/>
    <col min="11020" max="11020" width="11.6640625" style="323" bestFit="1" customWidth="1"/>
    <col min="11021" max="11021" width="11.5546875" style="323"/>
    <col min="11022" max="11022" width="11.6640625" style="323" bestFit="1" customWidth="1"/>
    <col min="11023" max="11264" width="11.5546875" style="323"/>
    <col min="11265" max="11265" width="17.5546875" style="323" bestFit="1" customWidth="1"/>
    <col min="11266" max="11272" width="6.6640625" style="323" customWidth="1"/>
    <col min="11273" max="11273" width="6.88671875" style="323" customWidth="1"/>
    <col min="11274" max="11274" width="6.6640625" style="323" customWidth="1"/>
    <col min="11275" max="11275" width="14.109375" style="323" customWidth="1"/>
    <col min="11276" max="11276" width="11.6640625" style="323" bestFit="1" customWidth="1"/>
    <col min="11277" max="11277" width="11.5546875" style="323"/>
    <col min="11278" max="11278" width="11.6640625" style="323" bestFit="1" customWidth="1"/>
    <col min="11279" max="11520" width="11.5546875" style="323"/>
    <col min="11521" max="11521" width="17.5546875" style="323" bestFit="1" customWidth="1"/>
    <col min="11522" max="11528" width="6.6640625" style="323" customWidth="1"/>
    <col min="11529" max="11529" width="6.88671875" style="323" customWidth="1"/>
    <col min="11530" max="11530" width="6.6640625" style="323" customWidth="1"/>
    <col min="11531" max="11531" width="14.109375" style="323" customWidth="1"/>
    <col min="11532" max="11532" width="11.6640625" style="323" bestFit="1" customWidth="1"/>
    <col min="11533" max="11533" width="11.5546875" style="323"/>
    <col min="11534" max="11534" width="11.6640625" style="323" bestFit="1" customWidth="1"/>
    <col min="11535" max="11776" width="11.5546875" style="323"/>
    <col min="11777" max="11777" width="17.5546875" style="323" bestFit="1" customWidth="1"/>
    <col min="11778" max="11784" width="6.6640625" style="323" customWidth="1"/>
    <col min="11785" max="11785" width="6.88671875" style="323" customWidth="1"/>
    <col min="11786" max="11786" width="6.6640625" style="323" customWidth="1"/>
    <col min="11787" max="11787" width="14.109375" style="323" customWidth="1"/>
    <col min="11788" max="11788" width="11.6640625" style="323" bestFit="1" customWidth="1"/>
    <col min="11789" max="11789" width="11.5546875" style="323"/>
    <col min="11790" max="11790" width="11.6640625" style="323" bestFit="1" customWidth="1"/>
    <col min="11791" max="12032" width="11.5546875" style="323"/>
    <col min="12033" max="12033" width="17.5546875" style="323" bestFit="1" customWidth="1"/>
    <col min="12034" max="12040" width="6.6640625" style="323" customWidth="1"/>
    <col min="12041" max="12041" width="6.88671875" style="323" customWidth="1"/>
    <col min="12042" max="12042" width="6.6640625" style="323" customWidth="1"/>
    <col min="12043" max="12043" width="14.109375" style="323" customWidth="1"/>
    <col min="12044" max="12044" width="11.6640625" style="323" bestFit="1" customWidth="1"/>
    <col min="12045" max="12045" width="11.5546875" style="323"/>
    <col min="12046" max="12046" width="11.6640625" style="323" bestFit="1" customWidth="1"/>
    <col min="12047" max="12288" width="11.5546875" style="323"/>
    <col min="12289" max="12289" width="17.5546875" style="323" bestFit="1" customWidth="1"/>
    <col min="12290" max="12296" width="6.6640625" style="323" customWidth="1"/>
    <col min="12297" max="12297" width="6.88671875" style="323" customWidth="1"/>
    <col min="12298" max="12298" width="6.6640625" style="323" customWidth="1"/>
    <col min="12299" max="12299" width="14.109375" style="323" customWidth="1"/>
    <col min="12300" max="12300" width="11.6640625" style="323" bestFit="1" customWidth="1"/>
    <col min="12301" max="12301" width="11.5546875" style="323"/>
    <col min="12302" max="12302" width="11.6640625" style="323" bestFit="1" customWidth="1"/>
    <col min="12303" max="12544" width="11.5546875" style="323"/>
    <col min="12545" max="12545" width="17.5546875" style="323" bestFit="1" customWidth="1"/>
    <col min="12546" max="12552" width="6.6640625" style="323" customWidth="1"/>
    <col min="12553" max="12553" width="6.88671875" style="323" customWidth="1"/>
    <col min="12554" max="12554" width="6.6640625" style="323" customWidth="1"/>
    <col min="12555" max="12555" width="14.109375" style="323" customWidth="1"/>
    <col min="12556" max="12556" width="11.6640625" style="323" bestFit="1" customWidth="1"/>
    <col min="12557" max="12557" width="11.5546875" style="323"/>
    <col min="12558" max="12558" width="11.6640625" style="323" bestFit="1" customWidth="1"/>
    <col min="12559" max="12800" width="11.5546875" style="323"/>
    <col min="12801" max="12801" width="17.5546875" style="323" bestFit="1" customWidth="1"/>
    <col min="12802" max="12808" width="6.6640625" style="323" customWidth="1"/>
    <col min="12809" max="12809" width="6.88671875" style="323" customWidth="1"/>
    <col min="12810" max="12810" width="6.6640625" style="323" customWidth="1"/>
    <col min="12811" max="12811" width="14.109375" style="323" customWidth="1"/>
    <col min="12812" max="12812" width="11.6640625" style="323" bestFit="1" customWidth="1"/>
    <col min="12813" max="12813" width="11.5546875" style="323"/>
    <col min="12814" max="12814" width="11.6640625" style="323" bestFit="1" customWidth="1"/>
    <col min="12815" max="13056" width="11.5546875" style="323"/>
    <col min="13057" max="13057" width="17.5546875" style="323" bestFit="1" customWidth="1"/>
    <col min="13058" max="13064" width="6.6640625" style="323" customWidth="1"/>
    <col min="13065" max="13065" width="6.88671875" style="323" customWidth="1"/>
    <col min="13066" max="13066" width="6.6640625" style="323" customWidth="1"/>
    <col min="13067" max="13067" width="14.109375" style="323" customWidth="1"/>
    <col min="13068" max="13068" width="11.6640625" style="323" bestFit="1" customWidth="1"/>
    <col min="13069" max="13069" width="11.5546875" style="323"/>
    <col min="13070" max="13070" width="11.6640625" style="323" bestFit="1" customWidth="1"/>
    <col min="13071" max="13312" width="11.5546875" style="323"/>
    <col min="13313" max="13313" width="17.5546875" style="323" bestFit="1" customWidth="1"/>
    <col min="13314" max="13320" width="6.6640625" style="323" customWidth="1"/>
    <col min="13321" max="13321" width="6.88671875" style="323" customWidth="1"/>
    <col min="13322" max="13322" width="6.6640625" style="323" customWidth="1"/>
    <col min="13323" max="13323" width="14.109375" style="323" customWidth="1"/>
    <col min="13324" max="13324" width="11.6640625" style="323" bestFit="1" customWidth="1"/>
    <col min="13325" max="13325" width="11.5546875" style="323"/>
    <col min="13326" max="13326" width="11.6640625" style="323" bestFit="1" customWidth="1"/>
    <col min="13327" max="13568" width="11.5546875" style="323"/>
    <col min="13569" max="13569" width="17.5546875" style="323" bestFit="1" customWidth="1"/>
    <col min="13570" max="13576" width="6.6640625" style="323" customWidth="1"/>
    <col min="13577" max="13577" width="6.88671875" style="323" customWidth="1"/>
    <col min="13578" max="13578" width="6.6640625" style="323" customWidth="1"/>
    <col min="13579" max="13579" width="14.109375" style="323" customWidth="1"/>
    <col min="13580" max="13580" width="11.6640625" style="323" bestFit="1" customWidth="1"/>
    <col min="13581" max="13581" width="11.5546875" style="323"/>
    <col min="13582" max="13582" width="11.6640625" style="323" bestFit="1" customWidth="1"/>
    <col min="13583" max="13824" width="11.5546875" style="323"/>
    <col min="13825" max="13825" width="17.5546875" style="323" bestFit="1" customWidth="1"/>
    <col min="13826" max="13832" width="6.6640625" style="323" customWidth="1"/>
    <col min="13833" max="13833" width="6.88671875" style="323" customWidth="1"/>
    <col min="13834" max="13834" width="6.6640625" style="323" customWidth="1"/>
    <col min="13835" max="13835" width="14.109375" style="323" customWidth="1"/>
    <col min="13836" max="13836" width="11.6640625" style="323" bestFit="1" customWidth="1"/>
    <col min="13837" max="13837" width="11.5546875" style="323"/>
    <col min="13838" max="13838" width="11.6640625" style="323" bestFit="1" customWidth="1"/>
    <col min="13839" max="14080" width="11.5546875" style="323"/>
    <col min="14081" max="14081" width="17.5546875" style="323" bestFit="1" customWidth="1"/>
    <col min="14082" max="14088" width="6.6640625" style="323" customWidth="1"/>
    <col min="14089" max="14089" width="6.88671875" style="323" customWidth="1"/>
    <col min="14090" max="14090" width="6.6640625" style="323" customWidth="1"/>
    <col min="14091" max="14091" width="14.109375" style="323" customWidth="1"/>
    <col min="14092" max="14092" width="11.6640625" style="323" bestFit="1" customWidth="1"/>
    <col min="14093" max="14093" width="11.5546875" style="323"/>
    <col min="14094" max="14094" width="11.6640625" style="323" bestFit="1" customWidth="1"/>
    <col min="14095" max="14336" width="11.5546875" style="323"/>
    <col min="14337" max="14337" width="17.5546875" style="323" bestFit="1" customWidth="1"/>
    <col min="14338" max="14344" width="6.6640625" style="323" customWidth="1"/>
    <col min="14345" max="14345" width="6.88671875" style="323" customWidth="1"/>
    <col min="14346" max="14346" width="6.6640625" style="323" customWidth="1"/>
    <col min="14347" max="14347" width="14.109375" style="323" customWidth="1"/>
    <col min="14348" max="14348" width="11.6640625" style="323" bestFit="1" customWidth="1"/>
    <col min="14349" max="14349" width="11.5546875" style="323"/>
    <col min="14350" max="14350" width="11.6640625" style="323" bestFit="1" customWidth="1"/>
    <col min="14351" max="14592" width="11.5546875" style="323"/>
    <col min="14593" max="14593" width="17.5546875" style="323" bestFit="1" customWidth="1"/>
    <col min="14594" max="14600" width="6.6640625" style="323" customWidth="1"/>
    <col min="14601" max="14601" width="6.88671875" style="323" customWidth="1"/>
    <col min="14602" max="14602" width="6.6640625" style="323" customWidth="1"/>
    <col min="14603" max="14603" width="14.109375" style="323" customWidth="1"/>
    <col min="14604" max="14604" width="11.6640625" style="323" bestFit="1" customWidth="1"/>
    <col min="14605" max="14605" width="11.5546875" style="323"/>
    <col min="14606" max="14606" width="11.6640625" style="323" bestFit="1" customWidth="1"/>
    <col min="14607" max="14848" width="11.5546875" style="323"/>
    <col min="14849" max="14849" width="17.5546875" style="323" bestFit="1" customWidth="1"/>
    <col min="14850" max="14856" width="6.6640625" style="323" customWidth="1"/>
    <col min="14857" max="14857" width="6.88671875" style="323" customWidth="1"/>
    <col min="14858" max="14858" width="6.6640625" style="323" customWidth="1"/>
    <col min="14859" max="14859" width="14.109375" style="323" customWidth="1"/>
    <col min="14860" max="14860" width="11.6640625" style="323" bestFit="1" customWidth="1"/>
    <col min="14861" max="14861" width="11.5546875" style="323"/>
    <col min="14862" max="14862" width="11.6640625" style="323" bestFit="1" customWidth="1"/>
    <col min="14863" max="15104" width="11.5546875" style="323"/>
    <col min="15105" max="15105" width="17.5546875" style="323" bestFit="1" customWidth="1"/>
    <col min="15106" max="15112" width="6.6640625" style="323" customWidth="1"/>
    <col min="15113" max="15113" width="6.88671875" style="323" customWidth="1"/>
    <col min="15114" max="15114" width="6.6640625" style="323" customWidth="1"/>
    <col min="15115" max="15115" width="14.109375" style="323" customWidth="1"/>
    <col min="15116" max="15116" width="11.6640625" style="323" bestFit="1" customWidth="1"/>
    <col min="15117" max="15117" width="11.5546875" style="323"/>
    <col min="15118" max="15118" width="11.6640625" style="323" bestFit="1" customWidth="1"/>
    <col min="15119" max="15360" width="11.5546875" style="323"/>
    <col min="15361" max="15361" width="17.5546875" style="323" bestFit="1" customWidth="1"/>
    <col min="15362" max="15368" width="6.6640625" style="323" customWidth="1"/>
    <col min="15369" max="15369" width="6.88671875" style="323" customWidth="1"/>
    <col min="15370" max="15370" width="6.6640625" style="323" customWidth="1"/>
    <col min="15371" max="15371" width="14.109375" style="323" customWidth="1"/>
    <col min="15372" max="15372" width="11.6640625" style="323" bestFit="1" customWidth="1"/>
    <col min="15373" max="15373" width="11.5546875" style="323"/>
    <col min="15374" max="15374" width="11.6640625" style="323" bestFit="1" customWidth="1"/>
    <col min="15375" max="15616" width="11.5546875" style="323"/>
    <col min="15617" max="15617" width="17.5546875" style="323" bestFit="1" customWidth="1"/>
    <col min="15618" max="15624" width="6.6640625" style="323" customWidth="1"/>
    <col min="15625" max="15625" width="6.88671875" style="323" customWidth="1"/>
    <col min="15626" max="15626" width="6.6640625" style="323" customWidth="1"/>
    <col min="15627" max="15627" width="14.109375" style="323" customWidth="1"/>
    <col min="15628" max="15628" width="11.6640625" style="323" bestFit="1" customWidth="1"/>
    <col min="15629" max="15629" width="11.5546875" style="323"/>
    <col min="15630" max="15630" width="11.6640625" style="323" bestFit="1" customWidth="1"/>
    <col min="15631" max="15872" width="11.5546875" style="323"/>
    <col min="15873" max="15873" width="17.5546875" style="323" bestFit="1" customWidth="1"/>
    <col min="15874" max="15880" width="6.6640625" style="323" customWidth="1"/>
    <col min="15881" max="15881" width="6.88671875" style="323" customWidth="1"/>
    <col min="15882" max="15882" width="6.6640625" style="323" customWidth="1"/>
    <col min="15883" max="15883" width="14.109375" style="323" customWidth="1"/>
    <col min="15884" max="15884" width="11.6640625" style="323" bestFit="1" customWidth="1"/>
    <col min="15885" max="15885" width="11.5546875" style="323"/>
    <col min="15886" max="15886" width="11.6640625" style="323" bestFit="1" customWidth="1"/>
    <col min="15887" max="16128" width="11.5546875" style="323"/>
    <col min="16129" max="16129" width="17.5546875" style="323" bestFit="1" customWidth="1"/>
    <col min="16130" max="16136" width="6.6640625" style="323" customWidth="1"/>
    <col min="16137" max="16137" width="6.88671875" style="323" customWidth="1"/>
    <col min="16138" max="16138" width="6.6640625" style="323" customWidth="1"/>
    <col min="16139" max="16139" width="14.109375" style="323" customWidth="1"/>
    <col min="16140" max="16140" width="11.6640625" style="323" bestFit="1" customWidth="1"/>
    <col min="16141" max="16141" width="11.5546875" style="323"/>
    <col min="16142" max="16142" width="11.6640625" style="323" bestFit="1" customWidth="1"/>
    <col min="16143" max="16384" width="11.5546875" style="323"/>
  </cols>
  <sheetData>
    <row r="1" spans="1:17" x14ac:dyDescent="0.25">
      <c r="A1" s="372" t="s">
        <v>981</v>
      </c>
      <c r="B1" s="373"/>
      <c r="C1" s="373"/>
      <c r="D1" s="373"/>
      <c r="E1" s="373"/>
      <c r="F1" s="374"/>
      <c r="G1" s="374"/>
      <c r="H1" s="374"/>
      <c r="I1" s="418"/>
      <c r="J1" s="374"/>
      <c r="K1" s="957" t="s">
        <v>982</v>
      </c>
      <c r="L1" s="957"/>
      <c r="M1" s="957"/>
      <c r="N1" s="957"/>
      <c r="O1" s="957"/>
      <c r="P1" s="957"/>
      <c r="Q1" s="957"/>
    </row>
    <row r="2" spans="1:17" x14ac:dyDescent="0.25">
      <c r="A2" s="340" t="s">
        <v>983</v>
      </c>
      <c r="B2" s="956"/>
      <c r="C2" s="956"/>
      <c r="D2" s="956"/>
      <c r="E2" s="956"/>
      <c r="F2" s="956"/>
      <c r="G2" s="956"/>
      <c r="H2" s="956"/>
      <c r="I2" s="956"/>
      <c r="J2" s="956"/>
    </row>
    <row r="3" spans="1:17" x14ac:dyDescent="0.25">
      <c r="A3" s="340" t="s">
        <v>135</v>
      </c>
      <c r="B3" s="956"/>
      <c r="C3" s="956"/>
      <c r="D3" s="956"/>
      <c r="E3" s="956"/>
      <c r="F3" s="956"/>
      <c r="G3" s="956"/>
      <c r="H3" s="956"/>
      <c r="I3" s="956"/>
      <c r="J3" s="956"/>
      <c r="K3" s="375" t="s">
        <v>984</v>
      </c>
      <c r="L3" s="376"/>
      <c r="M3" s="376"/>
      <c r="N3" s="958" t="s">
        <v>985</v>
      </c>
      <c r="O3" s="958"/>
      <c r="P3" s="958"/>
      <c r="Q3" s="376"/>
    </row>
    <row r="4" spans="1:17" ht="13.8" thickBot="1" x14ac:dyDescent="0.3">
      <c r="A4" s="340" t="s">
        <v>220</v>
      </c>
      <c r="B4" s="956"/>
      <c r="C4" s="956"/>
      <c r="D4" s="956"/>
      <c r="E4" s="956"/>
      <c r="F4" s="956"/>
      <c r="G4" s="956"/>
      <c r="H4" s="956"/>
      <c r="I4" s="956"/>
      <c r="J4" s="956"/>
      <c r="K4" s="340" t="s">
        <v>986</v>
      </c>
      <c r="N4" s="354" t="s">
        <v>987</v>
      </c>
      <c r="O4" s="354" t="s">
        <v>988</v>
      </c>
      <c r="P4" s="413" t="s">
        <v>989</v>
      </c>
    </row>
    <row r="5" spans="1:17" ht="13.8" thickBot="1" x14ac:dyDescent="0.3">
      <c r="A5" s="340" t="s">
        <v>1057</v>
      </c>
      <c r="B5" s="406">
        <f>'FICHA INICIAL'!I4</f>
        <v>2</v>
      </c>
      <c r="D5" s="402"/>
      <c r="E5" s="403"/>
      <c r="F5" s="404"/>
      <c r="G5" s="404"/>
      <c r="H5" s="404"/>
      <c r="I5" s="419"/>
      <c r="K5" s="340" t="s">
        <v>990</v>
      </c>
      <c r="L5" s="349">
        <f>IF(B5=1,(495/(1.1765-(0.0744*LOG(SUM(E27+E28+E29+E30)))))-450,((495/(1.1567-(0.0717*LOG(SUM(E27+E28+E29+E30)))))-450))</f>
        <v>38.726518362637819</v>
      </c>
      <c r="N5" s="377">
        <f>IF(B5=1,(L5-[3]ARGOREF_MASC!D54)/[3]ARGOREF_MASC!E54,(L5-[3]ARGOREF_FEM!D54)/[3]ARGOREF_FEM!E54)</f>
        <v>3.0734169691830378</v>
      </c>
      <c r="O5" s="378">
        <f>NORMSDIST(N5)</f>
        <v>0.99894188715672227</v>
      </c>
      <c r="P5" s="414" t="str">
        <f>IF(O5&lt;5%,"MUY BAJO",IF(O5&lt;15%,"BAJO",IF(O5&lt;85%,"NORMAL",IF(O5&lt;95%,"ELEVADO","MUY ELEVADO"))))</f>
        <v>MUY ELEVADO</v>
      </c>
    </row>
    <row r="6" spans="1:17" x14ac:dyDescent="0.25">
      <c r="A6" s="340" t="s">
        <v>991</v>
      </c>
      <c r="B6" s="408">
        <f>'FICHA INICIAL'!H9</f>
        <v>33027</v>
      </c>
      <c r="D6" s="402"/>
      <c r="E6" s="403"/>
      <c r="F6" s="404"/>
      <c r="G6" s="404"/>
      <c r="H6" s="404"/>
      <c r="I6" s="419"/>
      <c r="K6" s="340" t="s">
        <v>992</v>
      </c>
      <c r="L6" s="349">
        <f>E10*L5/100</f>
        <v>24.010441384835449</v>
      </c>
    </row>
    <row r="7" spans="1:17" x14ac:dyDescent="0.25">
      <c r="A7" s="340" t="s">
        <v>993</v>
      </c>
      <c r="B7" s="408">
        <v>44536</v>
      </c>
      <c r="K7" s="340" t="s">
        <v>994</v>
      </c>
      <c r="L7" s="349">
        <f>E10-L6</f>
        <v>37.989558615164555</v>
      </c>
    </row>
    <row r="8" spans="1:17" x14ac:dyDescent="0.25">
      <c r="A8" s="340" t="s">
        <v>995</v>
      </c>
      <c r="B8" s="409">
        <f>(B7-B6)/365.25</f>
        <v>31.509924709103355</v>
      </c>
      <c r="C8" s="350" t="s">
        <v>996</v>
      </c>
      <c r="K8" s="334"/>
      <c r="L8" s="379"/>
      <c r="M8" s="379"/>
      <c r="N8" s="379"/>
      <c r="O8" s="379"/>
      <c r="P8" s="379"/>
      <c r="Q8" s="379"/>
    </row>
    <row r="9" spans="1:17" x14ac:dyDescent="0.25">
      <c r="A9" s="372" t="s">
        <v>997</v>
      </c>
      <c r="B9" s="373" t="s">
        <v>998</v>
      </c>
      <c r="C9" s="373" t="s">
        <v>999</v>
      </c>
      <c r="D9" s="373" t="s">
        <v>1000</v>
      </c>
      <c r="E9" s="373" t="s">
        <v>1001</v>
      </c>
      <c r="F9" s="374"/>
      <c r="G9" s="373" t="s">
        <v>1002</v>
      </c>
      <c r="H9" s="373" t="s">
        <v>1003</v>
      </c>
      <c r="I9" s="421" t="s">
        <v>989</v>
      </c>
      <c r="J9" s="373"/>
      <c r="K9" s="375" t="s">
        <v>389</v>
      </c>
      <c r="L9" s="376"/>
      <c r="M9" s="376"/>
      <c r="N9" s="376"/>
      <c r="O9" s="376"/>
      <c r="P9" s="376"/>
      <c r="Q9" s="376"/>
    </row>
    <row r="10" spans="1:17" ht="13.8" thickBot="1" x14ac:dyDescent="0.3">
      <c r="A10" s="340" t="s">
        <v>1004</v>
      </c>
      <c r="B10" s="380">
        <v>62</v>
      </c>
      <c r="C10" s="380">
        <v>62</v>
      </c>
      <c r="D10" s="380">
        <v>62</v>
      </c>
      <c r="E10" s="349">
        <f>MEDIAN(B10:D10)</f>
        <v>62</v>
      </c>
      <c r="F10" s="381">
        <f>IF($B$5=1,(E10*([3]ARGOREF_MASC!$D$5/$E$11)),(E10*([3]ARGOREF_FEM!$D$5/$E$11)))</f>
        <v>60.834510759236672</v>
      </c>
      <c r="G10" s="377">
        <f>IF($B$5=1,(F10-[3]ARGOREF_MASC!D4)/[3]ARGOREF_MASC!E4,(F10-[3]ARGOREF_FEM!D4)/[3]ARGOREF_FEM!E4)</f>
        <v>0.45787701974739969</v>
      </c>
      <c r="H10" s="382">
        <f>NORMSDIST(G10)</f>
        <v>0.67647960116756267</v>
      </c>
      <c r="I10" s="422" t="str">
        <f>IF(H10&lt;5%,"MUY BAJO",IF(H10&lt;15%,"BAJO",IF(H10&lt;85%,"NORMAL",IF(H10&lt;95%,"ELEVADO","MUY ELEVADO"))))</f>
        <v>NORMAL</v>
      </c>
      <c r="K10" s="340" t="s">
        <v>1005</v>
      </c>
    </row>
    <row r="11" spans="1:17" ht="13.8" thickBot="1" x14ac:dyDescent="0.3">
      <c r="A11" s="340" t="s">
        <v>1006</v>
      </c>
      <c r="B11" s="380">
        <v>164</v>
      </c>
      <c r="C11" s="380">
        <v>164.2</v>
      </c>
      <c r="D11" s="380">
        <v>164.3</v>
      </c>
      <c r="E11" s="349">
        <f t="shared" ref="E11:E34" si="0">MEDIAN(B11:D11)</f>
        <v>164.2</v>
      </c>
      <c r="F11" s="381">
        <f>IF($B$5=1,(E11*([3]ARGOREF_MASC!$D$5/$E$11)),(E11*([3]ARGOREF_FEM!$D$5/$E$11)))</f>
        <v>161.11333333333323</v>
      </c>
      <c r="G11" s="377">
        <f>IF($B$5=1,(E11-[3]ARGOREF_MASC!D5)/[3]ARGOREF_MASC!E5,(E11-[3]ARGOREF_FEM!D5)/[3]ARGOREF_FEM!E5)</f>
        <v>0.46125599197320521</v>
      </c>
      <c r="H11" s="382">
        <f t="shared" ref="H11:H34" si="1">NORMSDIST(G11)</f>
        <v>0.67769252276538561</v>
      </c>
      <c r="I11" s="422" t="str">
        <f t="shared" ref="I11:I34" si="2">IF(H11&lt;5%,"MUY BAJO",IF(H11&lt;15%,"BAJO",IF(H11&lt;85%,"NORMAL",IF(H11&lt;95%,"ELEVADO","MUY ELEVADO"))))</f>
        <v>NORMAL</v>
      </c>
      <c r="K11" s="340" t="s">
        <v>1007</v>
      </c>
      <c r="L11" s="349">
        <f>(E11*(0.0553*(E19-E33*0.3141)^2+0.0987*(E16)^2+0.0331*(E20-E34*0.3141)^2)-2445)*0.001</f>
        <v>29.150612647415677</v>
      </c>
      <c r="N11" s="377">
        <f>IF(B5=1,(L11-[3]ARGOREF_MASC!D50)/[3]ARGOREF_MASC!E50,(L11-[3]ARGOREF_FEM!D50)/[3]ARGOREF_FEM!E50)</f>
        <v>0.20562056015263899</v>
      </c>
      <c r="O11" s="378">
        <f>NORMSDIST(N11)</f>
        <v>0.58145634199221052</v>
      </c>
      <c r="P11" s="415" t="str">
        <f>IF(O11&lt;5%,"MUY BAJO",IF(O11&lt;15%,"BAJO",IF(O11&lt;85%,"NORMAL",IF(O11&lt;95%,"ELEVADO","MUY ELEVADO"))))</f>
        <v>NORMAL</v>
      </c>
    </row>
    <row r="12" spans="1:17" x14ac:dyDescent="0.25">
      <c r="A12" s="340" t="s">
        <v>1008</v>
      </c>
      <c r="B12" s="380">
        <v>85</v>
      </c>
      <c r="C12" s="380">
        <v>86</v>
      </c>
      <c r="D12" s="380">
        <v>86</v>
      </c>
      <c r="E12" s="349">
        <f t="shared" si="0"/>
        <v>86</v>
      </c>
      <c r="F12" s="381">
        <f>IF($B$5=1,(E12*([3]ARGOREF_MASC!$D$5/$E$11)),(E12*([3]ARGOREF_FEM!$D$5/$E$11)))</f>
        <v>84.38335363377989</v>
      </c>
      <c r="G12" s="377">
        <f>IF($B$5=1,(F12-[3]ARGOREF_MASC!D6)/[3]ARGOREF_MASC!E6,(F12-[3]ARGOREF_FEM!D6)/[3]ARGOREF_FEM!E6)</f>
        <v>-0.4135190683968859</v>
      </c>
      <c r="H12" s="382">
        <f t="shared" si="1"/>
        <v>0.33961317737305674</v>
      </c>
      <c r="I12" s="422" t="str">
        <f t="shared" si="2"/>
        <v>NORMAL</v>
      </c>
      <c r="K12" s="340" t="s">
        <v>1009</v>
      </c>
      <c r="L12" s="378">
        <f>(L11/E10)</f>
        <v>0.47017117173251094</v>
      </c>
    </row>
    <row r="13" spans="1:17" x14ac:dyDescent="0.25">
      <c r="A13" s="372" t="s">
        <v>939</v>
      </c>
      <c r="B13" s="383"/>
      <c r="C13" s="383"/>
      <c r="D13" s="383"/>
      <c r="E13" s="383"/>
      <c r="F13" s="384"/>
      <c r="G13" s="385"/>
      <c r="H13" s="386"/>
      <c r="I13" s="423"/>
      <c r="J13" s="374"/>
    </row>
    <row r="14" spans="1:17" ht="13.8" thickBot="1" x14ac:dyDescent="0.3">
      <c r="A14" s="340" t="s">
        <v>7</v>
      </c>
      <c r="B14" s="380">
        <v>30</v>
      </c>
      <c r="C14" s="380">
        <v>30.2</v>
      </c>
      <c r="D14" s="380">
        <v>30.1</v>
      </c>
      <c r="E14" s="349">
        <f t="shared" si="0"/>
        <v>30.1</v>
      </c>
      <c r="F14" s="381">
        <f>IF($B$5=1,(E14*([3]ARGOREF_MASC!$D$5/E11)),(E14*([3]ARGOREF_FEM!$D$5/$E$11)))</f>
        <v>29.534173771822964</v>
      </c>
      <c r="G14" s="377">
        <f>IF($B$5=1,(F14-[3]ARGOREF_MASC!D25)/[3]ARGOREF_MASC!E25,(F14-[3]ARGOREF_FEM!D25)/[3]ARGOREF_FEM!E25)</f>
        <v>1.0186679552530016</v>
      </c>
      <c r="H14" s="382">
        <f t="shared" si="1"/>
        <v>0.84581968466825175</v>
      </c>
      <c r="I14" s="422" t="str">
        <f t="shared" si="2"/>
        <v>NORMAL</v>
      </c>
      <c r="K14" s="340" t="s">
        <v>1010</v>
      </c>
    </row>
    <row r="15" spans="1:17" ht="13.8" thickBot="1" x14ac:dyDescent="0.3">
      <c r="A15" s="340" t="s">
        <v>1011</v>
      </c>
      <c r="B15" s="380">
        <v>30.7</v>
      </c>
      <c r="C15" s="380">
        <v>30.5</v>
      </c>
      <c r="D15" s="380">
        <v>3.6</v>
      </c>
      <c r="E15" s="349">
        <f t="shared" si="0"/>
        <v>30.5</v>
      </c>
      <c r="F15" s="381">
        <f>IF($B$5=1,(E15*([3]ARGOREF_MASC!$D$5/$E$11)),(E15*([3]ARGOREF_FEM!$D$5/$E$11)))</f>
        <v>29.926654486398682</v>
      </c>
      <c r="G15" s="377">
        <f>IF($B$5=1,(F15-[3]ARGOREF_MASC!D26)/[3]ARGOREF_MASC!E26,(F15-[3]ARGOREF_FEM!D26)/[3]ARGOREF_FEM!E26)</f>
        <v>1.0262382580038121</v>
      </c>
      <c r="H15" s="382">
        <f t="shared" si="1"/>
        <v>0.84761035396318662</v>
      </c>
      <c r="I15" s="422" t="str">
        <f t="shared" si="2"/>
        <v>NORMAL</v>
      </c>
      <c r="K15" s="340" t="s">
        <v>1007</v>
      </c>
      <c r="L15" s="349">
        <f>(E11*0.01)*(0.00744*(E14-(E27*0.314))^2+0.00088*(E19-(E33*0.314))^2+0.00441*(E20-(E34*0.314))^2)+(2.4*B5)-(0.048*B8)+7.8</f>
        <v>26.477184641525039</v>
      </c>
      <c r="N15" s="377">
        <f>IF(B5=1,(L15-[3]ARGOREF_MASC!D52)/[3]ARGOREF_MASC!E52,(L15-[3]ARGOREF_FEM!D52)/[3]ARGOREF_FEM!E52)</f>
        <v>4.0783236505181186E-3</v>
      </c>
      <c r="O15" s="378">
        <f>NORMSDIST(N15)</f>
        <v>0.5016270112270802</v>
      </c>
      <c r="P15" s="415" t="str">
        <f>IF(O15&lt;5%,"MUY BAJO",IF(O15&lt;15%,"BAJO",IF(O15&lt;85%,"NORMAL",IF(O15&lt;95%,"ELEVADO","MUY ELEVADO"))))</f>
        <v>NORMAL</v>
      </c>
    </row>
    <row r="16" spans="1:17" x14ac:dyDescent="0.25">
      <c r="A16" s="340" t="s">
        <v>1012</v>
      </c>
      <c r="B16" s="380">
        <v>23.4</v>
      </c>
      <c r="C16" s="380">
        <v>23.5</v>
      </c>
      <c r="D16" s="380">
        <v>23.4</v>
      </c>
      <c r="E16" s="349">
        <f t="shared" si="0"/>
        <v>23.4</v>
      </c>
      <c r="F16" s="381">
        <f>IF($B$5=1,(E16*([3]ARGOREF_MASC!$D$5/$E$11)),(E16*([3]ARGOREF_FEM!$D$5/$E$11)))</f>
        <v>22.960121802679645</v>
      </c>
      <c r="G16" s="377">
        <f>IF($B$5=1,(F16-[3]ARGOREF_MASC!D27)/[3]ARGOREF_MASC!E27,(F16-[3]ARGOREF_FEM!D27)/[3]ARGOREF_FEM!E27)</f>
        <v>-0.10135549271084608</v>
      </c>
      <c r="H16" s="382">
        <f t="shared" si="1"/>
        <v>0.45963413306866635</v>
      </c>
      <c r="I16" s="422" t="str">
        <f t="shared" si="2"/>
        <v>NORMAL</v>
      </c>
      <c r="K16" s="340" t="s">
        <v>1009</v>
      </c>
      <c r="L16" s="378">
        <f>(L15/E10)</f>
        <v>0.42705136518588771</v>
      </c>
    </row>
    <row r="17" spans="1:17" x14ac:dyDescent="0.25">
      <c r="A17" s="340" t="s">
        <v>1013</v>
      </c>
      <c r="B17" s="380">
        <v>77.5</v>
      </c>
      <c r="C17" s="380">
        <v>77.400000000000006</v>
      </c>
      <c r="D17" s="380">
        <v>77.5</v>
      </c>
      <c r="E17" s="349">
        <f t="shared" si="0"/>
        <v>77.5</v>
      </c>
      <c r="F17" s="381">
        <f>IF($B$5=1,(E17*([3]ARGOREF_MASC!$D$5/$E$11)),(E17*([3]ARGOREF_FEM!$D$5/$E$11)))</f>
        <v>76.043138449045841</v>
      </c>
      <c r="G17" s="377">
        <f>IF($B$5=1,(F17-[3]ARGOREF_MASC!D30)/[3]ARGOREF_MASC!E30,(F17-[3]ARGOREF_FEM!D30)/[3]ARGOREF_FEM!E30)</f>
        <v>0.98348709833474246</v>
      </c>
      <c r="H17" s="382">
        <f t="shared" si="1"/>
        <v>0.83731611899772052</v>
      </c>
      <c r="I17" s="422" t="str">
        <f t="shared" si="2"/>
        <v>NORMAL</v>
      </c>
      <c r="L17" s="378"/>
      <c r="Q17" s="379"/>
    </row>
    <row r="18" spans="1:17" ht="14.4" x14ac:dyDescent="0.3">
      <c r="A18" s="340" t="s">
        <v>1014</v>
      </c>
      <c r="B18" s="380">
        <v>97.7</v>
      </c>
      <c r="C18" s="380">
        <v>97.8</v>
      </c>
      <c r="D18" s="380">
        <v>97.6</v>
      </c>
      <c r="E18" s="349">
        <f t="shared" si="0"/>
        <v>97.7</v>
      </c>
      <c r="F18" s="381">
        <f>IF($B$5=1,(E18*([3]ARGOREF_MASC!$D$5/$E$11)),(E18*([3]ARGOREF_FEM!$D$5/$E$11)))</f>
        <v>95.863414535119716</v>
      </c>
      <c r="G18" s="377">
        <f>IF($B$5=1,(F18-[3]ARGOREF_MASC!D31)/[3]ARGOREF_MASC!E31,(F18-[3]ARGOREF_FEM!D31)/[3]ARGOREF_FEM!E31)</f>
        <v>3.8616768718084109E-2</v>
      </c>
      <c r="H18" s="382">
        <f t="shared" si="1"/>
        <v>0.51540203361952597</v>
      </c>
      <c r="I18" s="422" t="str">
        <f t="shared" si="2"/>
        <v>NORMAL</v>
      </c>
      <c r="K18" s="426" t="s">
        <v>1015</v>
      </c>
      <c r="L18" s="427"/>
      <c r="M18" s="427"/>
      <c r="N18" s="427"/>
      <c r="O18" s="427"/>
      <c r="P18" s="427"/>
      <c r="Q18" s="376"/>
    </row>
    <row r="19" spans="1:17" ht="15" thickBot="1" x14ac:dyDescent="0.35">
      <c r="A19" s="340" t="s">
        <v>1016</v>
      </c>
      <c r="B19" s="380">
        <v>52</v>
      </c>
      <c r="C19" s="380">
        <v>52.5</v>
      </c>
      <c r="D19" s="380">
        <v>52</v>
      </c>
      <c r="E19" s="349">
        <f t="shared" si="0"/>
        <v>52</v>
      </c>
      <c r="F19" s="381">
        <f>IF($B$5=1,(E19*([3]ARGOREF_MASC!$D$5/$E$11)),(E19*([3]ARGOREF_FEM!$D$5/$E$11)))</f>
        <v>51.022492894843658</v>
      </c>
      <c r="G19" s="377">
        <f>IF($B$5=1,(F19-[3]ARGOREF_MASC!D33)/[3]ARGOREF_MASC!E33,(F19-[3]ARGOREF_FEM!D33)/[3]ARGOREF_FEM!E33)</f>
        <v>0.56848209689604656</v>
      </c>
      <c r="H19" s="382">
        <f t="shared" si="1"/>
        <v>0.71514617055412577</v>
      </c>
      <c r="I19" s="422" t="str">
        <f t="shared" si="2"/>
        <v>NORMAL</v>
      </c>
      <c r="K19" s="428" t="s">
        <v>1017</v>
      </c>
      <c r="L19"/>
      <c r="M19"/>
      <c r="N19"/>
      <c r="O19"/>
      <c r="P19"/>
    </row>
    <row r="20" spans="1:17" ht="15" thickBot="1" x14ac:dyDescent="0.35">
      <c r="A20" s="340" t="s">
        <v>1018</v>
      </c>
      <c r="B20" s="380">
        <v>37</v>
      </c>
      <c r="C20" s="380">
        <v>37</v>
      </c>
      <c r="D20" s="380">
        <v>37</v>
      </c>
      <c r="E20" s="349">
        <f t="shared" si="0"/>
        <v>37</v>
      </c>
      <c r="F20" s="381">
        <f>IF($B$5=1,(E20*([3]ARGOREF_MASC!$D$5/$E$11)),(E20*([3]ARGOREF_FEM!$D$5/$E$11)))</f>
        <v>36.304466098254139</v>
      </c>
      <c r="G20" s="377">
        <f>IF($B$5=1,(F20-[3]ARGOREF_MASC!D34)/[3]ARGOREF_MASC!E34,(F20-[3]ARGOREF_FEM!D34)/[3]ARGOREF_FEM!E34)</f>
        <v>0.83765127478136303</v>
      </c>
      <c r="H20" s="382">
        <f t="shared" si="1"/>
        <v>0.7988867068018739</v>
      </c>
      <c r="I20" s="422" t="str">
        <f t="shared" si="2"/>
        <v>NORMAL</v>
      </c>
      <c r="K20" s="428" t="s">
        <v>1019</v>
      </c>
      <c r="L20" s="429">
        <f>0.6*E11*(E22+E23+E24+E25)^2*0.0001</f>
        <v>7.2889036799999989</v>
      </c>
      <c r="M20"/>
      <c r="N20" s="430">
        <f>IF(B5=1,(L20-ARGOREF_MASC!D49)/ARGOREF_MASC!E49,(L20-ARGOREF_FEM!D49)/ARGOREF_FEM!E49)</f>
        <v>6.9932877020963236E-2</v>
      </c>
      <c r="O20" s="378">
        <f>NORMSDIST(N20)</f>
        <v>0.52787645744973433</v>
      </c>
      <c r="P20" s="431" t="str">
        <f>IF(O20&lt;5%,"MUY BAJO",IF(O20&lt;15%,"BAJO",IF(O20&lt;85%,"NORMAL",IF(O20&lt;95%,"ELEVADO","MUY ELEVADO"))))</f>
        <v>NORMAL</v>
      </c>
    </row>
    <row r="21" spans="1:17" ht="14.4" x14ac:dyDescent="0.3">
      <c r="A21" s="372" t="s">
        <v>934</v>
      </c>
      <c r="B21" s="383"/>
      <c r="C21" s="383"/>
      <c r="D21" s="383"/>
      <c r="E21" s="383"/>
      <c r="F21" s="384"/>
      <c r="G21" s="385"/>
      <c r="H21" s="386"/>
      <c r="I21" s="423"/>
      <c r="J21" s="374"/>
      <c r="K21" s="428" t="s">
        <v>1020</v>
      </c>
      <c r="L21" s="378">
        <f>L20/E10</f>
        <v>0.11756296258064515</v>
      </c>
      <c r="M21"/>
      <c r="N21"/>
      <c r="O21"/>
      <c r="P21"/>
    </row>
    <row r="22" spans="1:17" x14ac:dyDescent="0.25">
      <c r="A22" s="340" t="s">
        <v>4</v>
      </c>
      <c r="B22" s="380">
        <v>6.1</v>
      </c>
      <c r="C22" s="380">
        <v>6</v>
      </c>
      <c r="D22" s="380">
        <v>6</v>
      </c>
      <c r="E22" s="349">
        <f t="shared" si="0"/>
        <v>6</v>
      </c>
      <c r="F22" s="381">
        <f>IF($B$5=1,(E22*([3]ARGOREF_MASC!$D$5/$E$11)),(E22*([3]ARGOREF_FEM!$D$5/$E$11)))</f>
        <v>5.8872107186358065</v>
      </c>
      <c r="G22" s="377">
        <f>IF($B$5=1,(F22-[3]ARGOREF_MASC!D21)/[3]ARGOREF_MASC!E21,(F22-[3]ARGOREF_FEM!D21)/[3]ARGOREF_FEM!E21)</f>
        <v>-0.73034808038323917</v>
      </c>
      <c r="H22" s="382">
        <f t="shared" si="1"/>
        <v>0.23258872291176672</v>
      </c>
      <c r="I22" s="422" t="str">
        <f t="shared" si="2"/>
        <v>NORMAL</v>
      </c>
      <c r="K22" s="411"/>
      <c r="L22" s="410"/>
      <c r="M22" s="410"/>
      <c r="N22" s="410"/>
      <c r="O22" s="410"/>
      <c r="P22" s="410"/>
      <c r="Q22" s="379"/>
    </row>
    <row r="23" spans="1:17" x14ac:dyDescent="0.25">
      <c r="A23" s="340" t="s">
        <v>1022</v>
      </c>
      <c r="B23" s="380"/>
      <c r="C23" s="380"/>
      <c r="D23" s="380"/>
      <c r="E23" s="380">
        <v>5.6</v>
      </c>
      <c r="F23" s="381"/>
      <c r="G23" s="377">
        <f>IF($B$5=1,(F23-[3]ARGOREF_MASC!D22)/[3]ARGOREF_MASC!E22,(F23-[3]ARGOREF_FEM!D22)/[3]ARGOREF_FEM!E22)</f>
        <v>-16.259611535360083</v>
      </c>
      <c r="H23" s="382">
        <f t="shared" si="1"/>
        <v>9.5472371123330604E-60</v>
      </c>
      <c r="I23" s="422" t="str">
        <f t="shared" si="2"/>
        <v>MUY BAJO</v>
      </c>
      <c r="K23" s="375" t="s">
        <v>1021</v>
      </c>
      <c r="L23" s="376"/>
      <c r="M23" s="376"/>
      <c r="N23" s="376"/>
      <c r="O23" s="376"/>
      <c r="P23" s="376"/>
    </row>
    <row r="24" spans="1:17" ht="13.8" thickBot="1" x14ac:dyDescent="0.3">
      <c r="A24" s="340" t="s">
        <v>1024</v>
      </c>
      <c r="B24" s="380"/>
      <c r="C24" s="380"/>
      <c r="D24" s="380"/>
      <c r="E24" s="380">
        <v>6.9</v>
      </c>
      <c r="F24" s="381"/>
      <c r="G24" s="377">
        <f>IF($B$5=1,(F24-[3]ARGOREF_MASC!D23)/[3]ARGOREF_MASC!E23,(F24-[3]ARGOREF_FEM!D23)/[3]ARGOREF_FEM!E23)</f>
        <v>-35.132566230243057</v>
      </c>
      <c r="H24" s="382">
        <f t="shared" si="1"/>
        <v>1.0730387295540596E-270</v>
      </c>
      <c r="I24" s="422" t="str">
        <f t="shared" si="2"/>
        <v>MUY BAJO</v>
      </c>
      <c r="K24" s="340" t="s">
        <v>1023</v>
      </c>
    </row>
    <row r="25" spans="1:17" ht="13.8" thickBot="1" x14ac:dyDescent="0.3">
      <c r="A25" s="340" t="s">
        <v>5</v>
      </c>
      <c r="B25" s="380">
        <v>8.6999999999999993</v>
      </c>
      <c r="C25" s="380">
        <v>8.5</v>
      </c>
      <c r="D25" s="380">
        <v>8.8000000000000007</v>
      </c>
      <c r="E25" s="349">
        <f t="shared" si="0"/>
        <v>8.6999999999999993</v>
      </c>
      <c r="F25" s="381">
        <f>IF($B$5=1,(E25*([3]ARGOREF_MASC!$D$5/$E$11)),(E25*([3]ARGOREF_FEM!$D$5/$E$11)))</f>
        <v>8.536455542021919</v>
      </c>
      <c r="G25" s="377">
        <f>IF($B$5=1,(F25-[3]ARGOREF_MASC!D22)/[3]ARGOREF_MASC!E22,(F25-[3]ARGOREF_FEM!D22)/[3]ARGOREF_FEM!E22)</f>
        <v>-0.74069658388069093</v>
      </c>
      <c r="H25" s="382">
        <f t="shared" si="1"/>
        <v>0.22943871555680284</v>
      </c>
      <c r="I25" s="422" t="str">
        <f t="shared" si="2"/>
        <v>NORMAL</v>
      </c>
      <c r="L25" s="377">
        <f>(E10/(E11/100)^2)</f>
        <v>22.995633796757176</v>
      </c>
      <c r="N25" s="377">
        <f>IF(B5=1,(L25-[3]ARGOREF_MASC!D53)/[3]ARGOREF_MASC!E53,(L25-[3]ARGOREF_FEM!D53)/[3]ARGOREF_FEM!E53)</f>
        <v>0.46128218107267749</v>
      </c>
      <c r="O25" s="378">
        <f>NORMSDIST(N25)</f>
        <v>0.67770191628599941</v>
      </c>
      <c r="P25" s="416" t="str">
        <f>IF(O25&lt;5%,"MUY BAJO",IF(O25&lt;15%,"BAJO",IF(O25&lt;85%,"NORMAL",IF(O25&lt;95%,"ELEVADO","MUY ELEVADO"))))</f>
        <v>NORMAL</v>
      </c>
    </row>
    <row r="26" spans="1:17" x14ac:dyDescent="0.25">
      <c r="A26" s="372" t="s">
        <v>682</v>
      </c>
      <c r="B26" s="383"/>
      <c r="C26" s="383"/>
      <c r="D26" s="383"/>
      <c r="E26" s="383"/>
      <c r="F26" s="384"/>
      <c r="G26" s="385"/>
      <c r="H26" s="386"/>
      <c r="I26" s="423"/>
      <c r="J26" s="374"/>
      <c r="K26" s="340" t="s">
        <v>1025</v>
      </c>
    </row>
    <row r="27" spans="1:17" x14ac:dyDescent="0.25">
      <c r="A27" s="340" t="s">
        <v>1026</v>
      </c>
      <c r="B27" s="380">
        <v>26</v>
      </c>
      <c r="C27" s="380">
        <v>27</v>
      </c>
      <c r="D27" s="380">
        <v>26</v>
      </c>
      <c r="E27" s="349">
        <f t="shared" si="0"/>
        <v>26</v>
      </c>
      <c r="F27" s="387">
        <f>IF($B$5=1,(E27*([3]ARGOREF_MASC!$D$5/$E$11)),(E27*([3]ARGOREF_FEM!$D$5/$E$11)))</f>
        <v>25.511246447421829</v>
      </c>
      <c r="G27" s="388">
        <f>IF($B$5=1,(F27-[3]ARGOREF_MASC!D36)/[3]ARGOREF_MASC!E36,(F27-[3]ARGOREF_FEM!D36)/[3]ARGOREF_FEM!E36)</f>
        <v>2.1880808677880479</v>
      </c>
      <c r="H27" s="389">
        <f t="shared" si="1"/>
        <v>0.9856681438637418</v>
      </c>
      <c r="I27" s="424" t="str">
        <f t="shared" si="2"/>
        <v>MUY ELEVADO</v>
      </c>
      <c r="J27" s="376"/>
      <c r="L27" s="377">
        <f>E17/E18</f>
        <v>0.79324462640736948</v>
      </c>
      <c r="O27" s="378"/>
    </row>
    <row r="28" spans="1:17" ht="13.8" thickBot="1" x14ac:dyDescent="0.3">
      <c r="A28" s="340" t="s">
        <v>10</v>
      </c>
      <c r="B28" s="380">
        <v>29</v>
      </c>
      <c r="C28" s="380">
        <v>29</v>
      </c>
      <c r="D28" s="380">
        <v>29</v>
      </c>
      <c r="E28" s="349">
        <f t="shared" si="0"/>
        <v>29</v>
      </c>
      <c r="F28" s="381">
        <f>IF($B$5=1,(E28*([3]ARGOREF_MASC!$D$5/$E$11)),(E28*([3]ARGOREF_FEM!$D$5/$E$11)))</f>
        <v>28.454851806739732</v>
      </c>
      <c r="G28" s="377">
        <f>IF($B$5=1,(F28-[3]ARGOREF_MASC!D37)/[3]ARGOREF_MASC!E37,(F28-[3]ARGOREF_FEM!D37)/[3]ARGOREF_FEM!E37)</f>
        <v>4.4324934102657725</v>
      </c>
      <c r="H28" s="378">
        <f t="shared" si="1"/>
        <v>0.99999534252248334</v>
      </c>
      <c r="I28" s="422" t="str">
        <f t="shared" si="2"/>
        <v>MUY ELEVADO</v>
      </c>
      <c r="K28" s="390" t="s">
        <v>1027</v>
      </c>
    </row>
    <row r="29" spans="1:17" ht="13.8" thickBot="1" x14ac:dyDescent="0.3">
      <c r="A29" s="340" t="s">
        <v>1028</v>
      </c>
      <c r="B29" s="380">
        <v>8</v>
      </c>
      <c r="C29" s="380">
        <v>7.5</v>
      </c>
      <c r="D29" s="380">
        <v>7.5</v>
      </c>
      <c r="E29" s="349">
        <f t="shared" si="0"/>
        <v>7.5</v>
      </c>
      <c r="F29" s="381">
        <f>IF($B$5=1,(E29*([3]ARGOREF_MASC!$D$5/$E$11)),(E29*([3]ARGOREF_FEM!$D$5/$E$11)))</f>
        <v>7.3590133982947581</v>
      </c>
      <c r="G29" s="377">
        <f>IF($B$5=1,(F29-[3]ARGOREF_MASC!D38)/[3]ARGOREF_MASC!E38,(F29-[3]ARGOREF_FEM!D38)/[3]ARGOREF_FEM!E38)</f>
        <v>0.15523411269993231</v>
      </c>
      <c r="H29" s="378">
        <f t="shared" si="1"/>
        <v>0.56168162190127291</v>
      </c>
      <c r="I29" s="422" t="str">
        <f t="shared" si="2"/>
        <v>NORMAL</v>
      </c>
      <c r="L29" s="349">
        <f>(E27+E28+E31+E32+E33+E34)</f>
        <v>139.25</v>
      </c>
      <c r="N29" s="377">
        <f>IF(B5=1,(L29-[3]ARGOREF_MASC!D44)/[3]ARGOREF_MASC!E44,(L29-[3]ARGOREF_FEM!D44)/[3]ARGOREF_FEM!E44)</f>
        <v>1.7355997381866273</v>
      </c>
      <c r="O29" s="378">
        <f>NORMSDIST(N29)</f>
        <v>0.95868268385370281</v>
      </c>
      <c r="P29" s="417" t="str">
        <f>IF(O29&lt;5%,"MUY BAJO",IF(O29&lt;15%,"BAJO",IF(O29&lt;85%,"NORMAL",IF(O29&lt;95%,"ELEVADO","MUY ELEVADO"))))</f>
        <v>MUY ELEVADO</v>
      </c>
    </row>
    <row r="30" spans="1:17" x14ac:dyDescent="0.25">
      <c r="A30" s="340" t="s">
        <v>1029</v>
      </c>
      <c r="B30" s="380">
        <v>39</v>
      </c>
      <c r="C30" s="380">
        <v>39</v>
      </c>
      <c r="D30" s="380">
        <v>39</v>
      </c>
      <c r="E30" s="349">
        <f t="shared" si="0"/>
        <v>39</v>
      </c>
      <c r="F30" s="381">
        <f>IF($B$5=1,(E30*([3]ARGOREF_MASC!$D$5/$E$11)),(E30*([3]ARGOREF_FEM!$D$5/$E$11)))</f>
        <v>38.266869671132746</v>
      </c>
      <c r="G30" s="377">
        <f>IF($B$5=1,(F30-[3]ARGOREF_MASC!D39)/[3]ARGOREF_MASC!E39,(F30-[3]ARGOREF_FEM!D39)/[3]ARGOREF_FEM!E39)</f>
        <v>2.6520292290879084</v>
      </c>
      <c r="H30" s="378">
        <f t="shared" si="1"/>
        <v>0.99599951923454255</v>
      </c>
      <c r="I30" s="422" t="str">
        <f t="shared" si="2"/>
        <v>MUY ELEVADO</v>
      </c>
      <c r="K30" s="334"/>
      <c r="L30" s="379"/>
      <c r="M30" s="379"/>
      <c r="N30" s="379"/>
      <c r="O30" s="379"/>
      <c r="P30" s="379"/>
    </row>
    <row r="31" spans="1:17" x14ac:dyDescent="0.25">
      <c r="A31" s="340" t="s">
        <v>12</v>
      </c>
      <c r="B31" s="380">
        <v>17</v>
      </c>
      <c r="C31" s="380" t="s">
        <v>1030</v>
      </c>
      <c r="D31" s="380">
        <v>17.5</v>
      </c>
      <c r="E31" s="349">
        <f t="shared" si="0"/>
        <v>17.25</v>
      </c>
      <c r="F31" s="381">
        <f>IF($B$5=1,(E31*([3]ARGOREF_MASC!$D$5/$E$11)),(E31*([3]ARGOREF_FEM!$D$5/$E$11)))</f>
        <v>16.925730816077944</v>
      </c>
      <c r="G31" s="377">
        <f>IF($B$5=1,(F31-[3]ARGOREF_MASC!D40)/[3]ARGOREF_MASC!E40,(F31-[3]ARGOREF_FEM!D40)/[3]ARGOREF_FEM!E40)</f>
        <v>1.7609541224101719</v>
      </c>
      <c r="H31" s="378">
        <f t="shared" si="1"/>
        <v>0.96087691584944712</v>
      </c>
      <c r="I31" s="422" t="str">
        <f t="shared" si="2"/>
        <v>MUY ELEVADO</v>
      </c>
      <c r="K31" s="366" t="s">
        <v>1033</v>
      </c>
    </row>
    <row r="32" spans="1:17" x14ac:dyDescent="0.25">
      <c r="A32" s="340" t="s">
        <v>13</v>
      </c>
      <c r="B32" s="380">
        <v>21</v>
      </c>
      <c r="C32" s="380">
        <v>21</v>
      </c>
      <c r="D32" s="380">
        <v>21</v>
      </c>
      <c r="E32" s="349">
        <f t="shared" si="0"/>
        <v>21</v>
      </c>
      <c r="F32" s="381">
        <f>IF($B$5=1,(E32*([3]ARGOREF_MASC!$D$5/$E$11)),(E32*([3]ARGOREF_FEM!$D$5/$E$11)))</f>
        <v>20.605237515225323</v>
      </c>
      <c r="G32" s="377">
        <f>IF($B$5=1,(F32-[3]ARGOREF_MASC!D41)/[3]ARGOREF_MASC!E41,(F32-[3]ARGOREF_FEM!D41)/[3]ARGOREF_FEM!E41)</f>
        <v>3.1328457140988846E-3</v>
      </c>
      <c r="H32" s="378">
        <f t="shared" si="1"/>
        <v>0.50124982256888462</v>
      </c>
      <c r="I32" s="422" t="str">
        <f t="shared" si="2"/>
        <v>NORMAL</v>
      </c>
      <c r="K32" s="340" t="s">
        <v>1035</v>
      </c>
      <c r="L32" s="394">
        <f>ARGOREF_MASC!L54</f>
        <v>11.51349804477465</v>
      </c>
      <c r="M32" s="340" t="s">
        <v>1036</v>
      </c>
      <c r="N32" s="395">
        <f>REQUERIMIENTOS!I10*L32%</f>
        <v>5.5696546791597372</v>
      </c>
      <c r="O32" s="340" t="s">
        <v>1037</v>
      </c>
      <c r="P32" s="395">
        <f>L32-N32</f>
        <v>5.9438433656149128</v>
      </c>
      <c r="Q32" s="379"/>
    </row>
    <row r="33" spans="1:18" x14ac:dyDescent="0.25">
      <c r="A33" s="340" t="s">
        <v>1031</v>
      </c>
      <c r="B33" s="380">
        <v>25</v>
      </c>
      <c r="C33" s="380">
        <v>25</v>
      </c>
      <c r="D33" s="380">
        <v>25</v>
      </c>
      <c r="E33" s="349">
        <f t="shared" si="0"/>
        <v>25</v>
      </c>
      <c r="F33" s="381">
        <f>IF($B$5=1,(E33*([3]ARGOREF_MASC!$D$5/$E$11)),(E33*([3]ARGOREF_FEM!$D$5/$E$11)))</f>
        <v>24.530044660982529</v>
      </c>
      <c r="G33" s="377">
        <f>IF($B$5=1,(F33-[3]ARGOREF_MASC!D42)/[3]ARGOREF_MASC!E42,(F33-[3]ARGOREF_FEM!D42)/[3]ARGOREF_FEM!E42)</f>
        <v>0.25667683998038232</v>
      </c>
      <c r="H33" s="378">
        <f t="shared" si="1"/>
        <v>0.6012858741472128</v>
      </c>
      <c r="I33" s="422" t="str">
        <f t="shared" si="2"/>
        <v>NORMAL</v>
      </c>
      <c r="K33" s="334"/>
      <c r="L33" s="379"/>
      <c r="M33" s="379"/>
      <c r="N33" s="379"/>
      <c r="O33" s="379"/>
      <c r="P33" s="379"/>
    </row>
    <row r="34" spans="1:18" x14ac:dyDescent="0.25">
      <c r="A34" s="334" t="s">
        <v>1032</v>
      </c>
      <c r="B34" s="391">
        <v>21</v>
      </c>
      <c r="C34" s="391">
        <v>21</v>
      </c>
      <c r="D34" s="391">
        <v>21</v>
      </c>
      <c r="E34" s="349">
        <f t="shared" si="0"/>
        <v>21</v>
      </c>
      <c r="F34" s="392">
        <f>IF($B$5=1,(E34*([3]ARGOREF_MASC!$D$5/$E$11)),(E34*([3]ARGOREF_FEM!$D$5/$E$11)))</f>
        <v>20.605237515225323</v>
      </c>
      <c r="G34" s="393">
        <f>IF($B$5=1,(F34-[3]ARGOREF_MASC!D43)/[3]ARGOREF_MASC!E43,(F34-[3]ARGOREF_FEM!D43)/[3]ARGOREF_FEM!E43)</f>
        <v>0.87538641692371943</v>
      </c>
      <c r="H34" s="362">
        <f t="shared" si="1"/>
        <v>0.80931815602999313</v>
      </c>
      <c r="I34" s="425" t="str">
        <f t="shared" si="2"/>
        <v>NORMAL</v>
      </c>
      <c r="J34" s="379"/>
      <c r="K34" s="366" t="s">
        <v>1040</v>
      </c>
    </row>
    <row r="35" spans="1:18" x14ac:dyDescent="0.25">
      <c r="K35" s="340" t="s">
        <v>1042</v>
      </c>
      <c r="M35" s="340" t="s">
        <v>1043</v>
      </c>
      <c r="O35" s="340" t="s">
        <v>1044</v>
      </c>
    </row>
    <row r="36" spans="1:18" x14ac:dyDescent="0.25">
      <c r="A36" s="366" t="s">
        <v>1034</v>
      </c>
      <c r="L36" s="396">
        <f>ARGOREF_MASC!O51</f>
        <v>5.0890065566810296</v>
      </c>
      <c r="N36" s="395">
        <f>L11/L36</f>
        <v>5.7281538789030861</v>
      </c>
      <c r="P36" s="395">
        <f>REQUERIMIENTOS!I10/'ANTROPOMETRIA FINAL'!N36</f>
        <v>8.4451292724809939</v>
      </c>
      <c r="Q36" s="376"/>
    </row>
    <row r="37" spans="1:18" x14ac:dyDescent="0.25">
      <c r="A37" s="340" t="s">
        <v>1038</v>
      </c>
      <c r="K37" s="334"/>
      <c r="L37" s="379"/>
      <c r="M37" s="379"/>
      <c r="N37" s="379"/>
      <c r="O37" s="379"/>
      <c r="P37" s="379"/>
    </row>
    <row r="38" spans="1:18" x14ac:dyDescent="0.25">
      <c r="A38" s="340" t="s">
        <v>1039</v>
      </c>
      <c r="K38" s="366" t="s">
        <v>1048</v>
      </c>
      <c r="Q38" s="405"/>
    </row>
    <row r="39" spans="1:18" x14ac:dyDescent="0.25">
      <c r="A39" s="340" t="s">
        <v>1041</v>
      </c>
      <c r="K39" s="340" t="s">
        <v>1050</v>
      </c>
      <c r="O39" s="433">
        <f>E10-P32+P36</f>
        <v>64.501285906866087</v>
      </c>
    </row>
    <row r="40" spans="1:18" x14ac:dyDescent="0.25">
      <c r="A40" s="340" t="s">
        <v>1045</v>
      </c>
    </row>
    <row r="41" spans="1:18" x14ac:dyDescent="0.25">
      <c r="A41" s="340" t="s">
        <v>1046</v>
      </c>
      <c r="K41" s="375"/>
      <c r="L41" s="376"/>
      <c r="M41" s="376"/>
      <c r="N41" s="376"/>
      <c r="O41" s="376"/>
      <c r="P41" s="376"/>
      <c r="Q41" s="410"/>
    </row>
    <row r="42" spans="1:18" ht="14.4" x14ac:dyDescent="0.3">
      <c r="A42" s="340" t="s">
        <v>1047</v>
      </c>
      <c r="K42" s="411"/>
      <c r="L42" s="410"/>
      <c r="M42" s="410"/>
      <c r="N42" s="411"/>
      <c r="O42" s="410"/>
      <c r="P42" s="410"/>
      <c r="Q42" s="11"/>
      <c r="R42" s="410"/>
    </row>
    <row r="43" spans="1:18" ht="14.4" x14ac:dyDescent="0.3">
      <c r="A43" s="340" t="s">
        <v>1049</v>
      </c>
      <c r="K43" s="411"/>
      <c r="L43" s="432"/>
      <c r="M43" s="411"/>
      <c r="N43" s="432"/>
      <c r="O43" s="410"/>
      <c r="P43" s="412"/>
      <c r="Q43" s="11"/>
      <c r="R43" s="410"/>
    </row>
    <row r="44" spans="1:18" ht="14.4" x14ac:dyDescent="0.3">
      <c r="A44" s="340" t="s">
        <v>1051</v>
      </c>
      <c r="K44" s="411"/>
      <c r="L44" s="410"/>
      <c r="M44" s="410"/>
      <c r="N44" s="410"/>
      <c r="O44" s="410"/>
      <c r="P44" s="410"/>
      <c r="Q44" s="11"/>
      <c r="R44" s="410"/>
    </row>
    <row r="45" spans="1:18" ht="14.4" x14ac:dyDescent="0.3">
      <c r="A45" s="340" t="s">
        <v>1052</v>
      </c>
      <c r="K45" s="411"/>
      <c r="L45" s="432"/>
      <c r="M45" s="411"/>
      <c r="N45" s="410"/>
      <c r="O45" s="410"/>
      <c r="P45" s="410"/>
      <c r="Q45" s="11"/>
      <c r="R45" s="410"/>
    </row>
    <row r="46" spans="1:18" ht="15.6" customHeight="1" x14ac:dyDescent="0.3">
      <c r="A46" s="340" t="s">
        <v>1053</v>
      </c>
      <c r="K46" s="411"/>
      <c r="L46" s="410"/>
      <c r="M46" s="410"/>
      <c r="N46" s="410"/>
      <c r="O46" s="410"/>
      <c r="P46" s="410"/>
      <c r="Q46" s="11"/>
      <c r="R46" s="410"/>
    </row>
    <row r="47" spans="1:18" ht="15.6" customHeight="1" x14ac:dyDescent="0.25">
      <c r="A47" s="340" t="s">
        <v>1054</v>
      </c>
      <c r="K47" s="411"/>
      <c r="L47" s="410"/>
      <c r="M47" s="410"/>
      <c r="N47" s="410"/>
      <c r="O47" s="410"/>
      <c r="P47" s="410"/>
      <c r="Q47" s="410"/>
      <c r="R47" s="410"/>
    </row>
    <row r="48" spans="1:18" ht="15.6" customHeight="1" x14ac:dyDescent="0.25">
      <c r="A48" s="340" t="s">
        <v>1055</v>
      </c>
      <c r="K48" s="411"/>
      <c r="L48" s="410"/>
      <c r="M48" s="410"/>
      <c r="N48" s="410"/>
      <c r="O48" s="410"/>
      <c r="P48" s="410"/>
      <c r="Q48" s="410"/>
      <c r="R48" s="410"/>
    </row>
    <row r="49" spans="1:11" x14ac:dyDescent="0.25">
      <c r="A49" s="340" t="s">
        <v>1056</v>
      </c>
    </row>
    <row r="52" spans="1:11" x14ac:dyDescent="0.25">
      <c r="K52" s="323"/>
    </row>
    <row r="53" spans="1:11" x14ac:dyDescent="0.25">
      <c r="K53" s="323"/>
    </row>
    <row r="54" spans="1:11" x14ac:dyDescent="0.25">
      <c r="K54" s="323"/>
    </row>
    <row r="55" spans="1:11" ht="13.2" customHeight="1" x14ac:dyDescent="0.25">
      <c r="K55" s="323"/>
    </row>
    <row r="56" spans="1:11" ht="13.2" customHeight="1" x14ac:dyDescent="0.25">
      <c r="K56" s="323"/>
    </row>
    <row r="57" spans="1:11" ht="13.8" customHeight="1" x14ac:dyDescent="0.25">
      <c r="K57" s="323"/>
    </row>
    <row r="58" spans="1:11" x14ac:dyDescent="0.25">
      <c r="K58" s="323"/>
    </row>
    <row r="59" spans="1:11" x14ac:dyDescent="0.25">
      <c r="K59" s="323"/>
    </row>
    <row r="60" spans="1:11" x14ac:dyDescent="0.25">
      <c r="K60" s="323"/>
    </row>
    <row r="61" spans="1:11" ht="14.4" customHeight="1" x14ac:dyDescent="0.25">
      <c r="K61" s="323"/>
    </row>
    <row r="62" spans="1:11" x14ac:dyDescent="0.25">
      <c r="K62" s="323"/>
    </row>
    <row r="63" spans="1:11" x14ac:dyDescent="0.25">
      <c r="K63" s="323"/>
    </row>
    <row r="64" spans="1:11" x14ac:dyDescent="0.25">
      <c r="K64" s="323"/>
    </row>
    <row r="65" spans="11:11" x14ac:dyDescent="0.25">
      <c r="K65" s="323"/>
    </row>
    <row r="66" spans="11:11" x14ac:dyDescent="0.25">
      <c r="K66" s="323"/>
    </row>
    <row r="67" spans="11:11" x14ac:dyDescent="0.25">
      <c r="K67" s="323"/>
    </row>
    <row r="68" spans="11:11" x14ac:dyDescent="0.25">
      <c r="K68" s="323"/>
    </row>
    <row r="69" spans="11:11" x14ac:dyDescent="0.25">
      <c r="K69" s="323"/>
    </row>
    <row r="70" spans="11:11" x14ac:dyDescent="0.25">
      <c r="K70" s="323"/>
    </row>
    <row r="71" spans="11:11" x14ac:dyDescent="0.25">
      <c r="K71" s="323"/>
    </row>
    <row r="72" spans="11:11" x14ac:dyDescent="0.25">
      <c r="K72" s="323"/>
    </row>
    <row r="73" spans="11:11" x14ac:dyDescent="0.25">
      <c r="K73" s="323"/>
    </row>
    <row r="74" spans="11:11" x14ac:dyDescent="0.25">
      <c r="K74" s="323"/>
    </row>
    <row r="75" spans="11:11" x14ac:dyDescent="0.25">
      <c r="K75" s="323"/>
    </row>
    <row r="76" spans="11:11" x14ac:dyDescent="0.25">
      <c r="K76" s="323"/>
    </row>
    <row r="77" spans="11:11" x14ac:dyDescent="0.25">
      <c r="K77" s="323"/>
    </row>
    <row r="78" spans="11:11" x14ac:dyDescent="0.25">
      <c r="K78" s="323"/>
    </row>
    <row r="79" spans="11:11" x14ac:dyDescent="0.25">
      <c r="K79" s="323"/>
    </row>
    <row r="80" spans="11:11" x14ac:dyDescent="0.25">
      <c r="K80" s="323"/>
    </row>
    <row r="81" spans="11:11" x14ac:dyDescent="0.25">
      <c r="K81" s="323"/>
    </row>
    <row r="82" spans="11:11" x14ac:dyDescent="0.25">
      <c r="K82" s="323"/>
    </row>
  </sheetData>
  <mergeCells count="5">
    <mergeCell ref="K1:Q1"/>
    <mergeCell ref="B2:J2"/>
    <mergeCell ref="B3:J3"/>
    <mergeCell ref="N3:P3"/>
    <mergeCell ref="B4:J4"/>
  </mergeCells>
  <pageMargins left="0.78740157480314965" right="0.78740157480314965" top="0.98425196850393704" bottom="0.98425196850393704" header="0.19685039370078741" footer="0.39370078740157483"/>
  <pageSetup paperSize="9" orientation="portrait" horizontalDpi="300" verticalDpi="300" r:id="rId1"/>
  <headerFooter alignWithMargins="0">
    <oddHeader>&amp;C&amp;"Arial,Negrita"&amp;12SOFTWARE DE COMPOSICIÓN CORPORAL 
Y DEL CÁLCULO DEL PESO IDEAL 
CON MODELOS DE DOS COMPONENTES</oddHeader>
    <oddFooter>&amp;C&amp;"Arial,Negrita"Curso de Cineantropometría
Francis Holway
fholway@hotmail.com</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BE0B-8D9F-47A1-B99D-2E97765BDC1D}">
  <sheetPr>
    <tabColor rgb="FF0070C0"/>
  </sheetPr>
  <dimension ref="A1:AH59"/>
  <sheetViews>
    <sheetView showWhiteSpace="0" view="pageLayout" zoomScale="60" zoomScaleNormal="90" zoomScaleSheetLayoutView="89" zoomScalePageLayoutView="60" workbookViewId="0">
      <selection activeCell="AE25" sqref="AE25:AF25"/>
    </sheetView>
  </sheetViews>
  <sheetFormatPr baseColWidth="10" defaultRowHeight="14.4" x14ac:dyDescent="0.3"/>
  <cols>
    <col min="2" max="2" width="2.44140625" customWidth="1"/>
    <col min="3" max="4" width="3" customWidth="1"/>
    <col min="5" max="5" width="3.21875" customWidth="1"/>
    <col min="6" max="6" width="4" customWidth="1"/>
    <col min="7" max="7" width="2.77734375" customWidth="1"/>
    <col min="8" max="8" width="2.5546875" customWidth="1"/>
    <col min="9" max="11" width="2.77734375" customWidth="1"/>
    <col min="12" max="12" width="3.33203125" customWidth="1"/>
    <col min="13" max="13" width="6.77734375" customWidth="1"/>
    <col min="14" max="14" width="6" customWidth="1"/>
    <col min="15" max="15" width="9.77734375" customWidth="1"/>
    <col min="19" max="19" width="2.44140625" customWidth="1"/>
    <col min="20" max="21" width="3" customWidth="1"/>
    <col min="22" max="22" width="3.21875" customWidth="1"/>
    <col min="23" max="23" width="4" customWidth="1"/>
    <col min="24" max="24" width="2.77734375" customWidth="1"/>
    <col min="25" max="25" width="2.5546875" customWidth="1"/>
    <col min="26" max="27" width="2.77734375" customWidth="1"/>
    <col min="28" max="28" width="1.77734375" customWidth="1"/>
    <col min="29" max="29" width="5.5546875" customWidth="1"/>
    <col min="30" max="30" width="6.77734375" customWidth="1"/>
    <col min="31" max="31" width="6" customWidth="1"/>
    <col min="32" max="32" width="6.44140625" customWidth="1"/>
  </cols>
  <sheetData>
    <row r="1" spans="1:34" ht="15" thickBot="1" x14ac:dyDescent="0.35">
      <c r="R1" s="963"/>
      <c r="S1" s="963"/>
      <c r="T1" s="963"/>
      <c r="U1" s="963"/>
      <c r="V1" s="963"/>
      <c r="W1" s="963"/>
      <c r="X1" s="963"/>
      <c r="Y1" s="963"/>
      <c r="Z1" s="963"/>
      <c r="AA1" s="963"/>
      <c r="AB1" s="963"/>
      <c r="AC1" s="963"/>
      <c r="AD1" s="963"/>
      <c r="AE1" s="963"/>
      <c r="AF1" s="963"/>
      <c r="AG1" s="963"/>
      <c r="AH1" s="963"/>
    </row>
    <row r="2" spans="1:34" ht="16.2" thickBot="1" x14ac:dyDescent="0.35">
      <c r="B2" s="1059" t="s">
        <v>661</v>
      </c>
      <c r="C2" s="1060"/>
      <c r="D2" s="1060"/>
      <c r="E2" s="1060"/>
      <c r="F2" s="1060"/>
      <c r="G2" s="1060"/>
      <c r="H2" s="1060"/>
      <c r="I2" s="1060"/>
      <c r="J2" s="1060"/>
      <c r="K2" s="1060"/>
      <c r="L2" s="1060"/>
      <c r="M2" s="1060"/>
      <c r="N2" s="1060"/>
      <c r="O2" s="1060"/>
      <c r="P2" s="1061"/>
      <c r="R2" s="11"/>
      <c r="S2" s="1059" t="s">
        <v>661</v>
      </c>
      <c r="T2" s="1060"/>
      <c r="U2" s="1060"/>
      <c r="V2" s="1060"/>
      <c r="W2" s="1060"/>
      <c r="X2" s="1060"/>
      <c r="Y2" s="1060"/>
      <c r="Z2" s="1060"/>
      <c r="AA2" s="1060"/>
      <c r="AB2" s="1060"/>
      <c r="AC2" s="1060"/>
      <c r="AD2" s="1060"/>
      <c r="AE2" s="1060"/>
      <c r="AF2" s="1060"/>
      <c r="AG2" s="1061"/>
      <c r="AH2" s="11"/>
    </row>
    <row r="3" spans="1:34" ht="15" customHeight="1" thickBot="1" x14ac:dyDescent="0.35">
      <c r="R3" s="963"/>
      <c r="S3" s="963"/>
      <c r="T3" s="963"/>
      <c r="U3" s="963"/>
      <c r="V3" s="963"/>
      <c r="W3" s="963"/>
      <c r="X3" s="963"/>
      <c r="Y3" s="963"/>
      <c r="Z3" s="963"/>
      <c r="AA3" s="963"/>
      <c r="AB3" s="963"/>
      <c r="AC3" s="963"/>
      <c r="AD3" s="963"/>
      <c r="AE3" s="963"/>
      <c r="AF3" s="963"/>
      <c r="AG3" s="963"/>
      <c r="AH3" s="963"/>
    </row>
    <row r="4" spans="1:34" s="65" customFormat="1" ht="15" customHeight="1" thickBot="1" x14ac:dyDescent="0.35">
      <c r="A4" s="1062" t="s">
        <v>662</v>
      </c>
      <c r="B4" s="1063"/>
      <c r="C4" s="1063"/>
      <c r="D4" s="1064"/>
      <c r="E4" s="865" t="str">
        <f>REQUERIMIENTOS!C5</f>
        <v>ANDREA BERNARDINO</v>
      </c>
      <c r="F4" s="866"/>
      <c r="G4" s="866"/>
      <c r="H4" s="866"/>
      <c r="I4" s="866"/>
      <c r="J4" s="866"/>
      <c r="K4" s="866"/>
      <c r="L4" s="1065"/>
      <c r="M4" s="95" t="s">
        <v>3</v>
      </c>
      <c r="N4" s="95">
        <f>'ANTROPOMETRIA INICIAL'!B8</f>
        <v>31.441478439425051</v>
      </c>
      <c r="O4" s="94" t="s">
        <v>663</v>
      </c>
      <c r="P4" s="1062" t="s">
        <v>1087</v>
      </c>
      <c r="Q4" s="1064"/>
      <c r="R4" s="1062" t="s">
        <v>662</v>
      </c>
      <c r="S4" s="1063"/>
      <c r="T4" s="1063"/>
      <c r="U4" s="1064"/>
      <c r="V4" s="865" t="str">
        <f>'FICHA INICIAL'!B8:B8</f>
        <v>ANDREA BERNARDINO</v>
      </c>
      <c r="W4" s="866"/>
      <c r="X4" s="866"/>
      <c r="Y4" s="866"/>
      <c r="Z4" s="866"/>
      <c r="AA4" s="866"/>
      <c r="AB4" s="1065"/>
      <c r="AC4" s="95" t="s">
        <v>3</v>
      </c>
      <c r="AD4" s="121">
        <f>N4</f>
        <v>31.441478439425051</v>
      </c>
      <c r="AE4" s="1062" t="s">
        <v>663</v>
      </c>
      <c r="AF4" s="1064"/>
      <c r="AG4" s="1062" t="str">
        <f>P4</f>
        <v>ODONTOLOGA</v>
      </c>
      <c r="AH4" s="1064"/>
    </row>
    <row r="5" spans="1:34" ht="14.4" customHeight="1" thickBot="1" x14ac:dyDescent="0.35">
      <c r="A5" s="850"/>
      <c r="B5" s="1075"/>
      <c r="C5" s="1075"/>
      <c r="D5" s="1075"/>
      <c r="E5" s="1075"/>
      <c r="F5" s="1075"/>
      <c r="G5" s="1075"/>
      <c r="H5" s="1075"/>
      <c r="I5" s="1075"/>
      <c r="J5" s="1075"/>
      <c r="K5" s="1075"/>
      <c r="L5" s="1075"/>
      <c r="M5" s="1075"/>
      <c r="N5" s="1075"/>
      <c r="O5" s="1075"/>
      <c r="P5" s="1075"/>
      <c r="Q5" s="1075"/>
      <c r="R5" s="1070"/>
      <c r="S5" s="1070"/>
      <c r="T5" s="1070"/>
      <c r="U5" s="1070"/>
      <c r="V5" s="1070"/>
      <c r="W5" s="1070"/>
      <c r="X5" s="1070"/>
      <c r="Y5" s="1070"/>
      <c r="Z5" s="1070"/>
      <c r="AA5" s="1070"/>
      <c r="AB5" s="1070"/>
      <c r="AC5" s="1070"/>
      <c r="AD5" s="1070"/>
      <c r="AE5" s="1070"/>
      <c r="AF5" s="1070"/>
      <c r="AG5" s="1070"/>
      <c r="AH5" s="1070"/>
    </row>
    <row r="6" spans="1:34" ht="14.4" customHeight="1" thickBot="1" x14ac:dyDescent="0.35">
      <c r="A6" s="1076"/>
      <c r="B6" s="1070"/>
      <c r="C6" s="1070"/>
      <c r="D6" s="1070"/>
      <c r="E6" s="1070"/>
      <c r="F6" s="1070"/>
      <c r="G6" s="1077" t="s">
        <v>910</v>
      </c>
      <c r="H6" s="1078"/>
      <c r="I6" s="1078"/>
      <c r="J6" s="1078"/>
      <c r="K6" s="1078"/>
      <c r="L6" s="1078"/>
      <c r="M6" s="1078"/>
      <c r="N6" s="1078"/>
      <c r="O6" s="1079"/>
      <c r="P6" s="1070"/>
      <c r="Q6" s="1070"/>
      <c r="R6" s="1070"/>
      <c r="S6" s="1070"/>
      <c r="T6" s="1070"/>
      <c r="U6" s="1070"/>
      <c r="V6" s="1070"/>
      <c r="W6" s="1070"/>
      <c r="X6" s="1077" t="s">
        <v>910</v>
      </c>
      <c r="Y6" s="1078"/>
      <c r="Z6" s="1078"/>
      <c r="AA6" s="1078"/>
      <c r="AB6" s="1078"/>
      <c r="AC6" s="1078"/>
      <c r="AD6" s="1078"/>
      <c r="AE6" s="1078"/>
      <c r="AF6" s="1079"/>
      <c r="AG6" s="1070"/>
      <c r="AH6" s="1070"/>
    </row>
    <row r="7" spans="1:34" ht="14.4" customHeight="1" x14ac:dyDescent="0.3">
      <c r="A7" s="1076"/>
      <c r="B7" s="1070"/>
      <c r="C7" s="1070"/>
      <c r="D7" s="1070"/>
      <c r="E7" s="1070"/>
      <c r="F7" s="1070"/>
      <c r="G7" s="1070"/>
      <c r="H7" s="1070"/>
      <c r="I7" s="1070"/>
      <c r="J7" s="1070"/>
      <c r="K7" s="1070"/>
      <c r="L7" s="1070"/>
      <c r="M7" s="1070"/>
      <c r="N7" s="1070"/>
      <c r="O7" s="1070"/>
      <c r="P7" s="1070"/>
      <c r="Q7" s="1070"/>
      <c r="R7" s="1070"/>
      <c r="S7" s="1070"/>
      <c r="T7" s="1070"/>
      <c r="U7" s="1070"/>
      <c r="V7" s="1070"/>
      <c r="W7" s="1070"/>
      <c r="X7" s="1070"/>
      <c r="Y7" s="1070"/>
      <c r="Z7" s="1070"/>
      <c r="AA7" s="1070"/>
      <c r="AB7" s="1070"/>
      <c r="AC7" s="1070"/>
      <c r="AD7" s="1070"/>
      <c r="AE7" s="1070"/>
      <c r="AF7" s="1070"/>
      <c r="AG7" s="1070"/>
      <c r="AH7" s="1070"/>
    </row>
    <row r="8" spans="1:34" x14ac:dyDescent="0.3">
      <c r="A8" s="968"/>
      <c r="B8" s="968"/>
      <c r="C8" s="968"/>
      <c r="D8" s="968"/>
      <c r="E8" s="968"/>
      <c r="F8" s="968"/>
      <c r="G8" s="968"/>
      <c r="H8" s="968"/>
      <c r="I8" s="968"/>
      <c r="J8" s="968"/>
      <c r="K8" s="968"/>
      <c r="L8" s="968"/>
      <c r="M8" s="968"/>
      <c r="N8" s="968"/>
      <c r="O8" s="968"/>
      <c r="P8" s="968"/>
      <c r="Q8" s="968"/>
      <c r="R8" s="968"/>
      <c r="S8" s="968"/>
      <c r="T8" s="968"/>
      <c r="U8" s="968"/>
      <c r="V8" s="968"/>
      <c r="W8" s="968"/>
      <c r="X8" s="968"/>
      <c r="Y8" s="968"/>
      <c r="Z8" s="968"/>
      <c r="AA8" s="968"/>
      <c r="AB8" s="968"/>
      <c r="AC8" s="968"/>
      <c r="AD8" s="968"/>
      <c r="AE8" s="968"/>
      <c r="AF8" s="968"/>
      <c r="AG8" s="968"/>
      <c r="AH8" s="968"/>
    </row>
    <row r="9" spans="1:34" x14ac:dyDescent="0.3">
      <c r="A9" s="968"/>
      <c r="B9" s="968"/>
      <c r="C9" s="968"/>
      <c r="D9" s="968"/>
      <c r="E9" s="968"/>
      <c r="F9" s="968"/>
      <c r="G9" s="968"/>
      <c r="H9" s="968"/>
      <c r="I9" s="968"/>
      <c r="J9" s="968"/>
      <c r="K9" s="968"/>
      <c r="L9" s="968"/>
      <c r="M9" s="968"/>
      <c r="N9" s="968"/>
      <c r="O9" s="968"/>
      <c r="P9" s="968"/>
      <c r="Q9" s="968"/>
      <c r="R9" s="968"/>
      <c r="S9" s="968"/>
      <c r="T9" s="968"/>
      <c r="U9" s="968"/>
      <c r="V9" s="968"/>
      <c r="W9" s="968"/>
      <c r="X9" s="968"/>
      <c r="Y9" s="968"/>
      <c r="Z9" s="968"/>
      <c r="AA9" s="968"/>
      <c r="AB9" s="968"/>
      <c r="AC9" s="968"/>
      <c r="AD9" s="968"/>
      <c r="AE9" s="968"/>
      <c r="AF9" s="968"/>
      <c r="AG9" s="968"/>
      <c r="AH9" s="968"/>
    </row>
    <row r="10" spans="1:34" x14ac:dyDescent="0.3">
      <c r="A10" s="968"/>
      <c r="B10" s="968"/>
      <c r="C10" s="968"/>
      <c r="D10" s="968"/>
      <c r="E10" s="968"/>
      <c r="F10" s="968"/>
      <c r="G10" s="968"/>
      <c r="H10" s="968"/>
      <c r="I10" s="968"/>
      <c r="J10" s="968"/>
      <c r="K10" s="968"/>
      <c r="L10" s="968"/>
      <c r="M10" s="968"/>
      <c r="N10" s="968"/>
      <c r="O10" s="968"/>
      <c r="P10" s="968"/>
      <c r="Q10" s="968"/>
      <c r="R10" s="968"/>
      <c r="S10" s="968"/>
      <c r="T10" s="968"/>
      <c r="U10" s="968"/>
      <c r="V10" s="968"/>
      <c r="W10" s="968"/>
      <c r="X10" s="968"/>
      <c r="Y10" s="968"/>
      <c r="Z10" s="968"/>
      <c r="AA10" s="968"/>
      <c r="AB10" s="968"/>
      <c r="AC10" s="968"/>
      <c r="AD10" s="968"/>
      <c r="AE10" s="968"/>
      <c r="AF10" s="968"/>
      <c r="AG10" s="968"/>
      <c r="AH10" s="968"/>
    </row>
    <row r="11" spans="1:34" x14ac:dyDescent="0.3">
      <c r="A11" s="968"/>
      <c r="B11" s="968"/>
      <c r="C11" s="968"/>
      <c r="D11" s="968"/>
      <c r="E11" s="968"/>
      <c r="F11" s="968"/>
      <c r="G11" s="968"/>
      <c r="H11" s="968"/>
      <c r="I11" s="968"/>
      <c r="J11" s="968"/>
      <c r="K11" s="968"/>
      <c r="L11" s="968"/>
      <c r="M11" s="968"/>
      <c r="N11" s="968"/>
      <c r="O11" s="968"/>
      <c r="P11" s="968"/>
      <c r="Q11" s="968"/>
      <c r="R11" s="968"/>
      <c r="S11" s="968"/>
      <c r="T11" s="968"/>
      <c r="U11" s="968"/>
      <c r="V11" s="968"/>
      <c r="W11" s="968"/>
      <c r="X11" s="968"/>
      <c r="Y11" s="968"/>
      <c r="Z11" s="968"/>
      <c r="AA11" s="968"/>
      <c r="AB11" s="968"/>
      <c r="AC11" s="968"/>
      <c r="AD11" s="968"/>
      <c r="AE11" s="968"/>
      <c r="AF11" s="968"/>
      <c r="AG11" s="968"/>
      <c r="AH11" s="968"/>
    </row>
    <row r="12" spans="1:34" x14ac:dyDescent="0.3">
      <c r="A12" s="968"/>
      <c r="B12" s="968"/>
      <c r="C12" s="968"/>
      <c r="D12" s="968"/>
      <c r="E12" s="968"/>
      <c r="F12" s="968"/>
      <c r="G12" s="968"/>
      <c r="H12" s="968"/>
      <c r="I12" s="968"/>
      <c r="J12" s="968"/>
      <c r="K12" s="968"/>
      <c r="L12" s="968"/>
      <c r="M12" s="968"/>
      <c r="N12" s="968"/>
      <c r="O12" s="968"/>
      <c r="P12" s="968"/>
      <c r="Q12" s="968"/>
      <c r="R12" s="968"/>
      <c r="S12" s="968"/>
      <c r="T12" s="968"/>
      <c r="U12" s="968"/>
      <c r="V12" s="968"/>
      <c r="W12" s="968"/>
      <c r="X12" s="968"/>
      <c r="Y12" s="968"/>
      <c r="Z12" s="968"/>
      <c r="AA12" s="968"/>
      <c r="AB12" s="968"/>
      <c r="AC12" s="968"/>
      <c r="AD12" s="968"/>
      <c r="AE12" s="968"/>
      <c r="AF12" s="968"/>
      <c r="AG12" s="968"/>
      <c r="AH12" s="968"/>
    </row>
    <row r="13" spans="1:34" x14ac:dyDescent="0.3">
      <c r="A13" s="968"/>
      <c r="B13" s="968"/>
      <c r="C13" s="968"/>
      <c r="D13" s="968"/>
      <c r="E13" s="968"/>
      <c r="F13" s="968"/>
      <c r="G13" s="968"/>
      <c r="H13" s="968"/>
      <c r="I13" s="968"/>
      <c r="J13" s="968"/>
      <c r="K13" s="968"/>
      <c r="L13" s="968"/>
      <c r="M13" s="968"/>
      <c r="N13" s="968"/>
      <c r="O13" s="968"/>
      <c r="P13" s="968"/>
      <c r="Q13" s="968"/>
      <c r="R13" s="968"/>
      <c r="S13" s="968"/>
      <c r="T13" s="968"/>
      <c r="U13" s="968"/>
      <c r="V13" s="968"/>
      <c r="W13" s="968"/>
      <c r="X13" s="968"/>
      <c r="Y13" s="968"/>
      <c r="Z13" s="968"/>
      <c r="AA13" s="968"/>
      <c r="AB13" s="968"/>
      <c r="AC13" s="968"/>
      <c r="AD13" s="968"/>
      <c r="AE13" s="968"/>
      <c r="AF13" s="968"/>
      <c r="AG13" s="968"/>
      <c r="AH13" s="968"/>
    </row>
    <row r="14" spans="1:34" x14ac:dyDescent="0.3">
      <c r="A14" s="968"/>
      <c r="B14" s="968"/>
      <c r="C14" s="968"/>
      <c r="D14" s="968"/>
      <c r="E14" s="968"/>
      <c r="F14" s="968"/>
      <c r="G14" s="968"/>
      <c r="H14" s="968"/>
      <c r="I14" s="968"/>
      <c r="J14" s="968"/>
      <c r="K14" s="968"/>
      <c r="L14" s="968"/>
      <c r="M14" s="968"/>
      <c r="N14" s="968"/>
      <c r="O14" s="968"/>
      <c r="P14" s="968"/>
      <c r="Q14" s="968"/>
      <c r="R14" s="968"/>
      <c r="S14" s="968"/>
      <c r="T14" s="968"/>
      <c r="U14" s="968"/>
      <c r="V14" s="968"/>
      <c r="W14" s="968"/>
      <c r="X14" s="968"/>
      <c r="Y14" s="968"/>
      <c r="Z14" s="968"/>
      <c r="AA14" s="968"/>
      <c r="AB14" s="968"/>
      <c r="AC14" s="968"/>
      <c r="AD14" s="968"/>
      <c r="AE14" s="968"/>
      <c r="AF14" s="968"/>
      <c r="AG14" s="968"/>
      <c r="AH14" s="968"/>
    </row>
    <row r="15" spans="1:34" x14ac:dyDescent="0.3">
      <c r="A15" s="968"/>
      <c r="B15" s="968"/>
      <c r="C15" s="968"/>
      <c r="D15" s="968"/>
      <c r="E15" s="968"/>
      <c r="F15" s="968"/>
      <c r="G15" s="968"/>
      <c r="H15" s="968"/>
      <c r="I15" s="968"/>
      <c r="J15" s="968"/>
      <c r="K15" s="968"/>
      <c r="L15" s="968"/>
      <c r="M15" s="968"/>
      <c r="N15" s="968"/>
      <c r="O15" s="968"/>
      <c r="P15" s="968"/>
      <c r="Q15" s="968"/>
      <c r="R15" s="968"/>
      <c r="S15" s="968"/>
      <c r="T15" s="968"/>
      <c r="U15" s="968"/>
      <c r="V15" s="968"/>
      <c r="W15" s="968"/>
      <c r="X15" s="968"/>
      <c r="Y15" s="968"/>
      <c r="Z15" s="968"/>
      <c r="AA15" s="968"/>
      <c r="AB15" s="968"/>
      <c r="AC15" s="968"/>
      <c r="AD15" s="968"/>
      <c r="AE15" s="968"/>
      <c r="AF15" s="968"/>
      <c r="AG15" s="968"/>
      <c r="AH15" s="968"/>
    </row>
    <row r="16" spans="1:34" x14ac:dyDescent="0.3">
      <c r="A16" s="968"/>
      <c r="B16" s="968"/>
      <c r="C16" s="968"/>
      <c r="D16" s="968"/>
      <c r="E16" s="968"/>
      <c r="F16" s="968"/>
      <c r="G16" s="968"/>
      <c r="H16" s="968"/>
      <c r="I16" s="968"/>
      <c r="J16" s="968"/>
      <c r="K16" s="968"/>
      <c r="L16" s="968"/>
      <c r="M16" s="968"/>
      <c r="N16" s="968"/>
      <c r="O16" s="968"/>
      <c r="P16" s="968"/>
      <c r="Q16" s="968"/>
      <c r="R16" s="968"/>
      <c r="S16" s="968"/>
      <c r="T16" s="968"/>
      <c r="U16" s="968"/>
      <c r="V16" s="968"/>
      <c r="W16" s="968"/>
      <c r="X16" s="968"/>
      <c r="Y16" s="968"/>
      <c r="Z16" s="968"/>
      <c r="AA16" s="968"/>
      <c r="AB16" s="968"/>
      <c r="AC16" s="968"/>
      <c r="AD16" s="968"/>
      <c r="AE16" s="968"/>
      <c r="AF16" s="968"/>
      <c r="AG16" s="968"/>
      <c r="AH16" s="968"/>
    </row>
    <row r="17" spans="1:34" x14ac:dyDescent="0.3">
      <c r="A17" s="968"/>
      <c r="B17" s="968"/>
      <c r="C17" s="968"/>
      <c r="D17" s="968"/>
      <c r="E17" s="968"/>
      <c r="F17" s="968"/>
      <c r="G17" s="968"/>
      <c r="H17" s="968"/>
      <c r="I17" s="968"/>
      <c r="J17" s="968"/>
      <c r="K17" s="968"/>
      <c r="L17" s="968"/>
      <c r="M17" s="968"/>
      <c r="N17" s="968"/>
      <c r="O17" s="968"/>
      <c r="P17" s="968"/>
      <c r="Q17" s="968"/>
      <c r="R17" s="968"/>
      <c r="S17" s="968"/>
      <c r="T17" s="968"/>
      <c r="U17" s="968"/>
      <c r="V17" s="968"/>
      <c r="W17" s="968"/>
      <c r="X17" s="968"/>
      <c r="Y17" s="968"/>
      <c r="Z17" s="968"/>
      <c r="AA17" s="968"/>
      <c r="AB17" s="968"/>
      <c r="AC17" s="968"/>
      <c r="AD17" s="968"/>
      <c r="AE17" s="968"/>
      <c r="AF17" s="968"/>
      <c r="AG17" s="968"/>
      <c r="AH17" s="968"/>
    </row>
    <row r="18" spans="1:34" x14ac:dyDescent="0.3">
      <c r="A18" s="968"/>
      <c r="B18" s="968"/>
      <c r="C18" s="968"/>
      <c r="D18" s="968"/>
      <c r="E18" s="968"/>
      <c r="F18" s="968"/>
      <c r="G18" s="968"/>
      <c r="H18" s="968"/>
      <c r="I18" s="968"/>
      <c r="J18" s="968"/>
      <c r="K18" s="968"/>
      <c r="L18" s="968"/>
      <c r="M18" s="968"/>
      <c r="N18" s="968"/>
      <c r="O18" s="968"/>
      <c r="P18" s="968"/>
      <c r="Q18" s="968"/>
      <c r="R18" s="968"/>
      <c r="S18" s="968"/>
      <c r="T18" s="968"/>
      <c r="U18" s="968"/>
      <c r="V18" s="968"/>
      <c r="W18" s="968"/>
      <c r="X18" s="968"/>
      <c r="Y18" s="968"/>
      <c r="Z18" s="968"/>
      <c r="AA18" s="968"/>
      <c r="AB18" s="968"/>
      <c r="AC18" s="968"/>
      <c r="AD18" s="968"/>
      <c r="AE18" s="968"/>
      <c r="AF18" s="968"/>
      <c r="AG18" s="968"/>
      <c r="AH18" s="968"/>
    </row>
    <row r="19" spans="1:34" x14ac:dyDescent="0.3">
      <c r="A19" s="968"/>
      <c r="B19" s="968"/>
      <c r="C19" s="968"/>
      <c r="D19" s="968"/>
      <c r="E19" s="968"/>
      <c r="F19" s="968"/>
      <c r="G19" s="968"/>
      <c r="H19" s="968"/>
      <c r="I19" s="968"/>
      <c r="J19" s="968"/>
      <c r="K19" s="968"/>
      <c r="L19" s="968"/>
      <c r="M19" s="968"/>
      <c r="N19" s="968"/>
      <c r="O19" s="968"/>
      <c r="P19" s="968"/>
      <c r="Q19" s="968"/>
      <c r="R19" s="968"/>
      <c r="S19" s="968"/>
      <c r="T19" s="968"/>
      <c r="U19" s="968"/>
      <c r="V19" s="968"/>
      <c r="W19" s="968"/>
      <c r="X19" s="968"/>
      <c r="Y19" s="968"/>
      <c r="Z19" s="968"/>
      <c r="AA19" s="968"/>
      <c r="AB19" s="968"/>
      <c r="AC19" s="968"/>
      <c r="AD19" s="968"/>
      <c r="AE19" s="968"/>
      <c r="AF19" s="968"/>
      <c r="AG19" s="968"/>
      <c r="AH19" s="968"/>
    </row>
    <row r="20" spans="1:34" ht="15" thickBot="1" x14ac:dyDescent="0.35">
      <c r="A20" s="968"/>
      <c r="B20" s="968"/>
      <c r="C20" s="968"/>
      <c r="D20" s="968"/>
      <c r="E20" s="968"/>
      <c r="F20" s="968"/>
      <c r="G20" s="968"/>
      <c r="H20" s="968"/>
      <c r="I20" s="968"/>
      <c r="J20" s="968"/>
      <c r="K20" s="968"/>
      <c r="L20" s="968"/>
      <c r="M20" s="968"/>
      <c r="N20" s="968"/>
      <c r="O20" s="968"/>
      <c r="P20" s="968"/>
      <c r="Q20" s="968"/>
      <c r="R20" s="968"/>
      <c r="S20" s="968"/>
      <c r="T20" s="968"/>
      <c r="U20" s="968"/>
      <c r="V20" s="968"/>
      <c r="W20" s="968"/>
      <c r="X20" s="968"/>
      <c r="Y20" s="968"/>
      <c r="Z20" s="968"/>
      <c r="AA20" s="968"/>
      <c r="AB20" s="968"/>
      <c r="AC20" s="968"/>
      <c r="AD20" s="968"/>
      <c r="AE20" s="968"/>
      <c r="AF20" s="968"/>
      <c r="AG20" s="968"/>
      <c r="AH20" s="968"/>
    </row>
    <row r="21" spans="1:34" ht="15" thickBot="1" x14ac:dyDescent="0.35">
      <c r="B21" s="1080">
        <f>'FICHA INICIAL'!A4</f>
        <v>44511</v>
      </c>
      <c r="C21" s="1081"/>
      <c r="D21" s="1081"/>
      <c r="E21" s="1081"/>
      <c r="F21" s="1081"/>
      <c r="G21" s="1082"/>
      <c r="O21" s="1080">
        <f>'ANTROPOMETRIA INICIAL'!Q53</f>
        <v>44511</v>
      </c>
      <c r="P21" s="1081"/>
      <c r="R21" s="968"/>
      <c r="S21" s="968"/>
      <c r="T21" s="968"/>
      <c r="U21" s="968"/>
      <c r="V21" s="968"/>
      <c r="W21" s="968"/>
      <c r="X21" s="968"/>
      <c r="Y21" s="968"/>
      <c r="Z21" s="968"/>
      <c r="AA21" s="968"/>
      <c r="AB21" s="968"/>
      <c r="AC21" s="968"/>
      <c r="AD21" s="968"/>
      <c r="AE21" s="968"/>
      <c r="AF21" s="968"/>
      <c r="AG21" s="968"/>
      <c r="AH21" s="968"/>
    </row>
    <row r="22" spans="1:34" ht="15" thickBot="1" x14ac:dyDescent="0.35">
      <c r="A22" s="968"/>
      <c r="B22" s="968"/>
      <c r="C22" s="968"/>
      <c r="D22" s="968"/>
      <c r="E22" s="968"/>
      <c r="F22" s="968"/>
      <c r="G22" s="968"/>
      <c r="H22" s="968"/>
      <c r="I22" s="968"/>
      <c r="J22" s="968"/>
      <c r="K22" s="968"/>
      <c r="L22" s="968"/>
      <c r="M22" s="968"/>
      <c r="N22" s="968"/>
      <c r="O22" s="968"/>
      <c r="P22" s="968"/>
      <c r="Q22" s="968"/>
      <c r="R22" s="966"/>
      <c r="S22" s="966"/>
      <c r="T22" s="966"/>
      <c r="U22" s="966"/>
      <c r="V22" s="966"/>
      <c r="W22" s="966"/>
      <c r="X22" s="966"/>
      <c r="Y22" s="966"/>
      <c r="Z22" s="966"/>
      <c r="AA22" s="966"/>
      <c r="AB22" s="966"/>
      <c r="AC22" s="966"/>
      <c r="AD22" s="966"/>
      <c r="AE22" s="966"/>
      <c r="AF22" s="966"/>
      <c r="AG22" s="966"/>
      <c r="AH22" s="966"/>
    </row>
    <row r="23" spans="1:34" ht="15" thickBot="1" x14ac:dyDescent="0.35">
      <c r="A23" s="1071" t="s">
        <v>664</v>
      </c>
      <c r="B23" s="1072"/>
      <c r="C23" s="1072"/>
      <c r="D23" s="1072"/>
      <c r="E23" s="1072"/>
      <c r="F23" s="1072"/>
      <c r="G23" s="1072"/>
      <c r="H23" s="1072"/>
      <c r="I23" s="1072"/>
      <c r="J23" s="1072"/>
      <c r="K23" s="1072"/>
      <c r="L23" s="1073"/>
      <c r="M23" s="1071" t="s">
        <v>665</v>
      </c>
      <c r="N23" s="1072"/>
      <c r="O23" s="1072"/>
      <c r="P23" s="1072"/>
      <c r="Q23" s="1074"/>
      <c r="R23" s="810" t="s">
        <v>833</v>
      </c>
      <c r="S23" s="811"/>
      <c r="T23" s="811"/>
      <c r="U23" s="811"/>
      <c r="V23" s="812"/>
      <c r="W23" s="1031" t="str">
        <f>REFERENCIAS!A19</f>
        <v>JUDO &lt; 56-61 Kg. (Femenino)</v>
      </c>
      <c r="X23" s="1032"/>
      <c r="Y23" s="1032"/>
      <c r="Z23" s="1032"/>
      <c r="AA23" s="1032"/>
      <c r="AB23" s="1033"/>
      <c r="AC23" s="810" t="s">
        <v>683</v>
      </c>
      <c r="AD23" s="812"/>
      <c r="AE23" s="1045" t="s">
        <v>688</v>
      </c>
      <c r="AF23" s="1046"/>
      <c r="AG23" s="1045" t="str">
        <f>REFERENCIAS!A19</f>
        <v>JUDO &lt; 56-61 Kg. (Femenino)</v>
      </c>
      <c r="AH23" s="1046"/>
    </row>
    <row r="24" spans="1:34" ht="15" thickBot="1" x14ac:dyDescent="0.35">
      <c r="A24" s="1058"/>
      <c r="B24" s="1058"/>
      <c r="C24" s="1058"/>
      <c r="D24" s="1058"/>
      <c r="E24" s="1058"/>
      <c r="F24" s="1058"/>
      <c r="G24" s="1058"/>
      <c r="H24" s="1058"/>
      <c r="I24" s="1058"/>
      <c r="J24" s="1058"/>
      <c r="K24" s="1058"/>
      <c r="L24" s="1058"/>
      <c r="M24" s="1058"/>
      <c r="N24" s="1058"/>
      <c r="O24" s="1058"/>
      <c r="P24" s="1058"/>
      <c r="Q24" s="1058"/>
      <c r="R24" s="1047">
        <f>B21</f>
        <v>44511</v>
      </c>
      <c r="S24" s="905"/>
      <c r="T24" s="1039">
        <f>'ANTROPOMETRIA INICIAL'!L29</f>
        <v>204</v>
      </c>
      <c r="U24" s="1040"/>
      <c r="V24" s="1040"/>
      <c r="W24" s="1040"/>
      <c r="X24" s="1040"/>
      <c r="Y24" s="1040"/>
      <c r="Z24" s="1040"/>
      <c r="AA24" s="1040"/>
      <c r="AB24" s="1041"/>
      <c r="AC24" s="1066" t="s">
        <v>674</v>
      </c>
      <c r="AD24" s="1067"/>
      <c r="AE24" s="1068" t="s">
        <v>689</v>
      </c>
      <c r="AF24" s="1069"/>
      <c r="AG24" s="177" t="s">
        <v>690</v>
      </c>
      <c r="AH24" s="178" t="s">
        <v>691</v>
      </c>
    </row>
    <row r="25" spans="1:34" ht="15" thickBot="1" x14ac:dyDescent="0.35">
      <c r="A25" s="963"/>
      <c r="B25" s="963"/>
      <c r="C25" s="963"/>
      <c r="D25" s="963"/>
      <c r="E25" s="963"/>
      <c r="F25" s="963"/>
      <c r="G25" s="963"/>
      <c r="H25" s="963"/>
      <c r="I25" s="963"/>
      <c r="J25" s="963"/>
      <c r="K25" s="963"/>
      <c r="L25" s="963"/>
      <c r="M25" s="963"/>
      <c r="N25" s="963"/>
      <c r="O25" s="963"/>
      <c r="P25" s="963"/>
      <c r="Q25" s="963"/>
      <c r="R25" s="1029"/>
      <c r="S25" s="1030"/>
      <c r="T25" s="1042"/>
      <c r="U25" s="1043"/>
      <c r="V25" s="1043"/>
      <c r="W25" s="1043"/>
      <c r="X25" s="1043"/>
      <c r="Y25" s="1043"/>
      <c r="Z25" s="1043"/>
      <c r="AA25" s="1043"/>
      <c r="AB25" s="1044"/>
      <c r="AC25" s="1050">
        <f>B21</f>
        <v>44511</v>
      </c>
      <c r="AD25" s="1051"/>
      <c r="AE25" s="1048">
        <f>'ANTROPOMETRIA INICIAL'!$K$151</f>
        <v>8.2885488000000009</v>
      </c>
      <c r="AF25" s="1049"/>
      <c r="AG25" s="182">
        <f>'ANTROPOMETRIA INICIAL'!$L$151</f>
        <v>9.1548999999999978</v>
      </c>
      <c r="AH25" s="183">
        <f>'ANTROPOMETRIA INICIAL'!$M$151</f>
        <v>0.1</v>
      </c>
    </row>
    <row r="26" spans="1:34" ht="15" thickBot="1" x14ac:dyDescent="0.35">
      <c r="A26" s="963"/>
      <c r="B26" s="963"/>
      <c r="C26" s="963"/>
      <c r="D26" s="963"/>
      <c r="E26" s="963"/>
      <c r="F26" s="963"/>
      <c r="G26" s="963"/>
      <c r="H26" s="963"/>
      <c r="I26" s="963"/>
      <c r="J26" s="963"/>
      <c r="K26" s="963"/>
      <c r="L26" s="963"/>
      <c r="M26" s="963"/>
      <c r="N26" s="963"/>
      <c r="O26" s="963"/>
      <c r="P26" s="963"/>
      <c r="Q26" s="963"/>
      <c r="R26" s="1034" t="s">
        <v>832</v>
      </c>
      <c r="S26" s="1035"/>
      <c r="T26" s="1036">
        <f>REFERENCIAS!H19</f>
        <v>77.8</v>
      </c>
      <c r="U26" s="1037"/>
      <c r="V26" s="1037"/>
      <c r="W26" s="1037"/>
      <c r="X26" s="1037">
        <f>REFERENCIAS!I19</f>
        <v>29.1</v>
      </c>
      <c r="Y26" s="1037"/>
      <c r="Z26" s="1037"/>
      <c r="AA26" s="1037"/>
      <c r="AB26" s="1038"/>
      <c r="AC26" s="1050"/>
      <c r="AD26" s="1051"/>
      <c r="AE26" s="1052"/>
      <c r="AF26" s="1053"/>
      <c r="AG26" s="187"/>
      <c r="AH26" s="188"/>
    </row>
    <row r="27" spans="1:34" ht="15" thickBot="1" x14ac:dyDescent="0.35">
      <c r="A27" s="963"/>
      <c r="B27" s="963"/>
      <c r="C27" s="963"/>
      <c r="D27" s="963"/>
      <c r="E27" s="963"/>
      <c r="F27" s="963"/>
      <c r="G27" s="963"/>
      <c r="H27" s="963"/>
      <c r="I27" s="963"/>
      <c r="J27" s="963"/>
      <c r="K27" s="963"/>
      <c r="L27" s="963"/>
      <c r="M27" s="963"/>
      <c r="N27" s="963"/>
      <c r="O27" s="963"/>
      <c r="P27" s="963"/>
      <c r="Q27" s="963"/>
      <c r="R27" s="1028"/>
      <c r="S27" s="1028"/>
      <c r="T27" s="1028"/>
      <c r="U27" s="1028"/>
      <c r="V27" s="1028"/>
      <c r="W27" s="1028"/>
      <c r="X27" s="1028"/>
      <c r="Y27" s="1028"/>
      <c r="Z27" s="1028"/>
      <c r="AA27" s="1028"/>
      <c r="AB27" s="1028"/>
      <c r="AC27" s="1054" t="s">
        <v>832</v>
      </c>
      <c r="AD27" s="1055"/>
      <c r="AE27" s="1056">
        <f>REQUERIMIENTOS!I32</f>
        <v>3.8</v>
      </c>
      <c r="AF27" s="1057"/>
      <c r="AG27" s="184">
        <f>REQUERIMIENTOS!J32</f>
        <v>5.2</v>
      </c>
      <c r="AH27" s="185">
        <f>REQUERIMIENTOS!K32</f>
        <v>1.6</v>
      </c>
    </row>
    <row r="28" spans="1:34" ht="15" thickBot="1" x14ac:dyDescent="0.35">
      <c r="A28" s="963"/>
      <c r="B28" s="963"/>
      <c r="C28" s="963"/>
      <c r="D28" s="963"/>
      <c r="E28" s="963"/>
      <c r="F28" s="963"/>
      <c r="G28" s="963"/>
      <c r="H28" s="963"/>
      <c r="I28" s="963"/>
      <c r="J28" s="963"/>
      <c r="K28" s="963"/>
      <c r="L28" s="963"/>
      <c r="M28" s="963"/>
      <c r="N28" s="963"/>
      <c r="O28" s="963"/>
      <c r="P28" s="963"/>
      <c r="Q28" s="963"/>
      <c r="R28" s="968"/>
      <c r="S28" s="968"/>
      <c r="T28" s="968"/>
      <c r="U28" s="968"/>
      <c r="V28" s="968"/>
      <c r="W28" s="968"/>
      <c r="X28" s="968"/>
      <c r="Y28" s="968"/>
      <c r="Z28" s="968"/>
      <c r="AA28" s="968"/>
      <c r="AB28" s="968"/>
      <c r="AC28" s="968"/>
      <c r="AD28" s="968"/>
      <c r="AE28" s="968"/>
      <c r="AF28" s="968"/>
      <c r="AG28" s="968"/>
      <c r="AH28" s="968"/>
    </row>
    <row r="29" spans="1:34" x14ac:dyDescent="0.3">
      <c r="A29" s="963"/>
      <c r="B29" s="963"/>
      <c r="C29" s="963"/>
      <c r="D29" s="963"/>
      <c r="E29" s="963"/>
      <c r="F29" s="963"/>
      <c r="G29" s="963"/>
      <c r="H29" s="963"/>
      <c r="I29" s="963"/>
      <c r="J29" s="963"/>
      <c r="K29" s="963"/>
      <c r="L29" s="963"/>
      <c r="M29" s="963"/>
      <c r="N29" s="963"/>
      <c r="O29" s="963"/>
      <c r="P29" s="963"/>
      <c r="Q29" s="963"/>
      <c r="R29" s="1018" t="s">
        <v>882</v>
      </c>
      <c r="S29" s="1019"/>
      <c r="T29" s="1019"/>
      <c r="U29" s="1019"/>
      <c r="V29" s="1019"/>
      <c r="W29" s="1019"/>
      <c r="X29" s="1019"/>
      <c r="Y29" s="1019"/>
      <c r="Z29" s="1019"/>
      <c r="AA29" s="1019"/>
      <c r="AB29" s="1019"/>
      <c r="AC29" s="1019"/>
      <c r="AD29" s="1019"/>
      <c r="AE29" s="1019"/>
      <c r="AF29" s="1019"/>
      <c r="AG29" s="1019"/>
      <c r="AH29" s="1020"/>
    </row>
    <row r="30" spans="1:34" ht="15" thickBot="1" x14ac:dyDescent="0.35">
      <c r="A30" s="963"/>
      <c r="B30" s="963"/>
      <c r="C30" s="963"/>
      <c r="D30" s="963"/>
      <c r="E30" s="963"/>
      <c r="F30" s="963"/>
      <c r="G30" s="963"/>
      <c r="H30" s="963"/>
      <c r="I30" s="963"/>
      <c r="J30" s="963"/>
      <c r="K30" s="963"/>
      <c r="L30" s="963"/>
      <c r="M30" s="963"/>
      <c r="N30" s="963"/>
      <c r="O30" s="963"/>
      <c r="P30" s="963"/>
      <c r="Q30" s="963"/>
      <c r="R30" s="1021"/>
      <c r="S30" s="1022"/>
      <c r="T30" s="1022"/>
      <c r="U30" s="1022"/>
      <c r="V30" s="1022"/>
      <c r="W30" s="1022"/>
      <c r="X30" s="1022"/>
      <c r="Y30" s="1022"/>
      <c r="Z30" s="1022"/>
      <c r="AA30" s="1022"/>
      <c r="AB30" s="1022"/>
      <c r="AC30" s="1022"/>
      <c r="AD30" s="1022"/>
      <c r="AE30" s="1022"/>
      <c r="AF30" s="1022"/>
      <c r="AG30" s="1022"/>
      <c r="AH30" s="1023"/>
    </row>
    <row r="31" spans="1:34" ht="14.4" customHeight="1" thickBot="1" x14ac:dyDescent="0.35">
      <c r="A31" s="963"/>
      <c r="B31" s="963"/>
      <c r="C31" s="963"/>
      <c r="D31" s="963"/>
      <c r="E31" s="963"/>
      <c r="F31" s="963"/>
      <c r="G31" s="963"/>
      <c r="H31" s="963"/>
      <c r="I31" s="963"/>
      <c r="J31" s="963"/>
      <c r="K31" s="963"/>
      <c r="L31" s="963"/>
      <c r="M31" s="963"/>
      <c r="N31" s="963"/>
      <c r="O31" s="963"/>
      <c r="P31" s="963"/>
      <c r="Q31" s="963"/>
      <c r="AD31" s="1024" t="s">
        <v>885</v>
      </c>
      <c r="AE31" s="1025"/>
      <c r="AF31" s="1026"/>
      <c r="AG31" s="1026"/>
      <c r="AH31" s="1027"/>
    </row>
    <row r="32" spans="1:34" ht="15" customHeight="1" thickBot="1" x14ac:dyDescent="0.35">
      <c r="A32" s="963"/>
      <c r="B32" s="963"/>
      <c r="C32" s="963"/>
      <c r="D32" s="963"/>
      <c r="E32" s="963"/>
      <c r="F32" s="963"/>
      <c r="G32" s="963"/>
      <c r="H32" s="963"/>
      <c r="I32" s="963"/>
      <c r="J32" s="963"/>
      <c r="K32" s="963"/>
      <c r="L32" s="963"/>
      <c r="M32" s="963"/>
      <c r="N32" s="963"/>
      <c r="O32" s="963"/>
      <c r="P32" s="963"/>
      <c r="Q32" s="963"/>
      <c r="AD32" s="1002" t="s">
        <v>140</v>
      </c>
      <c r="AE32" s="1003"/>
      <c r="AF32" s="1004" t="s">
        <v>156</v>
      </c>
      <c r="AG32" s="1005"/>
      <c r="AH32" s="291" t="s">
        <v>890</v>
      </c>
    </row>
    <row r="33" spans="1:34" ht="15" thickBot="1" x14ac:dyDescent="0.35">
      <c r="A33" s="963"/>
      <c r="B33" s="963"/>
      <c r="C33" s="963"/>
      <c r="D33" s="963"/>
      <c r="E33" s="963"/>
      <c r="F33" s="963"/>
      <c r="G33" s="963"/>
      <c r="H33" s="963"/>
      <c r="I33" s="963"/>
      <c r="J33" s="963"/>
      <c r="K33" s="963"/>
      <c r="L33" s="963"/>
      <c r="M33" s="963"/>
      <c r="N33" s="963"/>
      <c r="O33" s="963"/>
      <c r="P33" s="963"/>
      <c r="Q33" s="963"/>
      <c r="AD33" s="977" t="s">
        <v>144</v>
      </c>
      <c r="AE33" s="978"/>
      <c r="AF33" s="979">
        <f>REQUERIMIENTOS!G102</f>
        <v>5.39</v>
      </c>
      <c r="AG33" s="980"/>
      <c r="AH33" s="1006">
        <f>REQUERIMIENTOS!H105</f>
        <v>1566.0645</v>
      </c>
    </row>
    <row r="34" spans="1:34" ht="15" thickBot="1" x14ac:dyDescent="0.35">
      <c r="A34" s="963"/>
      <c r="B34" s="963"/>
      <c r="C34" s="963"/>
      <c r="D34" s="963"/>
      <c r="E34" s="963"/>
      <c r="F34" s="963"/>
      <c r="G34" s="963"/>
      <c r="H34" s="963"/>
      <c r="I34" s="963"/>
      <c r="J34" s="963"/>
      <c r="K34" s="963"/>
      <c r="L34" s="963"/>
      <c r="M34" s="963"/>
      <c r="N34" s="963"/>
      <c r="O34" s="963"/>
      <c r="P34" s="963"/>
      <c r="Q34" s="963"/>
      <c r="AD34" s="977" t="s">
        <v>145</v>
      </c>
      <c r="AE34" s="978"/>
      <c r="AF34" s="979">
        <f>REQUERIMIENTOS!G103</f>
        <v>1.44</v>
      </c>
      <c r="AG34" s="980"/>
      <c r="AH34" s="1007"/>
    </row>
    <row r="35" spans="1:34" ht="15" thickBot="1" x14ac:dyDescent="0.35">
      <c r="A35" s="963"/>
      <c r="B35" s="963"/>
      <c r="C35" s="963"/>
      <c r="D35" s="963"/>
      <c r="E35" s="963"/>
      <c r="F35" s="963"/>
      <c r="G35" s="963"/>
      <c r="H35" s="963"/>
      <c r="I35" s="963"/>
      <c r="J35" s="963"/>
      <c r="K35" s="963"/>
      <c r="L35" s="963"/>
      <c r="M35" s="963"/>
      <c r="N35" s="963"/>
      <c r="O35" s="963"/>
      <c r="P35" s="963"/>
      <c r="Q35" s="963"/>
      <c r="AD35" s="984" t="s">
        <v>146</v>
      </c>
      <c r="AE35" s="985"/>
      <c r="AF35" s="986">
        <f>REQUERIMIENTOS!G104</f>
        <v>2.15</v>
      </c>
      <c r="AG35" s="987"/>
      <c r="AH35" s="1008"/>
    </row>
    <row r="36" spans="1:34" x14ac:dyDescent="0.3">
      <c r="A36" s="963"/>
      <c r="B36" s="963"/>
      <c r="C36" s="963"/>
      <c r="D36" s="963"/>
      <c r="E36" s="963"/>
      <c r="F36" s="963"/>
      <c r="G36" s="963"/>
      <c r="H36" s="963"/>
      <c r="I36" s="963"/>
      <c r="J36" s="963"/>
      <c r="K36" s="963"/>
      <c r="L36" s="963"/>
      <c r="M36" s="963"/>
      <c r="N36" s="963"/>
      <c r="O36" s="963"/>
      <c r="P36" s="963"/>
      <c r="Q36" s="963"/>
      <c r="AD36" s="959"/>
      <c r="AE36" s="960"/>
      <c r="AF36" s="960"/>
      <c r="AG36" s="960"/>
      <c r="AH36" s="961"/>
    </row>
    <row r="37" spans="1:34" x14ac:dyDescent="0.3">
      <c r="A37" s="963"/>
      <c r="B37" s="963"/>
      <c r="C37" s="963"/>
      <c r="D37" s="963"/>
      <c r="E37" s="963"/>
      <c r="F37" s="963"/>
      <c r="G37" s="963"/>
      <c r="H37" s="963"/>
      <c r="I37" s="963"/>
      <c r="J37" s="963"/>
      <c r="K37" s="963"/>
      <c r="L37" s="963"/>
      <c r="M37" s="963"/>
      <c r="N37" s="963"/>
      <c r="O37" s="963"/>
      <c r="P37" s="963"/>
      <c r="Q37" s="963"/>
      <c r="AD37" s="962"/>
      <c r="AE37" s="963"/>
      <c r="AF37" s="963"/>
      <c r="AG37" s="963"/>
      <c r="AH37" s="964"/>
    </row>
    <row r="38" spans="1:34" ht="15" thickBot="1" x14ac:dyDescent="0.35">
      <c r="A38" s="1083"/>
      <c r="B38" s="1083"/>
      <c r="C38" s="1083"/>
      <c r="D38" s="1083"/>
      <c r="E38" s="1083"/>
      <c r="F38" s="1083"/>
      <c r="G38" s="1083"/>
      <c r="H38" s="1083"/>
      <c r="I38" s="1083"/>
      <c r="J38" s="1083"/>
      <c r="K38" s="1083"/>
      <c r="L38" s="1083"/>
      <c r="M38" s="1083"/>
      <c r="N38" s="1083"/>
      <c r="O38" s="1083"/>
      <c r="P38" s="1083"/>
      <c r="Q38" s="1083"/>
      <c r="AD38" s="965"/>
      <c r="AE38" s="966"/>
      <c r="AF38" s="966"/>
      <c r="AG38" s="966"/>
      <c r="AH38" s="967"/>
    </row>
    <row r="39" spans="1:34" ht="14.4" customHeight="1" thickBot="1" x14ac:dyDescent="0.35">
      <c r="A39" s="1084" t="s">
        <v>666</v>
      </c>
      <c r="B39" s="1085"/>
      <c r="C39" s="1085"/>
      <c r="D39" s="1085"/>
      <c r="E39" s="1085"/>
      <c r="F39" s="1085"/>
      <c r="G39" s="1085"/>
      <c r="H39" s="1085"/>
      <c r="I39" s="1085"/>
      <c r="J39" s="1085"/>
      <c r="K39" s="1086"/>
      <c r="L39" s="1077" t="s">
        <v>667</v>
      </c>
      <c r="M39" s="1078"/>
      <c r="N39" s="1078"/>
      <c r="O39" s="1078"/>
      <c r="P39" s="1078"/>
      <c r="Q39" s="1079"/>
      <c r="AD39" s="810" t="s">
        <v>886</v>
      </c>
      <c r="AE39" s="811"/>
      <c r="AF39" s="811"/>
      <c r="AG39" s="811"/>
      <c r="AH39" s="812"/>
    </row>
    <row r="40" spans="1:34" ht="14.4" customHeight="1" thickBot="1" x14ac:dyDescent="0.35">
      <c r="A40" s="1087"/>
      <c r="B40" s="1088"/>
      <c r="C40" s="1088"/>
      <c r="D40" s="1088"/>
      <c r="E40" s="1088"/>
      <c r="F40" s="1088"/>
      <c r="G40" s="1088"/>
      <c r="H40" s="1088"/>
      <c r="I40" s="1088"/>
      <c r="J40" s="1088"/>
      <c r="K40" s="1088"/>
      <c r="L40" s="1088"/>
      <c r="M40" s="1088"/>
      <c r="N40" s="1088"/>
      <c r="O40" s="1088"/>
      <c r="P40" s="1088"/>
      <c r="Q40" s="1089"/>
      <c r="AD40" s="1009" t="s">
        <v>140</v>
      </c>
      <c r="AE40" s="1010"/>
      <c r="AF40" s="1011" t="s">
        <v>156</v>
      </c>
      <c r="AG40" s="1012"/>
      <c r="AH40" s="292" t="s">
        <v>890</v>
      </c>
    </row>
    <row r="41" spans="1:34" ht="15" customHeight="1" thickBot="1" x14ac:dyDescent="0.35">
      <c r="A41" s="962"/>
      <c r="B41" s="963"/>
      <c r="C41" s="963"/>
      <c r="D41" s="963"/>
      <c r="E41" s="963"/>
      <c r="F41" s="963"/>
      <c r="G41" s="963"/>
      <c r="H41" s="963"/>
      <c r="I41" s="963"/>
      <c r="J41" s="963"/>
      <c r="K41" s="964"/>
      <c r="L41" s="963"/>
      <c r="M41" s="963"/>
      <c r="N41" s="963"/>
      <c r="O41" s="963"/>
      <c r="P41" s="446">
        <f>B21</f>
        <v>44511</v>
      </c>
      <c r="Q41" s="446" t="s">
        <v>1077</v>
      </c>
      <c r="AD41" s="977" t="s">
        <v>144</v>
      </c>
      <c r="AE41" s="978"/>
      <c r="AF41" s="979">
        <f>REQUERIMIENTOS!G111</f>
        <v>6</v>
      </c>
      <c r="AG41" s="980"/>
      <c r="AH41" s="1013">
        <f>REQUERIMIENTOS!H114</f>
        <v>1489.0687500000001</v>
      </c>
    </row>
    <row r="42" spans="1:34" ht="14.4" customHeight="1" thickBot="1" x14ac:dyDescent="0.35">
      <c r="A42" s="962"/>
      <c r="B42" s="963"/>
      <c r="C42" s="963"/>
      <c r="D42" s="963"/>
      <c r="E42" s="963"/>
      <c r="F42" s="963"/>
      <c r="G42" s="963"/>
      <c r="H42" s="963"/>
      <c r="I42" s="963"/>
      <c r="J42" s="963"/>
      <c r="K42" s="963"/>
      <c r="L42" s="1090" t="s">
        <v>668</v>
      </c>
      <c r="M42" s="1091"/>
      <c r="N42" s="1091"/>
      <c r="O42" s="1092"/>
      <c r="P42" s="96">
        <f>'ANTROPOMETRIA INICIAL'!$B$8</f>
        <v>31.441478439425051</v>
      </c>
      <c r="Q42" s="96"/>
      <c r="AD42" s="977" t="s">
        <v>145</v>
      </c>
      <c r="AE42" s="978"/>
      <c r="AF42" s="979">
        <f>REQUERIMIENTOS!G112</f>
        <v>1</v>
      </c>
      <c r="AG42" s="980"/>
      <c r="AH42" s="1014"/>
    </row>
    <row r="43" spans="1:34" ht="14.4" customHeight="1" thickBot="1" x14ac:dyDescent="0.35">
      <c r="A43" s="962"/>
      <c r="B43" s="963"/>
      <c r="C43" s="963"/>
      <c r="D43" s="963"/>
      <c r="E43" s="963"/>
      <c r="F43" s="963"/>
      <c r="G43" s="963"/>
      <c r="H43" s="963"/>
      <c r="I43" s="963"/>
      <c r="J43" s="963"/>
      <c r="K43" s="963"/>
      <c r="L43" s="997" t="s">
        <v>669</v>
      </c>
      <c r="M43" s="998"/>
      <c r="N43" s="998"/>
      <c r="O43" s="999"/>
      <c r="P43" s="112">
        <f>'ANTROPOMETRIA INICIAL'!$E$11</f>
        <v>150</v>
      </c>
      <c r="Q43" s="112"/>
      <c r="AD43" s="984" t="s">
        <v>146</v>
      </c>
      <c r="AE43" s="985"/>
      <c r="AF43" s="986">
        <f>REQUERIMIENTOS!G113</f>
        <v>2</v>
      </c>
      <c r="AG43" s="987"/>
      <c r="AH43" s="1015"/>
    </row>
    <row r="44" spans="1:34" ht="14.4" customHeight="1" x14ac:dyDescent="0.3">
      <c r="A44" s="962"/>
      <c r="B44" s="963"/>
      <c r="C44" s="963"/>
      <c r="D44" s="963"/>
      <c r="E44" s="963"/>
      <c r="F44" s="963"/>
      <c r="G44" s="963"/>
      <c r="H44" s="963"/>
      <c r="I44" s="963"/>
      <c r="J44" s="963"/>
      <c r="K44" s="963"/>
      <c r="L44" s="997" t="s">
        <v>670</v>
      </c>
      <c r="M44" s="998"/>
      <c r="N44" s="998"/>
      <c r="O44" s="999"/>
      <c r="P44" s="112">
        <f>'ANTROPOMETRIA INICIAL'!$L$6</f>
        <v>39.037336044001229</v>
      </c>
      <c r="Q44" s="447"/>
      <c r="AD44" s="959"/>
      <c r="AE44" s="960"/>
      <c r="AF44" s="960"/>
      <c r="AG44" s="960"/>
      <c r="AH44" s="961"/>
    </row>
    <row r="45" spans="1:34" ht="14.4" customHeight="1" x14ac:dyDescent="0.3">
      <c r="A45" s="962"/>
      <c r="B45" s="963"/>
      <c r="C45" s="963"/>
      <c r="D45" s="963"/>
      <c r="E45" s="963"/>
      <c r="F45" s="963"/>
      <c r="G45" s="963"/>
      <c r="H45" s="963"/>
      <c r="I45" s="963"/>
      <c r="J45" s="963"/>
      <c r="K45" s="963"/>
      <c r="L45" s="997" t="s">
        <v>671</v>
      </c>
      <c r="M45" s="998"/>
      <c r="N45" s="998"/>
      <c r="O45" s="999"/>
      <c r="P45" s="112">
        <f>'ANTROPOMETRIA INICIAL'!$L$11</f>
        <v>33.969479550600155</v>
      </c>
      <c r="Q45" s="112"/>
      <c r="AD45" s="962"/>
      <c r="AE45" s="963"/>
      <c r="AF45" s="963"/>
      <c r="AG45" s="963"/>
      <c r="AH45" s="964"/>
    </row>
    <row r="46" spans="1:34" ht="14.4" customHeight="1" thickBot="1" x14ac:dyDescent="0.35">
      <c r="A46" s="962"/>
      <c r="B46" s="963"/>
      <c r="C46" s="963"/>
      <c r="D46" s="963"/>
      <c r="E46" s="963"/>
      <c r="F46" s="963"/>
      <c r="G46" s="963"/>
      <c r="H46" s="963"/>
      <c r="I46" s="963"/>
      <c r="J46" s="963"/>
      <c r="K46" s="963"/>
      <c r="L46" s="997" t="s">
        <v>672</v>
      </c>
      <c r="M46" s="998"/>
      <c r="N46" s="998"/>
      <c r="O46" s="999"/>
      <c r="P46" s="112">
        <f>'ANTROPOMETRIA INICIAL'!$L$20</f>
        <v>7.88544</v>
      </c>
      <c r="Q46" s="112"/>
      <c r="AD46" s="965"/>
      <c r="AE46" s="966"/>
      <c r="AF46" s="966"/>
      <c r="AG46" s="966"/>
      <c r="AH46" s="967"/>
    </row>
    <row r="47" spans="1:34" ht="14.4" customHeight="1" thickBot="1" x14ac:dyDescent="0.35">
      <c r="A47" s="962"/>
      <c r="B47" s="963"/>
      <c r="C47" s="963"/>
      <c r="D47" s="963"/>
      <c r="E47" s="963"/>
      <c r="F47" s="963"/>
      <c r="G47" s="963"/>
      <c r="H47" s="963"/>
      <c r="I47" s="963"/>
      <c r="J47" s="963"/>
      <c r="K47" s="963"/>
      <c r="L47" s="997" t="s">
        <v>673</v>
      </c>
      <c r="M47" s="998"/>
      <c r="N47" s="998"/>
      <c r="O47" s="999"/>
      <c r="P47" s="112">
        <f>'ANTROPOMETRIA INICIAL'!$L$29</f>
        <v>204</v>
      </c>
      <c r="Q47" s="112"/>
      <c r="AD47" s="810" t="s">
        <v>887</v>
      </c>
      <c r="AE47" s="811"/>
      <c r="AF47" s="811"/>
      <c r="AG47" s="811"/>
      <c r="AH47" s="812"/>
    </row>
    <row r="48" spans="1:34" ht="14.4" customHeight="1" thickBot="1" x14ac:dyDescent="0.35">
      <c r="A48" s="962"/>
      <c r="B48" s="963"/>
      <c r="C48" s="963"/>
      <c r="D48" s="963"/>
      <c r="E48" s="963"/>
      <c r="F48" s="963"/>
      <c r="G48" s="963"/>
      <c r="H48" s="963"/>
      <c r="I48" s="963"/>
      <c r="J48" s="963"/>
      <c r="K48" s="963"/>
      <c r="L48" s="997" t="s">
        <v>1069</v>
      </c>
      <c r="M48" s="998"/>
      <c r="N48" s="998"/>
      <c r="O48" s="999"/>
      <c r="P48" s="475">
        <f>'ANTROPOMETRIA INICIAL'!L27</f>
        <v>1.1989247311827957</v>
      </c>
      <c r="Q48" s="112"/>
      <c r="AD48" s="1016" t="s">
        <v>140</v>
      </c>
      <c r="AE48" s="1017"/>
      <c r="AF48" s="1000" t="s">
        <v>156</v>
      </c>
      <c r="AG48" s="1001"/>
      <c r="AH48" s="293" t="s">
        <v>890</v>
      </c>
    </row>
    <row r="49" spans="1:34" ht="14.4" customHeight="1" thickBot="1" x14ac:dyDescent="0.35">
      <c r="A49" s="962"/>
      <c r="B49" s="963"/>
      <c r="C49" s="963"/>
      <c r="D49" s="963"/>
      <c r="E49" s="963"/>
      <c r="F49" s="963"/>
      <c r="G49" s="963"/>
      <c r="H49" s="963"/>
      <c r="I49" s="963"/>
      <c r="J49" s="963"/>
      <c r="K49" s="963"/>
      <c r="L49" s="997" t="s">
        <v>1070</v>
      </c>
      <c r="M49" s="998"/>
      <c r="N49" s="998"/>
      <c r="O49" s="999"/>
      <c r="P49" s="97">
        <f>'ANTROPOMETRIA INICIAL'!$L$25</f>
        <v>42.93333333333333</v>
      </c>
      <c r="Q49" s="112"/>
      <c r="AD49" s="977" t="s">
        <v>144</v>
      </c>
      <c r="AE49" s="978"/>
      <c r="AF49" s="979">
        <f>REQUERIMIENTOS!G120</f>
        <v>8</v>
      </c>
      <c r="AG49" s="980"/>
      <c r="AH49" s="981">
        <f>REQUERIMIENTOS!H123</f>
        <v>1808.6737500000002</v>
      </c>
    </row>
    <row r="50" spans="1:34" ht="14.4" customHeight="1" thickBot="1" x14ac:dyDescent="0.35">
      <c r="A50" s="962"/>
      <c r="B50" s="963"/>
      <c r="C50" s="963"/>
      <c r="D50" s="963"/>
      <c r="E50" s="963"/>
      <c r="F50" s="963"/>
      <c r="G50" s="963"/>
      <c r="H50" s="963"/>
      <c r="I50" s="963"/>
      <c r="J50" s="963"/>
      <c r="K50" s="963"/>
      <c r="L50" s="997" t="s">
        <v>1071</v>
      </c>
      <c r="M50" s="998"/>
      <c r="N50" s="998"/>
      <c r="O50" s="999"/>
      <c r="P50" s="97">
        <f>'ANTROPOMETRIA INICIAL'!$P$32</f>
        <v>9.8648484339795619</v>
      </c>
      <c r="Q50" s="112"/>
      <c r="AD50" s="977" t="s">
        <v>145</v>
      </c>
      <c r="AE50" s="978"/>
      <c r="AF50" s="979">
        <f>REQUERIMIENTOS!G121</f>
        <v>1</v>
      </c>
      <c r="AG50" s="980"/>
      <c r="AH50" s="982"/>
    </row>
    <row r="51" spans="1:34" ht="14.4" customHeight="1" thickBot="1" x14ac:dyDescent="0.35">
      <c r="A51" s="962"/>
      <c r="B51" s="963"/>
      <c r="C51" s="963"/>
      <c r="D51" s="963"/>
      <c r="E51" s="963"/>
      <c r="F51" s="963"/>
      <c r="G51" s="963"/>
      <c r="H51" s="963"/>
      <c r="I51" s="963"/>
      <c r="J51" s="963"/>
      <c r="K51" s="963"/>
      <c r="L51" s="988" t="s">
        <v>1072</v>
      </c>
      <c r="M51" s="989"/>
      <c r="N51" s="989"/>
      <c r="O51" s="990"/>
      <c r="P51" s="203">
        <f>'ANTROPOMETRIA INICIAL'!$P$36</f>
        <v>5.882521546395612</v>
      </c>
      <c r="Q51" s="448"/>
      <c r="AD51" s="984" t="s">
        <v>146</v>
      </c>
      <c r="AE51" s="985"/>
      <c r="AF51" s="986">
        <f>REQUERIMIENTOS!G122</f>
        <v>2.2000000000000002</v>
      </c>
      <c r="AG51" s="987"/>
      <c r="AH51" s="983"/>
    </row>
    <row r="52" spans="1:34" ht="14.4" customHeight="1" x14ac:dyDescent="0.3">
      <c r="A52" s="962"/>
      <c r="B52" s="963"/>
      <c r="C52" s="963"/>
      <c r="D52" s="963"/>
      <c r="E52" s="963"/>
      <c r="F52" s="963"/>
      <c r="G52" s="963"/>
      <c r="H52" s="963"/>
      <c r="I52" s="963"/>
      <c r="J52" s="963"/>
      <c r="K52" s="964"/>
      <c r="L52" s="991" t="s">
        <v>683</v>
      </c>
      <c r="M52" s="992"/>
      <c r="N52" s="992"/>
      <c r="O52" s="993"/>
      <c r="P52" s="1093" t="str">
        <f>'ANTROPOMETRIA INICIAL'!K145</f>
        <v>ENDOMORFO, MESOMORFICO</v>
      </c>
      <c r="Q52" s="1094"/>
      <c r="AD52" s="959"/>
      <c r="AE52" s="960"/>
      <c r="AF52" s="960"/>
      <c r="AG52" s="960"/>
      <c r="AH52" s="961"/>
    </row>
    <row r="53" spans="1:34" ht="15" thickBot="1" x14ac:dyDescent="0.35">
      <c r="A53" s="965"/>
      <c r="B53" s="966"/>
      <c r="C53" s="966"/>
      <c r="D53" s="966"/>
      <c r="E53" s="966"/>
      <c r="F53" s="966"/>
      <c r="G53" s="966"/>
      <c r="H53" s="966"/>
      <c r="I53" s="966"/>
      <c r="J53" s="966"/>
      <c r="K53" s="967"/>
      <c r="L53" s="994"/>
      <c r="M53" s="995"/>
      <c r="N53" s="995"/>
      <c r="O53" s="996"/>
      <c r="P53" s="1095"/>
      <c r="Q53" s="1096"/>
      <c r="AD53" s="962"/>
      <c r="AE53" s="963"/>
      <c r="AF53" s="963"/>
      <c r="AG53" s="963"/>
      <c r="AH53" s="964"/>
    </row>
    <row r="54" spans="1:34" ht="15" thickBot="1" x14ac:dyDescent="0.35">
      <c r="A54" s="960"/>
      <c r="B54" s="960"/>
      <c r="C54" s="960"/>
      <c r="D54" s="960"/>
      <c r="E54" s="960"/>
      <c r="F54" s="960"/>
      <c r="G54" s="960"/>
      <c r="H54" s="960"/>
      <c r="I54" s="960"/>
      <c r="J54" s="960"/>
      <c r="K54" s="960"/>
      <c r="L54" s="960"/>
      <c r="M54" s="960"/>
      <c r="N54" s="960"/>
      <c r="O54" s="960"/>
      <c r="P54" s="960"/>
      <c r="Q54" s="960"/>
      <c r="AD54" s="965"/>
      <c r="AE54" s="966"/>
      <c r="AF54" s="966"/>
      <c r="AG54" s="966"/>
      <c r="AH54" s="967"/>
    </row>
    <row r="55" spans="1:34" ht="15" thickBot="1" x14ac:dyDescent="0.35">
      <c r="A55" s="976" t="s">
        <v>1080</v>
      </c>
      <c r="B55" s="960"/>
      <c r="C55" s="960"/>
      <c r="D55" s="960"/>
      <c r="E55" s="960"/>
      <c r="F55" s="960"/>
      <c r="G55" s="960"/>
      <c r="H55" s="960"/>
      <c r="I55" s="960"/>
      <c r="J55" s="960"/>
      <c r="K55" s="960"/>
      <c r="L55" s="960"/>
      <c r="M55" s="960"/>
      <c r="N55" s="960"/>
      <c r="O55" s="960"/>
      <c r="P55" s="960"/>
      <c r="Q55" s="961"/>
      <c r="R55" s="968"/>
      <c r="S55" s="968"/>
      <c r="T55" s="968"/>
      <c r="U55" s="968"/>
      <c r="V55" s="968"/>
      <c r="W55" s="968"/>
      <c r="X55" s="968"/>
      <c r="Y55" s="968"/>
      <c r="Z55" s="968"/>
      <c r="AA55" s="968"/>
      <c r="AB55" s="968"/>
      <c r="AC55" s="968"/>
      <c r="AD55" s="968"/>
      <c r="AE55" s="968"/>
      <c r="AF55" s="968"/>
      <c r="AG55" s="968"/>
      <c r="AH55" s="968"/>
    </row>
    <row r="56" spans="1:34" x14ac:dyDescent="0.3">
      <c r="A56" s="962"/>
      <c r="B56" s="963"/>
      <c r="C56" s="963"/>
      <c r="D56" s="963"/>
      <c r="E56" s="963"/>
      <c r="F56" s="963"/>
      <c r="G56" s="963"/>
      <c r="H56" s="963"/>
      <c r="I56" s="963"/>
      <c r="J56" s="963"/>
      <c r="K56" s="963"/>
      <c r="L56" s="963"/>
      <c r="M56" s="963"/>
      <c r="N56" s="963"/>
      <c r="O56" s="963"/>
      <c r="P56" s="963"/>
      <c r="Q56" s="964"/>
      <c r="R56" s="969" t="s">
        <v>1080</v>
      </c>
      <c r="S56" s="970"/>
      <c r="T56" s="970"/>
      <c r="U56" s="970"/>
      <c r="V56" s="970"/>
      <c r="W56" s="970"/>
      <c r="X56" s="970"/>
      <c r="Y56" s="970"/>
      <c r="Z56" s="970"/>
      <c r="AA56" s="970"/>
      <c r="AB56" s="970"/>
      <c r="AC56" s="970"/>
      <c r="AD56" s="970"/>
      <c r="AE56" s="970"/>
      <c r="AF56" s="970"/>
      <c r="AG56" s="970"/>
      <c r="AH56" s="870"/>
    </row>
    <row r="57" spans="1:34" x14ac:dyDescent="0.3">
      <c r="A57" s="962"/>
      <c r="B57" s="963"/>
      <c r="C57" s="963"/>
      <c r="D57" s="963"/>
      <c r="E57" s="963"/>
      <c r="F57" s="963"/>
      <c r="G57" s="963"/>
      <c r="H57" s="963"/>
      <c r="I57" s="963"/>
      <c r="J57" s="963"/>
      <c r="K57" s="963"/>
      <c r="L57" s="963"/>
      <c r="M57" s="963"/>
      <c r="N57" s="963"/>
      <c r="O57" s="963"/>
      <c r="P57" s="963"/>
      <c r="Q57" s="964"/>
      <c r="R57" s="971"/>
      <c r="S57" s="972"/>
      <c r="T57" s="972"/>
      <c r="U57" s="972"/>
      <c r="V57" s="972"/>
      <c r="W57" s="972"/>
      <c r="X57" s="972"/>
      <c r="Y57" s="972"/>
      <c r="Z57" s="972"/>
      <c r="AA57" s="972"/>
      <c r="AB57" s="972"/>
      <c r="AC57" s="972"/>
      <c r="AD57" s="972"/>
      <c r="AE57" s="972"/>
      <c r="AF57" s="972"/>
      <c r="AG57" s="972"/>
      <c r="AH57" s="973"/>
    </row>
    <row r="58" spans="1:34" x14ac:dyDescent="0.3">
      <c r="A58" s="962"/>
      <c r="B58" s="963"/>
      <c r="C58" s="963"/>
      <c r="D58" s="963"/>
      <c r="E58" s="963"/>
      <c r="F58" s="963"/>
      <c r="G58" s="963"/>
      <c r="H58" s="963"/>
      <c r="I58" s="963"/>
      <c r="J58" s="963"/>
      <c r="K58" s="963"/>
      <c r="L58" s="963"/>
      <c r="M58" s="963"/>
      <c r="N58" s="963"/>
      <c r="O58" s="963"/>
      <c r="P58" s="963"/>
      <c r="Q58" s="964"/>
      <c r="R58" s="971"/>
      <c r="S58" s="972"/>
      <c r="T58" s="972"/>
      <c r="U58" s="972"/>
      <c r="V58" s="972"/>
      <c r="W58" s="972"/>
      <c r="X58" s="972"/>
      <c r="Y58" s="972"/>
      <c r="Z58" s="972"/>
      <c r="AA58" s="972"/>
      <c r="AB58" s="972"/>
      <c r="AC58" s="972"/>
      <c r="AD58" s="972"/>
      <c r="AE58" s="972"/>
      <c r="AF58" s="972"/>
      <c r="AG58" s="972"/>
      <c r="AH58" s="973"/>
    </row>
    <row r="59" spans="1:34" ht="15" thickBot="1" x14ac:dyDescent="0.35">
      <c r="A59" s="965"/>
      <c r="B59" s="966"/>
      <c r="C59" s="966"/>
      <c r="D59" s="966"/>
      <c r="E59" s="966"/>
      <c r="F59" s="966"/>
      <c r="G59" s="966"/>
      <c r="H59" s="966"/>
      <c r="I59" s="966"/>
      <c r="J59" s="966"/>
      <c r="K59" s="966"/>
      <c r="L59" s="966"/>
      <c r="M59" s="966"/>
      <c r="N59" s="966"/>
      <c r="O59" s="966"/>
      <c r="P59" s="966"/>
      <c r="Q59" s="967"/>
      <c r="R59" s="974"/>
      <c r="S59" s="975"/>
      <c r="T59" s="975"/>
      <c r="U59" s="975"/>
      <c r="V59" s="975"/>
      <c r="W59" s="975"/>
      <c r="X59" s="975"/>
      <c r="Y59" s="975"/>
      <c r="Z59" s="975"/>
      <c r="AA59" s="975"/>
      <c r="AB59" s="975"/>
      <c r="AC59" s="975"/>
      <c r="AD59" s="975"/>
      <c r="AE59" s="975"/>
      <c r="AF59" s="975"/>
      <c r="AG59" s="975"/>
      <c r="AH59" s="871"/>
    </row>
  </sheetData>
  <mergeCells count="111">
    <mergeCell ref="A25:L37"/>
    <mergeCell ref="M25:Q37"/>
    <mergeCell ref="A38:Q38"/>
    <mergeCell ref="A39:K39"/>
    <mergeCell ref="L39:Q39"/>
    <mergeCell ref="L45:O45"/>
    <mergeCell ref="L46:O46"/>
    <mergeCell ref="L41:O41"/>
    <mergeCell ref="A41:K53"/>
    <mergeCell ref="A40:Q40"/>
    <mergeCell ref="L42:O42"/>
    <mergeCell ref="L43:O43"/>
    <mergeCell ref="L44:O44"/>
    <mergeCell ref="P52:Q53"/>
    <mergeCell ref="L47:O47"/>
    <mergeCell ref="L48:O48"/>
    <mergeCell ref="R1:AH1"/>
    <mergeCell ref="R3:AH3"/>
    <mergeCell ref="A23:L23"/>
    <mergeCell ref="M23:Q23"/>
    <mergeCell ref="A5:Q5"/>
    <mergeCell ref="R7:AH7"/>
    <mergeCell ref="A7:Q7"/>
    <mergeCell ref="A6:F6"/>
    <mergeCell ref="P6:Q6"/>
    <mergeCell ref="R6:W6"/>
    <mergeCell ref="AG6:AH6"/>
    <mergeCell ref="X6:AF6"/>
    <mergeCell ref="G6:O6"/>
    <mergeCell ref="O21:P21"/>
    <mergeCell ref="B21:G21"/>
    <mergeCell ref="A22:L22"/>
    <mergeCell ref="M22:Q22"/>
    <mergeCell ref="A8:L20"/>
    <mergeCell ref="M8:Q20"/>
    <mergeCell ref="A24:Q24"/>
    <mergeCell ref="S2:AG2"/>
    <mergeCell ref="R4:U4"/>
    <mergeCell ref="B2:P2"/>
    <mergeCell ref="A4:D4"/>
    <mergeCell ref="P4:Q4"/>
    <mergeCell ref="E4:L4"/>
    <mergeCell ref="AG4:AH4"/>
    <mergeCell ref="AE4:AF4"/>
    <mergeCell ref="V4:AB4"/>
    <mergeCell ref="AC24:AD24"/>
    <mergeCell ref="AE24:AF24"/>
    <mergeCell ref="R5:AH5"/>
    <mergeCell ref="R8:AH22"/>
    <mergeCell ref="R29:AH30"/>
    <mergeCell ref="AD31:AH31"/>
    <mergeCell ref="AD39:AH39"/>
    <mergeCell ref="AD36:AH38"/>
    <mergeCell ref="R27:AB27"/>
    <mergeCell ref="R28:AH28"/>
    <mergeCell ref="R25:S25"/>
    <mergeCell ref="W23:AB23"/>
    <mergeCell ref="R26:S26"/>
    <mergeCell ref="T26:W26"/>
    <mergeCell ref="X26:AB26"/>
    <mergeCell ref="T24:AB24"/>
    <mergeCell ref="T25:AB25"/>
    <mergeCell ref="AE23:AF23"/>
    <mergeCell ref="AG23:AH23"/>
    <mergeCell ref="AC23:AD23"/>
    <mergeCell ref="R23:V23"/>
    <mergeCell ref="R24:S24"/>
    <mergeCell ref="AE25:AF25"/>
    <mergeCell ref="AC26:AD26"/>
    <mergeCell ref="AE26:AF26"/>
    <mergeCell ref="AC27:AD27"/>
    <mergeCell ref="AE27:AF27"/>
    <mergeCell ref="AC25:AD25"/>
    <mergeCell ref="AF48:AG48"/>
    <mergeCell ref="AD44:AH46"/>
    <mergeCell ref="AD47:AH47"/>
    <mergeCell ref="AD32:AE32"/>
    <mergeCell ref="AD33:AE33"/>
    <mergeCell ref="AD34:AE34"/>
    <mergeCell ref="AD35:AE35"/>
    <mergeCell ref="AF32:AG32"/>
    <mergeCell ref="AF33:AG33"/>
    <mergeCell ref="AF34:AG34"/>
    <mergeCell ref="AF35:AG35"/>
    <mergeCell ref="AH33:AH35"/>
    <mergeCell ref="AD40:AE40"/>
    <mergeCell ref="AF40:AG40"/>
    <mergeCell ref="AD41:AE41"/>
    <mergeCell ref="AF41:AG41"/>
    <mergeCell ref="AH41:AH43"/>
    <mergeCell ref="AD42:AE42"/>
    <mergeCell ref="AF42:AG42"/>
    <mergeCell ref="AD43:AE43"/>
    <mergeCell ref="AF43:AG43"/>
    <mergeCell ref="AD48:AE48"/>
    <mergeCell ref="AD52:AH54"/>
    <mergeCell ref="R55:AH55"/>
    <mergeCell ref="R56:AH59"/>
    <mergeCell ref="A54:Q54"/>
    <mergeCell ref="A55:Q59"/>
    <mergeCell ref="AD49:AE49"/>
    <mergeCell ref="AF49:AG49"/>
    <mergeCell ref="AH49:AH51"/>
    <mergeCell ref="AD50:AE50"/>
    <mergeCell ref="AF50:AG50"/>
    <mergeCell ref="AD51:AE51"/>
    <mergeCell ref="AF51:AG51"/>
    <mergeCell ref="L51:O51"/>
    <mergeCell ref="L52:O53"/>
    <mergeCell ref="L49:O49"/>
    <mergeCell ref="L50:O50"/>
  </mergeCells>
  <conditionalFormatting sqref="Q42">
    <cfRule type="iconSet" priority="10">
      <iconSet iconSet="3Arrows">
        <cfvo type="percent" val="0"/>
        <cfvo type="num" val="$Q$42"/>
        <cfvo type="num" val="$P$42" gte="0"/>
      </iconSet>
    </cfRule>
  </conditionalFormatting>
  <conditionalFormatting sqref="Q43">
    <cfRule type="iconSet" priority="9">
      <iconSet iconSet="3Arrows">
        <cfvo type="percent" val="0"/>
        <cfvo type="num" val="$Q$43"/>
        <cfvo type="num" val="$P$43" gte="0"/>
      </iconSet>
    </cfRule>
  </conditionalFormatting>
  <conditionalFormatting sqref="Q44">
    <cfRule type="iconSet" priority="8">
      <iconSet iconSet="3Arrows">
        <cfvo type="percent" val="0"/>
        <cfvo type="num" val="$Q$44"/>
        <cfvo type="num" val="$P$44" gte="0"/>
      </iconSet>
    </cfRule>
  </conditionalFormatting>
  <conditionalFormatting sqref="Q45">
    <cfRule type="iconSet" priority="7">
      <iconSet iconSet="3Arrows">
        <cfvo type="percent" val="0"/>
        <cfvo type="num" val="$Q$45"/>
        <cfvo type="num" val="$P$45" gte="0"/>
      </iconSet>
    </cfRule>
  </conditionalFormatting>
  <conditionalFormatting sqref="Q46">
    <cfRule type="iconSet" priority="6">
      <iconSet iconSet="3Arrows">
        <cfvo type="percent" val="0"/>
        <cfvo type="num" val="$Q$46"/>
        <cfvo type="num" val="$P$46" gte="0"/>
      </iconSet>
    </cfRule>
  </conditionalFormatting>
  <conditionalFormatting sqref="Q47">
    <cfRule type="iconSet" priority="5">
      <iconSet iconSet="3Arrows">
        <cfvo type="percent" val="0"/>
        <cfvo type="num" val="$Q$47"/>
        <cfvo type="num" val="$P$47" gte="0"/>
      </iconSet>
    </cfRule>
  </conditionalFormatting>
  <conditionalFormatting sqref="Q48">
    <cfRule type="iconSet" priority="4">
      <iconSet iconSet="3Arrows">
        <cfvo type="percent" val="0"/>
        <cfvo type="num" val="$Q$48"/>
        <cfvo type="num" val="$P$48" gte="0"/>
      </iconSet>
    </cfRule>
  </conditionalFormatting>
  <conditionalFormatting sqref="Q49">
    <cfRule type="iconSet" priority="3">
      <iconSet iconSet="3Arrows">
        <cfvo type="percent" val="0"/>
        <cfvo type="num" val="$Q$49"/>
        <cfvo type="num" val="$P$49" gte="0"/>
      </iconSet>
    </cfRule>
  </conditionalFormatting>
  <conditionalFormatting sqref="Q50">
    <cfRule type="iconSet" priority="2">
      <iconSet iconSet="3Arrows">
        <cfvo type="percent" val="0"/>
        <cfvo type="num" val="$Q$50"/>
        <cfvo type="num" val="$P$50" gte="0"/>
      </iconSet>
    </cfRule>
  </conditionalFormatting>
  <conditionalFormatting sqref="Q51">
    <cfRule type="iconSet" priority="1">
      <iconSet iconSet="3Arrows">
        <cfvo type="percent" val="0"/>
        <cfvo type="num" val="$Q$51"/>
        <cfvo type="num" val="$P$51" gte="0"/>
      </iconSet>
    </cfRule>
  </conditionalFormatting>
  <printOptions horizontalCentered="1" verticalCentered="1"/>
  <pageMargins left="0.70866141732283472" right="0.62992125984251968" top="0.74803149606299213" bottom="0.74803149606299213" header="0.31496062992125984" footer="0.31496062992125984"/>
  <pageSetup paperSize="5" scale="90" orientation="portrait" r:id="rId1"/>
  <headerFooter alignWithMargins="0">
    <oddFooter xml:space="preserve">&amp;C
&amp;R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8D7D3-F0FB-4370-A1FB-25B440AB3B8E}">
  <sheetPr>
    <tabColor indexed="18"/>
  </sheetPr>
  <dimension ref="A2:D57"/>
  <sheetViews>
    <sheetView showGridLines="0" workbookViewId="0">
      <selection activeCell="D7" sqref="D7"/>
    </sheetView>
  </sheetViews>
  <sheetFormatPr baseColWidth="10" defaultColWidth="11" defaultRowHeight="14.4" x14ac:dyDescent="0.3"/>
  <cols>
    <col min="1" max="1" width="4.88671875" style="124" customWidth="1"/>
    <col min="2" max="2" width="21.109375" style="124" customWidth="1"/>
    <col min="3" max="4" width="8.33203125" style="124" customWidth="1"/>
    <col min="5" max="256" width="11" style="124"/>
    <col min="257" max="257" width="4.88671875" style="124" customWidth="1"/>
    <col min="258" max="258" width="21.109375" style="124" customWidth="1"/>
    <col min="259" max="260" width="8.33203125" style="124" customWidth="1"/>
    <col min="261" max="512" width="11" style="124"/>
    <col min="513" max="513" width="4.88671875" style="124" customWidth="1"/>
    <col min="514" max="514" width="21.109375" style="124" customWidth="1"/>
    <col min="515" max="516" width="8.33203125" style="124" customWidth="1"/>
    <col min="517" max="768" width="11" style="124"/>
    <col min="769" max="769" width="4.88671875" style="124" customWidth="1"/>
    <col min="770" max="770" width="21.109375" style="124" customWidth="1"/>
    <col min="771" max="772" width="8.33203125" style="124" customWidth="1"/>
    <col min="773" max="1024" width="11" style="124"/>
    <col min="1025" max="1025" width="4.88671875" style="124" customWidth="1"/>
    <col min="1026" max="1026" width="21.109375" style="124" customWidth="1"/>
    <col min="1027" max="1028" width="8.33203125" style="124" customWidth="1"/>
    <col min="1029" max="1280" width="11" style="124"/>
    <col min="1281" max="1281" width="4.88671875" style="124" customWidth="1"/>
    <col min="1282" max="1282" width="21.109375" style="124" customWidth="1"/>
    <col min="1283" max="1284" width="8.33203125" style="124" customWidth="1"/>
    <col min="1285" max="1536" width="11" style="124"/>
    <col min="1537" max="1537" width="4.88671875" style="124" customWidth="1"/>
    <col min="1538" max="1538" width="21.109375" style="124" customWidth="1"/>
    <col min="1539" max="1540" width="8.33203125" style="124" customWidth="1"/>
    <col min="1541" max="1792" width="11" style="124"/>
    <col min="1793" max="1793" width="4.88671875" style="124" customWidth="1"/>
    <col min="1794" max="1794" width="21.109375" style="124" customWidth="1"/>
    <col min="1795" max="1796" width="8.33203125" style="124" customWidth="1"/>
    <col min="1797" max="2048" width="11" style="124"/>
    <col min="2049" max="2049" width="4.88671875" style="124" customWidth="1"/>
    <col min="2050" max="2050" width="21.109375" style="124" customWidth="1"/>
    <col min="2051" max="2052" width="8.33203125" style="124" customWidth="1"/>
    <col min="2053" max="2304" width="11" style="124"/>
    <col min="2305" max="2305" width="4.88671875" style="124" customWidth="1"/>
    <col min="2306" max="2306" width="21.109375" style="124" customWidth="1"/>
    <col min="2307" max="2308" width="8.33203125" style="124" customWidth="1"/>
    <col min="2309" max="2560" width="11" style="124"/>
    <col min="2561" max="2561" width="4.88671875" style="124" customWidth="1"/>
    <col min="2562" max="2562" width="21.109375" style="124" customWidth="1"/>
    <col min="2563" max="2564" width="8.33203125" style="124" customWidth="1"/>
    <col min="2565" max="2816" width="11" style="124"/>
    <col min="2817" max="2817" width="4.88671875" style="124" customWidth="1"/>
    <col min="2818" max="2818" width="21.109375" style="124" customWidth="1"/>
    <col min="2819" max="2820" width="8.33203125" style="124" customWidth="1"/>
    <col min="2821" max="3072" width="11" style="124"/>
    <col min="3073" max="3073" width="4.88671875" style="124" customWidth="1"/>
    <col min="3074" max="3074" width="21.109375" style="124" customWidth="1"/>
    <col min="3075" max="3076" width="8.33203125" style="124" customWidth="1"/>
    <col min="3077" max="3328" width="11" style="124"/>
    <col min="3329" max="3329" width="4.88671875" style="124" customWidth="1"/>
    <col min="3330" max="3330" width="21.109375" style="124" customWidth="1"/>
    <col min="3331" max="3332" width="8.33203125" style="124" customWidth="1"/>
    <col min="3333" max="3584" width="11" style="124"/>
    <col min="3585" max="3585" width="4.88671875" style="124" customWidth="1"/>
    <col min="3586" max="3586" width="21.109375" style="124" customWidth="1"/>
    <col min="3587" max="3588" width="8.33203125" style="124" customWidth="1"/>
    <col min="3589" max="3840" width="11" style="124"/>
    <col min="3841" max="3841" width="4.88671875" style="124" customWidth="1"/>
    <col min="3842" max="3842" width="21.109375" style="124" customWidth="1"/>
    <col min="3843" max="3844" width="8.33203125" style="124" customWidth="1"/>
    <col min="3845" max="4096" width="11" style="124"/>
    <col min="4097" max="4097" width="4.88671875" style="124" customWidth="1"/>
    <col min="4098" max="4098" width="21.109375" style="124" customWidth="1"/>
    <col min="4099" max="4100" width="8.33203125" style="124" customWidth="1"/>
    <col min="4101" max="4352" width="11" style="124"/>
    <col min="4353" max="4353" width="4.88671875" style="124" customWidth="1"/>
    <col min="4354" max="4354" width="21.109375" style="124" customWidth="1"/>
    <col min="4355" max="4356" width="8.33203125" style="124" customWidth="1"/>
    <col min="4357" max="4608" width="11" style="124"/>
    <col min="4609" max="4609" width="4.88671875" style="124" customWidth="1"/>
    <col min="4610" max="4610" width="21.109375" style="124" customWidth="1"/>
    <col min="4611" max="4612" width="8.33203125" style="124" customWidth="1"/>
    <col min="4613" max="4864" width="11" style="124"/>
    <col min="4865" max="4865" width="4.88671875" style="124" customWidth="1"/>
    <col min="4866" max="4866" width="21.109375" style="124" customWidth="1"/>
    <col min="4867" max="4868" width="8.33203125" style="124" customWidth="1"/>
    <col min="4869" max="5120" width="11" style="124"/>
    <col min="5121" max="5121" width="4.88671875" style="124" customWidth="1"/>
    <col min="5122" max="5122" width="21.109375" style="124" customWidth="1"/>
    <col min="5123" max="5124" width="8.33203125" style="124" customWidth="1"/>
    <col min="5125" max="5376" width="11" style="124"/>
    <col min="5377" max="5377" width="4.88671875" style="124" customWidth="1"/>
    <col min="5378" max="5378" width="21.109375" style="124" customWidth="1"/>
    <col min="5379" max="5380" width="8.33203125" style="124" customWidth="1"/>
    <col min="5381" max="5632" width="11" style="124"/>
    <col min="5633" max="5633" width="4.88671875" style="124" customWidth="1"/>
    <col min="5634" max="5634" width="21.109375" style="124" customWidth="1"/>
    <col min="5635" max="5636" width="8.33203125" style="124" customWidth="1"/>
    <col min="5637" max="5888" width="11" style="124"/>
    <col min="5889" max="5889" width="4.88671875" style="124" customWidth="1"/>
    <col min="5890" max="5890" width="21.109375" style="124" customWidth="1"/>
    <col min="5891" max="5892" width="8.33203125" style="124" customWidth="1"/>
    <col min="5893" max="6144" width="11" style="124"/>
    <col min="6145" max="6145" width="4.88671875" style="124" customWidth="1"/>
    <col min="6146" max="6146" width="21.109375" style="124" customWidth="1"/>
    <col min="6147" max="6148" width="8.33203125" style="124" customWidth="1"/>
    <col min="6149" max="6400" width="11" style="124"/>
    <col min="6401" max="6401" width="4.88671875" style="124" customWidth="1"/>
    <col min="6402" max="6402" width="21.109375" style="124" customWidth="1"/>
    <col min="6403" max="6404" width="8.33203125" style="124" customWidth="1"/>
    <col min="6405" max="6656" width="11" style="124"/>
    <col min="6657" max="6657" width="4.88671875" style="124" customWidth="1"/>
    <col min="6658" max="6658" width="21.109375" style="124" customWidth="1"/>
    <col min="6659" max="6660" width="8.33203125" style="124" customWidth="1"/>
    <col min="6661" max="6912" width="11" style="124"/>
    <col min="6913" max="6913" width="4.88671875" style="124" customWidth="1"/>
    <col min="6914" max="6914" width="21.109375" style="124" customWidth="1"/>
    <col min="6915" max="6916" width="8.33203125" style="124" customWidth="1"/>
    <col min="6917" max="7168" width="11" style="124"/>
    <col min="7169" max="7169" width="4.88671875" style="124" customWidth="1"/>
    <col min="7170" max="7170" width="21.109375" style="124" customWidth="1"/>
    <col min="7171" max="7172" width="8.33203125" style="124" customWidth="1"/>
    <col min="7173" max="7424" width="11" style="124"/>
    <col min="7425" max="7425" width="4.88671875" style="124" customWidth="1"/>
    <col min="7426" max="7426" width="21.109375" style="124" customWidth="1"/>
    <col min="7427" max="7428" width="8.33203125" style="124" customWidth="1"/>
    <col min="7429" max="7680" width="11" style="124"/>
    <col min="7681" max="7681" width="4.88671875" style="124" customWidth="1"/>
    <col min="7682" max="7682" width="21.109375" style="124" customWidth="1"/>
    <col min="7683" max="7684" width="8.33203125" style="124" customWidth="1"/>
    <col min="7685" max="7936" width="11" style="124"/>
    <col min="7937" max="7937" width="4.88671875" style="124" customWidth="1"/>
    <col min="7938" max="7938" width="21.109375" style="124" customWidth="1"/>
    <col min="7939" max="7940" width="8.33203125" style="124" customWidth="1"/>
    <col min="7941" max="8192" width="11" style="124"/>
    <col min="8193" max="8193" width="4.88671875" style="124" customWidth="1"/>
    <col min="8194" max="8194" width="21.109375" style="124" customWidth="1"/>
    <col min="8195" max="8196" width="8.33203125" style="124" customWidth="1"/>
    <col min="8197" max="8448" width="11" style="124"/>
    <col min="8449" max="8449" width="4.88671875" style="124" customWidth="1"/>
    <col min="8450" max="8450" width="21.109375" style="124" customWidth="1"/>
    <col min="8451" max="8452" width="8.33203125" style="124" customWidth="1"/>
    <col min="8453" max="8704" width="11" style="124"/>
    <col min="8705" max="8705" width="4.88671875" style="124" customWidth="1"/>
    <col min="8706" max="8706" width="21.109375" style="124" customWidth="1"/>
    <col min="8707" max="8708" width="8.33203125" style="124" customWidth="1"/>
    <col min="8709" max="8960" width="11" style="124"/>
    <col min="8961" max="8961" width="4.88671875" style="124" customWidth="1"/>
    <col min="8962" max="8962" width="21.109375" style="124" customWidth="1"/>
    <col min="8963" max="8964" width="8.33203125" style="124" customWidth="1"/>
    <col min="8965" max="9216" width="11" style="124"/>
    <col min="9217" max="9217" width="4.88671875" style="124" customWidth="1"/>
    <col min="9218" max="9218" width="21.109375" style="124" customWidth="1"/>
    <col min="9219" max="9220" width="8.33203125" style="124" customWidth="1"/>
    <col min="9221" max="9472" width="11" style="124"/>
    <col min="9473" max="9473" width="4.88671875" style="124" customWidth="1"/>
    <col min="9474" max="9474" width="21.109375" style="124" customWidth="1"/>
    <col min="9475" max="9476" width="8.33203125" style="124" customWidth="1"/>
    <col min="9477" max="9728" width="11" style="124"/>
    <col min="9729" max="9729" width="4.88671875" style="124" customWidth="1"/>
    <col min="9730" max="9730" width="21.109375" style="124" customWidth="1"/>
    <col min="9731" max="9732" width="8.33203125" style="124" customWidth="1"/>
    <col min="9733" max="9984" width="11" style="124"/>
    <col min="9985" max="9985" width="4.88671875" style="124" customWidth="1"/>
    <col min="9986" max="9986" width="21.109375" style="124" customWidth="1"/>
    <col min="9987" max="9988" width="8.33203125" style="124" customWidth="1"/>
    <col min="9989" max="10240" width="11" style="124"/>
    <col min="10241" max="10241" width="4.88671875" style="124" customWidth="1"/>
    <col min="10242" max="10242" width="21.109375" style="124" customWidth="1"/>
    <col min="10243" max="10244" width="8.33203125" style="124" customWidth="1"/>
    <col min="10245" max="10496" width="11" style="124"/>
    <col min="10497" max="10497" width="4.88671875" style="124" customWidth="1"/>
    <col min="10498" max="10498" width="21.109375" style="124" customWidth="1"/>
    <col min="10499" max="10500" width="8.33203125" style="124" customWidth="1"/>
    <col min="10501" max="10752" width="11" style="124"/>
    <col min="10753" max="10753" width="4.88671875" style="124" customWidth="1"/>
    <col min="10754" max="10754" width="21.109375" style="124" customWidth="1"/>
    <col min="10755" max="10756" width="8.33203125" style="124" customWidth="1"/>
    <col min="10757" max="11008" width="11" style="124"/>
    <col min="11009" max="11009" width="4.88671875" style="124" customWidth="1"/>
    <col min="11010" max="11010" width="21.109375" style="124" customWidth="1"/>
    <col min="11011" max="11012" width="8.33203125" style="124" customWidth="1"/>
    <col min="11013" max="11264" width="11" style="124"/>
    <col min="11265" max="11265" width="4.88671875" style="124" customWidth="1"/>
    <col min="11266" max="11266" width="21.109375" style="124" customWidth="1"/>
    <col min="11267" max="11268" width="8.33203125" style="124" customWidth="1"/>
    <col min="11269" max="11520" width="11" style="124"/>
    <col min="11521" max="11521" width="4.88671875" style="124" customWidth="1"/>
    <col min="11522" max="11522" width="21.109375" style="124" customWidth="1"/>
    <col min="11523" max="11524" width="8.33203125" style="124" customWidth="1"/>
    <col min="11525" max="11776" width="11" style="124"/>
    <col min="11777" max="11777" width="4.88671875" style="124" customWidth="1"/>
    <col min="11778" max="11778" width="21.109375" style="124" customWidth="1"/>
    <col min="11779" max="11780" width="8.33203125" style="124" customWidth="1"/>
    <col min="11781" max="12032" width="11" style="124"/>
    <col min="12033" max="12033" width="4.88671875" style="124" customWidth="1"/>
    <col min="12034" max="12034" width="21.109375" style="124" customWidth="1"/>
    <col min="12035" max="12036" width="8.33203125" style="124" customWidth="1"/>
    <col min="12037" max="12288" width="11" style="124"/>
    <col min="12289" max="12289" width="4.88671875" style="124" customWidth="1"/>
    <col min="12290" max="12290" width="21.109375" style="124" customWidth="1"/>
    <col min="12291" max="12292" width="8.33203125" style="124" customWidth="1"/>
    <col min="12293" max="12544" width="11" style="124"/>
    <col min="12545" max="12545" width="4.88671875" style="124" customWidth="1"/>
    <col min="12546" max="12546" width="21.109375" style="124" customWidth="1"/>
    <col min="12547" max="12548" width="8.33203125" style="124" customWidth="1"/>
    <col min="12549" max="12800" width="11" style="124"/>
    <col min="12801" max="12801" width="4.88671875" style="124" customWidth="1"/>
    <col min="12802" max="12802" width="21.109375" style="124" customWidth="1"/>
    <col min="12803" max="12804" width="8.33203125" style="124" customWidth="1"/>
    <col min="12805" max="13056" width="11" style="124"/>
    <col min="13057" max="13057" width="4.88671875" style="124" customWidth="1"/>
    <col min="13058" max="13058" width="21.109375" style="124" customWidth="1"/>
    <col min="13059" max="13060" width="8.33203125" style="124" customWidth="1"/>
    <col min="13061" max="13312" width="11" style="124"/>
    <col min="13313" max="13313" width="4.88671875" style="124" customWidth="1"/>
    <col min="13314" max="13314" width="21.109375" style="124" customWidth="1"/>
    <col min="13315" max="13316" width="8.33203125" style="124" customWidth="1"/>
    <col min="13317" max="13568" width="11" style="124"/>
    <col min="13569" max="13569" width="4.88671875" style="124" customWidth="1"/>
    <col min="13570" max="13570" width="21.109375" style="124" customWidth="1"/>
    <col min="13571" max="13572" width="8.33203125" style="124" customWidth="1"/>
    <col min="13573" max="13824" width="11" style="124"/>
    <col min="13825" max="13825" width="4.88671875" style="124" customWidth="1"/>
    <col min="13826" max="13826" width="21.109375" style="124" customWidth="1"/>
    <col min="13827" max="13828" width="8.33203125" style="124" customWidth="1"/>
    <col min="13829" max="14080" width="11" style="124"/>
    <col min="14081" max="14081" width="4.88671875" style="124" customWidth="1"/>
    <col min="14082" max="14082" width="21.109375" style="124" customWidth="1"/>
    <col min="14083" max="14084" width="8.33203125" style="124" customWidth="1"/>
    <col min="14085" max="14336" width="11" style="124"/>
    <col min="14337" max="14337" width="4.88671875" style="124" customWidth="1"/>
    <col min="14338" max="14338" width="21.109375" style="124" customWidth="1"/>
    <col min="14339" max="14340" width="8.33203125" style="124" customWidth="1"/>
    <col min="14341" max="14592" width="11" style="124"/>
    <col min="14593" max="14593" width="4.88671875" style="124" customWidth="1"/>
    <col min="14594" max="14594" width="21.109375" style="124" customWidth="1"/>
    <col min="14595" max="14596" width="8.33203125" style="124" customWidth="1"/>
    <col min="14597" max="14848" width="11" style="124"/>
    <col min="14849" max="14849" width="4.88671875" style="124" customWidth="1"/>
    <col min="14850" max="14850" width="21.109375" style="124" customWidth="1"/>
    <col min="14851" max="14852" width="8.33203125" style="124" customWidth="1"/>
    <col min="14853" max="15104" width="11" style="124"/>
    <col min="15105" max="15105" width="4.88671875" style="124" customWidth="1"/>
    <col min="15106" max="15106" width="21.109375" style="124" customWidth="1"/>
    <col min="15107" max="15108" width="8.33203125" style="124" customWidth="1"/>
    <col min="15109" max="15360" width="11" style="124"/>
    <col min="15361" max="15361" width="4.88671875" style="124" customWidth="1"/>
    <col min="15362" max="15362" width="21.109375" style="124" customWidth="1"/>
    <col min="15363" max="15364" width="8.33203125" style="124" customWidth="1"/>
    <col min="15365" max="15616" width="11" style="124"/>
    <col min="15617" max="15617" width="4.88671875" style="124" customWidth="1"/>
    <col min="15618" max="15618" width="21.109375" style="124" customWidth="1"/>
    <col min="15619" max="15620" width="8.33203125" style="124" customWidth="1"/>
    <col min="15621" max="15872" width="11" style="124"/>
    <col min="15873" max="15873" width="4.88671875" style="124" customWidth="1"/>
    <col min="15874" max="15874" width="21.109375" style="124" customWidth="1"/>
    <col min="15875" max="15876" width="8.33203125" style="124" customWidth="1"/>
    <col min="15877" max="16128" width="11" style="124"/>
    <col min="16129" max="16129" width="4.88671875" style="124" customWidth="1"/>
    <col min="16130" max="16130" width="21.109375" style="124" customWidth="1"/>
    <col min="16131" max="16132" width="8.33203125" style="124" customWidth="1"/>
    <col min="16133" max="16384" width="11" style="124"/>
  </cols>
  <sheetData>
    <row r="2" spans="1:4" x14ac:dyDescent="0.3">
      <c r="B2" s="125" t="s">
        <v>683</v>
      </c>
      <c r="C2" s="1097" t="s">
        <v>149</v>
      </c>
      <c r="D2" s="1098"/>
    </row>
    <row r="3" spans="1:4" x14ac:dyDescent="0.3">
      <c r="A3" s="126" t="s">
        <v>684</v>
      </c>
      <c r="B3" s="126" t="s">
        <v>135</v>
      </c>
      <c r="C3" s="127" t="s">
        <v>150</v>
      </c>
      <c r="D3" s="127" t="s">
        <v>151</v>
      </c>
    </row>
    <row r="4" spans="1:4" x14ac:dyDescent="0.3">
      <c r="A4" s="128">
        <v>1</v>
      </c>
      <c r="B4" s="142" t="e">
        <f>REFERENCIAS!A14</f>
        <v>#REF!</v>
      </c>
      <c r="C4" s="129" t="e">
        <f>REFERENCIAS!B14</f>
        <v>#REF!</v>
      </c>
      <c r="D4" s="130" t="e">
        <f>REFERENCIAS!C14</f>
        <v>#REF!</v>
      </c>
    </row>
    <row r="5" spans="1:4" x14ac:dyDescent="0.3">
      <c r="A5" s="131">
        <v>2</v>
      </c>
      <c r="B5" s="143" t="e">
        <f>REFERENCIAS!A15</f>
        <v>#REF!</v>
      </c>
      <c r="C5" s="133" t="e">
        <f>REFERENCIAS!B15</f>
        <v>#REF!</v>
      </c>
      <c r="D5" s="134" t="e">
        <f>REFERENCIAS!C15</f>
        <v>#REF!</v>
      </c>
    </row>
    <row r="6" spans="1:4" x14ac:dyDescent="0.3">
      <c r="A6" s="131">
        <v>3</v>
      </c>
      <c r="B6" s="132" t="s">
        <v>161</v>
      </c>
      <c r="C6" s="133">
        <f>REFERENCIAS!B16</f>
        <v>-2.1999999999999997</v>
      </c>
      <c r="D6" s="134">
        <f>REFERENCIAS!C16</f>
        <v>5</v>
      </c>
    </row>
    <row r="7" spans="1:4" x14ac:dyDescent="0.3">
      <c r="A7" s="131">
        <v>4</v>
      </c>
      <c r="B7" s="132"/>
      <c r="C7" s="133"/>
      <c r="D7" s="134"/>
    </row>
    <row r="8" spans="1:4" hidden="1" x14ac:dyDescent="0.3">
      <c r="A8" s="131">
        <v>5</v>
      </c>
      <c r="B8" s="132"/>
      <c r="C8" s="133"/>
      <c r="D8" s="134"/>
    </row>
    <row r="9" spans="1:4" hidden="1" x14ac:dyDescent="0.3">
      <c r="A9" s="131">
        <v>6</v>
      </c>
      <c r="B9" s="132"/>
      <c r="C9" s="133"/>
      <c r="D9" s="134"/>
    </row>
    <row r="10" spans="1:4" hidden="1" x14ac:dyDescent="0.3">
      <c r="A10" s="131">
        <v>7</v>
      </c>
      <c r="B10" s="132"/>
      <c r="C10" s="133"/>
      <c r="D10" s="134"/>
    </row>
    <row r="11" spans="1:4" hidden="1" x14ac:dyDescent="0.3">
      <c r="A11" s="131">
        <v>8</v>
      </c>
      <c r="B11" s="132">
        <f>[4]DATOS!B16</f>
        <v>0</v>
      </c>
      <c r="C11" s="133" t="e">
        <f>[4]DATOS!V16</f>
        <v>#DIV/0!</v>
      </c>
      <c r="D11" s="134" t="e">
        <f>[4]DATOS!W16</f>
        <v>#DIV/0!</v>
      </c>
    </row>
    <row r="12" spans="1:4" hidden="1" x14ac:dyDescent="0.3">
      <c r="A12" s="131">
        <v>9</v>
      </c>
      <c r="B12" s="132">
        <f>[4]DATOS!B17</f>
        <v>0</v>
      </c>
      <c r="C12" s="133" t="e">
        <f>[4]DATOS!V17</f>
        <v>#DIV/0!</v>
      </c>
      <c r="D12" s="134" t="e">
        <f>[4]DATOS!W17</f>
        <v>#DIV/0!</v>
      </c>
    </row>
    <row r="13" spans="1:4" hidden="1" x14ac:dyDescent="0.3">
      <c r="A13" s="131">
        <v>10</v>
      </c>
      <c r="B13" s="132">
        <f>[4]DATOS!B18</f>
        <v>0</v>
      </c>
      <c r="C13" s="133" t="e">
        <f>[4]DATOS!V18</f>
        <v>#DIV/0!</v>
      </c>
      <c r="D13" s="134" t="e">
        <f>[4]DATOS!W18</f>
        <v>#DIV/0!</v>
      </c>
    </row>
    <row r="14" spans="1:4" hidden="1" x14ac:dyDescent="0.3">
      <c r="A14" s="131">
        <v>11</v>
      </c>
      <c r="B14" s="132">
        <f>[4]DATOS!B19</f>
        <v>0</v>
      </c>
      <c r="C14" s="133" t="e">
        <f>[4]DATOS!V19</f>
        <v>#DIV/0!</v>
      </c>
      <c r="D14" s="134" t="e">
        <f>[4]DATOS!W19</f>
        <v>#DIV/0!</v>
      </c>
    </row>
    <row r="15" spans="1:4" hidden="1" x14ac:dyDescent="0.3">
      <c r="A15" s="131">
        <v>12</v>
      </c>
      <c r="B15" s="132">
        <f>[4]DATOS!B20</f>
        <v>0</v>
      </c>
      <c r="C15" s="133" t="e">
        <f>[4]DATOS!V20</f>
        <v>#DIV/0!</v>
      </c>
      <c r="D15" s="134" t="e">
        <f>[4]DATOS!W20</f>
        <v>#DIV/0!</v>
      </c>
    </row>
    <row r="16" spans="1:4" hidden="1" x14ac:dyDescent="0.3">
      <c r="A16" s="131">
        <v>13</v>
      </c>
      <c r="B16" s="132">
        <f>[4]DATOS!B21</f>
        <v>0</v>
      </c>
      <c r="C16" s="133" t="e">
        <f>[4]DATOS!V21</f>
        <v>#DIV/0!</v>
      </c>
      <c r="D16" s="134" t="e">
        <f>[4]DATOS!W21</f>
        <v>#DIV/0!</v>
      </c>
    </row>
    <row r="17" spans="1:4" hidden="1" x14ac:dyDescent="0.3">
      <c r="A17" s="131">
        <v>14</v>
      </c>
      <c r="B17" s="132">
        <f>[4]DATOS!B22</f>
        <v>0</v>
      </c>
      <c r="C17" s="133" t="e">
        <f>[4]DATOS!V22</f>
        <v>#DIV/0!</v>
      </c>
      <c r="D17" s="134" t="e">
        <f>[4]DATOS!W22</f>
        <v>#DIV/0!</v>
      </c>
    </row>
    <row r="18" spans="1:4" hidden="1" x14ac:dyDescent="0.3">
      <c r="A18" s="131">
        <v>15</v>
      </c>
      <c r="B18" s="132">
        <f>[4]DATOS!B23</f>
        <v>0</v>
      </c>
      <c r="C18" s="133" t="e">
        <f>[4]DATOS!V23</f>
        <v>#DIV/0!</v>
      </c>
      <c r="D18" s="134" t="e">
        <f>[4]DATOS!W23</f>
        <v>#DIV/0!</v>
      </c>
    </row>
    <row r="19" spans="1:4" hidden="1" x14ac:dyDescent="0.3">
      <c r="A19" s="131">
        <v>16</v>
      </c>
      <c r="B19" s="132">
        <f>[4]DATOS!B24</f>
        <v>0</v>
      </c>
      <c r="C19" s="133" t="e">
        <f>[4]DATOS!V24</f>
        <v>#DIV/0!</v>
      </c>
      <c r="D19" s="134" t="e">
        <f>[4]DATOS!W24</f>
        <v>#DIV/0!</v>
      </c>
    </row>
    <row r="20" spans="1:4" hidden="1" x14ac:dyDescent="0.3">
      <c r="A20" s="131">
        <v>17</v>
      </c>
      <c r="B20" s="132">
        <f>[4]DATOS!B25</f>
        <v>0</v>
      </c>
      <c r="C20" s="133" t="e">
        <f>[4]DATOS!V25</f>
        <v>#DIV/0!</v>
      </c>
      <c r="D20" s="134" t="e">
        <f>[4]DATOS!W25</f>
        <v>#DIV/0!</v>
      </c>
    </row>
    <row r="21" spans="1:4" hidden="1" x14ac:dyDescent="0.3">
      <c r="A21" s="131">
        <v>18</v>
      </c>
      <c r="B21" s="132">
        <f>[4]DATOS!B26</f>
        <v>0</v>
      </c>
      <c r="C21" s="133" t="e">
        <f>[4]DATOS!V26</f>
        <v>#DIV/0!</v>
      </c>
      <c r="D21" s="134" t="e">
        <f>[4]DATOS!W26</f>
        <v>#DIV/0!</v>
      </c>
    </row>
    <row r="22" spans="1:4" hidden="1" x14ac:dyDescent="0.3">
      <c r="A22" s="131">
        <v>19</v>
      </c>
      <c r="B22" s="132">
        <f>[4]DATOS!B27</f>
        <v>0</v>
      </c>
      <c r="C22" s="133" t="e">
        <f>[4]DATOS!V27</f>
        <v>#DIV/0!</v>
      </c>
      <c r="D22" s="134" t="e">
        <f>[4]DATOS!W27</f>
        <v>#DIV/0!</v>
      </c>
    </row>
    <row r="23" spans="1:4" hidden="1" x14ac:dyDescent="0.3">
      <c r="A23" s="131">
        <v>20</v>
      </c>
      <c r="B23" s="132">
        <f>[4]DATOS!B28</f>
        <v>0</v>
      </c>
      <c r="C23" s="133" t="e">
        <f>[4]DATOS!V28</f>
        <v>#DIV/0!</v>
      </c>
      <c r="D23" s="134" t="e">
        <f>[4]DATOS!W28</f>
        <v>#DIV/0!</v>
      </c>
    </row>
    <row r="24" spans="1:4" hidden="1" x14ac:dyDescent="0.3">
      <c r="A24" s="131">
        <v>21</v>
      </c>
      <c r="B24" s="132">
        <f>[4]DATOS!B29</f>
        <v>0</v>
      </c>
      <c r="C24" s="133" t="e">
        <f>[4]DATOS!V29</f>
        <v>#DIV/0!</v>
      </c>
      <c r="D24" s="134" t="e">
        <f>[4]DATOS!W29</f>
        <v>#DIV/0!</v>
      </c>
    </row>
    <row r="25" spans="1:4" hidden="1" x14ac:dyDescent="0.3">
      <c r="A25" s="131">
        <v>22</v>
      </c>
      <c r="B25" s="132">
        <f>[4]DATOS!B30</f>
        <v>0</v>
      </c>
      <c r="C25" s="133" t="e">
        <f>[4]DATOS!V30</f>
        <v>#DIV/0!</v>
      </c>
      <c r="D25" s="134" t="e">
        <f>[4]DATOS!W30</f>
        <v>#DIV/0!</v>
      </c>
    </row>
    <row r="26" spans="1:4" hidden="1" x14ac:dyDescent="0.3">
      <c r="A26" s="131">
        <v>23</v>
      </c>
      <c r="B26" s="132">
        <f>[4]DATOS!B31</f>
        <v>0</v>
      </c>
      <c r="C26" s="133" t="e">
        <f>[4]DATOS!V31</f>
        <v>#DIV/0!</v>
      </c>
      <c r="D26" s="134" t="e">
        <f>[4]DATOS!W31</f>
        <v>#DIV/0!</v>
      </c>
    </row>
    <row r="27" spans="1:4" hidden="1" x14ac:dyDescent="0.3">
      <c r="A27" s="131">
        <v>24</v>
      </c>
      <c r="B27" s="132">
        <f>[4]DATOS!B32</f>
        <v>0</v>
      </c>
      <c r="C27" s="133" t="e">
        <f>[4]DATOS!V32</f>
        <v>#DIV/0!</v>
      </c>
      <c r="D27" s="134" t="e">
        <f>[4]DATOS!W32</f>
        <v>#DIV/0!</v>
      </c>
    </row>
    <row r="28" spans="1:4" hidden="1" x14ac:dyDescent="0.3">
      <c r="A28" s="131">
        <v>25</v>
      </c>
      <c r="B28" s="132">
        <f>[4]DATOS!B33</f>
        <v>0</v>
      </c>
      <c r="C28" s="133" t="e">
        <f>[4]DATOS!V33</f>
        <v>#DIV/0!</v>
      </c>
      <c r="D28" s="134" t="e">
        <f>[4]DATOS!W33</f>
        <v>#DIV/0!</v>
      </c>
    </row>
    <row r="29" spans="1:4" hidden="1" x14ac:dyDescent="0.3">
      <c r="A29" s="131">
        <v>26</v>
      </c>
      <c r="B29" s="132">
        <f>[4]DATOS!B34</f>
        <v>0</v>
      </c>
      <c r="C29" s="133" t="e">
        <f>[4]DATOS!V34</f>
        <v>#DIV/0!</v>
      </c>
      <c r="D29" s="134" t="e">
        <f>[4]DATOS!W34</f>
        <v>#DIV/0!</v>
      </c>
    </row>
    <row r="30" spans="1:4" hidden="1" x14ac:dyDescent="0.3">
      <c r="A30" s="131">
        <v>27</v>
      </c>
      <c r="B30" s="132">
        <f>[4]DATOS!B35</f>
        <v>0</v>
      </c>
      <c r="C30" s="133" t="e">
        <f>[4]DATOS!V35</f>
        <v>#DIV/0!</v>
      </c>
      <c r="D30" s="134" t="e">
        <f>[4]DATOS!W35</f>
        <v>#DIV/0!</v>
      </c>
    </row>
    <row r="31" spans="1:4" hidden="1" x14ac:dyDescent="0.3">
      <c r="A31" s="131">
        <v>28</v>
      </c>
      <c r="B31" s="132">
        <f>[4]DATOS!B36</f>
        <v>0</v>
      </c>
      <c r="C31" s="133" t="e">
        <f>[4]DATOS!V36</f>
        <v>#DIV/0!</v>
      </c>
      <c r="D31" s="134" t="e">
        <f>[4]DATOS!W36</f>
        <v>#DIV/0!</v>
      </c>
    </row>
    <row r="32" spans="1:4" hidden="1" x14ac:dyDescent="0.3">
      <c r="A32" s="131">
        <v>29</v>
      </c>
      <c r="B32" s="132">
        <f>[4]DATOS!B37</f>
        <v>0</v>
      </c>
      <c r="C32" s="133" t="e">
        <f>[4]DATOS!V37</f>
        <v>#DIV/0!</v>
      </c>
      <c r="D32" s="134" t="e">
        <f>[4]DATOS!W37</f>
        <v>#DIV/0!</v>
      </c>
    </row>
    <row r="33" spans="1:4" hidden="1" x14ac:dyDescent="0.3">
      <c r="A33" s="131">
        <v>30</v>
      </c>
      <c r="B33" s="132">
        <f>[4]DATOS!B38</f>
        <v>0</v>
      </c>
      <c r="C33" s="133" t="e">
        <f>[4]DATOS!V38</f>
        <v>#DIV/0!</v>
      </c>
      <c r="D33" s="134" t="e">
        <f>[4]DATOS!W38</f>
        <v>#DIV/0!</v>
      </c>
    </row>
    <row r="34" spans="1:4" hidden="1" x14ac:dyDescent="0.3">
      <c r="A34" s="131">
        <v>31</v>
      </c>
      <c r="B34" s="132">
        <f>[4]DATOS!B39</f>
        <v>0</v>
      </c>
      <c r="C34" s="133" t="e">
        <f>[4]DATOS!V39</f>
        <v>#DIV/0!</v>
      </c>
      <c r="D34" s="134" t="e">
        <f>[4]DATOS!W39</f>
        <v>#DIV/0!</v>
      </c>
    </row>
    <row r="35" spans="1:4" hidden="1" x14ac:dyDescent="0.3">
      <c r="A35" s="131">
        <v>32</v>
      </c>
      <c r="B35" s="132">
        <f>[4]DATOS!B40</f>
        <v>0</v>
      </c>
      <c r="C35" s="133" t="e">
        <f>[4]DATOS!V40</f>
        <v>#DIV/0!</v>
      </c>
      <c r="D35" s="134" t="e">
        <f>[4]DATOS!W40</f>
        <v>#DIV/0!</v>
      </c>
    </row>
    <row r="36" spans="1:4" hidden="1" x14ac:dyDescent="0.3">
      <c r="A36" s="131">
        <v>33</v>
      </c>
      <c r="B36" s="132">
        <f>[4]DATOS!B41</f>
        <v>0</v>
      </c>
      <c r="C36" s="133" t="e">
        <f>[4]DATOS!V41</f>
        <v>#DIV/0!</v>
      </c>
      <c r="D36" s="134" t="e">
        <f>[4]DATOS!W41</f>
        <v>#DIV/0!</v>
      </c>
    </row>
    <row r="37" spans="1:4" hidden="1" x14ac:dyDescent="0.3">
      <c r="A37" s="131">
        <v>34</v>
      </c>
      <c r="B37" s="132">
        <f>[4]DATOS!B42</f>
        <v>0</v>
      </c>
      <c r="C37" s="133" t="e">
        <f>[4]DATOS!V42</f>
        <v>#DIV/0!</v>
      </c>
      <c r="D37" s="134" t="e">
        <f>[4]DATOS!W42</f>
        <v>#DIV/0!</v>
      </c>
    </row>
    <row r="38" spans="1:4" hidden="1" x14ac:dyDescent="0.3">
      <c r="A38" s="131">
        <v>35</v>
      </c>
      <c r="B38" s="132">
        <f>[4]DATOS!B43</f>
        <v>0</v>
      </c>
      <c r="C38" s="133" t="e">
        <f>[4]DATOS!V43</f>
        <v>#DIV/0!</v>
      </c>
      <c r="D38" s="134" t="e">
        <f>[4]DATOS!W43</f>
        <v>#DIV/0!</v>
      </c>
    </row>
    <row r="39" spans="1:4" hidden="1" x14ac:dyDescent="0.3">
      <c r="A39" s="131">
        <v>36</v>
      </c>
      <c r="B39" s="132">
        <f>[4]DATOS!B44</f>
        <v>0</v>
      </c>
      <c r="C39" s="133" t="e">
        <f>[4]DATOS!V44</f>
        <v>#DIV/0!</v>
      </c>
      <c r="D39" s="134" t="e">
        <f>[4]DATOS!W44</f>
        <v>#DIV/0!</v>
      </c>
    </row>
    <row r="40" spans="1:4" hidden="1" x14ac:dyDescent="0.3">
      <c r="A40" s="131">
        <v>37</v>
      </c>
      <c r="B40" s="132">
        <f>[4]DATOS!B45</f>
        <v>0</v>
      </c>
      <c r="C40" s="133" t="e">
        <f>[4]DATOS!V45</f>
        <v>#DIV/0!</v>
      </c>
      <c r="D40" s="134" t="e">
        <f>[4]DATOS!W45</f>
        <v>#DIV/0!</v>
      </c>
    </row>
    <row r="41" spans="1:4" hidden="1" x14ac:dyDescent="0.3">
      <c r="A41" s="131">
        <v>38</v>
      </c>
      <c r="B41" s="132">
        <f>[4]DATOS!B46</f>
        <v>0</v>
      </c>
      <c r="C41" s="133" t="e">
        <f>[4]DATOS!V46</f>
        <v>#DIV/0!</v>
      </c>
      <c r="D41" s="134" t="e">
        <f>[4]DATOS!W46</f>
        <v>#DIV/0!</v>
      </c>
    </row>
    <row r="42" spans="1:4" hidden="1" x14ac:dyDescent="0.3">
      <c r="A42" s="131">
        <v>39</v>
      </c>
      <c r="B42" s="132">
        <f>[4]DATOS!B47</f>
        <v>0</v>
      </c>
      <c r="C42" s="133" t="e">
        <f>[4]DATOS!V47</f>
        <v>#DIV/0!</v>
      </c>
      <c r="D42" s="134" t="e">
        <f>[4]DATOS!W47</f>
        <v>#DIV/0!</v>
      </c>
    </row>
    <row r="43" spans="1:4" hidden="1" x14ac:dyDescent="0.3">
      <c r="A43" s="131">
        <v>40</v>
      </c>
      <c r="B43" s="132">
        <f>[4]DATOS!B48</f>
        <v>0</v>
      </c>
      <c r="C43" s="133" t="e">
        <f>[4]DATOS!V48</f>
        <v>#DIV/0!</v>
      </c>
      <c r="D43" s="134" t="e">
        <f>[4]DATOS!W48</f>
        <v>#DIV/0!</v>
      </c>
    </row>
    <row r="44" spans="1:4" hidden="1" x14ac:dyDescent="0.3">
      <c r="A44" s="131">
        <v>41</v>
      </c>
      <c r="B44" s="132">
        <f>[4]DATOS!B49</f>
        <v>0</v>
      </c>
      <c r="C44" s="133" t="e">
        <f>[4]DATOS!V49</f>
        <v>#DIV/0!</v>
      </c>
      <c r="D44" s="134" t="e">
        <f>[4]DATOS!W49</f>
        <v>#DIV/0!</v>
      </c>
    </row>
    <row r="45" spans="1:4" hidden="1" x14ac:dyDescent="0.3">
      <c r="A45" s="131">
        <v>42</v>
      </c>
      <c r="B45" s="132">
        <f>[4]DATOS!B50</f>
        <v>0</v>
      </c>
      <c r="C45" s="133" t="e">
        <f>[4]DATOS!V50</f>
        <v>#DIV/0!</v>
      </c>
      <c r="D45" s="134" t="e">
        <f>[4]DATOS!W50</f>
        <v>#DIV/0!</v>
      </c>
    </row>
    <row r="46" spans="1:4" hidden="1" x14ac:dyDescent="0.3">
      <c r="A46" s="131">
        <v>43</v>
      </c>
      <c r="B46" s="132">
        <f>[4]DATOS!B51</f>
        <v>0</v>
      </c>
      <c r="C46" s="133" t="e">
        <f>[4]DATOS!V51</f>
        <v>#DIV/0!</v>
      </c>
      <c r="D46" s="134" t="e">
        <f>[4]DATOS!W51</f>
        <v>#DIV/0!</v>
      </c>
    </row>
    <row r="47" spans="1:4" hidden="1" x14ac:dyDescent="0.3">
      <c r="A47" s="131">
        <v>44</v>
      </c>
      <c r="B47" s="132">
        <f>[4]DATOS!B52</f>
        <v>0</v>
      </c>
      <c r="C47" s="133" t="e">
        <f>[4]DATOS!V52</f>
        <v>#DIV/0!</v>
      </c>
      <c r="D47" s="134" t="e">
        <f>[4]DATOS!W52</f>
        <v>#DIV/0!</v>
      </c>
    </row>
    <row r="48" spans="1:4" hidden="1" x14ac:dyDescent="0.3">
      <c r="A48" s="131">
        <v>45</v>
      </c>
      <c r="B48" s="132">
        <f>[4]DATOS!B53</f>
        <v>0</v>
      </c>
      <c r="C48" s="133" t="e">
        <f>[4]DATOS!V53</f>
        <v>#DIV/0!</v>
      </c>
      <c r="D48" s="134" t="e">
        <f>[4]DATOS!W53</f>
        <v>#DIV/0!</v>
      </c>
    </row>
    <row r="49" spans="1:4" hidden="1" x14ac:dyDescent="0.3">
      <c r="A49" s="131">
        <v>46</v>
      </c>
      <c r="B49" s="132">
        <f>[4]DATOS!B54</f>
        <v>0</v>
      </c>
      <c r="C49" s="133" t="e">
        <f>[4]DATOS!V54</f>
        <v>#DIV/0!</v>
      </c>
      <c r="D49" s="134" t="e">
        <f>[4]DATOS!W54</f>
        <v>#DIV/0!</v>
      </c>
    </row>
    <row r="50" spans="1:4" hidden="1" x14ac:dyDescent="0.3">
      <c r="A50" s="131">
        <v>47</v>
      </c>
      <c r="B50" s="132">
        <f>[4]DATOS!B55</f>
        <v>0</v>
      </c>
      <c r="C50" s="133" t="e">
        <f>[4]DATOS!V55</f>
        <v>#DIV/0!</v>
      </c>
      <c r="D50" s="134" t="e">
        <f>[4]DATOS!W55</f>
        <v>#DIV/0!</v>
      </c>
    </row>
    <row r="51" spans="1:4" hidden="1" x14ac:dyDescent="0.3">
      <c r="A51" s="131">
        <v>48</v>
      </c>
      <c r="B51" s="132">
        <f>[4]DATOS!B56</f>
        <v>0</v>
      </c>
      <c r="C51" s="133" t="e">
        <f>[4]DATOS!V56</f>
        <v>#DIV/0!</v>
      </c>
      <c r="D51" s="134" t="e">
        <f>[4]DATOS!W56</f>
        <v>#DIV/0!</v>
      </c>
    </row>
    <row r="52" spans="1:4" hidden="1" x14ac:dyDescent="0.3">
      <c r="A52" s="131">
        <v>49</v>
      </c>
      <c r="B52" s="132">
        <f>[4]DATOS!B57</f>
        <v>0</v>
      </c>
      <c r="C52" s="133" t="e">
        <f>[4]DATOS!V57</f>
        <v>#DIV/0!</v>
      </c>
      <c r="D52" s="134" t="e">
        <f>[4]DATOS!W57</f>
        <v>#DIV/0!</v>
      </c>
    </row>
    <row r="53" spans="1:4" hidden="1" x14ac:dyDescent="0.3">
      <c r="A53" s="135">
        <v>50</v>
      </c>
      <c r="B53" s="136">
        <f>[4]DATOS!B58</f>
        <v>0</v>
      </c>
      <c r="C53" s="137" t="e">
        <f>[4]DATOS!V58</f>
        <v>#DIV/0!</v>
      </c>
      <c r="D53" s="138" t="e">
        <f>[4]DATOS!W58</f>
        <v>#DIV/0!</v>
      </c>
    </row>
    <row r="54" spans="1:4" hidden="1" x14ac:dyDescent="0.3">
      <c r="A54" s="139"/>
      <c r="B54" s="139"/>
      <c r="C54" s="139"/>
      <c r="D54" s="139"/>
    </row>
    <row r="55" spans="1:4" x14ac:dyDescent="0.3">
      <c r="A55" s="139"/>
      <c r="B55" s="139"/>
      <c r="C55" s="139"/>
      <c r="D55" s="139"/>
    </row>
    <row r="56" spans="1:4" x14ac:dyDescent="0.3">
      <c r="A56" s="139"/>
      <c r="B56" s="140" t="s">
        <v>685</v>
      </c>
      <c r="C56" s="141" t="e">
        <f>SUM(C4:C18)/15</f>
        <v>#REF!</v>
      </c>
      <c r="D56" s="141" t="e">
        <f>SUM(D4:D18)/15</f>
        <v>#REF!</v>
      </c>
    </row>
    <row r="57" spans="1:4" x14ac:dyDescent="0.3">
      <c r="A57" s="139"/>
      <c r="B57" s="139"/>
      <c r="C57" s="139"/>
      <c r="D57" s="139"/>
    </row>
  </sheetData>
  <mergeCells count="1">
    <mergeCell ref="C2:D2"/>
  </mergeCells>
  <pageMargins left="0.75" right="0.75" top="1" bottom="1" header="0" footer="0"/>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4CE1-5F70-4F0E-AD73-05BE6DBC0EC0}">
  <sheetPr>
    <tabColor rgb="FF92D050"/>
  </sheetPr>
  <dimension ref="A1:L255"/>
  <sheetViews>
    <sheetView view="pageLayout" topLeftCell="A46" zoomScaleNormal="100" workbookViewId="0">
      <selection activeCell="D58" sqref="D58"/>
    </sheetView>
  </sheetViews>
  <sheetFormatPr baseColWidth="10" defaultRowHeight="14.4" x14ac:dyDescent="0.3"/>
  <cols>
    <col min="1" max="1" width="17.88671875" style="26" customWidth="1"/>
    <col min="2" max="2" width="10.6640625" style="26" customWidth="1"/>
    <col min="3" max="3" width="12" style="26" customWidth="1"/>
    <col min="4" max="4" width="9.5546875" style="26" customWidth="1"/>
    <col min="5" max="5" width="7.21875" style="26" customWidth="1"/>
    <col min="6" max="6" width="5.6640625" style="26" customWidth="1"/>
    <col min="7" max="7" width="4.21875" style="26" customWidth="1"/>
    <col min="8" max="8" width="4.109375" style="26" customWidth="1"/>
    <col min="9" max="9" width="3.77734375" style="26" customWidth="1"/>
    <col min="10" max="10" width="4.109375" style="26" customWidth="1"/>
    <col min="11" max="11" width="6" style="26" customWidth="1"/>
    <col min="12" max="12" width="4.21875" style="26" customWidth="1"/>
    <col min="13" max="16384" width="11.5546875" style="27"/>
  </cols>
  <sheetData>
    <row r="1" spans="1:12" ht="15" thickBot="1" x14ac:dyDescent="0.35">
      <c r="A1" s="555" t="s">
        <v>194</v>
      </c>
      <c r="B1" s="556"/>
      <c r="C1" s="556"/>
      <c r="D1" s="556"/>
      <c r="E1" s="556"/>
      <c r="F1" s="556"/>
      <c r="G1" s="556"/>
      <c r="H1" s="556"/>
      <c r="I1" s="556"/>
      <c r="J1" s="556"/>
      <c r="K1" s="556"/>
      <c r="L1" s="557"/>
    </row>
    <row r="3" spans="1:12" x14ac:dyDescent="0.3">
      <c r="A3" s="28" t="s">
        <v>167</v>
      </c>
      <c r="B3" s="554" t="s">
        <v>195</v>
      </c>
      <c r="C3" s="554"/>
      <c r="D3" s="554"/>
      <c r="E3" s="554"/>
      <c r="F3" s="554"/>
      <c r="G3" s="554"/>
      <c r="H3" s="554"/>
      <c r="I3" s="602"/>
      <c r="J3" s="600" t="s">
        <v>198</v>
      </c>
      <c r="K3" s="600"/>
      <c r="L3" s="601"/>
    </row>
    <row r="4" spans="1:12" x14ac:dyDescent="0.3">
      <c r="A4" s="407">
        <v>44511</v>
      </c>
      <c r="B4" s="626" t="s">
        <v>891</v>
      </c>
      <c r="C4" s="720"/>
      <c r="D4" s="720"/>
      <c r="E4" s="720"/>
      <c r="F4" s="720"/>
      <c r="G4" s="720"/>
      <c r="H4" s="721"/>
      <c r="I4" s="474">
        <v>2</v>
      </c>
      <c r="J4" s="607" t="s">
        <v>1100</v>
      </c>
      <c r="K4" s="608"/>
      <c r="L4" s="608"/>
    </row>
    <row r="5" spans="1:12" ht="15" thickBot="1" x14ac:dyDescent="0.35"/>
    <row r="6" spans="1:12" ht="15" thickBot="1" x14ac:dyDescent="0.35">
      <c r="B6" s="555" t="s">
        <v>0</v>
      </c>
      <c r="C6" s="556"/>
      <c r="D6" s="556"/>
      <c r="E6" s="556"/>
      <c r="F6" s="556"/>
      <c r="G6" s="556"/>
      <c r="H6" s="556"/>
      <c r="I6" s="557"/>
      <c r="J6" s="29"/>
      <c r="K6" s="29"/>
    </row>
    <row r="8" spans="1:12" x14ac:dyDescent="0.3">
      <c r="A8" s="28" t="s">
        <v>1</v>
      </c>
      <c r="B8" s="637" t="s">
        <v>1084</v>
      </c>
      <c r="C8" s="638"/>
      <c r="D8" s="638"/>
      <c r="E8" s="638"/>
      <c r="F8" s="638"/>
      <c r="G8" s="638"/>
      <c r="H8" s="638"/>
      <c r="I8" s="639"/>
      <c r="J8" s="554" t="s">
        <v>2</v>
      </c>
      <c r="K8" s="554"/>
      <c r="L8" s="294" t="s">
        <v>1079</v>
      </c>
    </row>
    <row r="9" spans="1:12" x14ac:dyDescent="0.3">
      <c r="A9" s="28" t="s">
        <v>166</v>
      </c>
      <c r="B9" s="522" t="s">
        <v>1085</v>
      </c>
      <c r="C9" s="523"/>
      <c r="D9" s="523"/>
      <c r="E9" s="524"/>
      <c r="F9" s="664" t="s">
        <v>392</v>
      </c>
      <c r="G9" s="665"/>
      <c r="H9" s="666">
        <v>33027</v>
      </c>
      <c r="I9" s="667"/>
      <c r="J9" s="554" t="s">
        <v>3</v>
      </c>
      <c r="K9" s="554"/>
      <c r="L9" s="473">
        <f>'ANTROPOMETRIA INICIAL'!B8</f>
        <v>31.441478439425051</v>
      </c>
    </row>
    <row r="10" spans="1:12" x14ac:dyDescent="0.3">
      <c r="A10" s="28" t="s">
        <v>165</v>
      </c>
      <c r="B10" s="603" t="s">
        <v>1086</v>
      </c>
      <c r="C10" s="603"/>
      <c r="D10" s="636" t="s">
        <v>196</v>
      </c>
      <c r="E10" s="601"/>
      <c r="F10" s="637" t="s">
        <v>1087</v>
      </c>
      <c r="G10" s="638"/>
      <c r="H10" s="638"/>
      <c r="I10" s="638"/>
      <c r="J10" s="638"/>
      <c r="K10" s="638"/>
      <c r="L10" s="639"/>
    </row>
    <row r="11" spans="1:12" x14ac:dyDescent="0.3">
      <c r="A11" s="554" t="s">
        <v>197</v>
      </c>
      <c r="B11" s="554"/>
      <c r="C11" s="603" t="s">
        <v>1088</v>
      </c>
      <c r="D11" s="603"/>
      <c r="E11" s="603"/>
      <c r="F11" s="603"/>
      <c r="G11" s="603"/>
      <c r="H11" s="603"/>
      <c r="I11" s="603"/>
      <c r="J11" s="603"/>
      <c r="K11" s="603"/>
      <c r="L11" s="603"/>
    </row>
    <row r="12" spans="1:12" x14ac:dyDescent="0.3">
      <c r="A12" s="558"/>
      <c r="B12" s="558"/>
      <c r="C12" s="558"/>
      <c r="D12" s="558"/>
      <c r="E12" s="558"/>
      <c r="F12" s="558"/>
      <c r="G12" s="558"/>
      <c r="H12" s="558"/>
      <c r="I12" s="558"/>
      <c r="J12" s="558"/>
      <c r="K12" s="558"/>
      <c r="L12" s="558"/>
    </row>
    <row r="13" spans="1:12" ht="15" thickBot="1" x14ac:dyDescent="0.35"/>
    <row r="14" spans="1:12" ht="15" thickBot="1" x14ac:dyDescent="0.35">
      <c r="C14" s="555" t="s">
        <v>199</v>
      </c>
      <c r="D14" s="556"/>
      <c r="E14" s="556"/>
      <c r="F14" s="556"/>
      <c r="G14" s="556"/>
      <c r="H14" s="557"/>
      <c r="I14" s="29"/>
      <c r="J14" s="29"/>
      <c r="K14" s="29"/>
    </row>
    <row r="15" spans="1:12" ht="15" thickBot="1" x14ac:dyDescent="0.35"/>
    <row r="16" spans="1:12" ht="15" thickBot="1" x14ac:dyDescent="0.35">
      <c r="A16" s="218" t="s">
        <v>168</v>
      </c>
      <c r="B16" s="37" t="s">
        <v>870</v>
      </c>
      <c r="C16" s="162"/>
    </row>
    <row r="17" spans="1:12" ht="15" thickBot="1" x14ac:dyDescent="0.35">
      <c r="A17" s="69" t="s">
        <v>1089</v>
      </c>
      <c r="B17" s="295" t="s">
        <v>877</v>
      </c>
      <c r="C17" s="604" t="s">
        <v>204</v>
      </c>
      <c r="D17" s="605"/>
      <c r="E17" s="606"/>
      <c r="F17" s="623" t="s">
        <v>1089</v>
      </c>
      <c r="G17" s="624"/>
      <c r="H17" s="624"/>
      <c r="I17" s="624"/>
      <c r="J17" s="624"/>
      <c r="K17" s="624"/>
      <c r="L17" s="625"/>
    </row>
    <row r="18" spans="1:12" ht="15" thickBot="1" x14ac:dyDescent="0.35">
      <c r="A18" s="53" t="s">
        <v>200</v>
      </c>
      <c r="B18" s="296"/>
      <c r="C18" s="661" t="s">
        <v>1090</v>
      </c>
      <c r="D18" s="662"/>
      <c r="E18" s="662"/>
      <c r="F18" s="662"/>
      <c r="G18" s="662"/>
      <c r="H18" s="662"/>
      <c r="I18" s="662"/>
      <c r="J18" s="662"/>
      <c r="K18" s="662"/>
      <c r="L18" s="663"/>
    </row>
    <row r="19" spans="1:12" x14ac:dyDescent="0.3">
      <c r="A19" s="53" t="s">
        <v>169</v>
      </c>
      <c r="B19" s="296"/>
      <c r="C19" s="651" t="s">
        <v>1091</v>
      </c>
      <c r="D19" s="652"/>
      <c r="E19" s="652"/>
      <c r="F19" s="652"/>
      <c r="G19" s="652"/>
      <c r="H19" s="652"/>
      <c r="I19" s="652"/>
      <c r="J19" s="652"/>
      <c r="K19" s="652"/>
      <c r="L19" s="653"/>
    </row>
    <row r="20" spans="1:12" x14ac:dyDescent="0.3">
      <c r="A20" s="53" t="s">
        <v>170</v>
      </c>
      <c r="B20" s="296"/>
      <c r="C20" s="654"/>
      <c r="D20" s="655"/>
      <c r="E20" s="655"/>
      <c r="F20" s="655"/>
      <c r="G20" s="655"/>
      <c r="H20" s="655"/>
      <c r="I20" s="655"/>
      <c r="J20" s="655"/>
      <c r="K20" s="655"/>
      <c r="L20" s="656"/>
    </row>
    <row r="21" spans="1:12" ht="15" thickBot="1" x14ac:dyDescent="0.35">
      <c r="A21" s="53" t="s">
        <v>201</v>
      </c>
      <c r="B21" s="296"/>
      <c r="C21" s="657"/>
      <c r="D21" s="658"/>
      <c r="E21" s="658"/>
      <c r="F21" s="658"/>
      <c r="G21" s="658"/>
      <c r="H21" s="658"/>
      <c r="I21" s="658"/>
      <c r="J21" s="658"/>
      <c r="K21" s="658"/>
      <c r="L21" s="659"/>
    </row>
    <row r="22" spans="1:12" ht="15" thickBot="1" x14ac:dyDescent="0.35">
      <c r="A22" s="53" t="s">
        <v>171</v>
      </c>
      <c r="B22" s="296"/>
      <c r="C22" s="556" t="s">
        <v>205</v>
      </c>
      <c r="D22" s="556"/>
      <c r="E22" s="556"/>
      <c r="F22" s="556"/>
      <c r="G22" s="556"/>
      <c r="H22" s="556"/>
      <c r="I22" s="556"/>
      <c r="J22" s="556"/>
      <c r="K22" s="556"/>
      <c r="L22" s="557"/>
    </row>
    <row r="23" spans="1:12" ht="15" thickBot="1" x14ac:dyDescent="0.35">
      <c r="A23" s="53" t="s">
        <v>172</v>
      </c>
      <c r="B23" s="296"/>
      <c r="C23" s="609" t="s">
        <v>174</v>
      </c>
      <c r="D23" s="610"/>
      <c r="E23" s="611"/>
      <c r="F23" s="610" t="s">
        <v>175</v>
      </c>
      <c r="G23" s="610"/>
      <c r="H23" s="609" t="s">
        <v>176</v>
      </c>
      <c r="I23" s="610"/>
      <c r="J23" s="610"/>
      <c r="K23" s="610"/>
      <c r="L23" s="611"/>
    </row>
    <row r="24" spans="1:12" x14ac:dyDescent="0.3">
      <c r="A24" s="53" t="s">
        <v>173</v>
      </c>
      <c r="B24" s="296"/>
      <c r="C24" s="612" t="s">
        <v>1096</v>
      </c>
      <c r="D24" s="613"/>
      <c r="E24" s="614"/>
      <c r="F24" s="618" t="s">
        <v>1097</v>
      </c>
      <c r="G24" s="614"/>
      <c r="H24" s="618" t="s">
        <v>1098</v>
      </c>
      <c r="I24" s="613"/>
      <c r="J24" s="613"/>
      <c r="K24" s="613"/>
      <c r="L24" s="660"/>
    </row>
    <row r="25" spans="1:12" ht="28.2" thickBot="1" x14ac:dyDescent="0.35">
      <c r="A25" s="219" t="s">
        <v>202</v>
      </c>
      <c r="B25" s="297" t="s">
        <v>877</v>
      </c>
      <c r="C25" s="615" t="s">
        <v>1099</v>
      </c>
      <c r="D25" s="616"/>
      <c r="E25" s="617"/>
      <c r="F25" s="619"/>
      <c r="G25" s="620"/>
      <c r="H25" s="619"/>
      <c r="I25" s="621"/>
      <c r="J25" s="621"/>
      <c r="K25" s="621"/>
      <c r="L25" s="622"/>
    </row>
    <row r="26" spans="1:12" ht="15" thickBot="1" x14ac:dyDescent="0.35"/>
    <row r="27" spans="1:12" ht="15" thickBot="1" x14ac:dyDescent="0.35">
      <c r="C27" s="555" t="s">
        <v>177</v>
      </c>
      <c r="D27" s="556"/>
      <c r="E27" s="556"/>
      <c r="F27" s="556"/>
      <c r="G27" s="556"/>
      <c r="H27" s="557"/>
      <c r="I27" s="29"/>
      <c r="J27" s="29"/>
      <c r="K27" s="29"/>
    </row>
    <row r="28" spans="1:12" ht="15" thickBot="1" x14ac:dyDescent="0.35"/>
    <row r="29" spans="1:12" ht="15" thickBot="1" x14ac:dyDescent="0.35">
      <c r="A29" s="218" t="s">
        <v>206</v>
      </c>
      <c r="B29" s="37" t="s">
        <v>870</v>
      </c>
      <c r="C29" s="555" t="s">
        <v>861</v>
      </c>
      <c r="D29" s="556"/>
      <c r="E29" s="556"/>
      <c r="F29" s="556"/>
      <c r="G29" s="556"/>
      <c r="H29" s="556"/>
      <c r="I29" s="556"/>
      <c r="J29" s="556"/>
      <c r="K29" s="556"/>
      <c r="L29" s="557"/>
    </row>
    <row r="30" spans="1:12" x14ac:dyDescent="0.3">
      <c r="A30" s="59" t="s">
        <v>207</v>
      </c>
      <c r="B30" s="298"/>
      <c r="C30" s="597"/>
      <c r="D30" s="597"/>
      <c r="E30" s="597"/>
      <c r="F30" s="597"/>
      <c r="G30" s="597"/>
      <c r="H30" s="597"/>
      <c r="I30" s="597"/>
      <c r="J30" s="597"/>
      <c r="K30" s="597"/>
      <c r="L30" s="597"/>
    </row>
    <row r="31" spans="1:12" x14ac:dyDescent="0.3">
      <c r="A31" s="30" t="s">
        <v>208</v>
      </c>
      <c r="B31" s="299"/>
      <c r="C31" s="558" t="s">
        <v>1081</v>
      </c>
      <c r="D31" s="558"/>
      <c r="E31" s="558"/>
      <c r="F31" s="558"/>
      <c r="G31" s="558"/>
      <c r="H31" s="558"/>
      <c r="I31" s="558"/>
      <c r="J31" s="558"/>
      <c r="K31" s="558"/>
      <c r="L31" s="558"/>
    </row>
    <row r="32" spans="1:12" x14ac:dyDescent="0.3">
      <c r="A32" s="30" t="s">
        <v>209</v>
      </c>
      <c r="B32" s="299"/>
      <c r="C32" s="558"/>
      <c r="D32" s="558"/>
      <c r="E32" s="558"/>
      <c r="F32" s="558"/>
      <c r="G32" s="558"/>
      <c r="H32" s="558"/>
      <c r="I32" s="558"/>
      <c r="J32" s="558"/>
      <c r="K32" s="558"/>
      <c r="L32" s="558"/>
    </row>
    <row r="33" spans="1:12" x14ac:dyDescent="0.3">
      <c r="A33" s="30" t="s">
        <v>210</v>
      </c>
      <c r="B33" s="299"/>
      <c r="C33" s="558"/>
      <c r="D33" s="558"/>
      <c r="E33" s="558"/>
      <c r="F33" s="558"/>
      <c r="G33" s="558"/>
      <c r="H33" s="558"/>
      <c r="I33" s="558"/>
      <c r="J33" s="558"/>
      <c r="K33" s="558"/>
      <c r="L33" s="558"/>
    </row>
    <row r="34" spans="1:12" x14ac:dyDescent="0.3">
      <c r="A34" s="30" t="s">
        <v>211</v>
      </c>
      <c r="B34" s="299"/>
      <c r="C34" s="558"/>
      <c r="D34" s="558"/>
      <c r="E34" s="558"/>
      <c r="F34" s="558"/>
      <c r="G34" s="558"/>
      <c r="H34" s="558"/>
      <c r="I34" s="558"/>
      <c r="J34" s="558"/>
      <c r="K34" s="558"/>
      <c r="L34" s="558"/>
    </row>
    <row r="35" spans="1:12" x14ac:dyDescent="0.3">
      <c r="A35" s="30" t="s">
        <v>212</v>
      </c>
      <c r="B35" s="299"/>
      <c r="C35" s="558"/>
      <c r="D35" s="558"/>
      <c r="E35" s="558"/>
      <c r="F35" s="558"/>
      <c r="G35" s="558"/>
      <c r="H35" s="558"/>
      <c r="I35" s="558"/>
      <c r="J35" s="558"/>
      <c r="K35" s="558"/>
      <c r="L35" s="558"/>
    </row>
    <row r="36" spans="1:12" x14ac:dyDescent="0.3">
      <c r="A36" s="30" t="s">
        <v>213</v>
      </c>
      <c r="B36" s="299"/>
      <c r="C36" s="558"/>
      <c r="D36" s="558"/>
      <c r="E36" s="558"/>
      <c r="F36" s="558"/>
      <c r="G36" s="558"/>
      <c r="H36" s="558"/>
      <c r="I36" s="558"/>
      <c r="J36" s="558"/>
      <c r="K36" s="558"/>
      <c r="L36" s="558"/>
    </row>
    <row r="37" spans="1:12" x14ac:dyDescent="0.3">
      <c r="A37" s="30" t="s">
        <v>214</v>
      </c>
      <c r="B37" s="299"/>
      <c r="C37" s="558"/>
      <c r="D37" s="558"/>
      <c r="E37" s="558"/>
      <c r="F37" s="558"/>
      <c r="G37" s="558"/>
      <c r="H37" s="558"/>
      <c r="I37" s="558"/>
      <c r="J37" s="558"/>
      <c r="K37" s="558"/>
      <c r="L37" s="558"/>
    </row>
    <row r="38" spans="1:12" x14ac:dyDescent="0.3">
      <c r="A38" s="30" t="s">
        <v>215</v>
      </c>
      <c r="B38" s="299"/>
      <c r="C38" s="558"/>
      <c r="D38" s="558"/>
      <c r="E38" s="558"/>
      <c r="F38" s="558"/>
      <c r="G38" s="558"/>
      <c r="H38" s="558"/>
      <c r="I38" s="558"/>
      <c r="J38" s="558"/>
      <c r="K38" s="558"/>
      <c r="L38" s="558"/>
    </row>
    <row r="39" spans="1:12" x14ac:dyDescent="0.3">
      <c r="A39" s="30" t="s">
        <v>229</v>
      </c>
      <c r="B39" s="299"/>
      <c r="C39" s="558"/>
      <c r="D39" s="558"/>
      <c r="E39" s="558"/>
      <c r="F39" s="558"/>
      <c r="G39" s="558"/>
      <c r="H39" s="558"/>
      <c r="I39" s="558"/>
      <c r="J39" s="558"/>
      <c r="K39" s="558"/>
      <c r="L39" s="558"/>
    </row>
    <row r="40" spans="1:12" x14ac:dyDescent="0.3">
      <c r="A40" s="30" t="s">
        <v>216</v>
      </c>
      <c r="B40" s="299"/>
      <c r="C40" s="558"/>
      <c r="D40" s="558"/>
      <c r="E40" s="558"/>
      <c r="F40" s="558"/>
      <c r="G40" s="558"/>
      <c r="H40" s="558"/>
      <c r="I40" s="558"/>
      <c r="J40" s="558"/>
      <c r="K40" s="558"/>
      <c r="L40" s="558"/>
    </row>
    <row r="41" spans="1:12" x14ac:dyDescent="0.3">
      <c r="A41" s="30" t="s">
        <v>217</v>
      </c>
      <c r="B41" s="299"/>
      <c r="C41" s="558"/>
      <c r="D41" s="558"/>
      <c r="E41" s="558"/>
      <c r="F41" s="558"/>
      <c r="G41" s="558"/>
      <c r="H41" s="558"/>
      <c r="I41" s="558"/>
      <c r="J41" s="558"/>
      <c r="K41" s="558"/>
      <c r="L41" s="558"/>
    </row>
    <row r="42" spans="1:12" x14ac:dyDescent="0.3">
      <c r="A42" s="30" t="s">
        <v>218</v>
      </c>
      <c r="B42" s="299"/>
      <c r="C42" s="558"/>
      <c r="D42" s="558"/>
      <c r="E42" s="558"/>
      <c r="F42" s="558"/>
      <c r="G42" s="558"/>
      <c r="H42" s="558"/>
      <c r="I42" s="558"/>
      <c r="J42" s="558"/>
      <c r="K42" s="558"/>
      <c r="L42" s="558"/>
    </row>
    <row r="43" spans="1:12" x14ac:dyDescent="0.3">
      <c r="A43" s="30" t="s">
        <v>236</v>
      </c>
      <c r="B43" s="299"/>
      <c r="C43" s="558"/>
      <c r="D43" s="558"/>
      <c r="E43" s="558"/>
      <c r="F43" s="558"/>
      <c r="G43" s="558"/>
      <c r="H43" s="558"/>
      <c r="I43" s="558"/>
      <c r="J43" s="558"/>
      <c r="K43" s="558"/>
      <c r="L43" s="558"/>
    </row>
    <row r="45" spans="1:12" ht="15" thickBot="1" x14ac:dyDescent="0.35"/>
    <row r="46" spans="1:12" ht="15" thickBot="1" x14ac:dyDescent="0.35">
      <c r="C46" s="555" t="s">
        <v>219</v>
      </c>
      <c r="D46" s="556"/>
      <c r="E46" s="556"/>
      <c r="F46" s="556"/>
      <c r="G46" s="557"/>
      <c r="H46" s="29"/>
      <c r="I46" s="29"/>
      <c r="J46" s="29"/>
      <c r="K46" s="29"/>
    </row>
    <row r="47" spans="1:12" ht="15" thickBot="1" x14ac:dyDescent="0.35">
      <c r="C47" s="29"/>
      <c r="D47" s="29"/>
      <c r="E47" s="29"/>
      <c r="F47" s="29"/>
      <c r="G47" s="29"/>
      <c r="H47" s="29"/>
      <c r="I47" s="29"/>
      <c r="J47" s="29"/>
      <c r="K47" s="29"/>
    </row>
    <row r="48" spans="1:12" ht="15" thickBot="1" x14ac:dyDescent="0.35">
      <c r="A48" s="551" t="s">
        <v>860</v>
      </c>
      <c r="B48" s="552"/>
      <c r="C48" s="552"/>
      <c r="D48" s="552"/>
      <c r="E48" s="552"/>
      <c r="F48" s="552"/>
      <c r="G48" s="552"/>
      <c r="H48" s="552"/>
      <c r="I48" s="552"/>
      <c r="J48" s="552"/>
      <c r="K48" s="552"/>
      <c r="L48" s="553"/>
    </row>
    <row r="49" spans="1:12" ht="15" thickBot="1" x14ac:dyDescent="0.35">
      <c r="A49" s="529" t="s">
        <v>458</v>
      </c>
      <c r="B49" s="640"/>
      <c r="C49" s="193" t="s">
        <v>834</v>
      </c>
      <c r="D49" s="193" t="s">
        <v>176</v>
      </c>
      <c r="E49" s="529" t="s">
        <v>859</v>
      </c>
      <c r="F49" s="629"/>
      <c r="G49" s="529" t="s">
        <v>861</v>
      </c>
      <c r="H49" s="530"/>
      <c r="I49" s="530"/>
      <c r="J49" s="530"/>
      <c r="K49" s="530"/>
      <c r="L49" s="640"/>
    </row>
    <row r="50" spans="1:12" x14ac:dyDescent="0.3">
      <c r="A50" s="641" t="s">
        <v>498</v>
      </c>
      <c r="B50" s="642"/>
      <c r="C50" s="300">
        <v>7</v>
      </c>
      <c r="D50" s="300">
        <v>7</v>
      </c>
      <c r="E50" s="645">
        <f>(C50*D50)/7</f>
        <v>7</v>
      </c>
      <c r="F50" s="646"/>
      <c r="G50" s="542" t="s">
        <v>1082</v>
      </c>
      <c r="H50" s="543"/>
      <c r="I50" s="543"/>
      <c r="J50" s="543"/>
      <c r="K50" s="543"/>
      <c r="L50" s="544"/>
    </row>
    <row r="51" spans="1:12" x14ac:dyDescent="0.3">
      <c r="A51" s="525" t="s">
        <v>456</v>
      </c>
      <c r="B51" s="526"/>
      <c r="C51" s="301">
        <v>3</v>
      </c>
      <c r="D51" s="301">
        <v>7</v>
      </c>
      <c r="E51" s="527">
        <f t="shared" ref="E51:E57" si="0">(C51*D51)/7</f>
        <v>3</v>
      </c>
      <c r="F51" s="528"/>
      <c r="G51" s="545"/>
      <c r="H51" s="546"/>
      <c r="I51" s="546"/>
      <c r="J51" s="546"/>
      <c r="K51" s="546"/>
      <c r="L51" s="547"/>
    </row>
    <row r="52" spans="1:12" x14ac:dyDescent="0.3">
      <c r="A52" s="525" t="s">
        <v>855</v>
      </c>
      <c r="B52" s="526"/>
      <c r="C52" s="301">
        <v>2</v>
      </c>
      <c r="D52" s="301">
        <v>7</v>
      </c>
      <c r="E52" s="527">
        <f t="shared" si="0"/>
        <v>2</v>
      </c>
      <c r="F52" s="528"/>
      <c r="G52" s="545"/>
      <c r="H52" s="546"/>
      <c r="I52" s="546"/>
      <c r="J52" s="546"/>
      <c r="K52" s="546"/>
      <c r="L52" s="547"/>
    </row>
    <row r="53" spans="1:12" x14ac:dyDescent="0.3">
      <c r="A53" s="525" t="s">
        <v>841</v>
      </c>
      <c r="B53" s="526"/>
      <c r="C53" s="301">
        <v>1</v>
      </c>
      <c r="D53" s="301">
        <v>7</v>
      </c>
      <c r="E53" s="527">
        <f t="shared" si="0"/>
        <v>1</v>
      </c>
      <c r="F53" s="528"/>
      <c r="G53" s="545"/>
      <c r="H53" s="546"/>
      <c r="I53" s="546"/>
      <c r="J53" s="546"/>
      <c r="K53" s="546"/>
      <c r="L53" s="547"/>
    </row>
    <row r="54" spans="1:12" x14ac:dyDescent="0.3">
      <c r="A54" s="525" t="s">
        <v>423</v>
      </c>
      <c r="B54" s="526"/>
      <c r="C54" s="301">
        <v>2</v>
      </c>
      <c r="D54" s="301">
        <v>1</v>
      </c>
      <c r="E54" s="527">
        <f t="shared" si="0"/>
        <v>0.2857142857142857</v>
      </c>
      <c r="F54" s="528"/>
      <c r="G54" s="545"/>
      <c r="H54" s="546"/>
      <c r="I54" s="546"/>
      <c r="J54" s="546"/>
      <c r="K54" s="546"/>
      <c r="L54" s="547"/>
    </row>
    <row r="55" spans="1:12" x14ac:dyDescent="0.3">
      <c r="A55" s="525" t="s">
        <v>431</v>
      </c>
      <c r="B55" s="526"/>
      <c r="C55" s="301">
        <v>5</v>
      </c>
      <c r="D55" s="301">
        <v>7</v>
      </c>
      <c r="E55" s="527">
        <f t="shared" si="0"/>
        <v>5</v>
      </c>
      <c r="F55" s="528"/>
      <c r="G55" s="545"/>
      <c r="H55" s="546"/>
      <c r="I55" s="546"/>
      <c r="J55" s="546"/>
      <c r="K55" s="546"/>
      <c r="L55" s="547"/>
    </row>
    <row r="56" spans="1:12" ht="15" thickBot="1" x14ac:dyDescent="0.35">
      <c r="A56" s="525" t="s">
        <v>432</v>
      </c>
      <c r="B56" s="526"/>
      <c r="C56" s="301">
        <v>2</v>
      </c>
      <c r="D56" s="301">
        <v>7</v>
      </c>
      <c r="E56" s="527">
        <f t="shared" si="0"/>
        <v>2</v>
      </c>
      <c r="F56" s="528"/>
      <c r="G56" s="548"/>
      <c r="H56" s="549"/>
      <c r="I56" s="549"/>
      <c r="J56" s="549"/>
      <c r="K56" s="549"/>
      <c r="L56" s="550"/>
    </row>
    <row r="57" spans="1:12" ht="15" thickBot="1" x14ac:dyDescent="0.35">
      <c r="A57" s="535" t="s">
        <v>469</v>
      </c>
      <c r="B57" s="536"/>
      <c r="C57" s="302">
        <v>2</v>
      </c>
      <c r="D57" s="302">
        <v>3</v>
      </c>
      <c r="E57" s="537">
        <f t="shared" si="0"/>
        <v>0.8571428571428571</v>
      </c>
      <c r="F57" s="538"/>
      <c r="G57" s="539" t="s">
        <v>865</v>
      </c>
      <c r="H57" s="540"/>
      <c r="I57" s="540"/>
      <c r="J57" s="540"/>
      <c r="K57" s="540"/>
      <c r="L57" s="541"/>
    </row>
    <row r="58" spans="1:12" ht="15" thickBot="1" x14ac:dyDescent="0.35">
      <c r="A58" s="529" t="s">
        <v>866</v>
      </c>
      <c r="B58" s="530"/>
      <c r="C58" s="189">
        <f>SUM(C50:C57)</f>
        <v>24</v>
      </c>
      <c r="D58" s="189"/>
      <c r="E58" s="531">
        <f>SUM(E50:F57)</f>
        <v>21.142857142857142</v>
      </c>
      <c r="F58" s="532"/>
      <c r="G58" s="533">
        <f>C58-E58</f>
        <v>2.8571428571428577</v>
      </c>
      <c r="H58" s="531"/>
      <c r="I58" s="531"/>
      <c r="J58" s="531"/>
      <c r="K58" s="531"/>
      <c r="L58" s="534"/>
    </row>
    <row r="59" spans="1:12" ht="15" thickBot="1" x14ac:dyDescent="0.35">
      <c r="A59" s="647" t="s">
        <v>871</v>
      </c>
      <c r="B59" s="648"/>
      <c r="C59" s="648"/>
      <c r="D59" s="648"/>
      <c r="E59" s="648"/>
      <c r="F59" s="648"/>
      <c r="G59" s="648"/>
      <c r="H59" s="648"/>
      <c r="I59" s="648"/>
      <c r="J59" s="648"/>
      <c r="K59" s="649"/>
      <c r="L59" s="650"/>
    </row>
    <row r="60" spans="1:12" ht="15" thickBot="1" x14ac:dyDescent="0.35">
      <c r="A60" s="730" t="s">
        <v>878</v>
      </c>
      <c r="B60" s="731"/>
      <c r="C60" s="731"/>
      <c r="D60" s="732"/>
      <c r="E60" s="743" t="s">
        <v>872</v>
      </c>
      <c r="F60" s="744"/>
      <c r="G60" s="744"/>
      <c r="H60" s="731"/>
      <c r="I60" s="731"/>
      <c r="J60" s="732"/>
      <c r="K60" s="220">
        <v>1</v>
      </c>
      <c r="L60" s="220">
        <v>1</v>
      </c>
    </row>
    <row r="61" spans="1:12" ht="15" thickBot="1" x14ac:dyDescent="0.35">
      <c r="A61" s="223" t="s">
        <v>879</v>
      </c>
      <c r="B61" s="305">
        <v>1</v>
      </c>
      <c r="C61" s="733" t="s">
        <v>831</v>
      </c>
      <c r="D61" s="734"/>
      <c r="E61" s="739" t="s">
        <v>876</v>
      </c>
      <c r="F61" s="740"/>
      <c r="G61" s="741"/>
      <c r="H61" s="725">
        <v>54</v>
      </c>
      <c r="I61" s="742"/>
      <c r="J61" s="725">
        <v>53.6</v>
      </c>
      <c r="K61" s="726"/>
      <c r="L61" s="303">
        <f>((J61*L60)/H61)-K60</f>
        <v>-7.4074074074074181E-3</v>
      </c>
    </row>
    <row r="62" spans="1:12" ht="15" thickBot="1" x14ac:dyDescent="0.35">
      <c r="A62" s="224" t="s">
        <v>880</v>
      </c>
      <c r="B62" s="304">
        <v>1</v>
      </c>
      <c r="C62" s="735" t="str">
        <f>IF(B62&gt;=1.02,"DESHIDRATADO","HIDRATADO")</f>
        <v>HIDRATADO</v>
      </c>
      <c r="D62" s="736"/>
      <c r="E62" s="722" t="s">
        <v>875</v>
      </c>
      <c r="F62" s="723"/>
      <c r="G62" s="724"/>
      <c r="H62" s="745" t="s">
        <v>873</v>
      </c>
      <c r="I62" s="746"/>
      <c r="J62" s="307">
        <v>1</v>
      </c>
      <c r="K62" s="727" t="str">
        <f>_xlfn.IFS(J62=1,"HIDRATADO",J62=2,"HIDRATADO",J62=3,"HIDRATADO",J62=4,"HIDRATADO",J62=5,"DESHIDRATADO",J62=6,"DESHIDRATADO",J62=7,"DESHIDRATADO",J62=8,"DESHIDRATADO")</f>
        <v>HIDRATADO</v>
      </c>
      <c r="L62" s="729"/>
    </row>
    <row r="63" spans="1:12" ht="15" thickBot="1" x14ac:dyDescent="0.35">
      <c r="A63" s="225" t="s">
        <v>881</v>
      </c>
      <c r="B63" s="306">
        <v>1</v>
      </c>
      <c r="C63" s="737" t="str">
        <f>IF(B63&gt;=1.02,"DESHIDRATADO","HIDRATADO")</f>
        <v>HIDRATADO</v>
      </c>
      <c r="D63" s="738"/>
      <c r="E63" s="722" t="s">
        <v>874</v>
      </c>
      <c r="F63" s="723"/>
      <c r="G63" s="724"/>
      <c r="H63" s="725" t="s">
        <v>877</v>
      </c>
      <c r="I63" s="726"/>
      <c r="J63" s="727" t="str">
        <f>IF(H63="SI","HIDRATADO","DESHIDRATADO")</f>
        <v>HIDRATADO</v>
      </c>
      <c r="K63" s="728"/>
      <c r="L63" s="729"/>
    </row>
    <row r="64" spans="1:12" ht="15" thickBot="1" x14ac:dyDescent="0.35">
      <c r="A64" s="162"/>
      <c r="B64" s="162"/>
      <c r="C64" s="162"/>
      <c r="D64" s="162"/>
      <c r="E64" s="162"/>
      <c r="F64" s="162"/>
      <c r="G64" s="162"/>
      <c r="H64" s="162"/>
      <c r="I64" s="162"/>
      <c r="J64" s="162"/>
      <c r="K64" s="162"/>
      <c r="L64" s="162"/>
    </row>
    <row r="65" spans="1:12" ht="15" thickBot="1" x14ac:dyDescent="0.35">
      <c r="C65" s="555" t="s">
        <v>222</v>
      </c>
      <c r="D65" s="556"/>
      <c r="E65" s="556"/>
      <c r="F65" s="556"/>
      <c r="G65" s="557"/>
      <c r="H65" s="29"/>
      <c r="I65" s="221"/>
      <c r="J65" s="221"/>
      <c r="K65" s="221"/>
    </row>
    <row r="66" spans="1:12" ht="15" thickBot="1" x14ac:dyDescent="0.35">
      <c r="I66" s="221"/>
      <c r="J66" s="222"/>
      <c r="K66" s="222"/>
    </row>
    <row r="67" spans="1:12" ht="15" thickBot="1" x14ac:dyDescent="0.35">
      <c r="A67" s="643" t="s">
        <v>178</v>
      </c>
      <c r="B67" s="605"/>
      <c r="C67" s="605" t="s">
        <v>226</v>
      </c>
      <c r="D67" s="605"/>
      <c r="E67" s="644"/>
      <c r="F67" s="555" t="s">
        <v>193</v>
      </c>
      <c r="G67" s="556"/>
      <c r="H67" s="556"/>
      <c r="I67" s="556"/>
      <c r="J67" s="556"/>
      <c r="K67" s="556"/>
      <c r="L67" s="557"/>
    </row>
    <row r="68" spans="1:12" x14ac:dyDescent="0.3">
      <c r="A68" s="627" t="s">
        <v>227</v>
      </c>
      <c r="B68" s="597"/>
      <c r="C68" s="597" t="s">
        <v>179</v>
      </c>
      <c r="D68" s="597"/>
      <c r="E68" s="628"/>
      <c r="F68" s="630"/>
      <c r="G68" s="631"/>
      <c r="H68" s="631"/>
      <c r="I68" s="631"/>
      <c r="J68" s="631"/>
      <c r="K68" s="631"/>
      <c r="L68" s="632"/>
    </row>
    <row r="69" spans="1:12" x14ac:dyDescent="0.3">
      <c r="A69" s="627" t="s">
        <v>899</v>
      </c>
      <c r="B69" s="597"/>
      <c r="C69" s="558" t="s">
        <v>900</v>
      </c>
      <c r="D69" s="558"/>
      <c r="E69" s="626"/>
      <c r="F69" s="633"/>
      <c r="G69" s="634"/>
      <c r="H69" s="634"/>
      <c r="I69" s="634"/>
      <c r="J69" s="634"/>
      <c r="K69" s="634"/>
      <c r="L69" s="635"/>
    </row>
    <row r="70" spans="1:12" x14ac:dyDescent="0.3">
      <c r="A70" s="627" t="s">
        <v>901</v>
      </c>
      <c r="B70" s="597"/>
      <c r="C70" s="558" t="s">
        <v>902</v>
      </c>
      <c r="D70" s="558"/>
      <c r="E70" s="626"/>
      <c r="F70" s="633"/>
      <c r="G70" s="634"/>
      <c r="H70" s="634"/>
      <c r="I70" s="634"/>
      <c r="J70" s="634"/>
      <c r="K70" s="634"/>
      <c r="L70" s="635"/>
    </row>
    <row r="71" spans="1:12" x14ac:dyDescent="0.3">
      <c r="A71" s="562" t="s">
        <v>228</v>
      </c>
      <c r="B71" s="558"/>
      <c r="C71" s="558" t="s">
        <v>232</v>
      </c>
      <c r="D71" s="558"/>
      <c r="E71" s="626"/>
      <c r="F71" s="633"/>
      <c r="G71" s="634"/>
      <c r="H71" s="634"/>
      <c r="I71" s="634"/>
      <c r="J71" s="634"/>
      <c r="K71" s="634"/>
      <c r="L71" s="635"/>
    </row>
    <row r="72" spans="1:12" x14ac:dyDescent="0.3">
      <c r="A72" s="562" t="s">
        <v>181</v>
      </c>
      <c r="B72" s="558"/>
      <c r="C72" s="558" t="s">
        <v>892</v>
      </c>
      <c r="D72" s="558"/>
      <c r="E72" s="626"/>
      <c r="F72" s="633"/>
      <c r="G72" s="634"/>
      <c r="H72" s="634"/>
      <c r="I72" s="634"/>
      <c r="J72" s="634"/>
      <c r="K72" s="634"/>
      <c r="L72" s="635"/>
    </row>
    <row r="73" spans="1:12" x14ac:dyDescent="0.3">
      <c r="A73" s="562" t="s">
        <v>182</v>
      </c>
      <c r="B73" s="558"/>
      <c r="C73" s="558" t="s">
        <v>183</v>
      </c>
      <c r="D73" s="558"/>
      <c r="E73" s="626"/>
      <c r="F73" s="633"/>
      <c r="G73" s="634"/>
      <c r="H73" s="634"/>
      <c r="I73" s="634"/>
      <c r="J73" s="634"/>
      <c r="K73" s="634"/>
      <c r="L73" s="635"/>
    </row>
    <row r="74" spans="1:12" x14ac:dyDescent="0.3">
      <c r="A74" s="562" t="s">
        <v>904</v>
      </c>
      <c r="B74" s="558"/>
      <c r="C74" s="558" t="s">
        <v>905</v>
      </c>
      <c r="D74" s="558"/>
      <c r="E74" s="626"/>
      <c r="F74" s="633"/>
      <c r="G74" s="634"/>
      <c r="H74" s="634"/>
      <c r="I74" s="634"/>
      <c r="J74" s="634"/>
      <c r="K74" s="634"/>
      <c r="L74" s="635"/>
    </row>
    <row r="75" spans="1:12" x14ac:dyDescent="0.3">
      <c r="A75" s="562" t="s">
        <v>164</v>
      </c>
      <c r="B75" s="558"/>
      <c r="C75" s="558" t="s">
        <v>184</v>
      </c>
      <c r="D75" s="558"/>
      <c r="E75" s="626"/>
      <c r="F75" s="633"/>
      <c r="G75" s="634"/>
      <c r="H75" s="634"/>
      <c r="I75" s="634"/>
      <c r="J75" s="634"/>
      <c r="K75" s="634"/>
      <c r="L75" s="635"/>
    </row>
    <row r="76" spans="1:12" x14ac:dyDescent="0.3">
      <c r="A76" s="562" t="s">
        <v>185</v>
      </c>
      <c r="B76" s="558"/>
      <c r="C76" s="558" t="s">
        <v>223</v>
      </c>
      <c r="D76" s="558"/>
      <c r="E76" s="626"/>
      <c r="F76" s="633"/>
      <c r="G76" s="634"/>
      <c r="H76" s="634"/>
      <c r="I76" s="634"/>
      <c r="J76" s="634"/>
      <c r="K76" s="634"/>
      <c r="L76" s="635"/>
    </row>
    <row r="77" spans="1:12" x14ac:dyDescent="0.3">
      <c r="A77" s="562" t="s">
        <v>186</v>
      </c>
      <c r="B77" s="558"/>
      <c r="C77" s="558" t="s">
        <v>187</v>
      </c>
      <c r="D77" s="558"/>
      <c r="E77" s="626"/>
      <c r="F77" s="633"/>
      <c r="G77" s="634"/>
      <c r="H77" s="634"/>
      <c r="I77" s="634"/>
      <c r="J77" s="634"/>
      <c r="K77" s="634"/>
      <c r="L77" s="635"/>
    </row>
    <row r="78" spans="1:12" x14ac:dyDescent="0.3">
      <c r="A78" s="562" t="s">
        <v>188</v>
      </c>
      <c r="B78" s="558"/>
      <c r="C78" s="558" t="s">
        <v>903</v>
      </c>
      <c r="D78" s="558"/>
      <c r="E78" s="626"/>
      <c r="F78" s="633"/>
      <c r="G78" s="634"/>
      <c r="H78" s="634"/>
      <c r="I78" s="634"/>
      <c r="J78" s="634"/>
      <c r="K78" s="634"/>
      <c r="L78" s="635"/>
    </row>
    <row r="79" spans="1:12" x14ac:dyDescent="0.3">
      <c r="A79" s="562" t="s">
        <v>190</v>
      </c>
      <c r="B79" s="558"/>
      <c r="C79" s="558" t="s">
        <v>225</v>
      </c>
      <c r="D79" s="558"/>
      <c r="E79" s="626"/>
      <c r="F79" s="633"/>
      <c r="G79" s="634"/>
      <c r="H79" s="634"/>
      <c r="I79" s="634"/>
      <c r="J79" s="634"/>
      <c r="K79" s="634"/>
      <c r="L79" s="635"/>
    </row>
    <row r="80" spans="1:12" x14ac:dyDescent="0.3">
      <c r="A80" s="562" t="s">
        <v>189</v>
      </c>
      <c r="B80" s="558"/>
      <c r="C80" s="558" t="s">
        <v>224</v>
      </c>
      <c r="D80" s="558"/>
      <c r="E80" s="626"/>
      <c r="F80" s="633"/>
      <c r="G80" s="634"/>
      <c r="H80" s="634"/>
      <c r="I80" s="634"/>
      <c r="J80" s="634"/>
      <c r="K80" s="634"/>
      <c r="L80" s="635"/>
    </row>
    <row r="81" spans="1:12" x14ac:dyDescent="0.3">
      <c r="A81" s="562" t="s">
        <v>908</v>
      </c>
      <c r="B81" s="558"/>
      <c r="C81" s="558" t="s">
        <v>909</v>
      </c>
      <c r="D81" s="558"/>
      <c r="E81" s="626"/>
      <c r="F81" s="633"/>
      <c r="G81" s="634"/>
      <c r="H81" s="634"/>
      <c r="I81" s="634"/>
      <c r="J81" s="634"/>
      <c r="K81" s="634"/>
      <c r="L81" s="635"/>
    </row>
    <row r="82" spans="1:12" x14ac:dyDescent="0.3">
      <c r="A82" s="562" t="s">
        <v>906</v>
      </c>
      <c r="B82" s="558"/>
      <c r="C82" s="558" t="s">
        <v>907</v>
      </c>
      <c r="D82" s="558"/>
      <c r="E82" s="626"/>
      <c r="F82" s="668"/>
      <c r="G82" s="669"/>
      <c r="H82" s="669"/>
      <c r="I82" s="669"/>
      <c r="J82" s="669"/>
      <c r="K82" s="669"/>
      <c r="L82" s="670"/>
    </row>
    <row r="83" spans="1:12" x14ac:dyDescent="0.3">
      <c r="A83" s="562" t="s">
        <v>230</v>
      </c>
      <c r="B83" s="558"/>
      <c r="C83" s="558" t="s">
        <v>233</v>
      </c>
      <c r="D83" s="558"/>
      <c r="E83" s="626"/>
      <c r="F83" s="633"/>
      <c r="G83" s="634"/>
      <c r="H83" s="634"/>
      <c r="I83" s="634"/>
      <c r="J83" s="634"/>
      <c r="K83" s="634"/>
      <c r="L83" s="635"/>
    </row>
    <row r="84" spans="1:12" x14ac:dyDescent="0.3">
      <c r="A84" s="562" t="s">
        <v>180</v>
      </c>
      <c r="B84" s="558"/>
      <c r="C84" s="558" t="s">
        <v>894</v>
      </c>
      <c r="D84" s="558"/>
      <c r="E84" s="626"/>
      <c r="F84" s="633"/>
      <c r="G84" s="634"/>
      <c r="H84" s="634"/>
      <c r="I84" s="634"/>
      <c r="J84" s="634"/>
      <c r="K84" s="634"/>
      <c r="L84" s="635"/>
    </row>
    <row r="85" spans="1:12" x14ac:dyDescent="0.3">
      <c r="A85" s="562" t="s">
        <v>231</v>
      </c>
      <c r="B85" s="558"/>
      <c r="C85" s="558" t="s">
        <v>893</v>
      </c>
      <c r="D85" s="558"/>
      <c r="E85" s="626"/>
      <c r="F85" s="633"/>
      <c r="G85" s="634"/>
      <c r="H85" s="634"/>
      <c r="I85" s="634"/>
      <c r="J85" s="634"/>
      <c r="K85" s="634"/>
      <c r="L85" s="635"/>
    </row>
    <row r="86" spans="1:12" x14ac:dyDescent="0.3">
      <c r="A86" s="562" t="s">
        <v>191</v>
      </c>
      <c r="B86" s="558"/>
      <c r="C86" s="558" t="s">
        <v>192</v>
      </c>
      <c r="D86" s="558"/>
      <c r="E86" s="626"/>
      <c r="F86" s="633"/>
      <c r="G86" s="634"/>
      <c r="H86" s="634"/>
      <c r="I86" s="634"/>
      <c r="J86" s="634"/>
      <c r="K86" s="634"/>
      <c r="L86" s="635"/>
    </row>
    <row r="87" spans="1:12" x14ac:dyDescent="0.3">
      <c r="A87" s="562" t="s">
        <v>895</v>
      </c>
      <c r="B87" s="558"/>
      <c r="C87" s="558" t="s">
        <v>896</v>
      </c>
      <c r="D87" s="558"/>
      <c r="E87" s="626"/>
      <c r="F87" s="633"/>
      <c r="G87" s="634"/>
      <c r="H87" s="634"/>
      <c r="I87" s="634"/>
      <c r="J87" s="634"/>
      <c r="K87" s="634"/>
      <c r="L87" s="635"/>
    </row>
    <row r="88" spans="1:12" ht="15" thickBot="1" x14ac:dyDescent="0.35">
      <c r="A88" s="562" t="s">
        <v>897</v>
      </c>
      <c r="B88" s="558"/>
      <c r="C88" s="558" t="s">
        <v>898</v>
      </c>
      <c r="D88" s="558"/>
      <c r="E88" s="626"/>
      <c r="F88" s="633"/>
      <c r="G88" s="634"/>
      <c r="H88" s="634"/>
      <c r="I88" s="634"/>
      <c r="J88" s="634"/>
      <c r="K88" s="634"/>
      <c r="L88" s="635"/>
    </row>
    <row r="89" spans="1:12" ht="15" thickBot="1" x14ac:dyDescent="0.35">
      <c r="A89" s="555" t="s">
        <v>234</v>
      </c>
      <c r="B89" s="556"/>
      <c r="C89" s="556"/>
      <c r="D89" s="556"/>
      <c r="E89" s="557"/>
      <c r="F89" s="671"/>
      <c r="G89" s="556"/>
      <c r="H89" s="556"/>
      <c r="I89" s="556"/>
      <c r="J89" s="556"/>
      <c r="K89" s="556"/>
      <c r="L89" s="557"/>
    </row>
    <row r="90" spans="1:12" x14ac:dyDescent="0.3">
      <c r="A90" s="686" t="s">
        <v>203</v>
      </c>
      <c r="B90" s="687"/>
      <c r="C90" s="687"/>
      <c r="D90" s="687"/>
      <c r="E90" s="687"/>
      <c r="F90" s="687"/>
      <c r="G90" s="687"/>
      <c r="H90" s="687"/>
      <c r="I90" s="687"/>
      <c r="J90" s="687"/>
      <c r="K90" s="687"/>
      <c r="L90" s="688"/>
    </row>
    <row r="91" spans="1:12" ht="15" thickBot="1" x14ac:dyDescent="0.35">
      <c r="A91" s="689"/>
      <c r="B91" s="690"/>
      <c r="C91" s="690"/>
      <c r="D91" s="690"/>
      <c r="E91" s="690"/>
      <c r="F91" s="690"/>
      <c r="G91" s="690"/>
      <c r="H91" s="690"/>
      <c r="I91" s="690"/>
      <c r="J91" s="690"/>
      <c r="K91" s="690"/>
      <c r="L91" s="691"/>
    </row>
    <row r="92" spans="1:12" ht="15" thickBot="1" x14ac:dyDescent="0.35"/>
    <row r="93" spans="1:12" ht="15" thickBot="1" x14ac:dyDescent="0.35">
      <c r="B93" s="555" t="s">
        <v>235</v>
      </c>
      <c r="C93" s="556"/>
      <c r="D93" s="556"/>
      <c r="E93" s="556"/>
      <c r="F93" s="556"/>
      <c r="G93" s="556"/>
      <c r="H93" s="557"/>
      <c r="I93" s="35"/>
      <c r="J93" s="35"/>
      <c r="K93" s="35"/>
      <c r="L93" s="35"/>
    </row>
    <row r="94" spans="1:12" ht="15" thickBot="1" x14ac:dyDescent="0.35"/>
    <row r="95" spans="1:12" ht="27" customHeight="1" thickBot="1" x14ac:dyDescent="0.35">
      <c r="A95" s="692" t="s">
        <v>237</v>
      </c>
      <c r="B95" s="556"/>
      <c r="C95" s="556"/>
      <c r="D95" s="556"/>
      <c r="E95" s="556"/>
      <c r="F95" s="556"/>
      <c r="G95" s="556"/>
      <c r="H95" s="556"/>
      <c r="I95" s="556"/>
      <c r="J95" s="556"/>
      <c r="K95" s="556"/>
      <c r="L95" s="556"/>
    </row>
    <row r="96" spans="1:12" ht="15" thickBot="1" x14ac:dyDescent="0.35"/>
    <row r="97" spans="1:12" ht="15" thickBot="1" x14ac:dyDescent="0.35">
      <c r="A97" s="693" t="s">
        <v>238</v>
      </c>
      <c r="B97" s="694"/>
      <c r="C97" s="694"/>
      <c r="D97" s="695"/>
      <c r="E97" s="575" t="s">
        <v>239</v>
      </c>
      <c r="F97" s="702"/>
      <c r="G97" s="702"/>
      <c r="H97" s="702"/>
      <c r="I97" s="702"/>
      <c r="J97" s="702"/>
      <c r="K97" s="702"/>
      <c r="L97" s="703"/>
    </row>
    <row r="98" spans="1:12" ht="15" thickBot="1" x14ac:dyDescent="0.35">
      <c r="A98" s="696"/>
      <c r="B98" s="697"/>
      <c r="C98" s="697"/>
      <c r="D98" s="698"/>
      <c r="E98" s="36"/>
      <c r="F98" s="37" t="s">
        <v>241</v>
      </c>
      <c r="G98" s="529" t="s">
        <v>242</v>
      </c>
      <c r="H98" s="530"/>
      <c r="I98" s="640"/>
      <c r="J98" s="529" t="s">
        <v>243</v>
      </c>
      <c r="K98" s="530"/>
      <c r="L98" s="640"/>
    </row>
    <row r="99" spans="1:12" ht="14.4" customHeight="1" x14ac:dyDescent="0.3">
      <c r="A99" s="696"/>
      <c r="B99" s="697"/>
      <c r="C99" s="697"/>
      <c r="D99" s="698"/>
      <c r="E99" s="672" t="s">
        <v>240</v>
      </c>
      <c r="F99" s="674" t="s">
        <v>246</v>
      </c>
      <c r="G99" s="677">
        <v>1</v>
      </c>
      <c r="H99" s="680" t="s">
        <v>244</v>
      </c>
      <c r="I99" s="683" t="s">
        <v>245</v>
      </c>
      <c r="J99" s="677">
        <v>1</v>
      </c>
      <c r="K99" s="680" t="s">
        <v>247</v>
      </c>
      <c r="L99" s="683" t="s">
        <v>248</v>
      </c>
    </row>
    <row r="100" spans="1:12" x14ac:dyDescent="0.3">
      <c r="A100" s="696"/>
      <c r="B100" s="697"/>
      <c r="C100" s="697"/>
      <c r="D100" s="698"/>
      <c r="E100" s="672"/>
      <c r="F100" s="675"/>
      <c r="G100" s="678"/>
      <c r="H100" s="681"/>
      <c r="I100" s="684"/>
      <c r="J100" s="678"/>
      <c r="K100" s="681"/>
      <c r="L100" s="684"/>
    </row>
    <row r="101" spans="1:12" x14ac:dyDescent="0.3">
      <c r="A101" s="696"/>
      <c r="B101" s="697"/>
      <c r="C101" s="697"/>
      <c r="D101" s="698"/>
      <c r="E101" s="672"/>
      <c r="F101" s="675"/>
      <c r="G101" s="678"/>
      <c r="H101" s="681"/>
      <c r="I101" s="684"/>
      <c r="J101" s="678"/>
      <c r="K101" s="681"/>
      <c r="L101" s="684"/>
    </row>
    <row r="102" spans="1:12" ht="15" thickBot="1" x14ac:dyDescent="0.35">
      <c r="A102" s="699"/>
      <c r="B102" s="700"/>
      <c r="C102" s="700"/>
      <c r="D102" s="701"/>
      <c r="E102" s="673"/>
      <c r="F102" s="676"/>
      <c r="G102" s="679"/>
      <c r="H102" s="682"/>
      <c r="I102" s="685"/>
      <c r="J102" s="679"/>
      <c r="K102" s="682"/>
      <c r="L102" s="685"/>
    </row>
    <row r="103" spans="1:12" x14ac:dyDescent="0.3">
      <c r="A103" s="704" t="s">
        <v>249</v>
      </c>
      <c r="B103" s="705"/>
      <c r="C103" s="705"/>
      <c r="D103" s="706"/>
      <c r="E103" s="580"/>
      <c r="F103" s="580"/>
      <c r="G103" s="580"/>
      <c r="H103" s="580"/>
      <c r="I103" s="580"/>
      <c r="J103" s="580"/>
      <c r="K103" s="580"/>
      <c r="L103" s="581"/>
    </row>
    <row r="104" spans="1:12" x14ac:dyDescent="0.3">
      <c r="A104" s="562" t="s">
        <v>250</v>
      </c>
      <c r="B104" s="558"/>
      <c r="C104" s="558"/>
      <c r="D104" s="563"/>
      <c r="E104" s="38"/>
      <c r="F104" s="30"/>
      <c r="G104" s="30"/>
      <c r="H104" s="30"/>
      <c r="I104" s="30"/>
      <c r="J104" s="30"/>
      <c r="K104" s="30"/>
      <c r="L104" s="39"/>
    </row>
    <row r="105" spans="1:12" x14ac:dyDescent="0.3">
      <c r="A105" s="562" t="s">
        <v>251</v>
      </c>
      <c r="B105" s="558"/>
      <c r="C105" s="558"/>
      <c r="D105" s="563"/>
      <c r="E105" s="38"/>
      <c r="F105" s="30"/>
      <c r="G105" s="30"/>
      <c r="H105" s="30"/>
      <c r="I105" s="30"/>
      <c r="J105" s="30"/>
      <c r="K105" s="30"/>
      <c r="L105" s="39"/>
    </row>
    <row r="106" spans="1:12" x14ac:dyDescent="0.3">
      <c r="A106" s="562" t="s">
        <v>252</v>
      </c>
      <c r="B106" s="558"/>
      <c r="C106" s="558"/>
      <c r="D106" s="563"/>
      <c r="E106" s="38"/>
      <c r="F106" s="30"/>
      <c r="G106" s="30"/>
      <c r="H106" s="30"/>
      <c r="I106" s="30"/>
      <c r="J106" s="30"/>
      <c r="K106" s="30"/>
      <c r="L106" s="39"/>
    </row>
    <row r="107" spans="1:12" x14ac:dyDescent="0.3">
      <c r="A107" s="562" t="s">
        <v>253</v>
      </c>
      <c r="B107" s="558"/>
      <c r="C107" s="558"/>
      <c r="D107" s="563"/>
      <c r="E107" s="38"/>
      <c r="F107" s="30"/>
      <c r="G107" s="30"/>
      <c r="H107" s="30"/>
      <c r="I107" s="30"/>
      <c r="J107" s="30"/>
      <c r="K107" s="30"/>
      <c r="L107" s="39"/>
    </row>
    <row r="108" spans="1:12" x14ac:dyDescent="0.3">
      <c r="A108" s="562" t="s">
        <v>254</v>
      </c>
      <c r="B108" s="558"/>
      <c r="C108" s="558"/>
      <c r="D108" s="563"/>
      <c r="E108" s="38"/>
      <c r="F108" s="30"/>
      <c r="G108" s="30"/>
      <c r="H108" s="30"/>
      <c r="I108" s="30"/>
      <c r="J108" s="30"/>
      <c r="K108" s="30"/>
      <c r="L108" s="39"/>
    </row>
    <row r="109" spans="1:12" x14ac:dyDescent="0.3">
      <c r="A109" s="562" t="s">
        <v>255</v>
      </c>
      <c r="B109" s="558"/>
      <c r="C109" s="558"/>
      <c r="D109" s="563"/>
      <c r="E109" s="38"/>
      <c r="F109" s="30"/>
      <c r="G109" s="30"/>
      <c r="H109" s="30"/>
      <c r="I109" s="30"/>
      <c r="J109" s="30"/>
      <c r="K109" s="30"/>
      <c r="L109" s="39"/>
    </row>
    <row r="110" spans="1:12" x14ac:dyDescent="0.3">
      <c r="A110" s="562" t="s">
        <v>256</v>
      </c>
      <c r="B110" s="558"/>
      <c r="C110" s="558"/>
      <c r="D110" s="563"/>
      <c r="E110" s="38"/>
      <c r="F110" s="30"/>
      <c r="G110" s="30"/>
      <c r="H110" s="30"/>
      <c r="I110" s="30"/>
      <c r="J110" s="30"/>
      <c r="K110" s="30"/>
      <c r="L110" s="39"/>
    </row>
    <row r="111" spans="1:12" x14ac:dyDescent="0.3">
      <c r="A111" s="562" t="s">
        <v>257</v>
      </c>
      <c r="B111" s="558"/>
      <c r="C111" s="558"/>
      <c r="D111" s="563"/>
      <c r="E111" s="38"/>
      <c r="F111" s="30"/>
      <c r="G111" s="30"/>
      <c r="H111" s="30"/>
      <c r="I111" s="30"/>
      <c r="J111" s="30"/>
      <c r="K111" s="30"/>
      <c r="L111" s="39"/>
    </row>
    <row r="112" spans="1:12" x14ac:dyDescent="0.3">
      <c r="A112" s="562" t="s">
        <v>258</v>
      </c>
      <c r="B112" s="558"/>
      <c r="C112" s="558"/>
      <c r="D112" s="563"/>
      <c r="E112" s="38"/>
      <c r="F112" s="30"/>
      <c r="G112" s="30"/>
      <c r="H112" s="30"/>
      <c r="I112" s="30"/>
      <c r="J112" s="30"/>
      <c r="K112" s="30"/>
      <c r="L112" s="39"/>
    </row>
    <row r="113" spans="1:12" x14ac:dyDescent="0.3">
      <c r="A113" s="562" t="s">
        <v>259</v>
      </c>
      <c r="B113" s="558"/>
      <c r="C113" s="558"/>
      <c r="D113" s="563"/>
      <c r="E113" s="38"/>
      <c r="F113" s="30"/>
      <c r="G113" s="30"/>
      <c r="H113" s="30"/>
      <c r="I113" s="30"/>
      <c r="J113" s="30"/>
      <c r="K113" s="30"/>
      <c r="L113" s="39"/>
    </row>
    <row r="114" spans="1:12" x14ac:dyDescent="0.3">
      <c r="A114" s="562" t="s">
        <v>260</v>
      </c>
      <c r="B114" s="558"/>
      <c r="C114" s="558"/>
      <c r="D114" s="563"/>
      <c r="E114" s="38"/>
      <c r="F114" s="30"/>
      <c r="G114" s="30"/>
      <c r="H114" s="30"/>
      <c r="I114" s="30"/>
      <c r="J114" s="30"/>
      <c r="K114" s="30"/>
      <c r="L114" s="39"/>
    </row>
    <row r="115" spans="1:12" x14ac:dyDescent="0.3">
      <c r="A115" s="562" t="s">
        <v>261</v>
      </c>
      <c r="B115" s="558"/>
      <c r="C115" s="558"/>
      <c r="D115" s="563"/>
      <c r="E115" s="38"/>
      <c r="F115" s="30"/>
      <c r="G115" s="30"/>
      <c r="H115" s="30"/>
      <c r="I115" s="30"/>
      <c r="J115" s="30"/>
      <c r="K115" s="30"/>
      <c r="L115" s="39"/>
    </row>
    <row r="116" spans="1:12" ht="15" thickBot="1" x14ac:dyDescent="0.35">
      <c r="A116" s="564" t="s">
        <v>1078</v>
      </c>
      <c r="B116" s="565"/>
      <c r="C116" s="565"/>
      <c r="D116" s="566"/>
      <c r="E116" s="40"/>
      <c r="F116" s="33"/>
      <c r="G116" s="33"/>
      <c r="H116" s="33"/>
      <c r="I116" s="33"/>
      <c r="J116" s="33"/>
      <c r="K116" s="33"/>
      <c r="L116" s="34"/>
    </row>
    <row r="117" spans="1:12" ht="14.4" customHeight="1" x14ac:dyDescent="0.3">
      <c r="A117" s="651" t="s">
        <v>262</v>
      </c>
      <c r="B117" s="652"/>
      <c r="C117" s="652"/>
      <c r="D117" s="653"/>
      <c r="E117" s="580"/>
      <c r="F117" s="580"/>
      <c r="G117" s="580"/>
      <c r="H117" s="580"/>
      <c r="I117" s="580"/>
      <c r="J117" s="580"/>
      <c r="K117" s="580"/>
      <c r="L117" s="581"/>
    </row>
    <row r="118" spans="1:12" x14ac:dyDescent="0.3">
      <c r="A118" s="654"/>
      <c r="B118" s="707"/>
      <c r="C118" s="707"/>
      <c r="D118" s="656"/>
      <c r="E118" s="582"/>
      <c r="F118" s="582"/>
      <c r="G118" s="582"/>
      <c r="H118" s="582"/>
      <c r="I118" s="582"/>
      <c r="J118" s="582"/>
      <c r="K118" s="582"/>
      <c r="L118" s="583"/>
    </row>
    <row r="119" spans="1:12" ht="15" thickBot="1" x14ac:dyDescent="0.35">
      <c r="A119" s="657"/>
      <c r="B119" s="658"/>
      <c r="C119" s="658"/>
      <c r="D119" s="659"/>
      <c r="E119" s="582"/>
      <c r="F119" s="582"/>
      <c r="G119" s="582"/>
      <c r="H119" s="582"/>
      <c r="I119" s="582"/>
      <c r="J119" s="582"/>
      <c r="K119" s="582"/>
      <c r="L119" s="583"/>
    </row>
    <row r="120" spans="1:12" x14ac:dyDescent="0.3">
      <c r="A120" s="627" t="s">
        <v>263</v>
      </c>
      <c r="B120" s="597"/>
      <c r="C120" s="597"/>
      <c r="D120" s="598"/>
      <c r="E120" s="38"/>
      <c r="F120" s="30"/>
      <c r="G120" s="30"/>
      <c r="H120" s="30"/>
      <c r="I120" s="30"/>
      <c r="J120" s="30"/>
      <c r="K120" s="30"/>
      <c r="L120" s="39"/>
    </row>
    <row r="121" spans="1:12" x14ac:dyDescent="0.3">
      <c r="A121" s="562" t="s">
        <v>264</v>
      </c>
      <c r="B121" s="558"/>
      <c r="C121" s="558"/>
      <c r="D121" s="563"/>
      <c r="E121" s="38"/>
      <c r="F121" s="30"/>
      <c r="G121" s="30"/>
      <c r="H121" s="30"/>
      <c r="I121" s="30"/>
      <c r="J121" s="30"/>
      <c r="K121" s="30"/>
      <c r="L121" s="39"/>
    </row>
    <row r="122" spans="1:12" x14ac:dyDescent="0.3">
      <c r="A122" s="562" t="s">
        <v>265</v>
      </c>
      <c r="B122" s="558"/>
      <c r="C122" s="558"/>
      <c r="D122" s="563"/>
      <c r="E122" s="38"/>
      <c r="F122" s="30"/>
      <c r="G122" s="30"/>
      <c r="H122" s="30"/>
      <c r="I122" s="30"/>
      <c r="J122" s="30"/>
      <c r="K122" s="30"/>
      <c r="L122" s="39"/>
    </row>
    <row r="123" spans="1:12" x14ac:dyDescent="0.3">
      <c r="A123" s="562" t="s">
        <v>266</v>
      </c>
      <c r="B123" s="558"/>
      <c r="C123" s="558"/>
      <c r="D123" s="563"/>
      <c r="E123" s="38"/>
      <c r="F123" s="30"/>
      <c r="G123" s="30"/>
      <c r="H123" s="30"/>
      <c r="I123" s="30"/>
      <c r="J123" s="30"/>
      <c r="K123" s="30"/>
      <c r="L123" s="39"/>
    </row>
    <row r="124" spans="1:12" x14ac:dyDescent="0.3">
      <c r="A124" s="562" t="s">
        <v>267</v>
      </c>
      <c r="B124" s="558"/>
      <c r="C124" s="558"/>
      <c r="D124" s="563"/>
      <c r="E124" s="38"/>
      <c r="F124" s="30"/>
      <c r="G124" s="30"/>
      <c r="H124" s="30"/>
      <c r="I124" s="30"/>
      <c r="J124" s="30"/>
      <c r="K124" s="30"/>
      <c r="L124" s="39"/>
    </row>
    <row r="125" spans="1:12" x14ac:dyDescent="0.3">
      <c r="A125" s="562" t="s">
        <v>268</v>
      </c>
      <c r="B125" s="558"/>
      <c r="C125" s="558"/>
      <c r="D125" s="563"/>
      <c r="E125" s="38"/>
      <c r="F125" s="30"/>
      <c r="G125" s="30"/>
      <c r="H125" s="30"/>
      <c r="I125" s="30"/>
      <c r="J125" s="30"/>
      <c r="K125" s="30"/>
      <c r="L125" s="39"/>
    </row>
    <row r="126" spans="1:12" x14ac:dyDescent="0.3">
      <c r="A126" s="562" t="s">
        <v>269</v>
      </c>
      <c r="B126" s="558"/>
      <c r="C126" s="558"/>
      <c r="D126" s="563"/>
      <c r="E126" s="38"/>
      <c r="F126" s="30"/>
      <c r="G126" s="30"/>
      <c r="H126" s="30"/>
      <c r="I126" s="30"/>
      <c r="J126" s="30"/>
      <c r="K126" s="30"/>
      <c r="L126" s="39"/>
    </row>
    <row r="127" spans="1:12" x14ac:dyDescent="0.3">
      <c r="A127" s="562" t="s">
        <v>270</v>
      </c>
      <c r="B127" s="558"/>
      <c r="C127" s="558"/>
      <c r="D127" s="563"/>
      <c r="E127" s="38"/>
      <c r="F127" s="30"/>
      <c r="G127" s="30"/>
      <c r="H127" s="30"/>
      <c r="I127" s="30"/>
      <c r="J127" s="30"/>
      <c r="K127" s="30"/>
      <c r="L127" s="39"/>
    </row>
    <row r="128" spans="1:12" x14ac:dyDescent="0.3">
      <c r="A128" s="562" t="s">
        <v>271</v>
      </c>
      <c r="B128" s="558"/>
      <c r="C128" s="558"/>
      <c r="D128" s="563"/>
      <c r="E128" s="38"/>
      <c r="F128" s="30"/>
      <c r="G128" s="30"/>
      <c r="H128" s="30"/>
      <c r="I128" s="30"/>
      <c r="J128" s="30"/>
      <c r="K128" s="30"/>
      <c r="L128" s="39"/>
    </row>
    <row r="129" spans="1:12" x14ac:dyDescent="0.3">
      <c r="A129" s="562" t="s">
        <v>272</v>
      </c>
      <c r="B129" s="558"/>
      <c r="C129" s="558"/>
      <c r="D129" s="563"/>
      <c r="E129" s="38"/>
      <c r="F129" s="30"/>
      <c r="G129" s="30"/>
      <c r="H129" s="30"/>
      <c r="I129" s="30"/>
      <c r="J129" s="30"/>
      <c r="K129" s="30"/>
      <c r="L129" s="39"/>
    </row>
    <row r="130" spans="1:12" x14ac:dyDescent="0.3">
      <c r="A130" s="562" t="s">
        <v>273</v>
      </c>
      <c r="B130" s="558"/>
      <c r="C130" s="558"/>
      <c r="D130" s="563"/>
      <c r="E130" s="38"/>
      <c r="F130" s="30"/>
      <c r="G130" s="30"/>
      <c r="H130" s="30"/>
      <c r="I130" s="30"/>
      <c r="J130" s="30"/>
      <c r="K130" s="30"/>
      <c r="L130" s="39"/>
    </row>
    <row r="131" spans="1:12" ht="28.8" customHeight="1" x14ac:dyDescent="0.3">
      <c r="A131" s="708" t="s">
        <v>274</v>
      </c>
      <c r="B131" s="526"/>
      <c r="C131" s="526"/>
      <c r="D131" s="709"/>
      <c r="E131" s="38"/>
      <c r="F131" s="30"/>
      <c r="G131" s="30"/>
      <c r="H131" s="30"/>
      <c r="I131" s="30"/>
      <c r="J131" s="30"/>
      <c r="K131" s="30"/>
      <c r="L131" s="39"/>
    </row>
    <row r="132" spans="1:12" x14ac:dyDescent="0.3">
      <c r="A132" s="562" t="s">
        <v>275</v>
      </c>
      <c r="B132" s="558"/>
      <c r="C132" s="558"/>
      <c r="D132" s="563"/>
      <c r="E132" s="38"/>
      <c r="F132" s="30"/>
      <c r="G132" s="30"/>
      <c r="H132" s="30"/>
      <c r="I132" s="30"/>
      <c r="J132" s="30"/>
      <c r="K132" s="30"/>
      <c r="L132" s="39"/>
    </row>
    <row r="133" spans="1:12" x14ac:dyDescent="0.3">
      <c r="A133" s="562" t="s">
        <v>276</v>
      </c>
      <c r="B133" s="558"/>
      <c r="C133" s="558"/>
      <c r="D133" s="563"/>
      <c r="E133" s="38"/>
      <c r="F133" s="30"/>
      <c r="G133" s="30"/>
      <c r="H133" s="30"/>
      <c r="I133" s="30"/>
      <c r="J133" s="30"/>
      <c r="K133" s="30"/>
      <c r="L133" s="39"/>
    </row>
    <row r="134" spans="1:12" x14ac:dyDescent="0.3">
      <c r="A134" s="562" t="s">
        <v>277</v>
      </c>
      <c r="B134" s="558"/>
      <c r="C134" s="558"/>
      <c r="D134" s="563"/>
      <c r="E134" s="38"/>
      <c r="F134" s="30"/>
      <c r="G134" s="30"/>
      <c r="H134" s="30"/>
      <c r="I134" s="30"/>
      <c r="J134" s="30"/>
      <c r="K134" s="30"/>
      <c r="L134" s="39"/>
    </row>
    <row r="135" spans="1:12" ht="30" customHeight="1" x14ac:dyDescent="0.3">
      <c r="A135" s="599" t="s">
        <v>278</v>
      </c>
      <c r="B135" s="558"/>
      <c r="C135" s="558"/>
      <c r="D135" s="563"/>
      <c r="E135" s="38"/>
      <c r="F135" s="30"/>
      <c r="G135" s="30"/>
      <c r="H135" s="30"/>
      <c r="I135" s="30"/>
      <c r="J135" s="30"/>
      <c r="K135" s="30"/>
      <c r="L135" s="39"/>
    </row>
    <row r="136" spans="1:12" ht="28.8" customHeight="1" x14ac:dyDescent="0.3">
      <c r="A136" s="599" t="s">
        <v>279</v>
      </c>
      <c r="B136" s="558"/>
      <c r="C136" s="558"/>
      <c r="D136" s="563"/>
      <c r="E136" s="38"/>
      <c r="F136" s="30"/>
      <c r="G136" s="30"/>
      <c r="H136" s="30"/>
      <c r="I136" s="30"/>
      <c r="J136" s="30"/>
      <c r="K136" s="30"/>
      <c r="L136" s="39"/>
    </row>
    <row r="137" spans="1:12" ht="24.6" customHeight="1" x14ac:dyDescent="0.3">
      <c r="A137" s="599" t="s">
        <v>280</v>
      </c>
      <c r="B137" s="558"/>
      <c r="C137" s="558"/>
      <c r="D137" s="563"/>
      <c r="E137" s="38"/>
      <c r="F137" s="30"/>
      <c r="G137" s="30"/>
      <c r="H137" s="30"/>
      <c r="I137" s="30"/>
      <c r="J137" s="30"/>
      <c r="K137" s="30"/>
      <c r="L137" s="39"/>
    </row>
    <row r="138" spans="1:12" x14ac:dyDescent="0.3">
      <c r="A138" s="562" t="s">
        <v>281</v>
      </c>
      <c r="B138" s="558"/>
      <c r="C138" s="558"/>
      <c r="D138" s="563"/>
      <c r="E138" s="38"/>
      <c r="F138" s="30"/>
      <c r="G138" s="30"/>
      <c r="H138" s="30"/>
      <c r="I138" s="30"/>
      <c r="J138" s="30"/>
      <c r="K138" s="30"/>
      <c r="L138" s="39"/>
    </row>
    <row r="139" spans="1:12" x14ac:dyDescent="0.3">
      <c r="A139" s="562" t="s">
        <v>282</v>
      </c>
      <c r="B139" s="558"/>
      <c r="C139" s="558"/>
      <c r="D139" s="563"/>
      <c r="E139" s="38"/>
      <c r="F139" s="30"/>
      <c r="G139" s="30"/>
      <c r="H139" s="30"/>
      <c r="I139" s="30"/>
      <c r="J139" s="30"/>
      <c r="K139" s="30"/>
      <c r="L139" s="39"/>
    </row>
    <row r="140" spans="1:12" ht="27" customHeight="1" x14ac:dyDescent="0.3">
      <c r="A140" s="599" t="s">
        <v>283</v>
      </c>
      <c r="B140" s="558"/>
      <c r="C140" s="558"/>
      <c r="D140" s="563"/>
      <c r="E140" s="38"/>
      <c r="F140" s="30"/>
      <c r="G140" s="30"/>
      <c r="H140" s="30"/>
      <c r="I140" s="30"/>
      <c r="J140" s="30"/>
      <c r="K140" s="30"/>
      <c r="L140" s="39"/>
    </row>
    <row r="141" spans="1:12" ht="28.2" customHeight="1" x14ac:dyDescent="0.3">
      <c r="A141" s="599" t="s">
        <v>284</v>
      </c>
      <c r="B141" s="558"/>
      <c r="C141" s="558"/>
      <c r="D141" s="563"/>
      <c r="E141" s="38"/>
      <c r="F141" s="30"/>
      <c r="G141" s="30"/>
      <c r="H141" s="30"/>
      <c r="I141" s="30"/>
      <c r="J141" s="30"/>
      <c r="K141" s="30"/>
      <c r="L141" s="39"/>
    </row>
    <row r="142" spans="1:12" ht="28.8" customHeight="1" thickBot="1" x14ac:dyDescent="0.35">
      <c r="A142" s="710" t="s">
        <v>285</v>
      </c>
      <c r="B142" s="565"/>
      <c r="C142" s="565"/>
      <c r="D142" s="566"/>
      <c r="E142" s="40"/>
      <c r="F142" s="33"/>
      <c r="G142" s="33"/>
      <c r="H142" s="33"/>
      <c r="I142" s="33"/>
      <c r="J142" s="33"/>
      <c r="K142" s="33"/>
      <c r="L142" s="34"/>
    </row>
    <row r="143" spans="1:12" x14ac:dyDescent="0.3">
      <c r="A143" s="651" t="s">
        <v>286</v>
      </c>
      <c r="B143" s="705"/>
      <c r="C143" s="705"/>
      <c r="D143" s="706"/>
      <c r="E143" s="580"/>
      <c r="F143" s="580"/>
      <c r="G143" s="580"/>
      <c r="H143" s="580"/>
      <c r="I143" s="580"/>
      <c r="J143" s="580"/>
      <c r="K143" s="580"/>
      <c r="L143" s="581"/>
    </row>
    <row r="144" spans="1:12" x14ac:dyDescent="0.3">
      <c r="A144" s="711"/>
      <c r="B144" s="712"/>
      <c r="C144" s="712"/>
      <c r="D144" s="713"/>
      <c r="E144" s="582"/>
      <c r="F144" s="582"/>
      <c r="G144" s="582"/>
      <c r="H144" s="582"/>
      <c r="I144" s="582"/>
      <c r="J144" s="582"/>
      <c r="K144" s="582"/>
      <c r="L144" s="583"/>
    </row>
    <row r="145" spans="1:12" ht="15" thickBot="1" x14ac:dyDescent="0.35">
      <c r="A145" s="714"/>
      <c r="B145" s="715"/>
      <c r="C145" s="715"/>
      <c r="D145" s="716"/>
      <c r="E145" s="582"/>
      <c r="F145" s="582"/>
      <c r="G145" s="582"/>
      <c r="H145" s="582"/>
      <c r="I145" s="582"/>
      <c r="J145" s="582"/>
      <c r="K145" s="582"/>
      <c r="L145" s="583"/>
    </row>
    <row r="146" spans="1:12" x14ac:dyDescent="0.3">
      <c r="A146" s="627" t="s">
        <v>287</v>
      </c>
      <c r="B146" s="597"/>
      <c r="C146" s="597"/>
      <c r="D146" s="598"/>
      <c r="E146" s="38"/>
      <c r="F146" s="30"/>
      <c r="G146" s="30"/>
      <c r="H146" s="30"/>
      <c r="I146" s="30"/>
      <c r="J146" s="30"/>
      <c r="K146" s="30"/>
      <c r="L146" s="39"/>
    </row>
    <row r="147" spans="1:12" x14ac:dyDescent="0.3">
      <c r="A147" s="562" t="s">
        <v>288</v>
      </c>
      <c r="B147" s="558"/>
      <c r="C147" s="558"/>
      <c r="D147" s="563"/>
      <c r="E147" s="38"/>
      <c r="F147" s="30"/>
      <c r="G147" s="30"/>
      <c r="H147" s="30"/>
      <c r="I147" s="30"/>
      <c r="J147" s="30"/>
      <c r="K147" s="30"/>
      <c r="L147" s="39"/>
    </row>
    <row r="148" spans="1:12" x14ac:dyDescent="0.3">
      <c r="A148" s="562" t="s">
        <v>289</v>
      </c>
      <c r="B148" s="558"/>
      <c r="C148" s="558"/>
      <c r="D148" s="563"/>
      <c r="E148" s="38"/>
      <c r="F148" s="30"/>
      <c r="G148" s="30"/>
      <c r="H148" s="30"/>
      <c r="I148" s="30"/>
      <c r="J148" s="30"/>
      <c r="K148" s="30"/>
      <c r="L148" s="39"/>
    </row>
    <row r="149" spans="1:12" x14ac:dyDescent="0.3">
      <c r="A149" s="562" t="s">
        <v>290</v>
      </c>
      <c r="B149" s="558"/>
      <c r="C149" s="558"/>
      <c r="D149" s="563"/>
      <c r="E149" s="38"/>
      <c r="F149" s="30"/>
      <c r="G149" s="30"/>
      <c r="H149" s="30"/>
      <c r="I149" s="30"/>
      <c r="J149" s="30"/>
      <c r="K149" s="30"/>
      <c r="L149" s="39"/>
    </row>
    <row r="150" spans="1:12" x14ac:dyDescent="0.3">
      <c r="A150" s="562" t="s">
        <v>291</v>
      </c>
      <c r="B150" s="558"/>
      <c r="C150" s="558"/>
      <c r="D150" s="563"/>
      <c r="E150" s="38"/>
      <c r="F150" s="30"/>
      <c r="G150" s="30"/>
      <c r="H150" s="30"/>
      <c r="I150" s="30"/>
      <c r="J150" s="30"/>
      <c r="K150" s="30"/>
      <c r="L150" s="39"/>
    </row>
    <row r="151" spans="1:12" x14ac:dyDescent="0.3">
      <c r="A151" s="562" t="s">
        <v>292</v>
      </c>
      <c r="B151" s="558"/>
      <c r="C151" s="558"/>
      <c r="D151" s="563"/>
      <c r="E151" s="38"/>
      <c r="F151" s="30"/>
      <c r="G151" s="30"/>
      <c r="H151" s="30"/>
      <c r="I151" s="30"/>
      <c r="J151" s="30"/>
      <c r="K151" s="30"/>
      <c r="L151" s="39"/>
    </row>
    <row r="152" spans="1:12" x14ac:dyDescent="0.3">
      <c r="A152" s="562" t="s">
        <v>293</v>
      </c>
      <c r="B152" s="558"/>
      <c r="C152" s="558"/>
      <c r="D152" s="563"/>
      <c r="E152" s="38"/>
      <c r="F152" s="30"/>
      <c r="G152" s="30"/>
      <c r="H152" s="30"/>
      <c r="I152" s="30"/>
      <c r="J152" s="30"/>
      <c r="K152" s="30"/>
      <c r="L152" s="39"/>
    </row>
    <row r="153" spans="1:12" x14ac:dyDescent="0.3">
      <c r="A153" s="562" t="s">
        <v>294</v>
      </c>
      <c r="B153" s="558"/>
      <c r="C153" s="558"/>
      <c r="D153" s="563"/>
      <c r="E153" s="38"/>
      <c r="F153" s="30"/>
      <c r="G153" s="30"/>
      <c r="H153" s="30"/>
      <c r="I153" s="30"/>
      <c r="J153" s="30"/>
      <c r="K153" s="30"/>
      <c r="L153" s="39"/>
    </row>
    <row r="154" spans="1:12" x14ac:dyDescent="0.3">
      <c r="A154" s="562" t="s">
        <v>295</v>
      </c>
      <c r="B154" s="558"/>
      <c r="C154" s="558"/>
      <c r="D154" s="563"/>
      <c r="E154" s="38"/>
      <c r="F154" s="30"/>
      <c r="G154" s="30"/>
      <c r="H154" s="30"/>
      <c r="I154" s="30"/>
      <c r="J154" s="30"/>
      <c r="K154" s="30"/>
      <c r="L154" s="39"/>
    </row>
    <row r="155" spans="1:12" x14ac:dyDescent="0.3">
      <c r="A155" s="562" t="s">
        <v>296</v>
      </c>
      <c r="B155" s="558"/>
      <c r="C155" s="558"/>
      <c r="D155" s="563"/>
      <c r="E155" s="38"/>
      <c r="F155" s="30"/>
      <c r="G155" s="30"/>
      <c r="H155" s="30"/>
      <c r="I155" s="30"/>
      <c r="J155" s="30"/>
      <c r="K155" s="30"/>
      <c r="L155" s="39"/>
    </row>
    <row r="156" spans="1:12" x14ac:dyDescent="0.3">
      <c r="A156" s="562" t="s">
        <v>297</v>
      </c>
      <c r="B156" s="558"/>
      <c r="C156" s="558"/>
      <c r="D156" s="563"/>
      <c r="E156" s="38"/>
      <c r="F156" s="30"/>
      <c r="G156" s="30"/>
      <c r="H156" s="30"/>
      <c r="I156" s="30"/>
      <c r="J156" s="30"/>
      <c r="K156" s="30"/>
      <c r="L156" s="39"/>
    </row>
    <row r="157" spans="1:12" x14ac:dyDescent="0.3">
      <c r="A157" s="562" t="s">
        <v>298</v>
      </c>
      <c r="B157" s="558"/>
      <c r="C157" s="558"/>
      <c r="D157" s="563"/>
      <c r="E157" s="38"/>
      <c r="F157" s="30"/>
      <c r="G157" s="30"/>
      <c r="H157" s="30"/>
      <c r="I157" s="30"/>
      <c r="J157" s="30"/>
      <c r="K157" s="30"/>
      <c r="L157" s="39"/>
    </row>
    <row r="158" spans="1:12" x14ac:dyDescent="0.3">
      <c r="A158" s="562" t="s">
        <v>299</v>
      </c>
      <c r="B158" s="558"/>
      <c r="C158" s="558"/>
      <c r="D158" s="563"/>
      <c r="E158" s="38"/>
      <c r="F158" s="30"/>
      <c r="G158" s="30"/>
      <c r="H158" s="30"/>
      <c r="I158" s="30"/>
      <c r="J158" s="30"/>
      <c r="K158" s="30"/>
      <c r="L158" s="39"/>
    </row>
    <row r="159" spans="1:12" x14ac:dyDescent="0.3">
      <c r="A159" s="562" t="s">
        <v>300</v>
      </c>
      <c r="B159" s="558"/>
      <c r="C159" s="558"/>
      <c r="D159" s="563"/>
      <c r="E159" s="38"/>
      <c r="F159" s="30"/>
      <c r="G159" s="30"/>
      <c r="H159" s="30"/>
      <c r="I159" s="30"/>
      <c r="J159" s="30"/>
      <c r="K159" s="30"/>
      <c r="L159" s="39"/>
    </row>
    <row r="160" spans="1:12" x14ac:dyDescent="0.3">
      <c r="A160" s="562" t="s">
        <v>301</v>
      </c>
      <c r="B160" s="558"/>
      <c r="C160" s="558"/>
      <c r="D160" s="563"/>
      <c r="E160" s="38"/>
      <c r="F160" s="30"/>
      <c r="G160" s="30"/>
      <c r="H160" s="30"/>
      <c r="I160" s="30"/>
      <c r="J160" s="30"/>
      <c r="K160" s="30"/>
      <c r="L160" s="39"/>
    </row>
    <row r="161" spans="1:12" x14ac:dyDescent="0.3">
      <c r="A161" s="562" t="s">
        <v>302</v>
      </c>
      <c r="B161" s="558"/>
      <c r="C161" s="558"/>
      <c r="D161" s="563"/>
      <c r="E161" s="38"/>
      <c r="F161" s="30"/>
      <c r="G161" s="30"/>
      <c r="H161" s="30"/>
      <c r="I161" s="30"/>
      <c r="J161" s="30"/>
      <c r="K161" s="30"/>
      <c r="L161" s="39"/>
    </row>
    <row r="162" spans="1:12" ht="15" thickBot="1" x14ac:dyDescent="0.35">
      <c r="A162" s="564" t="s">
        <v>303</v>
      </c>
      <c r="B162" s="565"/>
      <c r="C162" s="565"/>
      <c r="D162" s="566"/>
      <c r="E162" s="40"/>
      <c r="F162" s="33"/>
      <c r="G162" s="33"/>
      <c r="H162" s="33"/>
      <c r="I162" s="33"/>
      <c r="J162" s="33"/>
      <c r="K162" s="33"/>
      <c r="L162" s="34"/>
    </row>
    <row r="163" spans="1:12" x14ac:dyDescent="0.3">
      <c r="A163" s="651" t="s">
        <v>304</v>
      </c>
      <c r="B163" s="705"/>
      <c r="C163" s="705"/>
      <c r="D163" s="706"/>
      <c r="E163" s="580"/>
      <c r="F163" s="580"/>
      <c r="G163" s="580"/>
      <c r="H163" s="580"/>
      <c r="I163" s="580"/>
      <c r="J163" s="580"/>
      <c r="K163" s="580"/>
      <c r="L163" s="581"/>
    </row>
    <row r="164" spans="1:12" ht="15" thickBot="1" x14ac:dyDescent="0.35">
      <c r="A164" s="714"/>
      <c r="B164" s="715"/>
      <c r="C164" s="715"/>
      <c r="D164" s="716"/>
      <c r="E164" s="582"/>
      <c r="F164" s="582"/>
      <c r="G164" s="582"/>
      <c r="H164" s="582"/>
      <c r="I164" s="582"/>
      <c r="J164" s="582"/>
      <c r="K164" s="582"/>
      <c r="L164" s="583"/>
    </row>
    <row r="165" spans="1:12" x14ac:dyDescent="0.3">
      <c r="A165" s="627" t="s">
        <v>305</v>
      </c>
      <c r="B165" s="597"/>
      <c r="C165" s="597"/>
      <c r="D165" s="598"/>
      <c r="E165" s="38"/>
      <c r="F165" s="30"/>
      <c r="G165" s="30"/>
      <c r="H165" s="30"/>
      <c r="I165" s="30"/>
      <c r="J165" s="30"/>
      <c r="K165" s="30"/>
      <c r="L165" s="39"/>
    </row>
    <row r="166" spans="1:12" x14ac:dyDescent="0.3">
      <c r="A166" s="562" t="s">
        <v>306</v>
      </c>
      <c r="B166" s="558"/>
      <c r="C166" s="558"/>
      <c r="D166" s="563"/>
      <c r="E166" s="38"/>
      <c r="F166" s="30"/>
      <c r="G166" s="30"/>
      <c r="H166" s="30"/>
      <c r="I166" s="30"/>
      <c r="J166" s="30"/>
      <c r="K166" s="30"/>
      <c r="L166" s="39"/>
    </row>
    <row r="167" spans="1:12" x14ac:dyDescent="0.3">
      <c r="A167" s="562" t="s">
        <v>307</v>
      </c>
      <c r="B167" s="558"/>
      <c r="C167" s="558"/>
      <c r="D167" s="563"/>
      <c r="E167" s="38"/>
      <c r="F167" s="30"/>
      <c r="G167" s="30"/>
      <c r="H167" s="30"/>
      <c r="I167" s="30"/>
      <c r="J167" s="30"/>
      <c r="K167" s="30"/>
      <c r="L167" s="39"/>
    </row>
    <row r="168" spans="1:12" x14ac:dyDescent="0.3">
      <c r="A168" s="562" t="s">
        <v>308</v>
      </c>
      <c r="B168" s="558"/>
      <c r="C168" s="558"/>
      <c r="D168" s="563"/>
      <c r="E168" s="38"/>
      <c r="F168" s="30"/>
      <c r="G168" s="30"/>
      <c r="H168" s="30"/>
      <c r="I168" s="30"/>
      <c r="J168" s="30"/>
      <c r="K168" s="30"/>
      <c r="L168" s="39"/>
    </row>
    <row r="169" spans="1:12" x14ac:dyDescent="0.3">
      <c r="A169" s="562" t="s">
        <v>309</v>
      </c>
      <c r="B169" s="558"/>
      <c r="C169" s="558"/>
      <c r="D169" s="563"/>
      <c r="E169" s="38"/>
      <c r="F169" s="30"/>
      <c r="G169" s="30"/>
      <c r="H169" s="30"/>
      <c r="I169" s="30"/>
      <c r="J169" s="30"/>
      <c r="K169" s="30"/>
      <c r="L169" s="39"/>
    </row>
    <row r="170" spans="1:12" x14ac:dyDescent="0.3">
      <c r="A170" s="562" t="s">
        <v>310</v>
      </c>
      <c r="B170" s="558"/>
      <c r="C170" s="558"/>
      <c r="D170" s="563"/>
      <c r="E170" s="38"/>
      <c r="F170" s="30"/>
      <c r="G170" s="30"/>
      <c r="H170" s="30"/>
      <c r="I170" s="30"/>
      <c r="J170" s="30"/>
      <c r="K170" s="30"/>
      <c r="L170" s="39"/>
    </row>
    <row r="171" spans="1:12" x14ac:dyDescent="0.3">
      <c r="A171" s="562" t="s">
        <v>311</v>
      </c>
      <c r="B171" s="558"/>
      <c r="C171" s="558"/>
      <c r="D171" s="563"/>
      <c r="E171" s="38"/>
      <c r="F171" s="30"/>
      <c r="G171" s="30"/>
      <c r="H171" s="30"/>
      <c r="I171" s="30"/>
      <c r="J171" s="30"/>
      <c r="K171" s="30"/>
      <c r="L171" s="39"/>
    </row>
    <row r="172" spans="1:12" x14ac:dyDescent="0.3">
      <c r="A172" s="562" t="s">
        <v>312</v>
      </c>
      <c r="B172" s="558"/>
      <c r="C172" s="558"/>
      <c r="D172" s="563"/>
      <c r="E172" s="38"/>
      <c r="F172" s="30"/>
      <c r="G172" s="30"/>
      <c r="H172" s="30"/>
      <c r="I172" s="30"/>
      <c r="J172" s="30"/>
      <c r="K172" s="30"/>
      <c r="L172" s="39"/>
    </row>
    <row r="173" spans="1:12" x14ac:dyDescent="0.3">
      <c r="A173" s="562" t="s">
        <v>313</v>
      </c>
      <c r="B173" s="558"/>
      <c r="C173" s="558"/>
      <c r="D173" s="563"/>
      <c r="E173" s="38"/>
      <c r="F173" s="30"/>
      <c r="G173" s="30"/>
      <c r="H173" s="30"/>
      <c r="I173" s="30"/>
      <c r="J173" s="30"/>
      <c r="K173" s="30"/>
      <c r="L173" s="39"/>
    </row>
    <row r="174" spans="1:12" x14ac:dyDescent="0.3">
      <c r="A174" s="562" t="s">
        <v>314</v>
      </c>
      <c r="B174" s="558"/>
      <c r="C174" s="558"/>
      <c r="D174" s="563"/>
      <c r="E174" s="38"/>
      <c r="F174" s="30"/>
      <c r="G174" s="30"/>
      <c r="H174" s="30"/>
      <c r="I174" s="30"/>
      <c r="J174" s="30"/>
      <c r="K174" s="30"/>
      <c r="L174" s="39"/>
    </row>
    <row r="175" spans="1:12" x14ac:dyDescent="0.3">
      <c r="A175" s="562" t="s">
        <v>315</v>
      </c>
      <c r="B175" s="558"/>
      <c r="C175" s="558"/>
      <c r="D175" s="563"/>
      <c r="E175" s="38"/>
      <c r="F175" s="30"/>
      <c r="G175" s="30"/>
      <c r="H175" s="30"/>
      <c r="I175" s="30"/>
      <c r="J175" s="30"/>
      <c r="K175" s="30"/>
      <c r="L175" s="39"/>
    </row>
    <row r="176" spans="1:12" x14ac:dyDescent="0.3">
      <c r="A176" s="562" t="s">
        <v>316</v>
      </c>
      <c r="B176" s="558"/>
      <c r="C176" s="558"/>
      <c r="D176" s="563"/>
      <c r="E176" s="38"/>
      <c r="F176" s="30"/>
      <c r="G176" s="30"/>
      <c r="H176" s="30"/>
      <c r="I176" s="30"/>
      <c r="J176" s="30"/>
      <c r="K176" s="30"/>
      <c r="L176" s="39"/>
    </row>
    <row r="177" spans="1:12" x14ac:dyDescent="0.3">
      <c r="A177" s="562" t="s">
        <v>317</v>
      </c>
      <c r="B177" s="558"/>
      <c r="C177" s="558"/>
      <c r="D177" s="563"/>
      <c r="E177" s="38"/>
      <c r="F177" s="30"/>
      <c r="G177" s="30"/>
      <c r="H177" s="30"/>
      <c r="I177" s="30"/>
      <c r="J177" s="30"/>
      <c r="K177" s="30"/>
      <c r="L177" s="39"/>
    </row>
    <row r="178" spans="1:12" x14ac:dyDescent="0.3">
      <c r="A178" s="562" t="s">
        <v>318</v>
      </c>
      <c r="B178" s="558"/>
      <c r="C178" s="558"/>
      <c r="D178" s="563"/>
      <c r="E178" s="38"/>
      <c r="F178" s="30"/>
      <c r="G178" s="30"/>
      <c r="H178" s="30"/>
      <c r="I178" s="30"/>
      <c r="J178" s="30"/>
      <c r="K178" s="30"/>
      <c r="L178" s="39"/>
    </row>
    <row r="179" spans="1:12" x14ac:dyDescent="0.3">
      <c r="A179" s="562" t="s">
        <v>319</v>
      </c>
      <c r="B179" s="558"/>
      <c r="C179" s="558"/>
      <c r="D179" s="563"/>
      <c r="E179" s="38"/>
      <c r="F179" s="30"/>
      <c r="G179" s="30"/>
      <c r="H179" s="30"/>
      <c r="I179" s="30"/>
      <c r="J179" s="30"/>
      <c r="K179" s="30"/>
      <c r="L179" s="39"/>
    </row>
    <row r="180" spans="1:12" ht="15" thickBot="1" x14ac:dyDescent="0.35">
      <c r="A180" s="564" t="s">
        <v>320</v>
      </c>
      <c r="B180" s="565"/>
      <c r="C180" s="565"/>
      <c r="D180" s="566"/>
      <c r="E180" s="585"/>
      <c r="F180" s="594"/>
      <c r="G180" s="594"/>
      <c r="H180" s="594"/>
      <c r="I180" s="594"/>
      <c r="J180" s="594"/>
      <c r="K180" s="594"/>
      <c r="L180" s="595"/>
    </row>
    <row r="181" spans="1:12" x14ac:dyDescent="0.3">
      <c r="A181" s="654" t="s">
        <v>321</v>
      </c>
      <c r="B181" s="712"/>
      <c r="C181" s="712"/>
      <c r="D181" s="713"/>
      <c r="E181" s="584"/>
      <c r="F181" s="584"/>
      <c r="G181" s="584"/>
      <c r="H181" s="584"/>
      <c r="I181" s="584"/>
      <c r="J181" s="584"/>
      <c r="K181" s="584"/>
      <c r="L181" s="585"/>
    </row>
    <row r="182" spans="1:12" ht="15" thickBot="1" x14ac:dyDescent="0.35">
      <c r="A182" s="711"/>
      <c r="B182" s="712"/>
      <c r="C182" s="712"/>
      <c r="D182" s="713"/>
      <c r="E182" s="582"/>
      <c r="F182" s="582"/>
      <c r="G182" s="582"/>
      <c r="H182" s="582"/>
      <c r="I182" s="582"/>
      <c r="J182" s="582"/>
      <c r="K182" s="582"/>
      <c r="L182" s="586"/>
    </row>
    <row r="183" spans="1:12" x14ac:dyDescent="0.3">
      <c r="A183" s="559" t="s">
        <v>322</v>
      </c>
      <c r="B183" s="560"/>
      <c r="C183" s="560"/>
      <c r="D183" s="561"/>
      <c r="E183" s="41"/>
      <c r="F183" s="31"/>
      <c r="G183" s="31"/>
      <c r="H183" s="31"/>
      <c r="I183" s="31"/>
      <c r="J183" s="31"/>
      <c r="K183" s="31"/>
      <c r="L183" s="32"/>
    </row>
    <row r="184" spans="1:12" ht="25.2" customHeight="1" x14ac:dyDescent="0.3">
      <c r="A184" s="599" t="s">
        <v>323</v>
      </c>
      <c r="B184" s="558"/>
      <c r="C184" s="558"/>
      <c r="D184" s="563"/>
      <c r="E184" s="38"/>
      <c r="F184" s="30"/>
      <c r="G184" s="30"/>
      <c r="H184" s="30"/>
      <c r="I184" s="30"/>
      <c r="J184" s="30"/>
      <c r="K184" s="30"/>
      <c r="L184" s="39"/>
    </row>
    <row r="185" spans="1:12" x14ac:dyDescent="0.3">
      <c r="A185" s="562" t="s">
        <v>324</v>
      </c>
      <c r="B185" s="558"/>
      <c r="C185" s="558"/>
      <c r="D185" s="563"/>
      <c r="E185" s="38"/>
      <c r="F185" s="30"/>
      <c r="G185" s="30"/>
      <c r="H185" s="30"/>
      <c r="I185" s="30"/>
      <c r="J185" s="30"/>
      <c r="K185" s="30"/>
      <c r="L185" s="39"/>
    </row>
    <row r="186" spans="1:12" x14ac:dyDescent="0.3">
      <c r="A186" s="562" t="s">
        <v>325</v>
      </c>
      <c r="B186" s="558"/>
      <c r="C186" s="558"/>
      <c r="D186" s="563"/>
      <c r="E186" s="38"/>
      <c r="F186" s="30"/>
      <c r="G186" s="30"/>
      <c r="H186" s="30"/>
      <c r="I186" s="30"/>
      <c r="J186" s="30"/>
      <c r="K186" s="30"/>
      <c r="L186" s="39"/>
    </row>
    <row r="187" spans="1:12" x14ac:dyDescent="0.3">
      <c r="A187" s="562" t="s">
        <v>326</v>
      </c>
      <c r="B187" s="558"/>
      <c r="C187" s="558"/>
      <c r="D187" s="563"/>
      <c r="E187" s="38"/>
      <c r="F187" s="30"/>
      <c r="G187" s="30"/>
      <c r="H187" s="30"/>
      <c r="I187" s="30"/>
      <c r="J187" s="30"/>
      <c r="K187" s="30"/>
      <c r="L187" s="39"/>
    </row>
    <row r="188" spans="1:12" x14ac:dyDescent="0.3">
      <c r="A188" s="562" t="s">
        <v>327</v>
      </c>
      <c r="B188" s="558"/>
      <c r="C188" s="558"/>
      <c r="D188" s="563"/>
      <c r="E188" s="38"/>
      <c r="F188" s="30"/>
      <c r="G188" s="30"/>
      <c r="H188" s="30"/>
      <c r="I188" s="30"/>
      <c r="J188" s="30"/>
      <c r="K188" s="30"/>
      <c r="L188" s="39"/>
    </row>
    <row r="189" spans="1:12" x14ac:dyDescent="0.3">
      <c r="A189" s="562" t="s">
        <v>328</v>
      </c>
      <c r="B189" s="558"/>
      <c r="C189" s="558"/>
      <c r="D189" s="563"/>
      <c r="E189" s="38"/>
      <c r="F189" s="30"/>
      <c r="G189" s="30"/>
      <c r="H189" s="30"/>
      <c r="I189" s="30"/>
      <c r="J189" s="30"/>
      <c r="K189" s="30"/>
      <c r="L189" s="39"/>
    </row>
    <row r="190" spans="1:12" x14ac:dyDescent="0.3">
      <c r="A190" s="562" t="s">
        <v>329</v>
      </c>
      <c r="B190" s="558"/>
      <c r="C190" s="558"/>
      <c r="D190" s="563"/>
      <c r="E190" s="38"/>
      <c r="F190" s="30"/>
      <c r="G190" s="30"/>
      <c r="H190" s="30"/>
      <c r="I190" s="30"/>
      <c r="J190" s="30"/>
      <c r="K190" s="30"/>
      <c r="L190" s="39"/>
    </row>
    <row r="191" spans="1:12" x14ac:dyDescent="0.3">
      <c r="A191" s="562" t="s">
        <v>330</v>
      </c>
      <c r="B191" s="558"/>
      <c r="C191" s="558"/>
      <c r="D191" s="563"/>
      <c r="E191" s="38"/>
      <c r="F191" s="30"/>
      <c r="G191" s="30"/>
      <c r="H191" s="30"/>
      <c r="I191" s="30"/>
      <c r="J191" s="30"/>
      <c r="K191" s="30"/>
      <c r="L191" s="39"/>
    </row>
    <row r="192" spans="1:12" ht="28.2" customHeight="1" x14ac:dyDescent="0.3">
      <c r="A192" s="599" t="s">
        <v>331</v>
      </c>
      <c r="B192" s="558"/>
      <c r="C192" s="558"/>
      <c r="D192" s="563"/>
      <c r="E192" s="38"/>
      <c r="F192" s="30"/>
      <c r="G192" s="30"/>
      <c r="H192" s="30"/>
      <c r="I192" s="30"/>
      <c r="J192" s="30"/>
      <c r="K192" s="30"/>
      <c r="L192" s="39"/>
    </row>
    <row r="193" spans="1:12" ht="15" thickBot="1" x14ac:dyDescent="0.35">
      <c r="A193" s="564" t="s">
        <v>332</v>
      </c>
      <c r="B193" s="565"/>
      <c r="C193" s="565"/>
      <c r="D193" s="566"/>
      <c r="E193" s="40"/>
      <c r="F193" s="33"/>
      <c r="G193" s="33"/>
      <c r="H193" s="33"/>
      <c r="I193" s="33"/>
      <c r="J193" s="33"/>
      <c r="K193" s="33"/>
      <c r="L193" s="34"/>
    </row>
    <row r="194" spans="1:12" ht="14.4" customHeight="1" x14ac:dyDescent="0.3">
      <c r="A194" s="651" t="s">
        <v>333</v>
      </c>
      <c r="B194" s="652"/>
      <c r="C194" s="652"/>
      <c r="D194" s="653"/>
      <c r="E194" s="580"/>
      <c r="F194" s="580"/>
      <c r="G194" s="580"/>
      <c r="H194" s="580"/>
      <c r="I194" s="580"/>
      <c r="J194" s="580"/>
      <c r="K194" s="580"/>
      <c r="L194" s="581"/>
    </row>
    <row r="195" spans="1:12" x14ac:dyDescent="0.3">
      <c r="A195" s="654"/>
      <c r="B195" s="707"/>
      <c r="C195" s="707"/>
      <c r="D195" s="656"/>
      <c r="E195" s="582"/>
      <c r="F195" s="582"/>
      <c r="G195" s="582"/>
      <c r="H195" s="582"/>
      <c r="I195" s="582"/>
      <c r="J195" s="582"/>
      <c r="K195" s="582"/>
      <c r="L195" s="583"/>
    </row>
    <row r="196" spans="1:12" ht="14.4" customHeight="1" x14ac:dyDescent="0.3">
      <c r="A196" s="654"/>
      <c r="B196" s="707"/>
      <c r="C196" s="707"/>
      <c r="D196" s="656"/>
      <c r="E196" s="582"/>
      <c r="F196" s="582"/>
      <c r="G196" s="582"/>
      <c r="H196" s="582"/>
      <c r="I196" s="582"/>
      <c r="J196" s="582"/>
      <c r="K196" s="582"/>
      <c r="L196" s="583"/>
    </row>
    <row r="197" spans="1:12" ht="15" thickBot="1" x14ac:dyDescent="0.35">
      <c r="A197" s="657"/>
      <c r="B197" s="658"/>
      <c r="C197" s="658"/>
      <c r="D197" s="659"/>
      <c r="E197" s="582"/>
      <c r="F197" s="582"/>
      <c r="G197" s="582"/>
      <c r="H197" s="582"/>
      <c r="I197" s="582"/>
      <c r="J197" s="582"/>
      <c r="K197" s="582"/>
      <c r="L197" s="583"/>
    </row>
    <row r="198" spans="1:12" x14ac:dyDescent="0.3">
      <c r="A198" s="627" t="s">
        <v>334</v>
      </c>
      <c r="B198" s="597"/>
      <c r="C198" s="597"/>
      <c r="D198" s="598"/>
      <c r="E198" s="38"/>
      <c r="F198" s="30"/>
      <c r="G198" s="30"/>
      <c r="H198" s="30"/>
      <c r="I198" s="30"/>
      <c r="J198" s="30"/>
      <c r="K198" s="30"/>
      <c r="L198" s="39"/>
    </row>
    <row r="199" spans="1:12" x14ac:dyDescent="0.3">
      <c r="A199" s="562" t="s">
        <v>335</v>
      </c>
      <c r="B199" s="558"/>
      <c r="C199" s="558"/>
      <c r="D199" s="563"/>
      <c r="E199" s="38"/>
      <c r="F199" s="30"/>
      <c r="G199" s="30"/>
      <c r="H199" s="30"/>
      <c r="I199" s="30"/>
      <c r="J199" s="30"/>
      <c r="K199" s="30"/>
      <c r="L199" s="39"/>
    </row>
    <row r="200" spans="1:12" x14ac:dyDescent="0.3">
      <c r="A200" s="562" t="s">
        <v>336</v>
      </c>
      <c r="B200" s="558"/>
      <c r="C200" s="558"/>
      <c r="D200" s="563"/>
      <c r="E200" s="38"/>
      <c r="F200" s="30"/>
      <c r="G200" s="30"/>
      <c r="H200" s="30"/>
      <c r="I200" s="30"/>
      <c r="J200" s="30"/>
      <c r="K200" s="30"/>
      <c r="L200" s="39"/>
    </row>
    <row r="201" spans="1:12" x14ac:dyDescent="0.3">
      <c r="A201" s="562" t="s">
        <v>337</v>
      </c>
      <c r="B201" s="558"/>
      <c r="C201" s="558"/>
      <c r="D201" s="563"/>
      <c r="E201" s="38"/>
      <c r="F201" s="30"/>
      <c r="G201" s="30"/>
      <c r="H201" s="30"/>
      <c r="I201" s="30"/>
      <c r="J201" s="30"/>
      <c r="K201" s="30"/>
      <c r="L201" s="39"/>
    </row>
    <row r="202" spans="1:12" x14ac:dyDescent="0.3">
      <c r="A202" s="562" t="s">
        <v>338</v>
      </c>
      <c r="B202" s="558"/>
      <c r="C202" s="558"/>
      <c r="D202" s="563"/>
      <c r="E202" s="38"/>
      <c r="F202" s="30"/>
      <c r="G202" s="30"/>
      <c r="H202" s="30"/>
      <c r="I202" s="30"/>
      <c r="J202" s="30"/>
      <c r="K202" s="30"/>
      <c r="L202" s="39"/>
    </row>
    <row r="203" spans="1:12" x14ac:dyDescent="0.3">
      <c r="A203" s="562" t="s">
        <v>339</v>
      </c>
      <c r="B203" s="558"/>
      <c r="C203" s="558"/>
      <c r="D203" s="563"/>
      <c r="E203" s="38"/>
      <c r="F203" s="30"/>
      <c r="G203" s="30"/>
      <c r="H203" s="30"/>
      <c r="I203" s="30"/>
      <c r="J203" s="30"/>
      <c r="K203" s="30"/>
      <c r="L203" s="39"/>
    </row>
    <row r="204" spans="1:12" ht="15" thickBot="1" x14ac:dyDescent="0.35">
      <c r="A204" s="564" t="s">
        <v>340</v>
      </c>
      <c r="B204" s="565"/>
      <c r="C204" s="565"/>
      <c r="D204" s="566"/>
      <c r="E204" s="40"/>
      <c r="F204" s="33"/>
      <c r="G204" s="33"/>
      <c r="H204" s="33"/>
      <c r="I204" s="33"/>
      <c r="J204" s="33"/>
      <c r="K204" s="33"/>
      <c r="L204" s="34"/>
    </row>
    <row r="205" spans="1:12" ht="15" thickBot="1" x14ac:dyDescent="0.35">
      <c r="A205" s="555" t="s">
        <v>341</v>
      </c>
      <c r="B205" s="556"/>
      <c r="C205" s="556"/>
      <c r="D205" s="557"/>
      <c r="E205" s="587"/>
      <c r="F205" s="588"/>
      <c r="G205" s="588"/>
      <c r="H205" s="588"/>
      <c r="I205" s="588"/>
      <c r="J205" s="588"/>
      <c r="K205" s="588"/>
      <c r="L205" s="589"/>
    </row>
    <row r="206" spans="1:12" x14ac:dyDescent="0.3">
      <c r="A206" s="627" t="s">
        <v>342</v>
      </c>
      <c r="B206" s="597"/>
      <c r="C206" s="597"/>
      <c r="D206" s="598"/>
      <c r="E206" s="38"/>
      <c r="F206" s="30"/>
      <c r="G206" s="30"/>
      <c r="H206" s="30"/>
      <c r="I206" s="30"/>
      <c r="J206" s="30"/>
      <c r="K206" s="30"/>
      <c r="L206" s="39"/>
    </row>
    <row r="207" spans="1:12" x14ac:dyDescent="0.3">
      <c r="A207" s="562" t="s">
        <v>343</v>
      </c>
      <c r="B207" s="558"/>
      <c r="C207" s="558"/>
      <c r="D207" s="563"/>
      <c r="E207" s="38"/>
      <c r="F207" s="30"/>
      <c r="G207" s="30"/>
      <c r="H207" s="30"/>
      <c r="I207" s="30"/>
      <c r="J207" s="30"/>
      <c r="K207" s="30"/>
      <c r="L207" s="39"/>
    </row>
    <row r="208" spans="1:12" x14ac:dyDescent="0.3">
      <c r="A208" s="562" t="s">
        <v>344</v>
      </c>
      <c r="B208" s="558"/>
      <c r="C208" s="558"/>
      <c r="D208" s="563"/>
      <c r="E208" s="38"/>
      <c r="F208" s="30"/>
      <c r="G208" s="30"/>
      <c r="H208" s="30"/>
      <c r="I208" s="30"/>
      <c r="J208" s="30"/>
      <c r="K208" s="30"/>
      <c r="L208" s="39"/>
    </row>
    <row r="209" spans="1:12" x14ac:dyDescent="0.3">
      <c r="A209" s="562" t="s">
        <v>345</v>
      </c>
      <c r="B209" s="558"/>
      <c r="C209" s="558"/>
      <c r="D209" s="563"/>
      <c r="E209" s="38"/>
      <c r="F209" s="30"/>
      <c r="G209" s="30"/>
      <c r="H209" s="30"/>
      <c r="I209" s="30"/>
      <c r="J209" s="30"/>
      <c r="K209" s="30"/>
      <c r="L209" s="39"/>
    </row>
    <row r="210" spans="1:12" ht="27" customHeight="1" x14ac:dyDescent="0.3">
      <c r="A210" s="599" t="s">
        <v>346</v>
      </c>
      <c r="B210" s="717"/>
      <c r="C210" s="717"/>
      <c r="D210" s="718"/>
      <c r="E210" s="38"/>
      <c r="F210" s="30"/>
      <c r="G210" s="30"/>
      <c r="H210" s="30"/>
      <c r="I210" s="30"/>
      <c r="J210" s="30"/>
      <c r="K210" s="30"/>
      <c r="L210" s="39"/>
    </row>
    <row r="211" spans="1:12" x14ac:dyDescent="0.3">
      <c r="A211" s="562" t="s">
        <v>347</v>
      </c>
      <c r="B211" s="558"/>
      <c r="C211" s="558"/>
      <c r="D211" s="563"/>
      <c r="E211" s="38"/>
      <c r="F211" s="30"/>
      <c r="G211" s="30"/>
      <c r="H211" s="30"/>
      <c r="I211" s="30"/>
      <c r="J211" s="30"/>
      <c r="K211" s="30"/>
      <c r="L211" s="39"/>
    </row>
    <row r="212" spans="1:12" x14ac:dyDescent="0.3">
      <c r="A212" s="562" t="s">
        <v>348</v>
      </c>
      <c r="B212" s="558"/>
      <c r="C212" s="558"/>
      <c r="D212" s="563"/>
      <c r="E212" s="38"/>
      <c r="F212" s="30"/>
      <c r="G212" s="30"/>
      <c r="H212" s="30"/>
      <c r="I212" s="30"/>
      <c r="J212" s="30"/>
      <c r="K212" s="30"/>
      <c r="L212" s="39"/>
    </row>
    <row r="213" spans="1:12" x14ac:dyDescent="0.3">
      <c r="A213" s="562" t="s">
        <v>349</v>
      </c>
      <c r="B213" s="558"/>
      <c r="C213" s="558"/>
      <c r="D213" s="563"/>
      <c r="E213" s="38"/>
      <c r="F213" s="30"/>
      <c r="G213" s="30"/>
      <c r="H213" s="30"/>
      <c r="I213" s="30"/>
      <c r="J213" s="30"/>
      <c r="K213" s="30"/>
      <c r="L213" s="39"/>
    </row>
    <row r="214" spans="1:12" x14ac:dyDescent="0.3">
      <c r="A214" s="562" t="s">
        <v>350</v>
      </c>
      <c r="B214" s="558"/>
      <c r="C214" s="558"/>
      <c r="D214" s="563"/>
      <c r="E214" s="38"/>
      <c r="F214" s="30"/>
      <c r="G214" s="30"/>
      <c r="H214" s="30"/>
      <c r="I214" s="30"/>
      <c r="J214" s="30"/>
      <c r="K214" s="30"/>
      <c r="L214" s="39"/>
    </row>
    <row r="215" spans="1:12" x14ac:dyDescent="0.3">
      <c r="A215" s="562" t="s">
        <v>351</v>
      </c>
      <c r="B215" s="558"/>
      <c r="C215" s="558"/>
      <c r="D215" s="563"/>
      <c r="E215" s="38"/>
      <c r="F215" s="30"/>
      <c r="G215" s="30"/>
      <c r="H215" s="30"/>
      <c r="I215" s="30"/>
      <c r="J215" s="30"/>
      <c r="K215" s="30"/>
      <c r="L215" s="39"/>
    </row>
    <row r="216" spans="1:12" x14ac:dyDescent="0.3">
      <c r="A216" s="562" t="s">
        <v>352</v>
      </c>
      <c r="B216" s="558"/>
      <c r="C216" s="558"/>
      <c r="D216" s="563"/>
      <c r="E216" s="38"/>
      <c r="F216" s="30"/>
      <c r="G216" s="30"/>
      <c r="H216" s="30"/>
      <c r="I216" s="30"/>
      <c r="J216" s="30"/>
      <c r="K216" s="30"/>
      <c r="L216" s="39"/>
    </row>
    <row r="217" spans="1:12" ht="15" thickBot="1" x14ac:dyDescent="0.35">
      <c r="A217" s="719" t="s">
        <v>353</v>
      </c>
      <c r="B217" s="594"/>
      <c r="C217" s="594"/>
      <c r="D217" s="595"/>
      <c r="E217" s="42"/>
      <c r="F217" s="43"/>
      <c r="G217" s="43"/>
      <c r="H217" s="43"/>
      <c r="I217" s="43"/>
      <c r="J217" s="43"/>
      <c r="K217" s="43"/>
      <c r="L217" s="44"/>
    </row>
    <row r="218" spans="1:12" ht="15" thickBot="1" x14ac:dyDescent="0.35">
      <c r="A218" s="555" t="s">
        <v>354</v>
      </c>
      <c r="B218" s="556"/>
      <c r="C218" s="556"/>
      <c r="D218" s="557"/>
      <c r="E218" s="587"/>
      <c r="F218" s="588"/>
      <c r="G218" s="588"/>
      <c r="H218" s="588"/>
      <c r="I218" s="588"/>
      <c r="J218" s="588"/>
      <c r="K218" s="588"/>
      <c r="L218" s="589"/>
    </row>
    <row r="219" spans="1:12" x14ac:dyDescent="0.3">
      <c r="A219" s="627" t="s">
        <v>355</v>
      </c>
      <c r="B219" s="597"/>
      <c r="C219" s="597"/>
      <c r="D219" s="598"/>
      <c r="E219" s="38"/>
      <c r="F219" s="30"/>
      <c r="G219" s="30"/>
      <c r="H219" s="30"/>
      <c r="I219" s="30"/>
      <c r="J219" s="30"/>
      <c r="K219" s="30"/>
      <c r="L219" s="39"/>
    </row>
    <row r="220" spans="1:12" x14ac:dyDescent="0.3">
      <c r="A220" s="562" t="s">
        <v>356</v>
      </c>
      <c r="B220" s="558"/>
      <c r="C220" s="558"/>
      <c r="D220" s="563"/>
      <c r="E220" s="38"/>
      <c r="F220" s="30"/>
      <c r="G220" s="30"/>
      <c r="H220" s="30"/>
      <c r="I220" s="30"/>
      <c r="J220" s="30"/>
      <c r="K220" s="30"/>
      <c r="L220" s="39"/>
    </row>
    <row r="221" spans="1:12" x14ac:dyDescent="0.3">
      <c r="A221" s="562" t="s">
        <v>357</v>
      </c>
      <c r="B221" s="558"/>
      <c r="C221" s="558"/>
      <c r="D221" s="563"/>
      <c r="E221" s="38"/>
      <c r="F221" s="30"/>
      <c r="G221" s="30"/>
      <c r="H221" s="30"/>
      <c r="I221" s="30"/>
      <c r="J221" s="30"/>
      <c r="K221" s="30"/>
      <c r="L221" s="39"/>
    </row>
    <row r="222" spans="1:12" x14ac:dyDescent="0.3">
      <c r="A222" s="562" t="s">
        <v>358</v>
      </c>
      <c r="B222" s="558"/>
      <c r="C222" s="558"/>
      <c r="D222" s="563"/>
      <c r="E222" s="38"/>
      <c r="F222" s="30"/>
      <c r="G222" s="30"/>
      <c r="H222" s="30"/>
      <c r="I222" s="30"/>
      <c r="J222" s="30"/>
      <c r="K222" s="30"/>
      <c r="L222" s="39"/>
    </row>
    <row r="223" spans="1:12" x14ac:dyDescent="0.3">
      <c r="A223" s="562" t="s">
        <v>359</v>
      </c>
      <c r="B223" s="558"/>
      <c r="C223" s="558"/>
      <c r="D223" s="563"/>
      <c r="E223" s="38"/>
      <c r="F223" s="30"/>
      <c r="G223" s="30"/>
      <c r="H223" s="30"/>
      <c r="I223" s="30"/>
      <c r="J223" s="30"/>
      <c r="K223" s="30"/>
      <c r="L223" s="39"/>
    </row>
    <row r="224" spans="1:12" x14ac:dyDescent="0.3">
      <c r="A224" s="562" t="s">
        <v>360</v>
      </c>
      <c r="B224" s="558"/>
      <c r="C224" s="558"/>
      <c r="D224" s="563"/>
      <c r="E224" s="38"/>
      <c r="F224" s="30"/>
      <c r="G224" s="30"/>
      <c r="H224" s="30"/>
      <c r="I224" s="30"/>
      <c r="J224" s="30"/>
      <c r="K224" s="30"/>
      <c r="L224" s="39"/>
    </row>
    <row r="225" spans="1:12" x14ac:dyDescent="0.3">
      <c r="A225" s="562" t="s">
        <v>361</v>
      </c>
      <c r="B225" s="558"/>
      <c r="C225" s="558"/>
      <c r="D225" s="563"/>
      <c r="E225" s="38"/>
      <c r="F225" s="30"/>
      <c r="G225" s="30"/>
      <c r="H225" s="30"/>
      <c r="I225" s="30"/>
      <c r="J225" s="30"/>
      <c r="K225" s="30"/>
      <c r="L225" s="39"/>
    </row>
    <row r="226" spans="1:12" x14ac:dyDescent="0.3">
      <c r="A226" s="562" t="s">
        <v>362</v>
      </c>
      <c r="B226" s="558"/>
      <c r="C226" s="558"/>
      <c r="D226" s="563"/>
      <c r="E226" s="38"/>
      <c r="F226" s="30"/>
      <c r="G226" s="30"/>
      <c r="H226" s="30"/>
      <c r="I226" s="30"/>
      <c r="J226" s="30"/>
      <c r="K226" s="30"/>
      <c r="L226" s="39"/>
    </row>
    <row r="227" spans="1:12" x14ac:dyDescent="0.3">
      <c r="A227" s="562" t="s">
        <v>363</v>
      </c>
      <c r="B227" s="558"/>
      <c r="C227" s="558"/>
      <c r="D227" s="563"/>
      <c r="E227" s="38"/>
      <c r="F227" s="30"/>
      <c r="G227" s="30"/>
      <c r="H227" s="30"/>
      <c r="I227" s="30"/>
      <c r="J227" s="30"/>
      <c r="K227" s="30"/>
      <c r="L227" s="39"/>
    </row>
    <row r="228" spans="1:12" x14ac:dyDescent="0.3">
      <c r="A228" s="562" t="s">
        <v>364</v>
      </c>
      <c r="B228" s="558"/>
      <c r="C228" s="558"/>
      <c r="D228" s="563"/>
      <c r="E228" s="38"/>
      <c r="F228" s="30"/>
      <c r="G228" s="30"/>
      <c r="H228" s="30"/>
      <c r="I228" s="30"/>
      <c r="J228" s="30"/>
      <c r="K228" s="30"/>
      <c r="L228" s="39"/>
    </row>
    <row r="229" spans="1:12" ht="40.200000000000003" customHeight="1" thickBot="1" x14ac:dyDescent="0.35">
      <c r="A229" s="593" t="s">
        <v>365</v>
      </c>
      <c r="B229" s="594"/>
      <c r="C229" s="594"/>
      <c r="D229" s="595"/>
      <c r="E229" s="42"/>
      <c r="F229" s="43"/>
      <c r="G229" s="43"/>
      <c r="H229" s="43"/>
      <c r="I229" s="43"/>
      <c r="J229" s="43"/>
      <c r="K229" s="43"/>
      <c r="L229" s="44"/>
    </row>
    <row r="230" spans="1:12" ht="15" thickBot="1" x14ac:dyDescent="0.35">
      <c r="A230" s="555" t="s">
        <v>366</v>
      </c>
      <c r="B230" s="556"/>
      <c r="C230" s="556"/>
      <c r="D230" s="557"/>
      <c r="E230" s="587"/>
      <c r="F230" s="588"/>
      <c r="G230" s="588"/>
      <c r="H230" s="588"/>
      <c r="I230" s="588"/>
      <c r="J230" s="588"/>
      <c r="K230" s="588"/>
      <c r="L230" s="589"/>
    </row>
    <row r="231" spans="1:12" ht="32.4" customHeight="1" x14ac:dyDescent="0.3">
      <c r="A231" s="596" t="s">
        <v>367</v>
      </c>
      <c r="B231" s="597"/>
      <c r="C231" s="597"/>
      <c r="D231" s="598"/>
      <c r="E231" s="38"/>
      <c r="F231" s="30"/>
      <c r="G231" s="30"/>
      <c r="H231" s="30"/>
      <c r="I231" s="30"/>
      <c r="J231" s="30"/>
      <c r="K231" s="30"/>
      <c r="L231" s="39"/>
    </row>
    <row r="232" spans="1:12" ht="24.6" customHeight="1" x14ac:dyDescent="0.3">
      <c r="A232" s="599" t="s">
        <v>368</v>
      </c>
      <c r="B232" s="558"/>
      <c r="C232" s="558"/>
      <c r="D232" s="563"/>
      <c r="E232" s="38"/>
      <c r="F232" s="30"/>
      <c r="G232" s="30"/>
      <c r="H232" s="30"/>
      <c r="I232" s="30"/>
      <c r="J232" s="30"/>
      <c r="K232" s="30"/>
      <c r="L232" s="39"/>
    </row>
    <row r="233" spans="1:12" x14ac:dyDescent="0.3">
      <c r="A233" s="562" t="s">
        <v>369</v>
      </c>
      <c r="B233" s="558"/>
      <c r="C233" s="558"/>
      <c r="D233" s="563"/>
      <c r="E233" s="38"/>
      <c r="F233" s="30"/>
      <c r="G233" s="30"/>
      <c r="H233" s="30"/>
      <c r="I233" s="30"/>
      <c r="J233" s="30"/>
      <c r="K233" s="30"/>
      <c r="L233" s="39"/>
    </row>
    <row r="234" spans="1:12" x14ac:dyDescent="0.3">
      <c r="A234" s="562" t="s">
        <v>370</v>
      </c>
      <c r="B234" s="558"/>
      <c r="C234" s="558"/>
      <c r="D234" s="563"/>
      <c r="E234" s="38"/>
      <c r="F234" s="30"/>
      <c r="G234" s="30"/>
      <c r="H234" s="30"/>
      <c r="I234" s="30"/>
      <c r="J234" s="30"/>
      <c r="K234" s="30"/>
      <c r="L234" s="39"/>
    </row>
    <row r="235" spans="1:12" x14ac:dyDescent="0.3">
      <c r="A235" s="562" t="s">
        <v>371</v>
      </c>
      <c r="B235" s="558"/>
      <c r="C235" s="558"/>
      <c r="D235" s="563"/>
      <c r="E235" s="38"/>
      <c r="F235" s="30"/>
      <c r="G235" s="30"/>
      <c r="H235" s="30"/>
      <c r="I235" s="30"/>
      <c r="J235" s="30"/>
      <c r="K235" s="30"/>
      <c r="L235" s="39"/>
    </row>
    <row r="236" spans="1:12" x14ac:dyDescent="0.3">
      <c r="A236" s="562" t="s">
        <v>372</v>
      </c>
      <c r="B236" s="558"/>
      <c r="C236" s="558"/>
      <c r="D236" s="563"/>
      <c r="E236" s="38"/>
      <c r="F236" s="30"/>
      <c r="G236" s="30"/>
      <c r="H236" s="30"/>
      <c r="I236" s="30"/>
      <c r="J236" s="30"/>
      <c r="K236" s="30"/>
      <c r="L236" s="39"/>
    </row>
    <row r="237" spans="1:12" x14ac:dyDescent="0.3">
      <c r="A237" s="562" t="s">
        <v>373</v>
      </c>
      <c r="B237" s="558"/>
      <c r="C237" s="558"/>
      <c r="D237" s="563"/>
      <c r="E237" s="38"/>
      <c r="F237" s="30"/>
      <c r="G237" s="30"/>
      <c r="H237" s="30"/>
      <c r="I237" s="30"/>
      <c r="J237" s="30"/>
      <c r="K237" s="30"/>
      <c r="L237" s="39"/>
    </row>
    <row r="238" spans="1:12" x14ac:dyDescent="0.3">
      <c r="A238" s="562" t="s">
        <v>374</v>
      </c>
      <c r="B238" s="558"/>
      <c r="C238" s="558"/>
      <c r="D238" s="563"/>
      <c r="E238" s="38"/>
      <c r="F238" s="30"/>
      <c r="G238" s="30"/>
      <c r="H238" s="30"/>
      <c r="I238" s="30"/>
      <c r="J238" s="30"/>
      <c r="K238" s="30"/>
      <c r="L238" s="39"/>
    </row>
    <row r="239" spans="1:12" x14ac:dyDescent="0.3">
      <c r="A239" s="562" t="s">
        <v>375</v>
      </c>
      <c r="B239" s="558"/>
      <c r="C239" s="558"/>
      <c r="D239" s="563"/>
      <c r="E239" s="38"/>
      <c r="F239" s="30"/>
      <c r="G239" s="30"/>
      <c r="H239" s="30"/>
      <c r="I239" s="30"/>
      <c r="J239" s="30"/>
      <c r="K239" s="30"/>
      <c r="L239" s="39"/>
    </row>
    <row r="240" spans="1:12" x14ac:dyDescent="0.3">
      <c r="A240" s="562" t="s">
        <v>376</v>
      </c>
      <c r="B240" s="558"/>
      <c r="C240" s="558"/>
      <c r="D240" s="563"/>
      <c r="E240" s="38"/>
      <c r="F240" s="30"/>
      <c r="G240" s="30"/>
      <c r="H240" s="30"/>
      <c r="I240" s="30"/>
      <c r="J240" s="30"/>
      <c r="K240" s="30"/>
      <c r="L240" s="39"/>
    </row>
    <row r="241" spans="1:12" x14ac:dyDescent="0.3">
      <c r="A241" s="562" t="s">
        <v>377</v>
      </c>
      <c r="B241" s="558"/>
      <c r="C241" s="558"/>
      <c r="D241" s="563"/>
      <c r="E241" s="38"/>
      <c r="F241" s="30"/>
      <c r="G241" s="30"/>
      <c r="H241" s="30"/>
      <c r="I241" s="30"/>
      <c r="J241" s="30"/>
      <c r="K241" s="30"/>
      <c r="L241" s="39"/>
    </row>
    <row r="242" spans="1:12" x14ac:dyDescent="0.3">
      <c r="A242" s="562" t="s">
        <v>378</v>
      </c>
      <c r="B242" s="558"/>
      <c r="C242" s="558"/>
      <c r="D242" s="563"/>
      <c r="E242" s="38"/>
      <c r="F242" s="30"/>
      <c r="G242" s="30"/>
      <c r="H242" s="30"/>
      <c r="I242" s="30"/>
      <c r="J242" s="30"/>
      <c r="K242" s="30"/>
      <c r="L242" s="39"/>
    </row>
    <row r="243" spans="1:12" x14ac:dyDescent="0.3">
      <c r="A243" s="562" t="s">
        <v>379</v>
      </c>
      <c r="B243" s="558"/>
      <c r="C243" s="558"/>
      <c r="D243" s="563"/>
      <c r="E243" s="38"/>
      <c r="F243" s="30"/>
      <c r="G243" s="30"/>
      <c r="H243" s="30"/>
      <c r="I243" s="30"/>
      <c r="J243" s="30"/>
      <c r="K243" s="30"/>
      <c r="L243" s="39"/>
    </row>
    <row r="244" spans="1:12" ht="15" thickBot="1" x14ac:dyDescent="0.35">
      <c r="A244" s="564" t="s">
        <v>380</v>
      </c>
      <c r="B244" s="565"/>
      <c r="C244" s="565"/>
      <c r="D244" s="566"/>
      <c r="E244" s="40"/>
      <c r="F244" s="33"/>
      <c r="G244" s="33"/>
      <c r="H244" s="33"/>
      <c r="I244" s="33"/>
      <c r="J244" s="33"/>
      <c r="K244" s="33"/>
      <c r="L244" s="34"/>
    </row>
    <row r="245" spans="1:12" ht="14.4" customHeight="1" x14ac:dyDescent="0.3">
      <c r="A245" s="590" t="s">
        <v>381</v>
      </c>
      <c r="B245" s="591"/>
      <c r="C245" s="591"/>
      <c r="D245" s="591"/>
      <c r="E245" s="591"/>
      <c r="F245" s="591"/>
      <c r="G245" s="591"/>
      <c r="H245" s="591"/>
      <c r="I245" s="591"/>
      <c r="J245" s="591"/>
      <c r="K245" s="591"/>
      <c r="L245" s="592"/>
    </row>
    <row r="246" spans="1:12" x14ac:dyDescent="0.3">
      <c r="A246" s="590"/>
      <c r="B246" s="591"/>
      <c r="C246" s="591"/>
      <c r="D246" s="591"/>
      <c r="E246" s="591"/>
      <c r="F246" s="591"/>
      <c r="G246" s="591"/>
      <c r="H246" s="591"/>
      <c r="I246" s="591"/>
      <c r="J246" s="591"/>
      <c r="K246" s="591"/>
      <c r="L246" s="592"/>
    </row>
    <row r="247" spans="1:12" ht="15" thickBot="1" x14ac:dyDescent="0.35">
      <c r="A247" s="590"/>
      <c r="B247" s="591"/>
      <c r="C247" s="591"/>
      <c r="D247" s="591"/>
      <c r="E247" s="591"/>
      <c r="F247" s="591"/>
      <c r="G247" s="591"/>
      <c r="H247" s="591"/>
      <c r="I247" s="591"/>
      <c r="J247" s="591"/>
      <c r="K247" s="591"/>
      <c r="L247" s="592"/>
    </row>
    <row r="248" spans="1:12" ht="16.2" customHeight="1" x14ac:dyDescent="0.3">
      <c r="A248" s="567" t="s">
        <v>382</v>
      </c>
      <c r="B248" s="568"/>
      <c r="C248" s="568"/>
      <c r="D248" s="569"/>
      <c r="E248" s="573" t="s">
        <v>240</v>
      </c>
      <c r="F248" s="45" t="s">
        <v>388</v>
      </c>
      <c r="G248" s="575" t="s">
        <v>242</v>
      </c>
      <c r="H248" s="576"/>
      <c r="I248" s="577"/>
      <c r="J248" s="578" t="s">
        <v>243</v>
      </c>
      <c r="K248" s="576"/>
      <c r="L248" s="579"/>
    </row>
    <row r="249" spans="1:12" ht="15" thickBot="1" x14ac:dyDescent="0.35">
      <c r="A249" s="570"/>
      <c r="B249" s="571"/>
      <c r="C249" s="571"/>
      <c r="D249" s="572"/>
      <c r="E249" s="574"/>
      <c r="F249" s="46" t="s">
        <v>383</v>
      </c>
      <c r="G249" s="47">
        <v>1</v>
      </c>
      <c r="H249" s="48" t="s">
        <v>384</v>
      </c>
      <c r="I249" s="49" t="s">
        <v>385</v>
      </c>
      <c r="J249" s="50">
        <v>1</v>
      </c>
      <c r="K249" s="48" t="s">
        <v>386</v>
      </c>
      <c r="L249" s="51" t="s">
        <v>387</v>
      </c>
    </row>
    <row r="250" spans="1:12" x14ac:dyDescent="0.3">
      <c r="A250" s="559"/>
      <c r="B250" s="560"/>
      <c r="C250" s="560"/>
      <c r="D250" s="561"/>
      <c r="E250" s="41"/>
      <c r="F250" s="31"/>
      <c r="G250" s="31"/>
      <c r="H250" s="31"/>
      <c r="I250" s="31"/>
      <c r="J250" s="31"/>
      <c r="K250" s="31"/>
      <c r="L250" s="32"/>
    </row>
    <row r="251" spans="1:12" x14ac:dyDescent="0.3">
      <c r="A251" s="562"/>
      <c r="B251" s="558"/>
      <c r="C251" s="558"/>
      <c r="D251" s="563"/>
      <c r="E251" s="38"/>
      <c r="F251" s="30"/>
      <c r="G251" s="30"/>
      <c r="H251" s="30"/>
      <c r="I251" s="30"/>
      <c r="J251" s="30"/>
      <c r="K251" s="30"/>
      <c r="L251" s="39"/>
    </row>
    <row r="252" spans="1:12" ht="15" thickBot="1" x14ac:dyDescent="0.35">
      <c r="A252" s="564"/>
      <c r="B252" s="565"/>
      <c r="C252" s="565"/>
      <c r="D252" s="566"/>
      <c r="E252" s="40"/>
      <c r="F252" s="33"/>
      <c r="G252" s="33"/>
      <c r="H252" s="33"/>
      <c r="I252" s="33"/>
      <c r="J252" s="33"/>
      <c r="K252" s="33"/>
      <c r="L252" s="34"/>
    </row>
    <row r="253" spans="1:12" x14ac:dyDescent="0.3">
      <c r="A253" s="476" t="s">
        <v>1092</v>
      </c>
    </row>
    <row r="254" spans="1:12" x14ac:dyDescent="0.3">
      <c r="A254" s="476" t="s">
        <v>1093</v>
      </c>
    </row>
    <row r="255" spans="1:12" x14ac:dyDescent="0.3">
      <c r="A255" s="476" t="s">
        <v>1094</v>
      </c>
    </row>
  </sheetData>
  <mergeCells count="325">
    <mergeCell ref="B4:H4"/>
    <mergeCell ref="E180:L180"/>
    <mergeCell ref="E63:G63"/>
    <mergeCell ref="H63:I63"/>
    <mergeCell ref="J63:L63"/>
    <mergeCell ref="A60:D60"/>
    <mergeCell ref="C61:D61"/>
    <mergeCell ref="C62:D62"/>
    <mergeCell ref="C63:D63"/>
    <mergeCell ref="E62:G62"/>
    <mergeCell ref="E61:G61"/>
    <mergeCell ref="H61:I61"/>
    <mergeCell ref="J61:K61"/>
    <mergeCell ref="E60:J60"/>
    <mergeCell ref="H62:I62"/>
    <mergeCell ref="K62:L62"/>
    <mergeCell ref="A173:D173"/>
    <mergeCell ref="A174:D174"/>
    <mergeCell ref="A175:D175"/>
    <mergeCell ref="A176:D176"/>
    <mergeCell ref="A165:D165"/>
    <mergeCell ref="A166:D166"/>
    <mergeCell ref="A163:D164"/>
    <mergeCell ref="A177:D177"/>
    <mergeCell ref="A199:D199"/>
    <mergeCell ref="A194:D197"/>
    <mergeCell ref="A192:D192"/>
    <mergeCell ref="A193:D193"/>
    <mergeCell ref="A188:D188"/>
    <mergeCell ref="A189:D189"/>
    <mergeCell ref="A190:D190"/>
    <mergeCell ref="A191:D191"/>
    <mergeCell ref="A185:D185"/>
    <mergeCell ref="A186:D186"/>
    <mergeCell ref="A223:D223"/>
    <mergeCell ref="A212:D212"/>
    <mergeCell ref="A213:D213"/>
    <mergeCell ref="A214:D214"/>
    <mergeCell ref="A215:D215"/>
    <mergeCell ref="A216:D216"/>
    <mergeCell ref="A217:D217"/>
    <mergeCell ref="A221:D221"/>
    <mergeCell ref="A222:D222"/>
    <mergeCell ref="A1:L1"/>
    <mergeCell ref="A218:D218"/>
    <mergeCell ref="A219:D219"/>
    <mergeCell ref="A220:D220"/>
    <mergeCell ref="A206:D206"/>
    <mergeCell ref="A207:D207"/>
    <mergeCell ref="A208:D208"/>
    <mergeCell ref="A209:D209"/>
    <mergeCell ref="A210:D210"/>
    <mergeCell ref="A211:D211"/>
    <mergeCell ref="A200:D200"/>
    <mergeCell ref="A201:D201"/>
    <mergeCell ref="A202:D202"/>
    <mergeCell ref="A203:D203"/>
    <mergeCell ref="A204:D204"/>
    <mergeCell ref="A205:D205"/>
    <mergeCell ref="A198:D198"/>
    <mergeCell ref="A187:D187"/>
    <mergeCell ref="A183:D183"/>
    <mergeCell ref="A184:D184"/>
    <mergeCell ref="A159:D159"/>
    <mergeCell ref="A160:D160"/>
    <mergeCell ref="A161:D161"/>
    <mergeCell ref="A162:D162"/>
    <mergeCell ref="A178:D178"/>
    <mergeCell ref="A179:D179"/>
    <mergeCell ref="A180:D180"/>
    <mergeCell ref="A171:D171"/>
    <mergeCell ref="A172:D172"/>
    <mergeCell ref="A170:D170"/>
    <mergeCell ref="A181:D182"/>
    <mergeCell ref="A167:D167"/>
    <mergeCell ref="A168:D168"/>
    <mergeCell ref="A169:D169"/>
    <mergeCell ref="A156:D156"/>
    <mergeCell ref="A157:D157"/>
    <mergeCell ref="A158:D158"/>
    <mergeCell ref="A147:D147"/>
    <mergeCell ref="A148:D148"/>
    <mergeCell ref="A149:D149"/>
    <mergeCell ref="A150:D150"/>
    <mergeCell ref="A151:D151"/>
    <mergeCell ref="A152:D152"/>
    <mergeCell ref="A153:D153"/>
    <mergeCell ref="A154:D154"/>
    <mergeCell ref="A155:D155"/>
    <mergeCell ref="A141:D141"/>
    <mergeCell ref="A142:D142"/>
    <mergeCell ref="A146:D146"/>
    <mergeCell ref="A135:D135"/>
    <mergeCell ref="A136:D136"/>
    <mergeCell ref="A137:D137"/>
    <mergeCell ref="A138:D138"/>
    <mergeCell ref="A139:D139"/>
    <mergeCell ref="A140:D140"/>
    <mergeCell ref="A143:D145"/>
    <mergeCell ref="A130:D130"/>
    <mergeCell ref="A131:D131"/>
    <mergeCell ref="A132:D132"/>
    <mergeCell ref="A133:D133"/>
    <mergeCell ref="A134:D134"/>
    <mergeCell ref="A123:D123"/>
    <mergeCell ref="A124:D124"/>
    <mergeCell ref="A125:D125"/>
    <mergeCell ref="A126:D126"/>
    <mergeCell ref="A127:D127"/>
    <mergeCell ref="A128:D128"/>
    <mergeCell ref="A122:D122"/>
    <mergeCell ref="A111:D111"/>
    <mergeCell ref="A112:D112"/>
    <mergeCell ref="A113:D113"/>
    <mergeCell ref="A114:D114"/>
    <mergeCell ref="A115:D115"/>
    <mergeCell ref="A116:D116"/>
    <mergeCell ref="A117:D119"/>
    <mergeCell ref="A129:D129"/>
    <mergeCell ref="A108:D108"/>
    <mergeCell ref="A109:D109"/>
    <mergeCell ref="A110:D110"/>
    <mergeCell ref="F88:L88"/>
    <mergeCell ref="B93:H93"/>
    <mergeCell ref="A103:D103"/>
    <mergeCell ref="A104:D104"/>
    <mergeCell ref="A120:D120"/>
    <mergeCell ref="A121:D121"/>
    <mergeCell ref="A87:B87"/>
    <mergeCell ref="C87:E87"/>
    <mergeCell ref="A89:E89"/>
    <mergeCell ref="F87:L87"/>
    <mergeCell ref="A88:B88"/>
    <mergeCell ref="C88:E88"/>
    <mergeCell ref="A105:D105"/>
    <mergeCell ref="A106:D106"/>
    <mergeCell ref="A107:D107"/>
    <mergeCell ref="F89:L89"/>
    <mergeCell ref="E99:E102"/>
    <mergeCell ref="F99:F102"/>
    <mergeCell ref="G99:G102"/>
    <mergeCell ref="H99:H102"/>
    <mergeCell ref="I99:I102"/>
    <mergeCell ref="J99:J102"/>
    <mergeCell ref="K99:K102"/>
    <mergeCell ref="L99:L102"/>
    <mergeCell ref="A90:L91"/>
    <mergeCell ref="A95:L95"/>
    <mergeCell ref="A97:D102"/>
    <mergeCell ref="E97:L97"/>
    <mergeCell ref="G98:I98"/>
    <mergeCell ref="J98:L98"/>
    <mergeCell ref="F72:L72"/>
    <mergeCell ref="F73:L73"/>
    <mergeCell ref="F74:L74"/>
    <mergeCell ref="F75:L75"/>
    <mergeCell ref="F76:L76"/>
    <mergeCell ref="F85:L85"/>
    <mergeCell ref="F86:L86"/>
    <mergeCell ref="F77:L77"/>
    <mergeCell ref="F78:L78"/>
    <mergeCell ref="F79:L79"/>
    <mergeCell ref="F80:L80"/>
    <mergeCell ref="F81:L81"/>
    <mergeCell ref="F82:L82"/>
    <mergeCell ref="F83:L83"/>
    <mergeCell ref="F84:L84"/>
    <mergeCell ref="D10:E10"/>
    <mergeCell ref="F10:L10"/>
    <mergeCell ref="B8:I8"/>
    <mergeCell ref="J8:K8"/>
    <mergeCell ref="G49:L49"/>
    <mergeCell ref="C65:G65"/>
    <mergeCell ref="A50:B50"/>
    <mergeCell ref="A51:B51"/>
    <mergeCell ref="A67:B67"/>
    <mergeCell ref="C67:E67"/>
    <mergeCell ref="C34:L34"/>
    <mergeCell ref="A12:L12"/>
    <mergeCell ref="E50:F50"/>
    <mergeCell ref="E51:F51"/>
    <mergeCell ref="A59:L59"/>
    <mergeCell ref="C19:L21"/>
    <mergeCell ref="H24:L24"/>
    <mergeCell ref="C29:L29"/>
    <mergeCell ref="C18:L18"/>
    <mergeCell ref="A49:B49"/>
    <mergeCell ref="F9:G9"/>
    <mergeCell ref="H9:I9"/>
    <mergeCell ref="C38:L38"/>
    <mergeCell ref="C39:L39"/>
    <mergeCell ref="A85:B85"/>
    <mergeCell ref="C85:E85"/>
    <mergeCell ref="A86:B86"/>
    <mergeCell ref="C86:E86"/>
    <mergeCell ref="A78:B78"/>
    <mergeCell ref="C78:E78"/>
    <mergeCell ref="A79:B79"/>
    <mergeCell ref="C79:E79"/>
    <mergeCell ref="C75:E75"/>
    <mergeCell ref="A76:B76"/>
    <mergeCell ref="C76:E76"/>
    <mergeCell ref="A77:B77"/>
    <mergeCell ref="A75:B75"/>
    <mergeCell ref="A82:B82"/>
    <mergeCell ref="C82:E82"/>
    <mergeCell ref="A83:B83"/>
    <mergeCell ref="C83:E83"/>
    <mergeCell ref="A84:B84"/>
    <mergeCell ref="C84:E84"/>
    <mergeCell ref="C77:E77"/>
    <mergeCell ref="A81:B81"/>
    <mergeCell ref="C81:E81"/>
    <mergeCell ref="A80:B80"/>
    <mergeCell ref="C80:E80"/>
    <mergeCell ref="C40:L40"/>
    <mergeCell ref="C41:L41"/>
    <mergeCell ref="C42:L42"/>
    <mergeCell ref="C43:L43"/>
    <mergeCell ref="A73:B73"/>
    <mergeCell ref="C73:E73"/>
    <mergeCell ref="A74:B74"/>
    <mergeCell ref="C74:E74"/>
    <mergeCell ref="A68:B68"/>
    <mergeCell ref="C68:E68"/>
    <mergeCell ref="A69:B69"/>
    <mergeCell ref="C69:E69"/>
    <mergeCell ref="A71:B71"/>
    <mergeCell ref="C71:E71"/>
    <mergeCell ref="A72:B72"/>
    <mergeCell ref="C72:E72"/>
    <mergeCell ref="A70:B70"/>
    <mergeCell ref="C70:E70"/>
    <mergeCell ref="F67:L67"/>
    <mergeCell ref="E49:F49"/>
    <mergeCell ref="F68:L68"/>
    <mergeCell ref="F69:L69"/>
    <mergeCell ref="F70:L70"/>
    <mergeCell ref="F71:L71"/>
    <mergeCell ref="J3:L3"/>
    <mergeCell ref="B3:I3"/>
    <mergeCell ref="C30:L30"/>
    <mergeCell ref="C31:L31"/>
    <mergeCell ref="C32:L32"/>
    <mergeCell ref="C33:L33"/>
    <mergeCell ref="C22:L22"/>
    <mergeCell ref="B10:C10"/>
    <mergeCell ref="C17:E17"/>
    <mergeCell ref="A11:B11"/>
    <mergeCell ref="C11:L11"/>
    <mergeCell ref="J4:L4"/>
    <mergeCell ref="B6:I6"/>
    <mergeCell ref="C23:E23"/>
    <mergeCell ref="C24:E24"/>
    <mergeCell ref="C25:E25"/>
    <mergeCell ref="F23:G23"/>
    <mergeCell ref="F24:G24"/>
    <mergeCell ref="F25:G25"/>
    <mergeCell ref="H23:L23"/>
    <mergeCell ref="H25:L25"/>
    <mergeCell ref="C14:H14"/>
    <mergeCell ref="C27:H27"/>
    <mergeCell ref="F17:L17"/>
    <mergeCell ref="A237:D237"/>
    <mergeCell ref="A238:D238"/>
    <mergeCell ref="A239:D239"/>
    <mergeCell ref="A240:D240"/>
    <mergeCell ref="A241:D241"/>
    <mergeCell ref="A224:D224"/>
    <mergeCell ref="A225:D225"/>
    <mergeCell ref="A226:D226"/>
    <mergeCell ref="A227:D227"/>
    <mergeCell ref="A228:D228"/>
    <mergeCell ref="A229:D229"/>
    <mergeCell ref="A230:D230"/>
    <mergeCell ref="A231:D231"/>
    <mergeCell ref="A232:D232"/>
    <mergeCell ref="A250:D250"/>
    <mergeCell ref="A251:D251"/>
    <mergeCell ref="A252:D252"/>
    <mergeCell ref="A248:D249"/>
    <mergeCell ref="E248:E249"/>
    <mergeCell ref="G248:I248"/>
    <mergeCell ref="J248:L248"/>
    <mergeCell ref="E103:L103"/>
    <mergeCell ref="E117:L119"/>
    <mergeCell ref="E143:L145"/>
    <mergeCell ref="E163:L164"/>
    <mergeCell ref="E181:L182"/>
    <mergeCell ref="E194:L197"/>
    <mergeCell ref="E205:L205"/>
    <mergeCell ref="E218:L218"/>
    <mergeCell ref="E230:L230"/>
    <mergeCell ref="A242:D242"/>
    <mergeCell ref="A243:D243"/>
    <mergeCell ref="A244:D244"/>
    <mergeCell ref="A245:L247"/>
    <mergeCell ref="A233:D233"/>
    <mergeCell ref="A234:D234"/>
    <mergeCell ref="A235:D235"/>
    <mergeCell ref="A236:D236"/>
    <mergeCell ref="B9:E9"/>
    <mergeCell ref="A55:B55"/>
    <mergeCell ref="E55:F55"/>
    <mergeCell ref="A56:B56"/>
    <mergeCell ref="E56:F56"/>
    <mergeCell ref="A58:B58"/>
    <mergeCell ref="E58:F58"/>
    <mergeCell ref="G58:L58"/>
    <mergeCell ref="A57:B57"/>
    <mergeCell ref="E57:F57"/>
    <mergeCell ref="G57:L57"/>
    <mergeCell ref="G50:L56"/>
    <mergeCell ref="A52:B52"/>
    <mergeCell ref="E52:F52"/>
    <mergeCell ref="A53:B53"/>
    <mergeCell ref="E53:F53"/>
    <mergeCell ref="A54:B54"/>
    <mergeCell ref="E54:F54"/>
    <mergeCell ref="A48:L48"/>
    <mergeCell ref="J9:K9"/>
    <mergeCell ref="C46:G46"/>
    <mergeCell ref="C35:L35"/>
    <mergeCell ref="C36:L36"/>
    <mergeCell ref="C37:L37"/>
  </mergeCells>
  <hyperlinks>
    <hyperlink ref="B9" r:id="rId1" xr:uid="{499A2F28-4441-48BB-85C8-8ACB99C7EB1B}"/>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24B8CADC-2315-4E83-80EF-AC449D41597F}">
          <x14:formula1>
            <xm:f>'COSTO ENERG. POR ACTV. FAOMS'!$A$4:$A$253</xm:f>
          </x14:formula1>
          <xm:sqref>A50:B55 A56:A57 B56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A82B-53BF-4C20-97F0-12D42523A255}">
  <dimension ref="A1:I253"/>
  <sheetViews>
    <sheetView zoomScale="110" zoomScaleNormal="110" zoomScalePageLayoutView="110" workbookViewId="0">
      <selection activeCell="F4" sqref="F4"/>
    </sheetView>
  </sheetViews>
  <sheetFormatPr baseColWidth="10" defaultRowHeight="14.4" x14ac:dyDescent="0.3"/>
  <cols>
    <col min="4" max="4" width="7.21875" customWidth="1"/>
    <col min="5" max="5" width="28.88671875" customWidth="1"/>
    <col min="6" max="6" width="14.44140625" style="54" customWidth="1"/>
    <col min="7" max="7" width="8.109375" style="54" bestFit="1" customWidth="1"/>
    <col min="8" max="8" width="10.21875" style="54" bestFit="1" customWidth="1"/>
    <col min="9" max="9" width="8.109375" style="54" customWidth="1"/>
  </cols>
  <sheetData>
    <row r="1" spans="1:9" ht="15" thickBot="1" x14ac:dyDescent="0.35">
      <c r="A1" s="748" t="s">
        <v>414</v>
      </c>
      <c r="B1" s="749"/>
      <c r="C1" s="749"/>
      <c r="D1" s="749"/>
      <c r="E1" s="749"/>
      <c r="F1" s="68" t="s">
        <v>643</v>
      </c>
      <c r="G1" s="67"/>
      <c r="H1" s="67"/>
      <c r="I1" s="67"/>
    </row>
    <row r="2" spans="1:9" ht="15" thickBot="1" x14ac:dyDescent="0.35">
      <c r="A2" s="753" t="s">
        <v>457</v>
      </c>
      <c r="B2" s="754"/>
      <c r="C2" s="754"/>
      <c r="D2" s="754"/>
      <c r="E2" s="754"/>
      <c r="F2" s="755"/>
      <c r="G2" s="66"/>
      <c r="H2" s="66"/>
      <c r="I2" s="66"/>
    </row>
    <row r="3" spans="1:9" x14ac:dyDescent="0.3">
      <c r="A3" s="750" t="s">
        <v>220</v>
      </c>
      <c r="B3" s="751"/>
      <c r="C3" s="751"/>
      <c r="D3" s="751"/>
      <c r="E3" s="752"/>
      <c r="F3" s="61" t="s">
        <v>221</v>
      </c>
      <c r="G3"/>
      <c r="H3"/>
      <c r="I3"/>
    </row>
    <row r="4" spans="1:9" x14ac:dyDescent="0.3">
      <c r="A4" s="747" t="s">
        <v>498</v>
      </c>
      <c r="B4" s="747"/>
      <c r="C4" s="747"/>
      <c r="D4" s="747"/>
      <c r="E4" s="747"/>
      <c r="F4" s="5">
        <v>1</v>
      </c>
      <c r="G4"/>
      <c r="H4"/>
      <c r="I4"/>
    </row>
    <row r="5" spans="1:9" x14ac:dyDescent="0.3">
      <c r="A5" s="747" t="s">
        <v>835</v>
      </c>
      <c r="B5" s="747"/>
      <c r="C5" s="747"/>
      <c r="D5" s="747"/>
      <c r="E5" s="747"/>
      <c r="F5" s="5">
        <v>1.2</v>
      </c>
      <c r="G5"/>
      <c r="H5"/>
      <c r="I5"/>
    </row>
    <row r="6" spans="1:9" x14ac:dyDescent="0.3">
      <c r="A6" s="747" t="s">
        <v>836</v>
      </c>
      <c r="B6" s="747"/>
      <c r="C6" s="747"/>
      <c r="D6" s="747"/>
      <c r="E6" s="747"/>
      <c r="F6" s="5">
        <v>1.2</v>
      </c>
      <c r="G6"/>
      <c r="H6"/>
      <c r="I6"/>
    </row>
    <row r="7" spans="1:9" x14ac:dyDescent="0.3">
      <c r="A7" s="747" t="s">
        <v>837</v>
      </c>
      <c r="B7" s="747"/>
      <c r="C7" s="747"/>
      <c r="D7" s="747"/>
      <c r="E7" s="747"/>
      <c r="F7" s="5">
        <v>1.4</v>
      </c>
      <c r="G7"/>
      <c r="H7"/>
      <c r="I7"/>
    </row>
    <row r="8" spans="1:9" x14ac:dyDescent="0.3">
      <c r="A8" s="747" t="s">
        <v>838</v>
      </c>
      <c r="B8" s="747"/>
      <c r="C8" s="747"/>
      <c r="D8" s="747"/>
      <c r="E8" s="747"/>
      <c r="F8" s="5">
        <v>2.4</v>
      </c>
      <c r="G8"/>
      <c r="H8"/>
      <c r="I8"/>
    </row>
    <row r="9" spans="1:9" x14ac:dyDescent="0.3">
      <c r="A9" s="747" t="s">
        <v>839</v>
      </c>
      <c r="B9" s="747"/>
      <c r="C9" s="747"/>
      <c r="D9" s="747"/>
      <c r="E9" s="747"/>
      <c r="F9" s="5">
        <v>2.2999999999999998</v>
      </c>
      <c r="G9"/>
      <c r="H9"/>
      <c r="I9"/>
    </row>
    <row r="10" spans="1:9" x14ac:dyDescent="0.3">
      <c r="A10" s="747" t="s">
        <v>840</v>
      </c>
      <c r="B10" s="747"/>
      <c r="C10" s="747"/>
      <c r="D10" s="747"/>
      <c r="E10" s="747"/>
      <c r="F10" s="5">
        <v>2</v>
      </c>
      <c r="G10"/>
      <c r="H10"/>
      <c r="I10"/>
    </row>
    <row r="11" spans="1:9" x14ac:dyDescent="0.3">
      <c r="A11" s="747" t="s">
        <v>841</v>
      </c>
      <c r="B11" s="747"/>
      <c r="C11" s="747"/>
      <c r="D11" s="747"/>
      <c r="E11" s="747"/>
      <c r="F11" s="5">
        <v>1.4</v>
      </c>
      <c r="G11"/>
      <c r="H11"/>
      <c r="I11"/>
    </row>
    <row r="12" spans="1:9" x14ac:dyDescent="0.3">
      <c r="A12" s="747" t="s">
        <v>842</v>
      </c>
      <c r="B12" s="747"/>
      <c r="C12" s="747"/>
      <c r="D12" s="747"/>
      <c r="E12" s="747"/>
      <c r="F12" s="5">
        <v>2.1</v>
      </c>
      <c r="G12"/>
      <c r="H12"/>
      <c r="I12"/>
    </row>
    <row r="13" spans="1:9" x14ac:dyDescent="0.3">
      <c r="A13" s="747" t="s">
        <v>843</v>
      </c>
      <c r="B13" s="747"/>
      <c r="C13" s="747"/>
      <c r="D13" s="747"/>
      <c r="E13" s="747"/>
      <c r="F13" s="5">
        <v>2.8</v>
      </c>
      <c r="G13"/>
      <c r="H13"/>
      <c r="I13"/>
    </row>
    <row r="14" spans="1:9" x14ac:dyDescent="0.3">
      <c r="A14" s="747" t="s">
        <v>844</v>
      </c>
      <c r="B14" s="747"/>
      <c r="C14" s="747"/>
      <c r="D14" s="747"/>
      <c r="E14" s="747"/>
      <c r="F14" s="5">
        <v>3.8</v>
      </c>
      <c r="G14"/>
      <c r="H14"/>
      <c r="I14"/>
    </row>
    <row r="15" spans="1:9" x14ac:dyDescent="0.3">
      <c r="A15" s="747" t="s">
        <v>845</v>
      </c>
      <c r="B15" s="747"/>
      <c r="C15" s="747"/>
      <c r="D15" s="747"/>
      <c r="E15" s="747"/>
      <c r="F15" s="5">
        <v>7.1</v>
      </c>
      <c r="G15"/>
      <c r="H15"/>
      <c r="I15"/>
    </row>
    <row r="16" spans="1:9" x14ac:dyDescent="0.3">
      <c r="A16" s="747" t="s">
        <v>846</v>
      </c>
      <c r="B16" s="747"/>
      <c r="C16" s="747"/>
      <c r="D16" s="747"/>
      <c r="E16" s="747"/>
      <c r="F16" s="5">
        <v>3.5</v>
      </c>
      <c r="G16"/>
      <c r="H16"/>
      <c r="I16"/>
    </row>
    <row r="17" spans="1:9" x14ac:dyDescent="0.3">
      <c r="A17" s="747" t="s">
        <v>847</v>
      </c>
      <c r="B17" s="747"/>
      <c r="C17" s="747"/>
      <c r="D17" s="747"/>
      <c r="E17" s="747"/>
      <c r="F17" s="5">
        <v>5</v>
      </c>
      <c r="G17"/>
      <c r="H17"/>
      <c r="I17"/>
    </row>
    <row r="18" spans="1:9" x14ac:dyDescent="0.3">
      <c r="A18" s="747" t="s">
        <v>848</v>
      </c>
      <c r="B18" s="747"/>
      <c r="C18" s="747"/>
      <c r="D18" s="747"/>
      <c r="E18" s="747"/>
      <c r="F18" s="5">
        <v>1.2</v>
      </c>
      <c r="G18"/>
      <c r="H18"/>
      <c r="I18"/>
    </row>
    <row r="19" spans="1:9" x14ac:dyDescent="0.3">
      <c r="A19" s="747" t="s">
        <v>849</v>
      </c>
      <c r="B19" s="747"/>
      <c r="C19" s="747"/>
      <c r="D19" s="747"/>
      <c r="E19" s="747"/>
      <c r="F19" s="5">
        <v>5.6</v>
      </c>
      <c r="G19"/>
      <c r="H19"/>
      <c r="I19"/>
    </row>
    <row r="20" spans="1:9" x14ac:dyDescent="0.3">
      <c r="A20" s="747" t="s">
        <v>850</v>
      </c>
      <c r="B20" s="747"/>
      <c r="C20" s="747"/>
      <c r="D20" s="747"/>
      <c r="E20" s="747"/>
      <c r="F20" s="5">
        <v>14</v>
      </c>
      <c r="G20" s="58"/>
      <c r="H20"/>
      <c r="I20"/>
    </row>
    <row r="21" spans="1:9" x14ac:dyDescent="0.3">
      <c r="A21" s="747" t="s">
        <v>851</v>
      </c>
      <c r="B21" s="747"/>
      <c r="C21" s="747"/>
      <c r="D21" s="747"/>
      <c r="E21" s="747"/>
      <c r="F21" s="5">
        <v>16</v>
      </c>
      <c r="G21" s="58"/>
      <c r="H21"/>
      <c r="I21"/>
    </row>
    <row r="22" spans="1:9" x14ac:dyDescent="0.3">
      <c r="A22" s="747" t="s">
        <v>852</v>
      </c>
      <c r="B22" s="747"/>
      <c r="C22" s="747"/>
      <c r="D22" s="747"/>
      <c r="E22" s="747"/>
      <c r="F22" s="5">
        <v>8.5</v>
      </c>
      <c r="G22" s="58"/>
      <c r="H22"/>
      <c r="I22"/>
    </row>
    <row r="23" spans="1:9" x14ac:dyDescent="0.3">
      <c r="A23" s="747" t="s">
        <v>853</v>
      </c>
      <c r="B23" s="747"/>
      <c r="C23" s="747"/>
      <c r="D23" s="747"/>
      <c r="E23" s="747"/>
      <c r="F23" s="5">
        <v>8</v>
      </c>
      <c r="G23" s="58"/>
      <c r="H23"/>
      <c r="I23"/>
    </row>
    <row r="24" spans="1:9" x14ac:dyDescent="0.3">
      <c r="A24" s="747" t="s">
        <v>854</v>
      </c>
      <c r="B24" s="747"/>
      <c r="C24" s="747"/>
      <c r="D24" s="747"/>
      <c r="E24" s="747"/>
      <c r="F24" s="5">
        <v>2.7</v>
      </c>
      <c r="G24"/>
      <c r="H24"/>
      <c r="I24"/>
    </row>
    <row r="25" spans="1:9" x14ac:dyDescent="0.3">
      <c r="A25" s="747" t="s">
        <v>855</v>
      </c>
      <c r="B25" s="747"/>
      <c r="C25" s="747"/>
      <c r="D25" s="747"/>
      <c r="E25" s="747"/>
      <c r="F25" s="5">
        <v>2</v>
      </c>
      <c r="G25"/>
      <c r="H25"/>
      <c r="I25"/>
    </row>
    <row r="26" spans="1:9" x14ac:dyDescent="0.3">
      <c r="A26" s="747" t="s">
        <v>416</v>
      </c>
      <c r="B26" s="747"/>
      <c r="C26" s="747"/>
      <c r="D26" s="747"/>
      <c r="E26" s="747"/>
      <c r="F26" s="5">
        <v>3.5</v>
      </c>
      <c r="G26"/>
      <c r="H26"/>
      <c r="I26"/>
    </row>
    <row r="27" spans="1:9" x14ac:dyDescent="0.3">
      <c r="A27" s="747" t="s">
        <v>417</v>
      </c>
      <c r="B27" s="747"/>
      <c r="C27" s="747"/>
      <c r="D27" s="747"/>
      <c r="E27" s="747"/>
      <c r="F27" s="5">
        <v>3.9</v>
      </c>
      <c r="G27"/>
      <c r="H27"/>
      <c r="I27"/>
    </row>
    <row r="28" spans="1:9" x14ac:dyDescent="0.3">
      <c r="A28" s="747" t="s">
        <v>418</v>
      </c>
      <c r="B28" s="747"/>
      <c r="C28" s="747"/>
      <c r="D28" s="747"/>
      <c r="E28" s="747"/>
      <c r="F28" s="5">
        <v>3.3</v>
      </c>
      <c r="G28"/>
      <c r="H28"/>
      <c r="I28"/>
    </row>
    <row r="29" spans="1:9" x14ac:dyDescent="0.3">
      <c r="A29" s="747" t="s">
        <v>419</v>
      </c>
      <c r="B29" s="747"/>
      <c r="C29" s="747"/>
      <c r="D29" s="747"/>
      <c r="E29" s="747"/>
      <c r="F29" s="5">
        <v>4.5</v>
      </c>
      <c r="G29"/>
      <c r="H29"/>
      <c r="I29"/>
    </row>
    <row r="30" spans="1:9" x14ac:dyDescent="0.3">
      <c r="A30" s="747" t="s">
        <v>420</v>
      </c>
      <c r="B30" s="747"/>
      <c r="C30" s="747"/>
      <c r="D30" s="747"/>
      <c r="E30" s="747"/>
      <c r="F30" s="5">
        <v>4.2</v>
      </c>
      <c r="G30"/>
      <c r="H30"/>
      <c r="I30"/>
    </row>
    <row r="31" spans="1:9" x14ac:dyDescent="0.3">
      <c r="A31" s="747" t="s">
        <v>421</v>
      </c>
      <c r="B31" s="747"/>
      <c r="C31" s="747"/>
      <c r="D31" s="747"/>
      <c r="E31" s="747"/>
      <c r="F31" s="5">
        <v>1.7</v>
      </c>
      <c r="G31"/>
      <c r="H31"/>
      <c r="I31"/>
    </row>
    <row r="32" spans="1:9" x14ac:dyDescent="0.3">
      <c r="A32" s="747" t="s">
        <v>422</v>
      </c>
      <c r="B32" s="747"/>
      <c r="C32" s="747"/>
      <c r="D32" s="747"/>
      <c r="E32" s="747"/>
      <c r="F32" s="5">
        <v>2.5</v>
      </c>
      <c r="G32"/>
      <c r="H32"/>
      <c r="I32"/>
    </row>
    <row r="33" spans="1:9" x14ac:dyDescent="0.3">
      <c r="A33" s="747" t="s">
        <v>423</v>
      </c>
      <c r="B33" s="747"/>
      <c r="C33" s="747"/>
      <c r="D33" s="747"/>
      <c r="E33" s="747"/>
      <c r="F33" s="5">
        <v>2.8</v>
      </c>
      <c r="G33"/>
      <c r="H33"/>
      <c r="I33"/>
    </row>
    <row r="34" spans="1:9" x14ac:dyDescent="0.3">
      <c r="A34" s="747" t="s">
        <v>424</v>
      </c>
      <c r="B34" s="747"/>
      <c r="C34" s="747"/>
      <c r="D34" s="747"/>
      <c r="E34" s="747"/>
      <c r="F34" s="5">
        <v>4.4000000000000004</v>
      </c>
      <c r="G34"/>
      <c r="H34"/>
      <c r="I34"/>
    </row>
    <row r="35" spans="1:9" x14ac:dyDescent="0.3">
      <c r="A35" s="747" t="s">
        <v>856</v>
      </c>
      <c r="B35" s="747"/>
      <c r="C35" s="747"/>
      <c r="D35" s="747"/>
      <c r="E35" s="747"/>
      <c r="F35" s="5">
        <v>2.2999999999999998</v>
      </c>
      <c r="G35"/>
      <c r="H35"/>
      <c r="I35"/>
    </row>
    <row r="36" spans="1:9" x14ac:dyDescent="0.3">
      <c r="A36" s="747" t="s">
        <v>425</v>
      </c>
      <c r="B36" s="747"/>
      <c r="C36" s="747"/>
      <c r="D36" s="747"/>
      <c r="E36" s="747"/>
      <c r="F36" s="5">
        <v>3</v>
      </c>
      <c r="G36"/>
      <c r="H36"/>
      <c r="I36"/>
    </row>
    <row r="37" spans="1:9" x14ac:dyDescent="0.3">
      <c r="A37" s="747" t="s">
        <v>426</v>
      </c>
      <c r="B37" s="747"/>
      <c r="C37" s="747"/>
      <c r="D37" s="747"/>
      <c r="E37" s="747"/>
      <c r="F37" s="5">
        <v>2.8</v>
      </c>
      <c r="G37"/>
      <c r="H37"/>
      <c r="I37"/>
    </row>
    <row r="38" spans="1:9" x14ac:dyDescent="0.3">
      <c r="A38" s="747" t="s">
        <v>427</v>
      </c>
      <c r="B38" s="747"/>
      <c r="C38" s="747"/>
      <c r="D38" s="747"/>
      <c r="E38" s="747"/>
      <c r="F38" s="5">
        <v>4.4000000000000004</v>
      </c>
      <c r="G38"/>
      <c r="H38"/>
      <c r="I38"/>
    </row>
    <row r="39" spans="1:9" x14ac:dyDescent="0.3">
      <c r="A39" s="747" t="s">
        <v>428</v>
      </c>
      <c r="B39" s="747"/>
      <c r="C39" s="747"/>
      <c r="D39" s="747"/>
      <c r="E39" s="747"/>
      <c r="F39" s="5">
        <v>3.5</v>
      </c>
      <c r="G39"/>
      <c r="H39"/>
      <c r="I39"/>
    </row>
    <row r="40" spans="1:9" x14ac:dyDescent="0.3">
      <c r="A40" s="747" t="s">
        <v>857</v>
      </c>
      <c r="B40" s="747"/>
      <c r="C40" s="747"/>
      <c r="D40" s="747"/>
      <c r="E40" s="747"/>
      <c r="F40" s="5">
        <v>1.6</v>
      </c>
      <c r="G40"/>
      <c r="H40"/>
      <c r="I40"/>
    </row>
    <row r="41" spans="1:9" x14ac:dyDescent="0.3">
      <c r="A41" s="747" t="s">
        <v>429</v>
      </c>
      <c r="B41" s="747"/>
      <c r="C41" s="747"/>
      <c r="D41" s="747"/>
      <c r="E41" s="747"/>
      <c r="F41" s="5">
        <v>3.6</v>
      </c>
      <c r="G41"/>
      <c r="H41"/>
      <c r="I41"/>
    </row>
    <row r="42" spans="1:9" x14ac:dyDescent="0.3">
      <c r="A42" s="747" t="s">
        <v>431</v>
      </c>
      <c r="B42" s="747"/>
      <c r="C42" s="747"/>
      <c r="D42" s="747"/>
      <c r="E42" s="747"/>
      <c r="F42" s="5">
        <v>1.3</v>
      </c>
      <c r="G42"/>
      <c r="H42"/>
      <c r="I42"/>
    </row>
    <row r="43" spans="1:9" x14ac:dyDescent="0.3">
      <c r="A43" s="747" t="s">
        <v>432</v>
      </c>
      <c r="B43" s="747"/>
      <c r="C43" s="747"/>
      <c r="D43" s="747"/>
      <c r="E43" s="747"/>
      <c r="F43" s="5">
        <v>1.6</v>
      </c>
      <c r="G43"/>
      <c r="H43"/>
      <c r="I43"/>
    </row>
    <row r="44" spans="1:9" x14ac:dyDescent="0.3">
      <c r="A44" s="747" t="s">
        <v>433</v>
      </c>
      <c r="B44" s="747"/>
      <c r="C44" s="747"/>
      <c r="D44" s="747"/>
      <c r="E44" s="747"/>
      <c r="F44" s="5">
        <v>1.8</v>
      </c>
      <c r="G44"/>
      <c r="H44"/>
      <c r="I44"/>
    </row>
    <row r="45" spans="1:9" x14ac:dyDescent="0.3">
      <c r="A45" s="747" t="s">
        <v>434</v>
      </c>
      <c r="B45" s="747"/>
      <c r="C45" s="747"/>
      <c r="D45" s="747"/>
      <c r="E45" s="747"/>
      <c r="F45" s="5">
        <v>1.4</v>
      </c>
      <c r="G45"/>
      <c r="H45"/>
      <c r="I45"/>
    </row>
    <row r="46" spans="1:9" x14ac:dyDescent="0.3">
      <c r="A46" s="747" t="s">
        <v>415</v>
      </c>
      <c r="B46" s="747"/>
      <c r="C46" s="747"/>
      <c r="D46" s="747"/>
      <c r="E46" s="747"/>
      <c r="F46" s="5">
        <v>8.9</v>
      </c>
      <c r="G46"/>
      <c r="H46"/>
      <c r="I46"/>
    </row>
    <row r="47" spans="1:9" x14ac:dyDescent="0.3">
      <c r="A47" s="747" t="s">
        <v>435</v>
      </c>
      <c r="B47" s="747"/>
      <c r="C47" s="747"/>
      <c r="D47" s="747"/>
      <c r="E47" s="747"/>
      <c r="F47" s="5">
        <v>5.4</v>
      </c>
      <c r="G47"/>
      <c r="H47"/>
      <c r="I47"/>
    </row>
    <row r="48" spans="1:9" x14ac:dyDescent="0.3">
      <c r="A48" s="747" t="s">
        <v>436</v>
      </c>
      <c r="B48" s="747"/>
      <c r="C48" s="747"/>
      <c r="D48" s="747"/>
      <c r="E48" s="747"/>
      <c r="F48" s="5">
        <v>3.1</v>
      </c>
      <c r="G48"/>
      <c r="H48"/>
      <c r="I48"/>
    </row>
    <row r="49" spans="1:9" x14ac:dyDescent="0.3">
      <c r="A49" s="747" t="s">
        <v>437</v>
      </c>
      <c r="B49" s="747"/>
      <c r="C49" s="747"/>
      <c r="D49" s="747"/>
      <c r="E49" s="747"/>
      <c r="F49" s="5">
        <v>3.51</v>
      </c>
      <c r="G49"/>
      <c r="H49"/>
      <c r="I49"/>
    </row>
    <row r="50" spans="1:9" x14ac:dyDescent="0.3">
      <c r="A50" s="747" t="s">
        <v>438</v>
      </c>
      <c r="B50" s="747"/>
      <c r="C50" s="747"/>
      <c r="D50" s="747"/>
      <c r="E50" s="747"/>
      <c r="F50" s="5">
        <v>7.93</v>
      </c>
      <c r="G50"/>
      <c r="H50"/>
      <c r="I50"/>
    </row>
    <row r="51" spans="1:9" x14ac:dyDescent="0.3">
      <c r="A51" s="747" t="s">
        <v>439</v>
      </c>
      <c r="B51" s="747"/>
      <c r="C51" s="747"/>
      <c r="D51" s="747"/>
      <c r="E51" s="747"/>
      <c r="F51" s="5">
        <v>6.95</v>
      </c>
      <c r="G51"/>
      <c r="H51"/>
      <c r="I51"/>
    </row>
    <row r="52" spans="1:9" x14ac:dyDescent="0.3">
      <c r="A52" s="747" t="s">
        <v>440</v>
      </c>
      <c r="B52" s="747"/>
      <c r="C52" s="747"/>
      <c r="D52" s="747"/>
      <c r="E52" s="747"/>
      <c r="F52" s="5">
        <v>4.8499999999999996</v>
      </c>
      <c r="G52"/>
      <c r="H52"/>
      <c r="I52"/>
    </row>
    <row r="53" spans="1:9" x14ac:dyDescent="0.3">
      <c r="A53" s="747" t="s">
        <v>441</v>
      </c>
      <c r="B53" s="747"/>
      <c r="C53" s="747"/>
      <c r="D53" s="747"/>
      <c r="E53" s="747"/>
      <c r="F53" s="5">
        <v>4.21</v>
      </c>
      <c r="G53"/>
      <c r="H53"/>
      <c r="I53"/>
    </row>
    <row r="54" spans="1:9" x14ac:dyDescent="0.3">
      <c r="A54" s="747" t="s">
        <v>442</v>
      </c>
      <c r="B54" s="747"/>
      <c r="C54" s="747"/>
      <c r="D54" s="747"/>
      <c r="E54" s="747"/>
      <c r="F54" s="5">
        <v>5.44</v>
      </c>
      <c r="G54"/>
      <c r="H54"/>
      <c r="I54"/>
    </row>
    <row r="55" spans="1:9" x14ac:dyDescent="0.3">
      <c r="A55" s="747" t="s">
        <v>443</v>
      </c>
      <c r="B55" s="747"/>
      <c r="C55" s="747"/>
      <c r="D55" s="747"/>
      <c r="E55" s="747"/>
      <c r="F55" s="5">
        <v>6.96</v>
      </c>
      <c r="G55"/>
      <c r="H55"/>
      <c r="I55"/>
    </row>
    <row r="56" spans="1:9" x14ac:dyDescent="0.3">
      <c r="A56" s="747" t="s">
        <v>444</v>
      </c>
      <c r="B56" s="747"/>
      <c r="C56" s="747"/>
      <c r="D56" s="747"/>
      <c r="E56" s="747"/>
      <c r="F56" s="5">
        <v>8</v>
      </c>
      <c r="G56"/>
      <c r="H56"/>
      <c r="I56"/>
    </row>
    <row r="57" spans="1:9" x14ac:dyDescent="0.3">
      <c r="A57" s="747" t="s">
        <v>445</v>
      </c>
      <c r="B57" s="747"/>
      <c r="C57" s="747"/>
      <c r="D57" s="747"/>
      <c r="E57" s="747"/>
      <c r="F57" s="5">
        <v>4.38</v>
      </c>
      <c r="G57"/>
      <c r="H57"/>
      <c r="I57"/>
    </row>
    <row r="58" spans="1:9" x14ac:dyDescent="0.3">
      <c r="A58" s="747" t="s">
        <v>446</v>
      </c>
      <c r="B58" s="747"/>
      <c r="C58" s="747"/>
      <c r="D58" s="747"/>
      <c r="E58" s="747"/>
      <c r="F58" s="5">
        <v>6.7</v>
      </c>
      <c r="G58"/>
      <c r="H58"/>
      <c r="I58"/>
    </row>
    <row r="59" spans="1:9" x14ac:dyDescent="0.3">
      <c r="A59" s="747" t="s">
        <v>447</v>
      </c>
      <c r="B59" s="747"/>
      <c r="C59" s="747"/>
      <c r="D59" s="747"/>
      <c r="E59" s="747"/>
      <c r="F59" s="5">
        <v>6.34</v>
      </c>
      <c r="G59"/>
      <c r="H59"/>
      <c r="I59"/>
    </row>
    <row r="60" spans="1:9" x14ac:dyDescent="0.3">
      <c r="A60" s="747" t="s">
        <v>448</v>
      </c>
      <c r="B60" s="747"/>
      <c r="C60" s="747"/>
      <c r="D60" s="747"/>
      <c r="E60" s="747"/>
      <c r="F60" s="5">
        <v>8.2100000000000009</v>
      </c>
      <c r="G60"/>
      <c r="H60"/>
      <c r="I60"/>
    </row>
    <row r="61" spans="1:9" x14ac:dyDescent="0.3">
      <c r="A61" s="747" t="s">
        <v>449</v>
      </c>
      <c r="B61" s="747"/>
      <c r="C61" s="747"/>
      <c r="D61" s="747"/>
      <c r="E61" s="747"/>
      <c r="F61" s="5">
        <v>1.42</v>
      </c>
      <c r="G61"/>
      <c r="H61"/>
      <c r="I61"/>
    </row>
    <row r="62" spans="1:9" x14ac:dyDescent="0.3">
      <c r="A62" s="747" t="s">
        <v>450</v>
      </c>
      <c r="B62" s="747"/>
      <c r="C62" s="747"/>
      <c r="D62" s="747"/>
      <c r="E62" s="747"/>
      <c r="F62" s="5">
        <v>9</v>
      </c>
      <c r="G62"/>
      <c r="H62"/>
      <c r="I62"/>
    </row>
    <row r="63" spans="1:9" x14ac:dyDescent="0.3">
      <c r="A63" s="747" t="s">
        <v>451</v>
      </c>
      <c r="B63" s="747"/>
      <c r="C63" s="747"/>
      <c r="D63" s="747"/>
      <c r="E63" s="747"/>
      <c r="F63" s="5">
        <v>5.8</v>
      </c>
      <c r="G63"/>
      <c r="H63"/>
      <c r="I63"/>
    </row>
    <row r="64" spans="1:9" x14ac:dyDescent="0.3">
      <c r="A64" s="747" t="s">
        <v>452</v>
      </c>
      <c r="B64" s="747"/>
      <c r="C64" s="747"/>
      <c r="D64" s="747"/>
      <c r="E64" s="747"/>
      <c r="F64" s="5">
        <v>6.06</v>
      </c>
      <c r="G64"/>
      <c r="H64"/>
      <c r="I64"/>
    </row>
    <row r="65" spans="1:9" x14ac:dyDescent="0.3">
      <c r="A65" s="747" t="s">
        <v>453</v>
      </c>
      <c r="B65" s="747"/>
      <c r="C65" s="747"/>
      <c r="D65" s="747"/>
      <c r="E65" s="747"/>
      <c r="F65" s="5">
        <v>5</v>
      </c>
      <c r="G65"/>
      <c r="H65"/>
      <c r="I65"/>
    </row>
    <row r="66" spans="1:9" x14ac:dyDescent="0.3">
      <c r="A66" s="747" t="s">
        <v>454</v>
      </c>
      <c r="B66" s="747"/>
      <c r="C66" s="747"/>
      <c r="D66" s="747"/>
      <c r="E66" s="747"/>
      <c r="F66" s="5">
        <v>1.57</v>
      </c>
      <c r="G66"/>
      <c r="H66"/>
      <c r="I66"/>
    </row>
    <row r="67" spans="1:9" x14ac:dyDescent="0.3">
      <c r="A67" s="747" t="s">
        <v>455</v>
      </c>
      <c r="B67" s="747"/>
      <c r="C67" s="747"/>
      <c r="D67" s="747"/>
      <c r="E67" s="747"/>
      <c r="F67" s="5">
        <v>1.5</v>
      </c>
      <c r="G67"/>
      <c r="H67"/>
      <c r="I67"/>
    </row>
    <row r="68" spans="1:9" x14ac:dyDescent="0.3">
      <c r="A68" s="747" t="s">
        <v>430</v>
      </c>
      <c r="B68" s="747"/>
      <c r="C68" s="747"/>
      <c r="D68" s="747"/>
      <c r="E68" s="747"/>
      <c r="F68" s="5">
        <v>1.3</v>
      </c>
      <c r="G68"/>
      <c r="H68"/>
      <c r="I68"/>
    </row>
    <row r="69" spans="1:9" x14ac:dyDescent="0.3">
      <c r="A69" s="747" t="s">
        <v>456</v>
      </c>
      <c r="B69" s="747"/>
      <c r="C69" s="747"/>
      <c r="D69" s="747"/>
      <c r="E69" s="747"/>
      <c r="F69" s="5">
        <v>1.64</v>
      </c>
      <c r="G69"/>
      <c r="H69"/>
      <c r="I69"/>
    </row>
    <row r="70" spans="1:9" s="11" customFormat="1" x14ac:dyDescent="0.3">
      <c r="A70" s="756" t="s">
        <v>459</v>
      </c>
      <c r="B70" s="756"/>
      <c r="C70" s="756"/>
      <c r="D70" s="756"/>
      <c r="E70" s="756"/>
      <c r="F70" s="5">
        <v>2.2999999999999998</v>
      </c>
    </row>
    <row r="71" spans="1:9" s="11" customFormat="1" x14ac:dyDescent="0.3">
      <c r="A71" s="756" t="s">
        <v>460</v>
      </c>
      <c r="B71" s="756"/>
      <c r="C71" s="756"/>
      <c r="D71" s="756"/>
      <c r="E71" s="756"/>
      <c r="F71" s="5">
        <v>7.2</v>
      </c>
    </row>
    <row r="72" spans="1:9" s="11" customFormat="1" x14ac:dyDescent="0.3">
      <c r="A72" s="756" t="s">
        <v>461</v>
      </c>
      <c r="B72" s="756"/>
      <c r="C72" s="756"/>
      <c r="D72" s="756"/>
      <c r="E72" s="756"/>
      <c r="F72" s="5">
        <v>8</v>
      </c>
    </row>
    <row r="73" spans="1:9" s="11" customFormat="1" x14ac:dyDescent="0.3">
      <c r="A73" s="756" t="s">
        <v>462</v>
      </c>
      <c r="B73" s="756"/>
      <c r="C73" s="756"/>
      <c r="D73" s="756"/>
      <c r="E73" s="756"/>
      <c r="F73" s="5">
        <v>3.8</v>
      </c>
    </row>
    <row r="74" spans="1:9" s="11" customFormat="1" x14ac:dyDescent="0.3">
      <c r="A74" s="756" t="s">
        <v>463</v>
      </c>
      <c r="B74" s="756"/>
      <c r="C74" s="756"/>
      <c r="D74" s="756"/>
      <c r="E74" s="756"/>
      <c r="F74" s="5">
        <v>2.8</v>
      </c>
    </row>
    <row r="75" spans="1:9" s="11" customFormat="1" x14ac:dyDescent="0.3">
      <c r="A75" s="756" t="s">
        <v>464</v>
      </c>
      <c r="B75" s="756"/>
      <c r="C75" s="756"/>
      <c r="D75" s="756"/>
      <c r="E75" s="756"/>
      <c r="F75" s="5">
        <v>3.5</v>
      </c>
    </row>
    <row r="76" spans="1:9" x14ac:dyDescent="0.3">
      <c r="A76" s="756" t="s">
        <v>465</v>
      </c>
      <c r="B76" s="756"/>
      <c r="C76" s="756"/>
      <c r="D76" s="756"/>
      <c r="E76" s="756"/>
      <c r="F76" s="5">
        <v>4.3</v>
      </c>
      <c r="G76"/>
      <c r="H76"/>
      <c r="I76"/>
    </row>
    <row r="77" spans="1:9" x14ac:dyDescent="0.3">
      <c r="A77" s="756" t="s">
        <v>466</v>
      </c>
      <c r="B77" s="756"/>
      <c r="C77" s="756"/>
      <c r="D77" s="756"/>
      <c r="E77" s="756"/>
      <c r="F77" s="5">
        <v>8</v>
      </c>
      <c r="G77"/>
      <c r="H77"/>
      <c r="I77"/>
    </row>
    <row r="78" spans="1:9" x14ac:dyDescent="0.3">
      <c r="A78" s="756" t="s">
        <v>467</v>
      </c>
      <c r="B78" s="756"/>
      <c r="C78" s="756"/>
      <c r="D78" s="756"/>
      <c r="E78" s="756"/>
      <c r="F78" s="5">
        <v>5</v>
      </c>
      <c r="G78"/>
      <c r="H78"/>
      <c r="I78"/>
    </row>
    <row r="79" spans="1:9" x14ac:dyDescent="0.3">
      <c r="A79" s="756" t="s">
        <v>468</v>
      </c>
      <c r="B79" s="756"/>
      <c r="C79" s="756"/>
      <c r="D79" s="756"/>
      <c r="E79" s="756"/>
      <c r="F79" s="5">
        <v>6</v>
      </c>
      <c r="G79"/>
      <c r="H79"/>
      <c r="I79"/>
    </row>
    <row r="80" spans="1:9" x14ac:dyDescent="0.3">
      <c r="A80" s="756" t="s">
        <v>469</v>
      </c>
      <c r="B80" s="756"/>
      <c r="C80" s="756"/>
      <c r="D80" s="756"/>
      <c r="E80" s="756"/>
      <c r="F80" s="5">
        <v>5</v>
      </c>
      <c r="G80"/>
      <c r="H80"/>
      <c r="I80"/>
    </row>
    <row r="81" spans="1:9" x14ac:dyDescent="0.3">
      <c r="A81" s="756" t="s">
        <v>470</v>
      </c>
      <c r="B81" s="756"/>
      <c r="C81" s="756"/>
      <c r="D81" s="756"/>
      <c r="E81" s="756"/>
      <c r="F81" s="5">
        <v>3.5</v>
      </c>
      <c r="G81"/>
      <c r="H81"/>
      <c r="I81"/>
    </row>
    <row r="82" spans="1:9" x14ac:dyDescent="0.3">
      <c r="A82" s="756" t="s">
        <v>471</v>
      </c>
      <c r="B82" s="756"/>
      <c r="C82" s="756"/>
      <c r="D82" s="756"/>
      <c r="E82" s="756"/>
      <c r="F82" s="5">
        <v>5</v>
      </c>
      <c r="G82"/>
      <c r="H82"/>
      <c r="I82"/>
    </row>
    <row r="83" spans="1:9" x14ac:dyDescent="0.3">
      <c r="A83" s="756" t="s">
        <v>472</v>
      </c>
      <c r="B83" s="756"/>
      <c r="C83" s="756"/>
      <c r="D83" s="756"/>
      <c r="E83" s="756"/>
      <c r="F83" s="5">
        <v>3.8</v>
      </c>
      <c r="G83"/>
      <c r="H83"/>
      <c r="I83"/>
    </row>
    <row r="84" spans="1:9" x14ac:dyDescent="0.3">
      <c r="A84" s="756" t="s">
        <v>473</v>
      </c>
      <c r="B84" s="756"/>
      <c r="C84" s="756"/>
      <c r="D84" s="756"/>
      <c r="E84" s="756"/>
      <c r="F84" s="5">
        <v>9</v>
      </c>
      <c r="G84"/>
      <c r="H84"/>
      <c r="I84"/>
    </row>
    <row r="85" spans="1:9" x14ac:dyDescent="0.3">
      <c r="A85" s="756" t="s">
        <v>474</v>
      </c>
      <c r="B85" s="756"/>
      <c r="C85" s="756"/>
      <c r="D85" s="756"/>
      <c r="E85" s="756"/>
      <c r="F85" s="5">
        <v>12.3</v>
      </c>
      <c r="G85"/>
      <c r="H85"/>
      <c r="I85"/>
    </row>
    <row r="86" spans="1:9" x14ac:dyDescent="0.3">
      <c r="A86" s="756" t="s">
        <v>475</v>
      </c>
      <c r="B86" s="756"/>
      <c r="C86" s="756"/>
      <c r="D86" s="756"/>
      <c r="E86" s="756"/>
      <c r="F86" s="5">
        <v>6</v>
      </c>
      <c r="G86"/>
      <c r="H86"/>
      <c r="I86"/>
    </row>
    <row r="87" spans="1:9" x14ac:dyDescent="0.3">
      <c r="A87" s="756" t="s">
        <v>476</v>
      </c>
      <c r="B87" s="756"/>
      <c r="C87" s="756"/>
      <c r="D87" s="756"/>
      <c r="E87" s="756"/>
      <c r="F87" s="5">
        <v>4.8</v>
      </c>
      <c r="G87"/>
      <c r="H87"/>
      <c r="I87"/>
    </row>
    <row r="88" spans="1:9" x14ac:dyDescent="0.3">
      <c r="A88" s="756" t="s">
        <v>477</v>
      </c>
      <c r="B88" s="756"/>
      <c r="C88" s="756"/>
      <c r="D88" s="756"/>
      <c r="E88" s="756"/>
      <c r="F88" s="5">
        <v>7</v>
      </c>
      <c r="G88"/>
      <c r="H88"/>
      <c r="I88"/>
    </row>
    <row r="89" spans="1:9" x14ac:dyDescent="0.3">
      <c r="A89" s="756" t="s">
        <v>478</v>
      </c>
      <c r="B89" s="756"/>
      <c r="C89" s="756"/>
      <c r="D89" s="756"/>
      <c r="E89" s="756"/>
      <c r="F89" s="5">
        <v>8.5</v>
      </c>
      <c r="G89"/>
      <c r="H89"/>
      <c r="I89"/>
    </row>
    <row r="90" spans="1:9" x14ac:dyDescent="0.3">
      <c r="A90" s="756" t="s">
        <v>479</v>
      </c>
      <c r="B90" s="756"/>
      <c r="C90" s="756"/>
      <c r="D90" s="756"/>
      <c r="E90" s="756"/>
      <c r="F90" s="5">
        <v>12</v>
      </c>
      <c r="G90"/>
      <c r="H90"/>
      <c r="I90"/>
    </row>
    <row r="91" spans="1:9" x14ac:dyDescent="0.3">
      <c r="A91" s="756" t="s">
        <v>480</v>
      </c>
      <c r="B91" s="756"/>
      <c r="C91" s="756"/>
      <c r="D91" s="756"/>
      <c r="E91" s="756"/>
      <c r="F91" s="5">
        <v>6.8</v>
      </c>
      <c r="G91"/>
      <c r="H91"/>
      <c r="I91"/>
    </row>
    <row r="92" spans="1:9" x14ac:dyDescent="0.3">
      <c r="A92" s="756" t="s">
        <v>481</v>
      </c>
      <c r="B92" s="756"/>
      <c r="C92" s="756"/>
      <c r="D92" s="756"/>
      <c r="E92" s="756"/>
      <c r="F92" s="5">
        <v>2.5</v>
      </c>
      <c r="G92"/>
      <c r="H92"/>
      <c r="I92"/>
    </row>
    <row r="93" spans="1:9" x14ac:dyDescent="0.3">
      <c r="A93" s="756" t="s">
        <v>482</v>
      </c>
      <c r="B93" s="756"/>
      <c r="C93" s="756"/>
      <c r="D93" s="756"/>
      <c r="E93" s="756"/>
      <c r="F93" s="5">
        <v>2.2999999999999998</v>
      </c>
      <c r="G93"/>
      <c r="H93"/>
      <c r="I93"/>
    </row>
    <row r="94" spans="1:9" x14ac:dyDescent="0.3">
      <c r="A94" s="756" t="s">
        <v>483</v>
      </c>
      <c r="B94" s="756"/>
      <c r="C94" s="756"/>
      <c r="D94" s="756"/>
      <c r="E94" s="756"/>
      <c r="F94" s="5">
        <v>3</v>
      </c>
      <c r="G94"/>
      <c r="H94"/>
      <c r="I94"/>
    </row>
    <row r="95" spans="1:9" x14ac:dyDescent="0.3">
      <c r="A95" s="756" t="s">
        <v>484</v>
      </c>
      <c r="B95" s="756"/>
      <c r="C95" s="756"/>
      <c r="D95" s="756"/>
      <c r="E95" s="756"/>
      <c r="F95" s="5">
        <v>2.8</v>
      </c>
      <c r="G95"/>
      <c r="H95"/>
      <c r="I95"/>
    </row>
    <row r="96" spans="1:9" x14ac:dyDescent="0.3">
      <c r="A96" s="756" t="s">
        <v>858</v>
      </c>
      <c r="B96" s="756"/>
      <c r="C96" s="756"/>
      <c r="D96" s="756"/>
      <c r="E96" s="756"/>
      <c r="F96" s="5">
        <v>3</v>
      </c>
      <c r="G96"/>
      <c r="H96"/>
      <c r="I96"/>
    </row>
    <row r="97" spans="1:9" x14ac:dyDescent="0.3">
      <c r="A97" s="756" t="s">
        <v>485</v>
      </c>
      <c r="B97" s="756"/>
      <c r="C97" s="756"/>
      <c r="D97" s="756"/>
      <c r="E97" s="756"/>
      <c r="F97" s="5">
        <v>1.3</v>
      </c>
      <c r="G97"/>
      <c r="H97"/>
      <c r="I97"/>
    </row>
    <row r="98" spans="1:9" x14ac:dyDescent="0.3">
      <c r="A98" s="756" t="s">
        <v>486</v>
      </c>
      <c r="B98" s="756"/>
      <c r="C98" s="756"/>
      <c r="D98" s="756"/>
      <c r="E98" s="756"/>
      <c r="F98" s="5">
        <v>2.5</v>
      </c>
      <c r="G98"/>
      <c r="H98"/>
      <c r="I98"/>
    </row>
    <row r="99" spans="1:9" x14ac:dyDescent="0.3">
      <c r="A99" s="756" t="s">
        <v>487</v>
      </c>
      <c r="B99" s="756"/>
      <c r="C99" s="756"/>
      <c r="D99" s="756"/>
      <c r="E99" s="756"/>
      <c r="F99" s="5">
        <v>4</v>
      </c>
      <c r="G99"/>
      <c r="H99"/>
      <c r="I99"/>
    </row>
    <row r="100" spans="1:9" x14ac:dyDescent="0.3">
      <c r="A100" s="756" t="s">
        <v>488</v>
      </c>
      <c r="B100" s="756"/>
      <c r="C100" s="756"/>
      <c r="D100" s="756"/>
      <c r="E100" s="756"/>
      <c r="F100" s="5">
        <v>2</v>
      </c>
      <c r="G100"/>
      <c r="H100"/>
      <c r="I100"/>
    </row>
    <row r="101" spans="1:9" x14ac:dyDescent="0.3">
      <c r="A101" s="756" t="s">
        <v>489</v>
      </c>
      <c r="B101" s="756"/>
      <c r="C101" s="756"/>
      <c r="D101" s="756"/>
      <c r="E101" s="756"/>
      <c r="F101" s="5">
        <v>3.3</v>
      </c>
      <c r="G101"/>
      <c r="H101"/>
      <c r="I101"/>
    </row>
    <row r="102" spans="1:9" x14ac:dyDescent="0.3">
      <c r="A102" s="756" t="s">
        <v>490</v>
      </c>
      <c r="B102" s="756"/>
      <c r="C102" s="756"/>
      <c r="D102" s="756"/>
      <c r="E102" s="756"/>
      <c r="F102" s="5">
        <v>7.3</v>
      </c>
      <c r="G102"/>
      <c r="H102"/>
      <c r="I102"/>
    </row>
    <row r="103" spans="1:9" x14ac:dyDescent="0.3">
      <c r="A103" s="756" t="s">
        <v>491</v>
      </c>
      <c r="B103" s="756"/>
      <c r="C103" s="756"/>
      <c r="D103" s="756"/>
      <c r="E103" s="756"/>
      <c r="F103" s="5">
        <v>5</v>
      </c>
      <c r="G103"/>
      <c r="H103"/>
      <c r="I103"/>
    </row>
    <row r="104" spans="1:9" x14ac:dyDescent="0.3">
      <c r="A104" s="756" t="s">
        <v>492</v>
      </c>
      <c r="B104" s="756"/>
      <c r="C104" s="756"/>
      <c r="D104" s="756"/>
      <c r="E104" s="756"/>
      <c r="F104" s="5">
        <v>7.3</v>
      </c>
      <c r="G104"/>
      <c r="H104"/>
      <c r="I104"/>
    </row>
    <row r="105" spans="1:9" x14ac:dyDescent="0.3">
      <c r="A105" s="756" t="s">
        <v>493</v>
      </c>
      <c r="B105" s="756"/>
      <c r="C105" s="756"/>
      <c r="D105" s="756"/>
      <c r="E105" s="756"/>
      <c r="F105" s="5">
        <v>10</v>
      </c>
      <c r="G105"/>
      <c r="H105"/>
      <c r="I105"/>
    </row>
    <row r="106" spans="1:9" x14ac:dyDescent="0.3">
      <c r="A106" s="756" t="s">
        <v>494</v>
      </c>
      <c r="B106" s="756"/>
      <c r="C106" s="756"/>
      <c r="D106" s="756"/>
      <c r="E106" s="756"/>
      <c r="F106" s="5">
        <v>3.5</v>
      </c>
      <c r="G106"/>
      <c r="H106"/>
      <c r="I106"/>
    </row>
    <row r="107" spans="1:9" x14ac:dyDescent="0.3">
      <c r="A107" s="756" t="s">
        <v>495</v>
      </c>
      <c r="B107" s="756"/>
      <c r="C107" s="756"/>
      <c r="D107" s="756"/>
      <c r="E107" s="756"/>
      <c r="F107" s="5">
        <v>3.5</v>
      </c>
      <c r="G107"/>
      <c r="H107"/>
      <c r="I107"/>
    </row>
    <row r="108" spans="1:9" x14ac:dyDescent="0.3">
      <c r="A108" s="756" t="s">
        <v>496</v>
      </c>
      <c r="B108" s="756"/>
      <c r="C108" s="756"/>
      <c r="D108" s="756"/>
      <c r="E108" s="756"/>
      <c r="F108" s="5">
        <v>2</v>
      </c>
      <c r="G108"/>
      <c r="H108"/>
      <c r="I108"/>
    </row>
    <row r="109" spans="1:9" x14ac:dyDescent="0.3">
      <c r="A109" s="756" t="s">
        <v>497</v>
      </c>
      <c r="B109" s="756"/>
      <c r="C109" s="756"/>
      <c r="D109" s="756"/>
      <c r="E109" s="756"/>
      <c r="F109" s="5">
        <v>2.5</v>
      </c>
      <c r="G109"/>
      <c r="H109"/>
      <c r="I109"/>
    </row>
    <row r="110" spans="1:9" x14ac:dyDescent="0.3">
      <c r="A110" s="756" t="s">
        <v>499</v>
      </c>
      <c r="B110" s="756"/>
      <c r="C110" s="756"/>
      <c r="D110" s="756"/>
      <c r="E110" s="756"/>
      <c r="F110" s="5">
        <v>1</v>
      </c>
      <c r="G110"/>
      <c r="H110"/>
      <c r="I110"/>
    </row>
    <row r="111" spans="1:9" x14ac:dyDescent="0.3">
      <c r="A111" s="756" t="s">
        <v>500</v>
      </c>
      <c r="B111" s="756"/>
      <c r="C111" s="756"/>
      <c r="D111" s="756"/>
      <c r="E111" s="756"/>
      <c r="F111" s="5">
        <v>1.5</v>
      </c>
      <c r="G111"/>
      <c r="H111"/>
      <c r="I111"/>
    </row>
    <row r="112" spans="1:9" x14ac:dyDescent="0.3">
      <c r="A112" s="756" t="s">
        <v>501</v>
      </c>
      <c r="B112" s="756"/>
      <c r="C112" s="756"/>
      <c r="D112" s="756"/>
      <c r="E112" s="756"/>
      <c r="F112" s="5">
        <v>3</v>
      </c>
      <c r="G112"/>
      <c r="H112"/>
      <c r="I112"/>
    </row>
    <row r="113" spans="1:9" x14ac:dyDescent="0.3">
      <c r="A113" s="756" t="s">
        <v>502</v>
      </c>
      <c r="B113" s="756"/>
      <c r="C113" s="756"/>
      <c r="D113" s="756"/>
      <c r="E113" s="756"/>
      <c r="F113" s="5">
        <v>5.3</v>
      </c>
      <c r="G113"/>
      <c r="H113"/>
      <c r="I113"/>
    </row>
    <row r="114" spans="1:9" x14ac:dyDescent="0.3">
      <c r="A114" s="756" t="s">
        <v>503</v>
      </c>
      <c r="B114" s="756"/>
      <c r="C114" s="756"/>
      <c r="D114" s="756"/>
      <c r="E114" s="756"/>
      <c r="F114" s="5">
        <v>5</v>
      </c>
      <c r="G114"/>
      <c r="H114"/>
      <c r="I114"/>
    </row>
    <row r="115" spans="1:9" x14ac:dyDescent="0.3">
      <c r="A115" s="756" t="s">
        <v>504</v>
      </c>
      <c r="B115" s="756"/>
      <c r="C115" s="756"/>
      <c r="D115" s="756"/>
      <c r="E115" s="756"/>
      <c r="F115" s="5">
        <v>5.5</v>
      </c>
      <c r="G115"/>
      <c r="H115"/>
      <c r="I115"/>
    </row>
    <row r="116" spans="1:9" x14ac:dyDescent="0.3">
      <c r="A116" s="756" t="s">
        <v>505</v>
      </c>
      <c r="B116" s="756"/>
      <c r="C116" s="756"/>
      <c r="D116" s="756"/>
      <c r="E116" s="756"/>
      <c r="F116" s="5">
        <v>6.3</v>
      </c>
      <c r="G116"/>
      <c r="H116"/>
      <c r="I116"/>
    </row>
    <row r="117" spans="1:9" x14ac:dyDescent="0.3">
      <c r="A117" s="756" t="s">
        <v>506</v>
      </c>
      <c r="B117" s="756"/>
      <c r="C117" s="756"/>
      <c r="D117" s="756"/>
      <c r="E117" s="756"/>
      <c r="F117" s="5">
        <v>2.5</v>
      </c>
      <c r="G117"/>
      <c r="H117"/>
      <c r="I117"/>
    </row>
    <row r="118" spans="1:9" x14ac:dyDescent="0.3">
      <c r="A118" s="756" t="s">
        <v>507</v>
      </c>
      <c r="B118" s="756"/>
      <c r="C118" s="756"/>
      <c r="D118" s="756"/>
      <c r="E118" s="756"/>
      <c r="F118" s="5">
        <v>4</v>
      </c>
      <c r="G118"/>
      <c r="H118"/>
      <c r="I118"/>
    </row>
    <row r="119" spans="1:9" x14ac:dyDescent="0.3">
      <c r="A119" s="756" t="s">
        <v>508</v>
      </c>
      <c r="B119" s="756"/>
      <c r="C119" s="756"/>
      <c r="D119" s="756"/>
      <c r="E119" s="756"/>
      <c r="F119" s="5">
        <v>3</v>
      </c>
      <c r="G119"/>
      <c r="H119"/>
      <c r="I119"/>
    </row>
    <row r="120" spans="1:9" x14ac:dyDescent="0.3">
      <c r="A120" s="756" t="s">
        <v>509</v>
      </c>
      <c r="B120" s="756"/>
      <c r="C120" s="756"/>
      <c r="D120" s="756"/>
      <c r="E120" s="756"/>
      <c r="F120" s="5">
        <v>3.3</v>
      </c>
      <c r="G120"/>
      <c r="H120"/>
      <c r="I120"/>
    </row>
    <row r="121" spans="1:9" x14ac:dyDescent="0.3">
      <c r="A121" s="756" t="s">
        <v>510</v>
      </c>
      <c r="B121" s="756"/>
      <c r="C121" s="756"/>
      <c r="D121" s="756"/>
      <c r="E121" s="756"/>
      <c r="F121" s="5">
        <v>1.8</v>
      </c>
      <c r="G121"/>
      <c r="H121"/>
      <c r="I121"/>
    </row>
    <row r="122" spans="1:9" x14ac:dyDescent="0.3">
      <c r="A122" s="756" t="s">
        <v>511</v>
      </c>
      <c r="B122" s="756"/>
      <c r="C122" s="756"/>
      <c r="D122" s="756"/>
      <c r="E122" s="756"/>
      <c r="F122" s="5">
        <v>7.8</v>
      </c>
      <c r="G122"/>
      <c r="H122"/>
      <c r="I122"/>
    </row>
    <row r="123" spans="1:9" x14ac:dyDescent="0.3">
      <c r="A123" s="756" t="s">
        <v>512</v>
      </c>
      <c r="B123" s="756"/>
      <c r="C123" s="756"/>
      <c r="D123" s="756"/>
      <c r="E123" s="756"/>
      <c r="F123" s="5">
        <v>8</v>
      </c>
      <c r="G123"/>
      <c r="H123"/>
      <c r="I123"/>
    </row>
    <row r="124" spans="1:9" x14ac:dyDescent="0.3">
      <c r="A124" s="756" t="s">
        <v>513</v>
      </c>
      <c r="B124" s="756"/>
      <c r="C124" s="756"/>
      <c r="D124" s="756"/>
      <c r="E124" s="756"/>
      <c r="F124" s="5">
        <v>6.8</v>
      </c>
      <c r="G124"/>
      <c r="H124"/>
      <c r="I124"/>
    </row>
    <row r="125" spans="1:9" x14ac:dyDescent="0.3">
      <c r="A125" s="756" t="s">
        <v>514</v>
      </c>
      <c r="B125" s="756"/>
      <c r="C125" s="756"/>
      <c r="D125" s="756"/>
      <c r="E125" s="756"/>
      <c r="F125" s="5">
        <v>8</v>
      </c>
      <c r="G125"/>
      <c r="H125"/>
      <c r="I125"/>
    </row>
    <row r="126" spans="1:9" x14ac:dyDescent="0.3">
      <c r="A126" s="756" t="s">
        <v>515</v>
      </c>
      <c r="B126" s="756"/>
      <c r="C126" s="756"/>
      <c r="D126" s="756"/>
      <c r="E126" s="756"/>
      <c r="F126" s="5">
        <v>9</v>
      </c>
      <c r="G126"/>
      <c r="H126"/>
      <c r="I126"/>
    </row>
    <row r="127" spans="1:9" x14ac:dyDescent="0.3">
      <c r="A127" s="756" t="s">
        <v>516</v>
      </c>
      <c r="B127" s="756"/>
      <c r="C127" s="756"/>
      <c r="D127" s="756"/>
      <c r="E127" s="756"/>
      <c r="F127" s="5">
        <v>4</v>
      </c>
      <c r="G127"/>
      <c r="H127"/>
      <c r="I127"/>
    </row>
    <row r="128" spans="1:9" x14ac:dyDescent="0.3">
      <c r="A128" s="756" t="s">
        <v>517</v>
      </c>
      <c r="B128" s="756"/>
      <c r="C128" s="756"/>
      <c r="D128" s="756"/>
      <c r="E128" s="756"/>
      <c r="F128" s="5">
        <v>1.8</v>
      </c>
      <c r="G128"/>
      <c r="H128"/>
      <c r="I128"/>
    </row>
    <row r="129" spans="1:9" x14ac:dyDescent="0.3">
      <c r="A129" s="756" t="s">
        <v>518</v>
      </c>
      <c r="B129" s="756"/>
      <c r="C129" s="756"/>
      <c r="D129" s="756"/>
      <c r="E129" s="756"/>
      <c r="F129" s="5">
        <v>4</v>
      </c>
      <c r="G129"/>
      <c r="H129"/>
      <c r="I129"/>
    </row>
    <row r="130" spans="1:9" x14ac:dyDescent="0.3">
      <c r="A130" s="756" t="s">
        <v>519</v>
      </c>
      <c r="B130" s="756"/>
      <c r="C130" s="756"/>
      <c r="D130" s="756"/>
      <c r="E130" s="756"/>
      <c r="F130" s="5">
        <v>4.3</v>
      </c>
      <c r="G130"/>
      <c r="H130"/>
      <c r="I130"/>
    </row>
    <row r="131" spans="1:9" x14ac:dyDescent="0.3">
      <c r="A131" s="756" t="s">
        <v>520</v>
      </c>
      <c r="B131" s="756"/>
      <c r="C131" s="756"/>
      <c r="D131" s="756"/>
      <c r="E131" s="756"/>
      <c r="F131" s="5">
        <v>2.5</v>
      </c>
      <c r="G131"/>
      <c r="H131"/>
      <c r="I131"/>
    </row>
    <row r="132" spans="1:9" x14ac:dyDescent="0.3">
      <c r="A132" s="756" t="s">
        <v>521</v>
      </c>
      <c r="B132" s="756"/>
      <c r="C132" s="756"/>
      <c r="D132" s="756"/>
      <c r="E132" s="756"/>
      <c r="F132" s="5">
        <v>2.5</v>
      </c>
      <c r="G132"/>
      <c r="H132"/>
      <c r="I132"/>
    </row>
    <row r="133" spans="1:9" x14ac:dyDescent="0.3">
      <c r="A133" s="756" t="s">
        <v>522</v>
      </c>
      <c r="B133" s="756"/>
      <c r="C133" s="756"/>
      <c r="D133" s="756"/>
      <c r="E133" s="756"/>
      <c r="F133" s="5">
        <v>4</v>
      </c>
      <c r="G133"/>
      <c r="H133"/>
      <c r="I133"/>
    </row>
    <row r="134" spans="1:9" x14ac:dyDescent="0.3">
      <c r="A134" s="756" t="s">
        <v>523</v>
      </c>
      <c r="B134" s="756"/>
      <c r="C134" s="756"/>
      <c r="D134" s="756"/>
      <c r="E134" s="756"/>
      <c r="F134" s="5">
        <v>6</v>
      </c>
      <c r="G134"/>
      <c r="H134"/>
      <c r="I134"/>
    </row>
    <row r="135" spans="1:9" x14ac:dyDescent="0.3">
      <c r="A135" s="756" t="s">
        <v>524</v>
      </c>
      <c r="B135" s="756"/>
      <c r="C135" s="756"/>
      <c r="D135" s="756"/>
      <c r="E135" s="756"/>
      <c r="F135" s="5">
        <v>8.3000000000000007</v>
      </c>
      <c r="G135"/>
      <c r="H135"/>
      <c r="I135"/>
    </row>
    <row r="136" spans="1:9" x14ac:dyDescent="0.3">
      <c r="A136" s="756" t="s">
        <v>525</v>
      </c>
      <c r="B136" s="756"/>
      <c r="C136" s="756"/>
      <c r="D136" s="756"/>
      <c r="E136" s="756"/>
      <c r="F136" s="5">
        <v>9</v>
      </c>
      <c r="G136"/>
      <c r="H136"/>
      <c r="I136"/>
    </row>
    <row r="137" spans="1:9" x14ac:dyDescent="0.3">
      <c r="A137" s="756" t="s">
        <v>526</v>
      </c>
      <c r="B137" s="756"/>
      <c r="C137" s="756"/>
      <c r="D137" s="756"/>
      <c r="E137" s="756"/>
      <c r="F137" s="5">
        <v>9.8000000000000007</v>
      </c>
      <c r="G137"/>
      <c r="H137"/>
      <c r="I137"/>
    </row>
    <row r="138" spans="1:9" x14ac:dyDescent="0.3">
      <c r="A138" s="756" t="s">
        <v>527</v>
      </c>
      <c r="B138" s="756"/>
      <c r="C138" s="756"/>
      <c r="D138" s="756"/>
      <c r="E138" s="756"/>
      <c r="F138" s="5">
        <v>10.5</v>
      </c>
      <c r="G138"/>
      <c r="H138"/>
      <c r="I138"/>
    </row>
    <row r="139" spans="1:9" x14ac:dyDescent="0.3">
      <c r="A139" s="756" t="s">
        <v>528</v>
      </c>
      <c r="B139" s="756"/>
      <c r="C139" s="756"/>
      <c r="D139" s="756"/>
      <c r="E139" s="756"/>
      <c r="F139" s="5">
        <v>11</v>
      </c>
      <c r="G139"/>
      <c r="H139"/>
      <c r="I139"/>
    </row>
    <row r="140" spans="1:9" x14ac:dyDescent="0.3">
      <c r="A140" s="756" t="s">
        <v>529</v>
      </c>
      <c r="B140" s="756"/>
      <c r="C140" s="756"/>
      <c r="D140" s="756"/>
      <c r="E140" s="756"/>
      <c r="F140" s="5">
        <v>11.5</v>
      </c>
      <c r="G140"/>
      <c r="H140"/>
      <c r="I140"/>
    </row>
    <row r="141" spans="1:9" x14ac:dyDescent="0.3">
      <c r="A141" s="756" t="s">
        <v>530</v>
      </c>
      <c r="B141" s="756"/>
      <c r="C141" s="756"/>
      <c r="D141" s="756"/>
      <c r="E141" s="756"/>
      <c r="F141" s="5">
        <v>11.8</v>
      </c>
      <c r="G141"/>
      <c r="H141"/>
      <c r="I141"/>
    </row>
    <row r="142" spans="1:9" x14ac:dyDescent="0.3">
      <c r="A142" s="756" t="s">
        <v>531</v>
      </c>
      <c r="B142" s="756"/>
      <c r="C142" s="756"/>
      <c r="D142" s="756"/>
      <c r="E142" s="756"/>
      <c r="F142" s="5">
        <v>12.3</v>
      </c>
      <c r="G142"/>
      <c r="H142"/>
      <c r="I142"/>
    </row>
    <row r="143" spans="1:9" x14ac:dyDescent="0.3">
      <c r="A143" s="756" t="s">
        <v>532</v>
      </c>
      <c r="B143" s="756"/>
      <c r="C143" s="756"/>
      <c r="D143" s="756"/>
      <c r="E143" s="756"/>
      <c r="F143" s="5">
        <v>12.8</v>
      </c>
      <c r="G143"/>
      <c r="H143"/>
      <c r="I143"/>
    </row>
    <row r="144" spans="1:9" x14ac:dyDescent="0.3">
      <c r="A144" s="756" t="s">
        <v>533</v>
      </c>
      <c r="B144" s="756"/>
      <c r="C144" s="756"/>
      <c r="D144" s="756"/>
      <c r="E144" s="756"/>
      <c r="F144" s="5">
        <v>14.5</v>
      </c>
      <c r="G144"/>
      <c r="H144"/>
      <c r="I144"/>
    </row>
    <row r="145" spans="1:9" x14ac:dyDescent="0.3">
      <c r="A145" s="756" t="s">
        <v>534</v>
      </c>
      <c r="B145" s="756"/>
      <c r="C145" s="756"/>
      <c r="D145" s="756"/>
      <c r="E145" s="756"/>
      <c r="F145" s="5">
        <v>16</v>
      </c>
      <c r="G145"/>
      <c r="H145"/>
      <c r="I145"/>
    </row>
    <row r="146" spans="1:9" x14ac:dyDescent="0.3">
      <c r="A146" s="756" t="s">
        <v>535</v>
      </c>
      <c r="B146" s="756"/>
      <c r="C146" s="756"/>
      <c r="D146" s="756"/>
      <c r="E146" s="756"/>
      <c r="F146" s="5">
        <v>19</v>
      </c>
      <c r="G146"/>
      <c r="H146"/>
      <c r="I146"/>
    </row>
    <row r="147" spans="1:9" x14ac:dyDescent="0.3">
      <c r="A147" s="756" t="s">
        <v>536</v>
      </c>
      <c r="B147" s="756"/>
      <c r="C147" s="756"/>
      <c r="D147" s="756"/>
      <c r="E147" s="756"/>
      <c r="F147" s="5">
        <v>19.8</v>
      </c>
      <c r="G147"/>
      <c r="H147"/>
      <c r="I147"/>
    </row>
    <row r="148" spans="1:9" x14ac:dyDescent="0.3">
      <c r="A148" s="756" t="s">
        <v>537</v>
      </c>
      <c r="B148" s="756"/>
      <c r="C148" s="756"/>
      <c r="D148" s="756"/>
      <c r="E148" s="756"/>
      <c r="F148" s="5">
        <v>23</v>
      </c>
      <c r="G148"/>
      <c r="H148"/>
      <c r="I148"/>
    </row>
    <row r="149" spans="1:9" x14ac:dyDescent="0.3">
      <c r="A149" s="756" t="s">
        <v>538</v>
      </c>
      <c r="B149" s="756"/>
      <c r="C149" s="756"/>
      <c r="D149" s="756"/>
      <c r="E149" s="756"/>
      <c r="F149" s="5">
        <v>9</v>
      </c>
      <c r="G149"/>
      <c r="H149"/>
      <c r="I149"/>
    </row>
    <row r="150" spans="1:9" x14ac:dyDescent="0.3">
      <c r="A150" s="756" t="s">
        <v>539</v>
      </c>
      <c r="B150" s="756"/>
      <c r="C150" s="756"/>
      <c r="D150" s="756"/>
      <c r="E150" s="756"/>
      <c r="F150" s="5">
        <v>15</v>
      </c>
      <c r="G150"/>
      <c r="H150"/>
      <c r="I150"/>
    </row>
    <row r="151" spans="1:9" x14ac:dyDescent="0.3">
      <c r="A151" s="756" t="s">
        <v>540</v>
      </c>
      <c r="B151" s="756"/>
      <c r="C151" s="756"/>
      <c r="D151" s="756"/>
      <c r="E151" s="756"/>
      <c r="F151" s="5">
        <v>10</v>
      </c>
      <c r="G151"/>
      <c r="H151"/>
      <c r="I151"/>
    </row>
    <row r="152" spans="1:9" x14ac:dyDescent="0.3">
      <c r="A152" s="756" t="s">
        <v>541</v>
      </c>
      <c r="B152" s="756"/>
      <c r="C152" s="756"/>
      <c r="D152" s="756"/>
      <c r="E152" s="756"/>
      <c r="F152" s="5">
        <v>8</v>
      </c>
      <c r="G152"/>
      <c r="H152"/>
      <c r="I152"/>
    </row>
    <row r="153" spans="1:9" x14ac:dyDescent="0.3">
      <c r="A153" s="756" t="s">
        <v>542</v>
      </c>
      <c r="B153" s="756"/>
      <c r="C153" s="756"/>
      <c r="D153" s="756"/>
      <c r="E153" s="756"/>
      <c r="F153" s="5">
        <v>13.3</v>
      </c>
      <c r="G153"/>
      <c r="H153"/>
      <c r="I153"/>
    </row>
    <row r="154" spans="1:9" x14ac:dyDescent="0.3">
      <c r="A154" s="756" t="s">
        <v>543</v>
      </c>
      <c r="B154" s="756"/>
      <c r="C154" s="756"/>
      <c r="D154" s="756"/>
      <c r="E154" s="756"/>
      <c r="F154" s="5">
        <v>8</v>
      </c>
      <c r="G154"/>
      <c r="H154"/>
      <c r="I154"/>
    </row>
    <row r="155" spans="1:9" x14ac:dyDescent="0.3">
      <c r="A155" s="756" t="s">
        <v>544</v>
      </c>
      <c r="B155" s="756"/>
      <c r="C155" s="756"/>
      <c r="D155" s="756"/>
      <c r="E155" s="756"/>
      <c r="F155" s="5">
        <v>6.5</v>
      </c>
      <c r="G155"/>
      <c r="H155"/>
      <c r="I155"/>
    </row>
    <row r="156" spans="1:9" x14ac:dyDescent="0.3">
      <c r="A156" s="756" t="s">
        <v>545</v>
      </c>
      <c r="B156" s="756"/>
      <c r="C156" s="756"/>
      <c r="D156" s="756"/>
      <c r="E156" s="756"/>
      <c r="F156" s="5">
        <v>7</v>
      </c>
      <c r="G156"/>
      <c r="H156"/>
      <c r="I156"/>
    </row>
    <row r="157" spans="1:9" x14ac:dyDescent="0.3">
      <c r="A157" s="756" t="s">
        <v>546</v>
      </c>
      <c r="B157" s="756"/>
      <c r="C157" s="756"/>
      <c r="D157" s="756"/>
      <c r="E157" s="756"/>
      <c r="F157" s="5">
        <v>4.5</v>
      </c>
      <c r="G157"/>
      <c r="H157"/>
      <c r="I157"/>
    </row>
    <row r="158" spans="1:9" x14ac:dyDescent="0.3">
      <c r="A158" s="756" t="s">
        <v>547</v>
      </c>
      <c r="B158" s="756"/>
      <c r="C158" s="756"/>
      <c r="D158" s="756"/>
      <c r="E158" s="756"/>
      <c r="F158" s="5">
        <v>7.8</v>
      </c>
      <c r="G158"/>
      <c r="H158"/>
      <c r="I158"/>
    </row>
    <row r="159" spans="1:9" x14ac:dyDescent="0.3">
      <c r="A159" s="756" t="s">
        <v>548</v>
      </c>
      <c r="B159" s="756"/>
      <c r="C159" s="756"/>
      <c r="D159" s="756"/>
      <c r="E159" s="756"/>
      <c r="F159" s="5">
        <v>2.5</v>
      </c>
      <c r="G159"/>
      <c r="H159"/>
      <c r="I159"/>
    </row>
    <row r="160" spans="1:9" x14ac:dyDescent="0.3">
      <c r="A160" s="756" t="s">
        <v>549</v>
      </c>
      <c r="B160" s="756"/>
      <c r="C160" s="756"/>
      <c r="D160" s="756"/>
      <c r="E160" s="756"/>
      <c r="F160" s="5">
        <v>3.8</v>
      </c>
      <c r="G160"/>
      <c r="H160"/>
      <c r="I160"/>
    </row>
    <row r="161" spans="1:9" x14ac:dyDescent="0.3">
      <c r="A161" s="756" t="s">
        <v>550</v>
      </c>
      <c r="B161" s="756"/>
      <c r="C161" s="756"/>
      <c r="D161" s="756"/>
      <c r="E161" s="756"/>
      <c r="F161" s="5">
        <v>12.8</v>
      </c>
      <c r="G161"/>
      <c r="H161"/>
      <c r="I161"/>
    </row>
    <row r="162" spans="1:9" x14ac:dyDescent="0.3">
      <c r="A162" s="756" t="s">
        <v>551</v>
      </c>
      <c r="B162" s="756"/>
      <c r="C162" s="756"/>
      <c r="D162" s="756"/>
      <c r="E162" s="756"/>
      <c r="F162" s="5">
        <v>5.5</v>
      </c>
      <c r="G162"/>
      <c r="H162"/>
      <c r="I162"/>
    </row>
    <row r="163" spans="1:9" x14ac:dyDescent="0.3">
      <c r="A163" s="756" t="s">
        <v>552</v>
      </c>
      <c r="B163" s="756"/>
      <c r="C163" s="756"/>
      <c r="D163" s="756"/>
      <c r="E163" s="756"/>
      <c r="F163" s="5">
        <v>7.8</v>
      </c>
      <c r="G163"/>
      <c r="H163"/>
      <c r="I163"/>
    </row>
    <row r="164" spans="1:9" x14ac:dyDescent="0.3">
      <c r="A164" s="756" t="s">
        <v>553</v>
      </c>
      <c r="B164" s="756"/>
      <c r="C164" s="756"/>
      <c r="D164" s="756"/>
      <c r="E164" s="756"/>
      <c r="F164" s="5">
        <v>6</v>
      </c>
      <c r="G164"/>
      <c r="H164"/>
      <c r="I164"/>
    </row>
    <row r="165" spans="1:9" x14ac:dyDescent="0.3">
      <c r="A165" s="756" t="s">
        <v>554</v>
      </c>
      <c r="B165" s="756"/>
      <c r="C165" s="756"/>
      <c r="D165" s="756"/>
      <c r="E165" s="756"/>
      <c r="F165" s="5">
        <v>4</v>
      </c>
      <c r="G165"/>
      <c r="H165"/>
      <c r="I165"/>
    </row>
    <row r="166" spans="1:9" x14ac:dyDescent="0.3">
      <c r="A166" s="756" t="s">
        <v>555</v>
      </c>
      <c r="B166" s="756"/>
      <c r="C166" s="756"/>
      <c r="D166" s="756"/>
      <c r="E166" s="756"/>
      <c r="F166" s="5">
        <v>8</v>
      </c>
      <c r="G166"/>
      <c r="H166"/>
      <c r="I166"/>
    </row>
    <row r="167" spans="1:9" x14ac:dyDescent="0.3">
      <c r="A167" s="756" t="s">
        <v>556</v>
      </c>
      <c r="B167" s="756"/>
      <c r="C167" s="756"/>
      <c r="D167" s="756"/>
      <c r="E167" s="756"/>
      <c r="F167" s="5">
        <v>10</v>
      </c>
      <c r="G167"/>
      <c r="H167"/>
      <c r="I167"/>
    </row>
    <row r="168" spans="1:9" x14ac:dyDescent="0.3">
      <c r="A168" s="756" t="s">
        <v>557</v>
      </c>
      <c r="B168" s="756"/>
      <c r="C168" s="756"/>
      <c r="D168" s="756"/>
      <c r="E168" s="756"/>
      <c r="F168" s="5">
        <v>7</v>
      </c>
      <c r="G168"/>
      <c r="H168"/>
      <c r="I168"/>
    </row>
    <row r="169" spans="1:9" x14ac:dyDescent="0.3">
      <c r="A169" s="756" t="s">
        <v>558</v>
      </c>
      <c r="B169" s="756"/>
      <c r="C169" s="756"/>
      <c r="D169" s="756"/>
      <c r="E169" s="756"/>
      <c r="F169" s="5">
        <v>8</v>
      </c>
      <c r="G169"/>
      <c r="H169"/>
      <c r="I169"/>
    </row>
    <row r="170" spans="1:9" x14ac:dyDescent="0.3">
      <c r="A170" s="756" t="s">
        <v>559</v>
      </c>
      <c r="B170" s="756"/>
      <c r="C170" s="756"/>
      <c r="D170" s="756"/>
      <c r="E170" s="756"/>
      <c r="F170" s="5">
        <v>4</v>
      </c>
      <c r="G170"/>
      <c r="H170"/>
      <c r="I170"/>
    </row>
    <row r="171" spans="1:9" x14ac:dyDescent="0.3">
      <c r="A171" s="756" t="s">
        <v>560</v>
      </c>
      <c r="B171" s="756"/>
      <c r="C171" s="756"/>
      <c r="D171" s="756"/>
      <c r="E171" s="756"/>
      <c r="F171" s="5">
        <v>2.5</v>
      </c>
      <c r="G171"/>
      <c r="H171"/>
      <c r="I171"/>
    </row>
    <row r="172" spans="1:9" x14ac:dyDescent="0.3">
      <c r="A172" s="756" t="s">
        <v>561</v>
      </c>
      <c r="B172" s="756"/>
      <c r="C172" s="756"/>
      <c r="D172" s="756"/>
      <c r="E172" s="756"/>
      <c r="F172" s="5">
        <v>4.8</v>
      </c>
      <c r="G172"/>
      <c r="H172"/>
      <c r="I172"/>
    </row>
    <row r="173" spans="1:9" x14ac:dyDescent="0.3">
      <c r="A173" s="756" t="s">
        <v>562</v>
      </c>
      <c r="B173" s="756"/>
      <c r="C173" s="756"/>
      <c r="D173" s="756"/>
      <c r="E173" s="756"/>
      <c r="F173" s="5">
        <v>3.8</v>
      </c>
      <c r="G173"/>
      <c r="H173"/>
      <c r="I173"/>
    </row>
    <row r="174" spans="1:9" x14ac:dyDescent="0.3">
      <c r="A174" s="756" t="s">
        <v>563</v>
      </c>
      <c r="B174" s="756"/>
      <c r="C174" s="756"/>
      <c r="D174" s="756"/>
      <c r="E174" s="756"/>
      <c r="F174" s="5">
        <v>12</v>
      </c>
      <c r="G174"/>
      <c r="H174"/>
      <c r="I174"/>
    </row>
    <row r="175" spans="1:9" x14ac:dyDescent="0.3">
      <c r="A175" s="756" t="s">
        <v>564</v>
      </c>
      <c r="B175" s="756"/>
      <c r="C175" s="756"/>
      <c r="D175" s="756"/>
      <c r="E175" s="756"/>
      <c r="F175" s="5">
        <v>8</v>
      </c>
      <c r="G175"/>
      <c r="H175"/>
      <c r="I175"/>
    </row>
    <row r="176" spans="1:9" x14ac:dyDescent="0.3">
      <c r="A176" s="756" t="s">
        <v>565</v>
      </c>
      <c r="B176" s="756"/>
      <c r="C176" s="756"/>
      <c r="D176" s="756"/>
      <c r="E176" s="756"/>
      <c r="F176" s="5">
        <v>7.8</v>
      </c>
      <c r="G176"/>
      <c r="H176"/>
      <c r="I176"/>
    </row>
    <row r="177" spans="1:9" x14ac:dyDescent="0.3">
      <c r="A177" s="756" t="s">
        <v>566</v>
      </c>
      <c r="B177" s="756"/>
      <c r="C177" s="756"/>
      <c r="D177" s="756"/>
      <c r="E177" s="756"/>
      <c r="F177" s="5">
        <v>8</v>
      </c>
      <c r="G177"/>
      <c r="H177"/>
      <c r="I177"/>
    </row>
    <row r="178" spans="1:9" x14ac:dyDescent="0.3">
      <c r="A178" s="756" t="s">
        <v>567</v>
      </c>
      <c r="B178" s="756"/>
      <c r="C178" s="756"/>
      <c r="D178" s="756"/>
      <c r="E178" s="756"/>
      <c r="F178" s="5">
        <v>7.5</v>
      </c>
      <c r="G178"/>
      <c r="H178"/>
      <c r="I178"/>
    </row>
    <row r="179" spans="1:9" x14ac:dyDescent="0.3">
      <c r="A179" s="756" t="s">
        <v>568</v>
      </c>
      <c r="B179" s="756"/>
      <c r="C179" s="756"/>
      <c r="D179" s="756"/>
      <c r="E179" s="756"/>
      <c r="F179" s="5">
        <v>5.8</v>
      </c>
      <c r="G179"/>
      <c r="H179"/>
      <c r="I179"/>
    </row>
    <row r="180" spans="1:9" x14ac:dyDescent="0.3">
      <c r="A180" s="756" t="s">
        <v>569</v>
      </c>
      <c r="B180" s="756"/>
      <c r="C180" s="756"/>
      <c r="D180" s="756"/>
      <c r="E180" s="756"/>
      <c r="F180" s="5">
        <v>11.8</v>
      </c>
      <c r="G180"/>
      <c r="H180"/>
      <c r="I180"/>
    </row>
    <row r="181" spans="1:9" x14ac:dyDescent="0.3">
      <c r="A181" s="756" t="s">
        <v>570</v>
      </c>
      <c r="B181" s="756"/>
      <c r="C181" s="756"/>
      <c r="D181" s="756"/>
      <c r="E181" s="756"/>
      <c r="F181" s="5">
        <v>8.3000000000000007</v>
      </c>
      <c r="G181"/>
      <c r="H181"/>
      <c r="I181"/>
    </row>
    <row r="182" spans="1:9" x14ac:dyDescent="0.3">
      <c r="A182" s="756" t="s">
        <v>571</v>
      </c>
      <c r="B182" s="756"/>
      <c r="C182" s="756"/>
      <c r="D182" s="756"/>
      <c r="E182" s="756"/>
      <c r="F182" s="5">
        <v>6.3</v>
      </c>
      <c r="G182"/>
      <c r="H182"/>
      <c r="I182"/>
    </row>
    <row r="183" spans="1:9" x14ac:dyDescent="0.3">
      <c r="A183" s="756" t="s">
        <v>572</v>
      </c>
      <c r="B183" s="756"/>
      <c r="C183" s="756"/>
      <c r="D183" s="756"/>
      <c r="E183" s="756"/>
      <c r="F183" s="5">
        <v>6</v>
      </c>
      <c r="G183"/>
      <c r="H183"/>
      <c r="I183"/>
    </row>
    <row r="184" spans="1:9" x14ac:dyDescent="0.3">
      <c r="A184" s="756" t="s">
        <v>573</v>
      </c>
      <c r="B184" s="756"/>
      <c r="C184" s="756"/>
      <c r="D184" s="756"/>
      <c r="E184" s="756"/>
      <c r="F184" s="5">
        <v>5</v>
      </c>
      <c r="G184"/>
      <c r="H184"/>
      <c r="I184"/>
    </row>
    <row r="185" spans="1:9" x14ac:dyDescent="0.3">
      <c r="A185" s="756" t="s">
        <v>574</v>
      </c>
      <c r="B185" s="756"/>
      <c r="C185" s="756"/>
      <c r="D185" s="756"/>
      <c r="E185" s="756"/>
      <c r="F185" s="5">
        <v>7.5</v>
      </c>
      <c r="G185"/>
      <c r="H185"/>
      <c r="I185"/>
    </row>
    <row r="186" spans="1:9" x14ac:dyDescent="0.3">
      <c r="A186" s="756" t="s">
        <v>575</v>
      </c>
      <c r="B186" s="756"/>
      <c r="C186" s="756"/>
      <c r="D186" s="756"/>
      <c r="E186" s="756"/>
      <c r="F186" s="5">
        <v>7</v>
      </c>
      <c r="G186"/>
      <c r="H186"/>
      <c r="I186"/>
    </row>
    <row r="187" spans="1:9" x14ac:dyDescent="0.3">
      <c r="A187" s="756" t="s">
        <v>576</v>
      </c>
      <c r="B187" s="756"/>
      <c r="C187" s="756"/>
      <c r="D187" s="756"/>
      <c r="E187" s="756"/>
      <c r="F187" s="5">
        <v>9.8000000000000007</v>
      </c>
      <c r="G187"/>
      <c r="H187"/>
      <c r="I187"/>
    </row>
    <row r="188" spans="1:9" x14ac:dyDescent="0.3">
      <c r="A188" s="756" t="s">
        <v>577</v>
      </c>
      <c r="B188" s="756"/>
      <c r="C188" s="756"/>
      <c r="D188" s="756"/>
      <c r="E188" s="756"/>
      <c r="F188" s="5">
        <v>12.3</v>
      </c>
      <c r="G188"/>
      <c r="H188"/>
      <c r="I188"/>
    </row>
    <row r="189" spans="1:9" x14ac:dyDescent="0.3">
      <c r="A189" s="756" t="s">
        <v>578</v>
      </c>
      <c r="B189" s="756"/>
      <c r="C189" s="756"/>
      <c r="D189" s="756"/>
      <c r="E189" s="756"/>
      <c r="F189" s="5">
        <v>14</v>
      </c>
      <c r="G189"/>
      <c r="H189"/>
      <c r="I189"/>
    </row>
    <row r="190" spans="1:9" x14ac:dyDescent="0.3">
      <c r="A190" s="756" t="s">
        <v>579</v>
      </c>
      <c r="B190" s="756"/>
      <c r="C190" s="756"/>
      <c r="D190" s="756"/>
      <c r="E190" s="756"/>
      <c r="F190" s="5">
        <v>3.5</v>
      </c>
      <c r="G190"/>
      <c r="H190"/>
      <c r="I190"/>
    </row>
    <row r="191" spans="1:9" x14ac:dyDescent="0.3">
      <c r="A191" s="756" t="s">
        <v>580</v>
      </c>
      <c r="B191" s="756"/>
      <c r="C191" s="756"/>
      <c r="D191" s="756"/>
      <c r="E191" s="756"/>
      <c r="F191" s="5">
        <v>5</v>
      </c>
      <c r="G191"/>
      <c r="H191"/>
      <c r="I191"/>
    </row>
    <row r="192" spans="1:9" x14ac:dyDescent="0.3">
      <c r="A192" s="756" t="s">
        <v>581</v>
      </c>
      <c r="B192" s="756"/>
      <c r="C192" s="756"/>
      <c r="D192" s="756"/>
      <c r="E192" s="756"/>
      <c r="F192" s="5">
        <v>4</v>
      </c>
      <c r="G192"/>
      <c r="H192"/>
      <c r="I192"/>
    </row>
    <row r="193" spans="1:9" x14ac:dyDescent="0.3">
      <c r="A193" s="756" t="s">
        <v>582</v>
      </c>
      <c r="B193" s="756"/>
      <c r="C193" s="756"/>
      <c r="D193" s="756"/>
      <c r="E193" s="756"/>
      <c r="F193" s="5">
        <v>3</v>
      </c>
      <c r="G193"/>
      <c r="H193"/>
      <c r="I193"/>
    </row>
    <row r="194" spans="1:9" x14ac:dyDescent="0.3">
      <c r="A194" s="756" t="s">
        <v>583</v>
      </c>
      <c r="B194" s="756"/>
      <c r="C194" s="756"/>
      <c r="D194" s="756"/>
      <c r="E194" s="756"/>
      <c r="F194" s="5">
        <v>7.3</v>
      </c>
      <c r="G194"/>
      <c r="H194"/>
      <c r="I194"/>
    </row>
    <row r="195" spans="1:9" x14ac:dyDescent="0.3">
      <c r="A195" s="756" t="s">
        <v>584</v>
      </c>
      <c r="B195" s="756"/>
      <c r="C195" s="756"/>
      <c r="D195" s="756"/>
      <c r="E195" s="756"/>
      <c r="F195" s="5">
        <v>6</v>
      </c>
      <c r="G195"/>
      <c r="H195"/>
      <c r="I195"/>
    </row>
    <row r="196" spans="1:9" x14ac:dyDescent="0.3">
      <c r="A196" s="756" t="s">
        <v>585</v>
      </c>
      <c r="B196" s="756"/>
      <c r="C196" s="756"/>
      <c r="D196" s="756"/>
      <c r="E196" s="756"/>
      <c r="F196" s="5">
        <v>8</v>
      </c>
      <c r="G196"/>
      <c r="H196"/>
      <c r="I196"/>
    </row>
    <row r="197" spans="1:9" x14ac:dyDescent="0.3">
      <c r="A197" s="756" t="s">
        <v>586</v>
      </c>
      <c r="B197" s="756"/>
      <c r="C197" s="756"/>
      <c r="D197" s="756"/>
      <c r="E197" s="756"/>
      <c r="F197" s="5">
        <v>3.5</v>
      </c>
      <c r="G197"/>
      <c r="H197"/>
      <c r="I197"/>
    </row>
    <row r="198" spans="1:9" x14ac:dyDescent="0.3">
      <c r="A198" s="756" t="s">
        <v>587</v>
      </c>
      <c r="B198" s="756"/>
      <c r="C198" s="756"/>
      <c r="D198" s="756"/>
      <c r="E198" s="756"/>
      <c r="F198" s="5">
        <v>4.5</v>
      </c>
      <c r="G198"/>
      <c r="H198"/>
      <c r="I198"/>
    </row>
    <row r="199" spans="1:9" x14ac:dyDescent="0.3">
      <c r="A199" s="756" t="s">
        <v>588</v>
      </c>
      <c r="B199" s="756"/>
      <c r="C199" s="756"/>
      <c r="D199" s="756"/>
      <c r="E199" s="756"/>
      <c r="F199" s="5">
        <v>4</v>
      </c>
      <c r="G199"/>
      <c r="H199"/>
      <c r="I199"/>
    </row>
    <row r="200" spans="1:9" x14ac:dyDescent="0.3">
      <c r="A200" s="756" t="s">
        <v>589</v>
      </c>
      <c r="B200" s="756"/>
      <c r="C200" s="756"/>
      <c r="D200" s="756"/>
      <c r="E200" s="756"/>
      <c r="F200" s="5">
        <v>6</v>
      </c>
      <c r="G200"/>
      <c r="H200"/>
      <c r="I200"/>
    </row>
    <row r="201" spans="1:9" x14ac:dyDescent="0.3">
      <c r="A201" s="756" t="s">
        <v>590</v>
      </c>
      <c r="B201" s="756"/>
      <c r="C201" s="756"/>
      <c r="D201" s="756"/>
      <c r="E201" s="756"/>
      <c r="F201" s="5">
        <v>3</v>
      </c>
      <c r="G201"/>
      <c r="H201"/>
      <c r="I201"/>
    </row>
    <row r="202" spans="1:9" x14ac:dyDescent="0.3">
      <c r="A202" s="756" t="s">
        <v>591</v>
      </c>
      <c r="B202" s="756"/>
      <c r="C202" s="756"/>
      <c r="D202" s="756"/>
      <c r="E202" s="756"/>
      <c r="F202" s="5">
        <v>8</v>
      </c>
      <c r="G202"/>
      <c r="H202"/>
      <c r="I202"/>
    </row>
    <row r="203" spans="1:9" x14ac:dyDescent="0.3">
      <c r="A203" s="756" t="s">
        <v>592</v>
      </c>
      <c r="B203" s="756"/>
      <c r="C203" s="756"/>
      <c r="D203" s="756"/>
      <c r="E203" s="756"/>
      <c r="F203" s="5">
        <v>6</v>
      </c>
      <c r="G203"/>
      <c r="H203"/>
      <c r="I203"/>
    </row>
    <row r="204" spans="1:9" x14ac:dyDescent="0.3">
      <c r="A204" s="757" t="s">
        <v>593</v>
      </c>
      <c r="B204" s="758"/>
      <c r="C204" s="758"/>
      <c r="D204" s="758"/>
      <c r="E204" s="759"/>
      <c r="F204" s="5">
        <v>7</v>
      </c>
      <c r="G204"/>
      <c r="H204"/>
      <c r="I204"/>
    </row>
    <row r="205" spans="1:9" x14ac:dyDescent="0.3">
      <c r="A205" s="756" t="s">
        <v>594</v>
      </c>
      <c r="B205" s="756"/>
      <c r="C205" s="756"/>
      <c r="D205" s="756"/>
      <c r="E205" s="756"/>
      <c r="F205" s="5">
        <v>4</v>
      </c>
      <c r="G205"/>
      <c r="H205"/>
      <c r="I205"/>
    </row>
    <row r="206" spans="1:9" x14ac:dyDescent="0.3">
      <c r="A206" s="756" t="s">
        <v>595</v>
      </c>
      <c r="B206" s="756"/>
      <c r="C206" s="756"/>
      <c r="D206" s="756"/>
      <c r="E206" s="756"/>
      <c r="F206" s="5">
        <v>6</v>
      </c>
      <c r="G206"/>
      <c r="H206"/>
      <c r="I206"/>
    </row>
    <row r="207" spans="1:9" x14ac:dyDescent="0.3">
      <c r="A207" s="756" t="s">
        <v>596</v>
      </c>
      <c r="B207" s="756"/>
      <c r="C207" s="756"/>
      <c r="D207" s="756"/>
      <c r="E207" s="756"/>
      <c r="F207" s="5">
        <v>10</v>
      </c>
      <c r="G207"/>
      <c r="H207"/>
      <c r="I207"/>
    </row>
    <row r="208" spans="1:9" x14ac:dyDescent="0.3">
      <c r="A208" s="756" t="s">
        <v>597</v>
      </c>
      <c r="B208" s="756"/>
      <c r="C208" s="756"/>
      <c r="D208" s="756"/>
      <c r="E208" s="756"/>
      <c r="F208" s="5">
        <v>3.5</v>
      </c>
      <c r="G208"/>
      <c r="H208"/>
      <c r="I208"/>
    </row>
    <row r="209" spans="1:9" x14ac:dyDescent="0.3">
      <c r="A209" s="756" t="s">
        <v>598</v>
      </c>
      <c r="B209" s="756"/>
      <c r="C209" s="756"/>
      <c r="D209" s="756"/>
      <c r="E209" s="756"/>
      <c r="F209" s="5">
        <v>3.5</v>
      </c>
      <c r="G209"/>
      <c r="H209"/>
      <c r="I209"/>
    </row>
    <row r="210" spans="1:9" x14ac:dyDescent="0.3">
      <c r="A210" s="756" t="s">
        <v>599</v>
      </c>
      <c r="B210" s="756"/>
      <c r="C210" s="756"/>
      <c r="D210" s="756"/>
      <c r="E210" s="756"/>
      <c r="F210" s="5">
        <v>7</v>
      </c>
      <c r="G210"/>
      <c r="H210"/>
      <c r="I210"/>
    </row>
    <row r="211" spans="1:9" x14ac:dyDescent="0.3">
      <c r="A211" s="756" t="s">
        <v>600</v>
      </c>
      <c r="B211" s="756"/>
      <c r="C211" s="756"/>
      <c r="D211" s="756"/>
      <c r="E211" s="756"/>
      <c r="F211" s="5">
        <v>7.8</v>
      </c>
      <c r="G211"/>
      <c r="H211"/>
      <c r="I211"/>
    </row>
    <row r="212" spans="1:9" x14ac:dyDescent="0.3">
      <c r="A212" s="756" t="s">
        <v>601</v>
      </c>
      <c r="B212" s="756"/>
      <c r="C212" s="756"/>
      <c r="D212" s="756"/>
      <c r="E212" s="756"/>
      <c r="F212" s="5">
        <v>3.8</v>
      </c>
      <c r="G212"/>
      <c r="H212"/>
      <c r="I212"/>
    </row>
    <row r="213" spans="1:9" x14ac:dyDescent="0.3">
      <c r="A213" s="756" t="s">
        <v>602</v>
      </c>
      <c r="B213" s="756"/>
      <c r="C213" s="756"/>
      <c r="D213" s="756"/>
      <c r="E213" s="756"/>
      <c r="F213" s="5">
        <v>8</v>
      </c>
      <c r="G213"/>
      <c r="H213"/>
      <c r="I213"/>
    </row>
    <row r="214" spans="1:9" x14ac:dyDescent="0.3">
      <c r="A214" s="756" t="s">
        <v>603</v>
      </c>
      <c r="B214" s="756"/>
      <c r="C214" s="756"/>
      <c r="D214" s="756"/>
      <c r="E214" s="756"/>
      <c r="F214" s="5">
        <v>3</v>
      </c>
      <c r="G214"/>
      <c r="H214"/>
      <c r="I214"/>
    </row>
    <row r="215" spans="1:9" x14ac:dyDescent="0.3">
      <c r="A215" s="756" t="s">
        <v>604</v>
      </c>
      <c r="B215" s="756"/>
      <c r="C215" s="756"/>
      <c r="D215" s="756"/>
      <c r="E215" s="756"/>
      <c r="F215" s="5">
        <v>3</v>
      </c>
      <c r="G215"/>
      <c r="H215"/>
      <c r="I215"/>
    </row>
    <row r="216" spans="1:9" x14ac:dyDescent="0.3">
      <c r="A216" s="756" t="s">
        <v>605</v>
      </c>
      <c r="B216" s="756"/>
      <c r="C216" s="756"/>
      <c r="D216" s="756"/>
      <c r="E216" s="756"/>
      <c r="F216" s="5">
        <v>5</v>
      </c>
      <c r="G216"/>
      <c r="H216"/>
      <c r="I216"/>
    </row>
    <row r="217" spans="1:9" x14ac:dyDescent="0.3">
      <c r="A217" s="756" t="s">
        <v>606</v>
      </c>
      <c r="B217" s="756"/>
      <c r="C217" s="756"/>
      <c r="D217" s="756"/>
      <c r="E217" s="756"/>
      <c r="F217" s="5">
        <v>4</v>
      </c>
      <c r="G217"/>
      <c r="H217"/>
      <c r="I217"/>
    </row>
    <row r="218" spans="1:9" x14ac:dyDescent="0.3">
      <c r="A218" s="756" t="s">
        <v>607</v>
      </c>
      <c r="B218" s="756"/>
      <c r="C218" s="756"/>
      <c r="D218" s="756"/>
      <c r="E218" s="756"/>
      <c r="F218" s="5">
        <v>3</v>
      </c>
      <c r="G218"/>
      <c r="H218"/>
      <c r="I218"/>
    </row>
    <row r="219" spans="1:9" x14ac:dyDescent="0.3">
      <c r="A219" s="756" t="s">
        <v>608</v>
      </c>
      <c r="B219" s="756"/>
      <c r="C219" s="756"/>
      <c r="D219" s="756"/>
      <c r="E219" s="756"/>
      <c r="F219" s="5">
        <v>3.3</v>
      </c>
      <c r="G219"/>
      <c r="H219"/>
      <c r="I219"/>
    </row>
    <row r="220" spans="1:9" x14ac:dyDescent="0.3">
      <c r="A220" s="756" t="s">
        <v>609</v>
      </c>
      <c r="B220" s="756"/>
      <c r="C220" s="756"/>
      <c r="D220" s="756"/>
      <c r="E220" s="756"/>
      <c r="F220" s="5">
        <v>6</v>
      </c>
      <c r="G220"/>
      <c r="H220"/>
      <c r="I220"/>
    </row>
    <row r="221" spans="1:9" x14ac:dyDescent="0.3">
      <c r="A221" s="756" t="s">
        <v>610</v>
      </c>
      <c r="B221" s="756"/>
      <c r="C221" s="756"/>
      <c r="D221" s="756"/>
      <c r="E221" s="756"/>
      <c r="F221" s="5">
        <v>7</v>
      </c>
      <c r="G221"/>
      <c r="H221"/>
      <c r="I221"/>
    </row>
    <row r="222" spans="1:9" x14ac:dyDescent="0.3">
      <c r="A222" s="756" t="s">
        <v>611</v>
      </c>
      <c r="B222" s="756"/>
      <c r="C222" s="756"/>
      <c r="D222" s="756"/>
      <c r="E222" s="756"/>
      <c r="F222" s="5">
        <v>7</v>
      </c>
      <c r="G222"/>
      <c r="H222"/>
      <c r="I222"/>
    </row>
    <row r="223" spans="1:9" x14ac:dyDescent="0.3">
      <c r="A223" s="756" t="s">
        <v>612</v>
      </c>
      <c r="B223" s="756"/>
      <c r="C223" s="756"/>
      <c r="D223" s="756"/>
      <c r="E223" s="756"/>
      <c r="F223" s="5">
        <v>5</v>
      </c>
      <c r="G223"/>
      <c r="H223"/>
      <c r="I223"/>
    </row>
    <row r="224" spans="1:9" x14ac:dyDescent="0.3">
      <c r="A224" s="756" t="s">
        <v>613</v>
      </c>
      <c r="B224" s="756"/>
      <c r="C224" s="756"/>
      <c r="D224" s="756"/>
      <c r="E224" s="756"/>
      <c r="F224" s="5">
        <v>3</v>
      </c>
      <c r="G224"/>
      <c r="H224"/>
      <c r="I224"/>
    </row>
    <row r="225" spans="1:9" x14ac:dyDescent="0.3">
      <c r="A225" s="756" t="s">
        <v>614</v>
      </c>
      <c r="B225" s="756"/>
      <c r="C225" s="756"/>
      <c r="D225" s="756"/>
      <c r="E225" s="756"/>
      <c r="F225" s="5">
        <v>5</v>
      </c>
      <c r="G225"/>
      <c r="H225"/>
      <c r="I225"/>
    </row>
    <row r="226" spans="1:9" x14ac:dyDescent="0.3">
      <c r="A226" s="756" t="s">
        <v>615</v>
      </c>
      <c r="B226" s="756"/>
      <c r="C226" s="756"/>
      <c r="D226" s="756"/>
      <c r="E226" s="756"/>
      <c r="F226" s="5">
        <v>6</v>
      </c>
      <c r="G226"/>
      <c r="H226"/>
      <c r="I226"/>
    </row>
    <row r="227" spans="1:9" x14ac:dyDescent="0.3">
      <c r="A227" s="756" t="s">
        <v>616</v>
      </c>
      <c r="B227" s="756"/>
      <c r="C227" s="756"/>
      <c r="D227" s="756"/>
      <c r="E227" s="756"/>
      <c r="F227" s="5">
        <v>9.8000000000000007</v>
      </c>
      <c r="G227"/>
      <c r="H227"/>
      <c r="I227"/>
    </row>
    <row r="228" spans="1:9" x14ac:dyDescent="0.3">
      <c r="A228" s="756" t="s">
        <v>617</v>
      </c>
      <c r="B228" s="756"/>
      <c r="C228" s="756"/>
      <c r="D228" s="756"/>
      <c r="E228" s="756"/>
      <c r="F228" s="5">
        <v>5.8</v>
      </c>
      <c r="G228"/>
      <c r="H228"/>
      <c r="I228"/>
    </row>
    <row r="229" spans="1:9" x14ac:dyDescent="0.3">
      <c r="A229" s="756" t="s">
        <v>618</v>
      </c>
      <c r="B229" s="756"/>
      <c r="C229" s="756"/>
      <c r="D229" s="756"/>
      <c r="E229" s="756"/>
      <c r="F229" s="5">
        <v>9.5</v>
      </c>
      <c r="G229"/>
      <c r="H229"/>
      <c r="I229"/>
    </row>
    <row r="230" spans="1:9" x14ac:dyDescent="0.3">
      <c r="A230" s="756" t="s">
        <v>619</v>
      </c>
      <c r="B230" s="756"/>
      <c r="C230" s="756"/>
      <c r="D230" s="756"/>
      <c r="E230" s="756"/>
      <c r="F230" s="5">
        <v>4.8</v>
      </c>
      <c r="G230"/>
      <c r="H230"/>
      <c r="I230"/>
    </row>
    <row r="231" spans="1:9" x14ac:dyDescent="0.3">
      <c r="A231" s="756" t="s">
        <v>620</v>
      </c>
      <c r="B231" s="756"/>
      <c r="C231" s="756"/>
      <c r="D231" s="756"/>
      <c r="E231" s="756"/>
      <c r="F231" s="5">
        <v>10.3</v>
      </c>
      <c r="G231"/>
      <c r="H231"/>
      <c r="I231"/>
    </row>
    <row r="232" spans="1:9" x14ac:dyDescent="0.3">
      <c r="A232" s="756" t="s">
        <v>621</v>
      </c>
      <c r="B232" s="756"/>
      <c r="C232" s="756"/>
      <c r="D232" s="756"/>
      <c r="E232" s="756"/>
      <c r="F232" s="5">
        <v>5.3</v>
      </c>
      <c r="G232"/>
      <c r="H232"/>
      <c r="I232"/>
    </row>
    <row r="233" spans="1:9" x14ac:dyDescent="0.3">
      <c r="A233" s="756" t="s">
        <v>622</v>
      </c>
      <c r="B233" s="756"/>
      <c r="C233" s="756"/>
      <c r="D233" s="756"/>
      <c r="E233" s="756"/>
      <c r="F233" s="5">
        <v>13.8</v>
      </c>
      <c r="G233"/>
      <c r="H233"/>
      <c r="I233"/>
    </row>
    <row r="234" spans="1:9" x14ac:dyDescent="0.3">
      <c r="A234" s="756" t="s">
        <v>623</v>
      </c>
      <c r="B234" s="756"/>
      <c r="C234" s="756"/>
      <c r="D234" s="756"/>
      <c r="E234" s="756"/>
      <c r="F234" s="5">
        <v>10</v>
      </c>
      <c r="G234"/>
      <c r="H234"/>
      <c r="I234"/>
    </row>
    <row r="235" spans="1:9" x14ac:dyDescent="0.3">
      <c r="A235" s="756" t="s">
        <v>624</v>
      </c>
      <c r="B235" s="756"/>
      <c r="C235" s="756"/>
      <c r="D235" s="756"/>
      <c r="E235" s="756"/>
      <c r="F235" s="5">
        <v>8.3000000000000007</v>
      </c>
      <c r="G235"/>
      <c r="H235"/>
      <c r="I235"/>
    </row>
    <row r="236" spans="1:9" x14ac:dyDescent="0.3">
      <c r="A236" s="756" t="s">
        <v>625</v>
      </c>
      <c r="B236" s="756"/>
      <c r="C236" s="756"/>
      <c r="D236" s="756"/>
      <c r="E236" s="756"/>
      <c r="F236" s="5">
        <v>6</v>
      </c>
      <c r="G236"/>
      <c r="H236"/>
      <c r="I236"/>
    </row>
    <row r="237" spans="1:9" x14ac:dyDescent="0.3">
      <c r="A237" s="756" t="s">
        <v>626</v>
      </c>
      <c r="B237" s="756"/>
      <c r="C237" s="756"/>
      <c r="D237" s="756"/>
      <c r="E237" s="756"/>
      <c r="F237" s="5">
        <v>6</v>
      </c>
      <c r="G237"/>
      <c r="H237"/>
      <c r="I237"/>
    </row>
    <row r="238" spans="1:9" x14ac:dyDescent="0.3">
      <c r="A238" s="756" t="s">
        <v>627</v>
      </c>
      <c r="B238" s="756"/>
      <c r="C238" s="756"/>
      <c r="D238" s="756"/>
      <c r="E238" s="756"/>
      <c r="F238" s="5">
        <v>7</v>
      </c>
      <c r="G238"/>
      <c r="H238"/>
      <c r="I238"/>
    </row>
    <row r="239" spans="1:9" x14ac:dyDescent="0.3">
      <c r="A239" s="756" t="s">
        <v>628</v>
      </c>
      <c r="B239" s="756"/>
      <c r="C239" s="756"/>
      <c r="D239" s="756"/>
      <c r="E239" s="756"/>
      <c r="F239" s="5">
        <v>8</v>
      </c>
      <c r="G239"/>
      <c r="H239"/>
      <c r="I239"/>
    </row>
    <row r="240" spans="1:9" x14ac:dyDescent="0.3">
      <c r="A240" s="756" t="s">
        <v>629</v>
      </c>
      <c r="B240" s="756"/>
      <c r="C240" s="756"/>
      <c r="D240" s="756"/>
      <c r="E240" s="756"/>
      <c r="F240" s="5">
        <v>9.8000000000000007</v>
      </c>
      <c r="G240"/>
      <c r="H240"/>
      <c r="I240"/>
    </row>
    <row r="241" spans="1:9" x14ac:dyDescent="0.3">
      <c r="A241" s="756" t="s">
        <v>630</v>
      </c>
      <c r="B241" s="756"/>
      <c r="C241" s="756"/>
      <c r="D241" s="756"/>
      <c r="E241" s="756"/>
      <c r="F241" s="5">
        <v>3.5</v>
      </c>
      <c r="G241"/>
      <c r="H241"/>
      <c r="I241"/>
    </row>
    <row r="242" spans="1:9" x14ac:dyDescent="0.3">
      <c r="A242" s="756" t="s">
        <v>631</v>
      </c>
      <c r="B242" s="756"/>
      <c r="C242" s="756"/>
      <c r="D242" s="756"/>
      <c r="E242" s="756"/>
      <c r="F242" s="5">
        <v>5.5</v>
      </c>
      <c r="G242"/>
      <c r="H242"/>
      <c r="I242"/>
    </row>
    <row r="243" spans="1:9" x14ac:dyDescent="0.3">
      <c r="A243" s="756" t="s">
        <v>632</v>
      </c>
      <c r="B243" s="756"/>
      <c r="C243" s="756"/>
      <c r="D243" s="756"/>
      <c r="E243" s="756"/>
      <c r="F243" s="5">
        <v>10</v>
      </c>
      <c r="G243"/>
      <c r="H243"/>
      <c r="I243"/>
    </row>
    <row r="244" spans="1:9" x14ac:dyDescent="0.3">
      <c r="A244" s="756" t="s">
        <v>633</v>
      </c>
      <c r="B244" s="756"/>
      <c r="C244" s="756"/>
      <c r="D244" s="756"/>
      <c r="E244" s="756"/>
      <c r="F244" s="5">
        <v>3</v>
      </c>
      <c r="G244"/>
      <c r="H244"/>
      <c r="I244"/>
    </row>
    <row r="245" spans="1:9" x14ac:dyDescent="0.3">
      <c r="A245" s="756" t="s">
        <v>634</v>
      </c>
      <c r="B245" s="756"/>
      <c r="C245" s="756"/>
      <c r="D245" s="756"/>
      <c r="E245" s="756"/>
      <c r="F245" s="5">
        <v>9.8000000000000007</v>
      </c>
      <c r="G245"/>
      <c r="H245"/>
      <c r="I245"/>
    </row>
    <row r="246" spans="1:9" x14ac:dyDescent="0.3">
      <c r="A246" s="756" t="s">
        <v>635</v>
      </c>
      <c r="B246" s="756"/>
      <c r="C246" s="756"/>
      <c r="D246" s="756"/>
      <c r="E246" s="756"/>
      <c r="F246" s="5">
        <v>1.3</v>
      </c>
      <c r="G246"/>
      <c r="H246"/>
      <c r="I246"/>
    </row>
    <row r="247" spans="1:9" x14ac:dyDescent="0.3">
      <c r="A247" s="756" t="s">
        <v>636</v>
      </c>
      <c r="B247" s="756"/>
      <c r="C247" s="756"/>
      <c r="D247" s="756"/>
      <c r="E247" s="756"/>
      <c r="F247" s="5">
        <v>2</v>
      </c>
      <c r="G247"/>
      <c r="H247"/>
      <c r="I247"/>
    </row>
    <row r="248" spans="1:9" x14ac:dyDescent="0.3">
      <c r="A248" s="756" t="s">
        <v>637</v>
      </c>
      <c r="B248" s="756"/>
      <c r="C248" s="756"/>
      <c r="D248" s="756"/>
      <c r="E248" s="756"/>
      <c r="F248" s="5">
        <v>1.8</v>
      </c>
      <c r="G248"/>
      <c r="H248"/>
      <c r="I248"/>
    </row>
    <row r="249" spans="1:9" x14ac:dyDescent="0.3">
      <c r="A249" s="756" t="s">
        <v>638</v>
      </c>
      <c r="B249" s="756"/>
      <c r="C249" s="756"/>
      <c r="D249" s="756"/>
      <c r="E249" s="756"/>
      <c r="F249" s="5">
        <v>1.3</v>
      </c>
      <c r="G249"/>
      <c r="H249"/>
      <c r="I249"/>
    </row>
    <row r="250" spans="1:9" x14ac:dyDescent="0.3">
      <c r="A250" s="756" t="s">
        <v>639</v>
      </c>
      <c r="B250" s="756"/>
      <c r="C250" s="756"/>
      <c r="D250" s="756"/>
      <c r="E250" s="756"/>
      <c r="F250" s="5">
        <v>1.8</v>
      </c>
      <c r="G250"/>
      <c r="H250"/>
      <c r="I250"/>
    </row>
    <row r="251" spans="1:9" x14ac:dyDescent="0.3">
      <c r="A251" s="756" t="s">
        <v>640</v>
      </c>
      <c r="B251" s="756"/>
      <c r="C251" s="756"/>
      <c r="D251" s="756"/>
      <c r="E251" s="756"/>
      <c r="F251" s="5">
        <v>2</v>
      </c>
      <c r="G251"/>
      <c r="H251"/>
      <c r="I251"/>
    </row>
    <row r="252" spans="1:9" x14ac:dyDescent="0.3">
      <c r="A252" s="756" t="s">
        <v>641</v>
      </c>
      <c r="B252" s="756"/>
      <c r="C252" s="756"/>
      <c r="D252" s="756"/>
      <c r="E252" s="756"/>
      <c r="F252" s="5">
        <v>2</v>
      </c>
      <c r="G252"/>
      <c r="H252"/>
      <c r="I252"/>
    </row>
    <row r="253" spans="1:9" x14ac:dyDescent="0.3">
      <c r="A253" s="756" t="s">
        <v>642</v>
      </c>
      <c r="B253" s="756"/>
      <c r="C253" s="756"/>
      <c r="D253" s="756"/>
      <c r="E253" s="756"/>
      <c r="F253" s="5">
        <v>3.5</v>
      </c>
      <c r="G253"/>
      <c r="H253"/>
      <c r="I253"/>
    </row>
  </sheetData>
  <mergeCells count="253">
    <mergeCell ref="A248:E248"/>
    <mergeCell ref="A249:E249"/>
    <mergeCell ref="A250:E250"/>
    <mergeCell ref="A251:E251"/>
    <mergeCell ref="A252:E252"/>
    <mergeCell ref="A253:E253"/>
    <mergeCell ref="A239:E239"/>
    <mergeCell ref="A240:E240"/>
    <mergeCell ref="A241:E241"/>
    <mergeCell ref="A242:E242"/>
    <mergeCell ref="A243:E243"/>
    <mergeCell ref="A244:E244"/>
    <mergeCell ref="A245:E245"/>
    <mergeCell ref="A246:E246"/>
    <mergeCell ref="A247:E247"/>
    <mergeCell ref="A230:E230"/>
    <mergeCell ref="A231:E231"/>
    <mergeCell ref="A232:E232"/>
    <mergeCell ref="A233:E233"/>
    <mergeCell ref="A234:E234"/>
    <mergeCell ref="A235:E235"/>
    <mergeCell ref="A236:E236"/>
    <mergeCell ref="A237:E237"/>
    <mergeCell ref="A238:E238"/>
    <mergeCell ref="A221:E221"/>
    <mergeCell ref="A222:E222"/>
    <mergeCell ref="A223:E223"/>
    <mergeCell ref="A224:E224"/>
    <mergeCell ref="A225:E225"/>
    <mergeCell ref="A226:E226"/>
    <mergeCell ref="A227:E227"/>
    <mergeCell ref="A228:E228"/>
    <mergeCell ref="A229:E229"/>
    <mergeCell ref="A212:E212"/>
    <mergeCell ref="A213:E213"/>
    <mergeCell ref="A214:E214"/>
    <mergeCell ref="A215:E215"/>
    <mergeCell ref="A216:E216"/>
    <mergeCell ref="A217:E217"/>
    <mergeCell ref="A218:E218"/>
    <mergeCell ref="A219:E219"/>
    <mergeCell ref="A220:E220"/>
    <mergeCell ref="A199:E199"/>
    <mergeCell ref="A200:E200"/>
    <mergeCell ref="A201:E201"/>
    <mergeCell ref="A202:E202"/>
    <mergeCell ref="A203:E203"/>
    <mergeCell ref="A204:E204"/>
    <mergeCell ref="A209:E209"/>
    <mergeCell ref="A210:E210"/>
    <mergeCell ref="A211:E211"/>
    <mergeCell ref="A205:E205"/>
    <mergeCell ref="A206:E206"/>
    <mergeCell ref="A207:E207"/>
    <mergeCell ref="A208:E208"/>
    <mergeCell ref="A190:E190"/>
    <mergeCell ref="A191:E191"/>
    <mergeCell ref="A192:E192"/>
    <mergeCell ref="A193:E193"/>
    <mergeCell ref="A194:E194"/>
    <mergeCell ref="A195:E195"/>
    <mergeCell ref="A196:E196"/>
    <mergeCell ref="A197:E197"/>
    <mergeCell ref="A198:E198"/>
    <mergeCell ref="A181:E181"/>
    <mergeCell ref="A182:E182"/>
    <mergeCell ref="A183:E183"/>
    <mergeCell ref="A184:E184"/>
    <mergeCell ref="A185:E185"/>
    <mergeCell ref="A186:E186"/>
    <mergeCell ref="A187:E187"/>
    <mergeCell ref="A188:E188"/>
    <mergeCell ref="A189:E189"/>
    <mergeCell ref="A172:E172"/>
    <mergeCell ref="A173:E173"/>
    <mergeCell ref="A174:E174"/>
    <mergeCell ref="A175:E175"/>
    <mergeCell ref="A176:E176"/>
    <mergeCell ref="A177:E177"/>
    <mergeCell ref="A178:E178"/>
    <mergeCell ref="A179:E179"/>
    <mergeCell ref="A180:E180"/>
    <mergeCell ref="A163:E163"/>
    <mergeCell ref="A164:E164"/>
    <mergeCell ref="A165:E165"/>
    <mergeCell ref="A166:E166"/>
    <mergeCell ref="A167:E167"/>
    <mergeCell ref="A168:E168"/>
    <mergeCell ref="A169:E169"/>
    <mergeCell ref="A170:E170"/>
    <mergeCell ref="A171:E171"/>
    <mergeCell ref="A154:E154"/>
    <mergeCell ref="A155:E155"/>
    <mergeCell ref="A156:E156"/>
    <mergeCell ref="A157:E157"/>
    <mergeCell ref="A158:E158"/>
    <mergeCell ref="A159:E159"/>
    <mergeCell ref="A160:E160"/>
    <mergeCell ref="A161:E161"/>
    <mergeCell ref="A162:E162"/>
    <mergeCell ref="A150:E150"/>
    <mergeCell ref="A151:E151"/>
    <mergeCell ref="A152:E152"/>
    <mergeCell ref="A153:E153"/>
    <mergeCell ref="A139:E139"/>
    <mergeCell ref="A140:E140"/>
    <mergeCell ref="A141:E141"/>
    <mergeCell ref="A142:E142"/>
    <mergeCell ref="A143:E143"/>
    <mergeCell ref="A144:E144"/>
    <mergeCell ref="A145:E145"/>
    <mergeCell ref="A146:E146"/>
    <mergeCell ref="A147:E147"/>
    <mergeCell ref="A132:E132"/>
    <mergeCell ref="A133:E133"/>
    <mergeCell ref="A134:E134"/>
    <mergeCell ref="A135:E135"/>
    <mergeCell ref="A136:E136"/>
    <mergeCell ref="A137:E137"/>
    <mergeCell ref="A138:E138"/>
    <mergeCell ref="A148:E148"/>
    <mergeCell ref="A149:E149"/>
    <mergeCell ref="A123:E123"/>
    <mergeCell ref="A124:E124"/>
    <mergeCell ref="A125:E125"/>
    <mergeCell ref="A126:E126"/>
    <mergeCell ref="A127:E127"/>
    <mergeCell ref="A128:E128"/>
    <mergeCell ref="A129:E129"/>
    <mergeCell ref="A130:E130"/>
    <mergeCell ref="A131:E131"/>
    <mergeCell ref="A111:E111"/>
    <mergeCell ref="A112:E112"/>
    <mergeCell ref="A117:E117"/>
    <mergeCell ref="A118:E118"/>
    <mergeCell ref="A119:E119"/>
    <mergeCell ref="A120:E120"/>
    <mergeCell ref="A121:E121"/>
    <mergeCell ref="A122:E122"/>
    <mergeCell ref="A113:E113"/>
    <mergeCell ref="A114:E114"/>
    <mergeCell ref="A115:E115"/>
    <mergeCell ref="A116:E116"/>
    <mergeCell ref="A102:E102"/>
    <mergeCell ref="A103:E103"/>
    <mergeCell ref="A104:E104"/>
    <mergeCell ref="A105:E105"/>
    <mergeCell ref="A106:E106"/>
    <mergeCell ref="A107:E107"/>
    <mergeCell ref="A108:E108"/>
    <mergeCell ref="A109:E109"/>
    <mergeCell ref="A110:E110"/>
    <mergeCell ref="A98:E98"/>
    <mergeCell ref="A99:E99"/>
    <mergeCell ref="A100:E100"/>
    <mergeCell ref="A101:E101"/>
    <mergeCell ref="A88:E88"/>
    <mergeCell ref="A89:E89"/>
    <mergeCell ref="A90:E90"/>
    <mergeCell ref="A91:E91"/>
    <mergeCell ref="A92:E92"/>
    <mergeCell ref="A93:E93"/>
    <mergeCell ref="A94:E94"/>
    <mergeCell ref="A95:E95"/>
    <mergeCell ref="A81:E81"/>
    <mergeCell ref="A82:E82"/>
    <mergeCell ref="A83:E83"/>
    <mergeCell ref="A84:E84"/>
    <mergeCell ref="A85:E85"/>
    <mergeCell ref="A86:E86"/>
    <mergeCell ref="A87:E87"/>
    <mergeCell ref="A96:E96"/>
    <mergeCell ref="A97:E97"/>
    <mergeCell ref="A72:E72"/>
    <mergeCell ref="A73:E73"/>
    <mergeCell ref="A74:E74"/>
    <mergeCell ref="A75:E75"/>
    <mergeCell ref="A76:E76"/>
    <mergeCell ref="A77:E77"/>
    <mergeCell ref="A78:E78"/>
    <mergeCell ref="A79:E79"/>
    <mergeCell ref="A80:E80"/>
    <mergeCell ref="A70:E70"/>
    <mergeCell ref="A71:E71"/>
    <mergeCell ref="A67:E67"/>
    <mergeCell ref="A68:E68"/>
    <mergeCell ref="A69:E69"/>
    <mergeCell ref="A63:E63"/>
    <mergeCell ref="A64:E64"/>
    <mergeCell ref="A65:E65"/>
    <mergeCell ref="A66:E66"/>
    <mergeCell ref="A50:E50"/>
    <mergeCell ref="A42:E42"/>
    <mergeCell ref="A43:E43"/>
    <mergeCell ref="A44:E44"/>
    <mergeCell ref="A45:E45"/>
    <mergeCell ref="A59:E59"/>
    <mergeCell ref="A60:E60"/>
    <mergeCell ref="A61:E61"/>
    <mergeCell ref="A62:E62"/>
    <mergeCell ref="A51:E51"/>
    <mergeCell ref="A52:E52"/>
    <mergeCell ref="A53:E53"/>
    <mergeCell ref="A54:E54"/>
    <mergeCell ref="A55:E55"/>
    <mergeCell ref="A56:E56"/>
    <mergeCell ref="A57:E57"/>
    <mergeCell ref="A58:E58"/>
    <mergeCell ref="A39:E39"/>
    <mergeCell ref="A34:E34"/>
    <mergeCell ref="A35:E35"/>
    <mergeCell ref="A40:E40"/>
    <mergeCell ref="A41:E41"/>
    <mergeCell ref="A46:E46"/>
    <mergeCell ref="A47:E47"/>
    <mergeCell ref="A48:E48"/>
    <mergeCell ref="A49:E49"/>
    <mergeCell ref="A28:E28"/>
    <mergeCell ref="A29:E29"/>
    <mergeCell ref="A30:E30"/>
    <mergeCell ref="A32:E32"/>
    <mergeCell ref="A33:E33"/>
    <mergeCell ref="A31:E31"/>
    <mergeCell ref="A36:E36"/>
    <mergeCell ref="A37:E37"/>
    <mergeCell ref="A38:E38"/>
    <mergeCell ref="A26:E26"/>
    <mergeCell ref="A27:E27"/>
    <mergeCell ref="A19:E19"/>
    <mergeCell ref="A24:E24"/>
    <mergeCell ref="A25:E25"/>
    <mergeCell ref="A20:E20"/>
    <mergeCell ref="A21:E21"/>
    <mergeCell ref="A22:E22"/>
    <mergeCell ref="A23:E23"/>
    <mergeCell ref="A4:E4"/>
    <mergeCell ref="A5:E5"/>
    <mergeCell ref="A6:E6"/>
    <mergeCell ref="A7:E7"/>
    <mergeCell ref="A17:E17"/>
    <mergeCell ref="A18:E18"/>
    <mergeCell ref="A1:E1"/>
    <mergeCell ref="A3:E3"/>
    <mergeCell ref="A13:E13"/>
    <mergeCell ref="A14:E14"/>
    <mergeCell ref="A15:E15"/>
    <mergeCell ref="A16:E16"/>
    <mergeCell ref="A8:E8"/>
    <mergeCell ref="A9:E9"/>
    <mergeCell ref="A10:E10"/>
    <mergeCell ref="A11:E11"/>
    <mergeCell ref="A12:E12"/>
    <mergeCell ref="A2:F2"/>
  </mergeCells>
  <pageMargins left="0.19685039370078741" right="0.19685039370078741" top="0.55118110236220474" bottom="0.55118110236220474" header="0.11811023622047245" footer="0.11811023622047245"/>
  <pageSetup paperSize="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4711-078C-45C9-B88A-8D715776B61C}">
  <dimension ref="A1:K116"/>
  <sheetViews>
    <sheetView zoomScale="70" zoomScaleNormal="70" workbookViewId="0">
      <selection activeCell="C16" sqref="C16"/>
    </sheetView>
  </sheetViews>
  <sheetFormatPr baseColWidth="10" defaultRowHeight="14.4" x14ac:dyDescent="0.3"/>
  <cols>
    <col min="2" max="2" width="18.6640625" customWidth="1"/>
    <col min="3" max="3" width="17" bestFit="1" customWidth="1"/>
    <col min="4" max="4" width="28.5546875" customWidth="1"/>
    <col min="5" max="5" width="15.44140625" customWidth="1"/>
    <col min="6" max="6" width="14.6640625" bestFit="1" customWidth="1"/>
    <col min="7" max="7" width="17.44140625" bestFit="1" customWidth="1"/>
    <col min="8" max="8" width="12.77734375" bestFit="1" customWidth="1"/>
    <col min="10" max="10" width="18.5546875" bestFit="1" customWidth="1"/>
    <col min="11" max="11" width="24.21875" style="65" customWidth="1"/>
    <col min="15" max="15" width="11.5546875" bestFit="1" customWidth="1"/>
  </cols>
  <sheetData>
    <row r="1" spans="1:10" ht="15" thickBot="1" x14ac:dyDescent="0.35"/>
    <row r="2" spans="1:10" ht="15" thickBot="1" x14ac:dyDescent="0.35">
      <c r="A2" s="771" t="s">
        <v>664</v>
      </c>
      <c r="B2" s="772"/>
      <c r="C2" s="773"/>
      <c r="E2" s="771" t="s">
        <v>677</v>
      </c>
      <c r="F2" s="772"/>
      <c r="G2" s="773"/>
      <c r="H2" s="98"/>
      <c r="I2" s="98"/>
      <c r="J2" s="98"/>
    </row>
    <row r="3" spans="1:10" ht="15" thickBot="1" x14ac:dyDescent="0.35">
      <c r="A3" s="99" t="s">
        <v>674</v>
      </c>
      <c r="B3" s="100" t="s">
        <v>675</v>
      </c>
      <c r="C3" s="101" t="s">
        <v>676</v>
      </c>
      <c r="E3" s="99" t="s">
        <v>674</v>
      </c>
      <c r="F3" s="100" t="s">
        <v>678</v>
      </c>
      <c r="G3" s="101" t="s">
        <v>679</v>
      </c>
    </row>
    <row r="4" spans="1:10" x14ac:dyDescent="0.3">
      <c r="A4" s="102" t="e">
        <f>#REF!</f>
        <v>#REF!</v>
      </c>
      <c r="B4" s="104" t="e">
        <f>#REF!</f>
        <v>#REF!</v>
      </c>
      <c r="C4" s="106" t="e">
        <f>#REF!</f>
        <v>#REF!</v>
      </c>
      <c r="E4" s="109" t="e">
        <f>A4</f>
        <v>#REF!</v>
      </c>
      <c r="F4" s="76" t="e">
        <f>#REF!</f>
        <v>#REF!</v>
      </c>
      <c r="G4" s="77" t="e">
        <f>#REF!</f>
        <v>#REF!</v>
      </c>
    </row>
    <row r="5" spans="1:10" ht="15" thickBot="1" x14ac:dyDescent="0.35">
      <c r="A5" s="108" t="e">
        <f>#REF!</f>
        <v>#REF!</v>
      </c>
      <c r="B5" s="105" t="e">
        <f>#REF!</f>
        <v>#REF!</v>
      </c>
      <c r="C5" s="107" t="e">
        <f>#REF!</f>
        <v>#REF!</v>
      </c>
      <c r="E5" s="103" t="e">
        <f>A5</f>
        <v>#REF!</v>
      </c>
      <c r="F5" s="110" t="e">
        <f>#REF!</f>
        <v>#REF!</v>
      </c>
      <c r="G5" s="111" t="e">
        <f>#REF!</f>
        <v>#REF!</v>
      </c>
    </row>
    <row r="6" spans="1:10" ht="15" thickBot="1" x14ac:dyDescent="0.35"/>
    <row r="7" spans="1:10" ht="15" thickBot="1" x14ac:dyDescent="0.35">
      <c r="A7" s="771" t="s">
        <v>677</v>
      </c>
      <c r="B7" s="773"/>
      <c r="E7" s="774" t="s">
        <v>681</v>
      </c>
      <c r="F7" s="774"/>
      <c r="G7" s="774"/>
    </row>
    <row r="8" spans="1:10" ht="15" thickBot="1" x14ac:dyDescent="0.35">
      <c r="A8" s="99" t="s">
        <v>674</v>
      </c>
      <c r="B8" s="101" t="s">
        <v>680</v>
      </c>
      <c r="E8" s="113" t="s">
        <v>682</v>
      </c>
      <c r="F8" s="115" t="e">
        <f>A4</f>
        <v>#REF!</v>
      </c>
      <c r="G8" s="114" t="e">
        <f>A5</f>
        <v>#REF!</v>
      </c>
    </row>
    <row r="9" spans="1:10" x14ac:dyDescent="0.3">
      <c r="A9" s="109" t="e">
        <f>A4</f>
        <v>#REF!</v>
      </c>
      <c r="B9" s="77" t="e">
        <f>#REF!</f>
        <v>#REF!</v>
      </c>
      <c r="E9" s="116" t="s">
        <v>10</v>
      </c>
      <c r="F9" s="70" t="e">
        <f>#REF!</f>
        <v>#REF!</v>
      </c>
      <c r="G9" s="8" t="e">
        <f>#REF!</f>
        <v>#REF!</v>
      </c>
    </row>
    <row r="10" spans="1:10" ht="15" thickBot="1" x14ac:dyDescent="0.35">
      <c r="A10" s="108" t="e">
        <f>A5</f>
        <v>#REF!</v>
      </c>
      <c r="B10" s="111" t="e">
        <f>#REF!</f>
        <v>#REF!</v>
      </c>
      <c r="E10" s="117" t="s">
        <v>11</v>
      </c>
      <c r="F10" s="62" t="e">
        <f>#REF!</f>
        <v>#REF!</v>
      </c>
      <c r="G10" s="9" t="e">
        <f>#REF!</f>
        <v>#REF!</v>
      </c>
    </row>
    <row r="11" spans="1:10" ht="15" thickBot="1" x14ac:dyDescent="0.35">
      <c r="E11" s="117" t="s">
        <v>12</v>
      </c>
      <c r="F11" s="62" t="e">
        <f>#REF!</f>
        <v>#REF!</v>
      </c>
      <c r="G11" s="9" t="e">
        <f>#REF!</f>
        <v>#REF!</v>
      </c>
    </row>
    <row r="12" spans="1:10" ht="15" thickBot="1" x14ac:dyDescent="0.35">
      <c r="A12" s="768" t="s">
        <v>148</v>
      </c>
      <c r="B12" s="769"/>
      <c r="C12" s="770"/>
      <c r="E12" s="117" t="s">
        <v>13</v>
      </c>
      <c r="F12" s="62" t="e">
        <f>#REF!</f>
        <v>#REF!</v>
      </c>
      <c r="G12" s="9" t="e">
        <f>#REF!</f>
        <v>#REF!</v>
      </c>
    </row>
    <row r="13" spans="1:10" ht="16.2" customHeight="1" thickBot="1" x14ac:dyDescent="0.35">
      <c r="A13" s="119" t="s">
        <v>149</v>
      </c>
      <c r="B13" s="52" t="s">
        <v>150</v>
      </c>
      <c r="C13" s="64" t="s">
        <v>151</v>
      </c>
      <c r="E13" s="117" t="s">
        <v>14</v>
      </c>
      <c r="F13" s="62" t="e">
        <f>#REF!</f>
        <v>#REF!</v>
      </c>
      <c r="G13" s="9" t="e">
        <f>#REF!</f>
        <v>#REF!</v>
      </c>
    </row>
    <row r="14" spans="1:10" ht="15" thickBot="1" x14ac:dyDescent="0.35">
      <c r="A14" s="120" t="e">
        <f>A4</f>
        <v>#REF!</v>
      </c>
      <c r="B14" s="123" t="e">
        <f>#REF!</f>
        <v>#REF!</v>
      </c>
      <c r="C14" s="122" t="e">
        <f>#REF!</f>
        <v>#REF!</v>
      </c>
      <c r="E14" s="118" t="s">
        <v>15</v>
      </c>
      <c r="F14" s="63" t="e">
        <f>#REF!</f>
        <v>#REF!</v>
      </c>
      <c r="G14" s="10" t="e">
        <f>#REF!</f>
        <v>#REF!</v>
      </c>
    </row>
    <row r="15" spans="1:10" ht="15" thickBot="1" x14ac:dyDescent="0.35">
      <c r="A15" s="120" t="e">
        <f>A5</f>
        <v>#REF!</v>
      </c>
      <c r="B15" s="121" t="e">
        <f>#REF!</f>
        <v>#REF!</v>
      </c>
      <c r="C15" s="121" t="e">
        <f>#REF!</f>
        <v>#REF!</v>
      </c>
      <c r="E15" s="65"/>
      <c r="F15" s="65"/>
      <c r="G15" s="65"/>
    </row>
    <row r="16" spans="1:10" ht="15" thickBot="1" x14ac:dyDescent="0.35">
      <c r="A16" s="144" t="s">
        <v>161</v>
      </c>
      <c r="B16" s="160">
        <f>G19-E19</f>
        <v>-2.1999999999999997</v>
      </c>
      <c r="C16" s="145">
        <f>2*F19-(G19+E19)</f>
        <v>5</v>
      </c>
      <c r="E16" s="65"/>
      <c r="F16" s="65"/>
      <c r="G16" s="65"/>
    </row>
    <row r="17" spans="1:9" ht="15" thickBot="1" x14ac:dyDescent="0.35">
      <c r="E17" s="65"/>
      <c r="F17" s="65"/>
      <c r="G17" s="65"/>
    </row>
    <row r="18" spans="1:9" ht="15" thickBot="1" x14ac:dyDescent="0.35">
      <c r="A18" s="775" t="s">
        <v>686</v>
      </c>
      <c r="B18" s="776"/>
      <c r="C18" s="776"/>
      <c r="D18" s="776"/>
      <c r="E18" s="167" t="s">
        <v>152</v>
      </c>
      <c r="F18" s="167" t="s">
        <v>153</v>
      </c>
      <c r="G18" s="167" t="s">
        <v>154</v>
      </c>
      <c r="H18" s="168" t="s">
        <v>830</v>
      </c>
      <c r="I18" s="169" t="s">
        <v>826</v>
      </c>
    </row>
    <row r="19" spans="1:9" ht="15" thickBot="1" x14ac:dyDescent="0.35">
      <c r="A19" s="777" t="str">
        <f>REQUERIMIENTOS!G30</f>
        <v>JUDO &lt; 56-61 Kg. (Femenino)</v>
      </c>
      <c r="B19" s="778"/>
      <c r="C19" s="778"/>
      <c r="D19" s="778"/>
      <c r="E19" s="179">
        <f>REQUERIMIENTOS!I32</f>
        <v>3.8</v>
      </c>
      <c r="F19" s="179">
        <f>REQUERIMIENTOS!J32</f>
        <v>5.2</v>
      </c>
      <c r="G19" s="179">
        <f>REQUERIMIENTOS!K32</f>
        <v>1.6</v>
      </c>
      <c r="H19" s="180">
        <f>REQUERIMIENTOS!L32</f>
        <v>77.8</v>
      </c>
      <c r="I19" s="181">
        <f>REQUERIMIENTOS!M32</f>
        <v>29.1</v>
      </c>
    </row>
    <row r="20" spans="1:9" ht="16.2" customHeight="1" x14ac:dyDescent="0.3"/>
    <row r="21" spans="1:9" ht="16.2" customHeight="1" x14ac:dyDescent="0.3"/>
    <row r="26" spans="1:9" ht="15.6" customHeight="1" x14ac:dyDescent="0.3"/>
    <row r="50" ht="16.2" customHeight="1" x14ac:dyDescent="0.3"/>
    <row r="51" ht="16.2" customHeight="1" x14ac:dyDescent="0.3"/>
    <row r="70" spans="1:6" ht="19.2" customHeight="1" x14ac:dyDescent="0.3"/>
    <row r="71" spans="1:6" ht="13.8" customHeight="1" x14ac:dyDescent="0.3"/>
    <row r="75" spans="1:6" ht="14.4" customHeight="1" x14ac:dyDescent="0.3">
      <c r="A75" s="790" t="s">
        <v>724</v>
      </c>
      <c r="B75" s="790"/>
      <c r="C75" s="790"/>
      <c r="D75" s="790"/>
      <c r="E75" s="790"/>
      <c r="F75" s="790"/>
    </row>
    <row r="76" spans="1:6" ht="16.2" thickBot="1" x14ac:dyDescent="0.35">
      <c r="D76" s="149"/>
    </row>
    <row r="77" spans="1:6" ht="15.6" customHeight="1" x14ac:dyDescent="0.3">
      <c r="A77" s="760" t="s">
        <v>688</v>
      </c>
      <c r="B77" s="761"/>
      <c r="C77" s="761"/>
      <c r="D77" s="762"/>
      <c r="E77" s="766" t="s">
        <v>687</v>
      </c>
      <c r="F77" s="766" t="s">
        <v>703</v>
      </c>
    </row>
    <row r="78" spans="1:6" ht="15" thickBot="1" x14ac:dyDescent="0.35">
      <c r="A78" s="763"/>
      <c r="B78" s="764"/>
      <c r="C78" s="764"/>
      <c r="D78" s="765"/>
      <c r="E78" s="767"/>
      <c r="F78" s="767"/>
    </row>
    <row r="79" spans="1:6" ht="15.6" x14ac:dyDescent="0.3">
      <c r="A79" s="779" t="s">
        <v>704</v>
      </c>
      <c r="B79" s="780"/>
      <c r="C79" s="780"/>
      <c r="D79" s="780"/>
      <c r="E79" s="154" t="s">
        <v>725</v>
      </c>
      <c r="F79" s="157" t="s">
        <v>726</v>
      </c>
    </row>
    <row r="80" spans="1:6" ht="15.6" x14ac:dyDescent="0.3">
      <c r="A80" s="781" t="s">
        <v>727</v>
      </c>
      <c r="B80" s="782"/>
      <c r="C80" s="782"/>
      <c r="D80" s="782"/>
      <c r="E80" s="153" t="s">
        <v>728</v>
      </c>
      <c r="F80" s="158" t="s">
        <v>729</v>
      </c>
    </row>
    <row r="81" spans="1:6" ht="15.6" x14ac:dyDescent="0.3">
      <c r="A81" s="781" t="s">
        <v>692</v>
      </c>
      <c r="B81" s="782"/>
      <c r="C81" s="782"/>
      <c r="D81" s="782"/>
      <c r="E81" s="153" t="s">
        <v>730</v>
      </c>
      <c r="F81" s="152"/>
    </row>
    <row r="82" spans="1:6" ht="15.6" x14ac:dyDescent="0.3">
      <c r="A82" s="781" t="s">
        <v>693</v>
      </c>
      <c r="B82" s="782"/>
      <c r="C82" s="782"/>
      <c r="D82" s="782"/>
      <c r="E82" s="153" t="s">
        <v>731</v>
      </c>
      <c r="F82" s="152"/>
    </row>
    <row r="83" spans="1:6" ht="15.6" x14ac:dyDescent="0.3">
      <c r="A83" s="781" t="s">
        <v>711</v>
      </c>
      <c r="B83" s="782"/>
      <c r="C83" s="782"/>
      <c r="D83" s="782"/>
      <c r="E83" s="153" t="s">
        <v>732</v>
      </c>
      <c r="F83" s="152"/>
    </row>
    <row r="84" spans="1:6" ht="15.6" x14ac:dyDescent="0.3">
      <c r="A84" s="781" t="s">
        <v>694</v>
      </c>
      <c r="B84" s="782"/>
      <c r="C84" s="782"/>
      <c r="D84" s="782"/>
      <c r="E84" s="153" t="s">
        <v>733</v>
      </c>
      <c r="F84" s="158" t="s">
        <v>734</v>
      </c>
    </row>
    <row r="85" spans="1:6" ht="15.6" x14ac:dyDescent="0.3">
      <c r="A85" s="781" t="s">
        <v>735</v>
      </c>
      <c r="B85" s="782"/>
      <c r="C85" s="782"/>
      <c r="D85" s="782"/>
      <c r="E85" s="153" t="s">
        <v>736</v>
      </c>
      <c r="F85" s="152"/>
    </row>
    <row r="86" spans="1:6" ht="15.6" x14ac:dyDescent="0.3">
      <c r="A86" s="781" t="s">
        <v>737</v>
      </c>
      <c r="B86" s="782"/>
      <c r="C86" s="782"/>
      <c r="D86" s="782"/>
      <c r="E86" s="153" t="s">
        <v>738</v>
      </c>
      <c r="F86" s="152"/>
    </row>
    <row r="87" spans="1:6" ht="15.6" x14ac:dyDescent="0.3">
      <c r="A87" s="781" t="s">
        <v>739</v>
      </c>
      <c r="B87" s="782"/>
      <c r="C87" s="782"/>
      <c r="D87" s="782"/>
      <c r="E87" s="153" t="s">
        <v>740</v>
      </c>
      <c r="F87" s="158" t="s">
        <v>741</v>
      </c>
    </row>
    <row r="88" spans="1:6" ht="15.6" x14ac:dyDescent="0.3">
      <c r="A88" s="781" t="s">
        <v>695</v>
      </c>
      <c r="B88" s="782"/>
      <c r="C88" s="782"/>
      <c r="D88" s="782"/>
      <c r="E88" s="153" t="s">
        <v>742</v>
      </c>
      <c r="F88" s="158" t="s">
        <v>743</v>
      </c>
    </row>
    <row r="89" spans="1:6" ht="15.6" x14ac:dyDescent="0.3">
      <c r="A89" s="781" t="s">
        <v>712</v>
      </c>
      <c r="B89" s="782"/>
      <c r="C89" s="782"/>
      <c r="D89" s="782"/>
      <c r="E89" s="153" t="s">
        <v>744</v>
      </c>
      <c r="F89" s="158" t="s">
        <v>745</v>
      </c>
    </row>
    <row r="90" spans="1:6" ht="15.6" x14ac:dyDescent="0.3">
      <c r="A90" s="781" t="s">
        <v>713</v>
      </c>
      <c r="B90" s="782"/>
      <c r="C90" s="782"/>
      <c r="D90" s="782"/>
      <c r="E90" s="153" t="s">
        <v>746</v>
      </c>
      <c r="F90" s="152"/>
    </row>
    <row r="91" spans="1:6" ht="15.6" x14ac:dyDescent="0.3">
      <c r="A91" s="781" t="s">
        <v>696</v>
      </c>
      <c r="B91" s="782"/>
      <c r="C91" s="782"/>
      <c r="D91" s="782"/>
      <c r="E91" s="153" t="s">
        <v>747</v>
      </c>
      <c r="F91" s="158" t="s">
        <v>748</v>
      </c>
    </row>
    <row r="92" spans="1:6" ht="15.6" x14ac:dyDescent="0.3">
      <c r="A92" s="781" t="s">
        <v>714</v>
      </c>
      <c r="B92" s="782"/>
      <c r="C92" s="782"/>
      <c r="D92" s="782"/>
      <c r="E92" s="153" t="s">
        <v>749</v>
      </c>
      <c r="F92" s="152"/>
    </row>
    <row r="93" spans="1:6" ht="15.6" x14ac:dyDescent="0.3">
      <c r="A93" s="783" t="s">
        <v>705</v>
      </c>
      <c r="B93" s="784"/>
      <c r="C93" s="784"/>
      <c r="D93" s="784"/>
      <c r="E93" s="150"/>
      <c r="F93" s="158" t="s">
        <v>750</v>
      </c>
    </row>
    <row r="94" spans="1:6" ht="15.6" x14ac:dyDescent="0.3">
      <c r="A94" s="783" t="s">
        <v>706</v>
      </c>
      <c r="B94" s="784"/>
      <c r="C94" s="784"/>
      <c r="D94" s="784"/>
      <c r="E94" s="150"/>
      <c r="F94" s="158" t="s">
        <v>751</v>
      </c>
    </row>
    <row r="95" spans="1:6" ht="15.6" x14ac:dyDescent="0.3">
      <c r="A95" s="781" t="s">
        <v>707</v>
      </c>
      <c r="B95" s="782"/>
      <c r="C95" s="782"/>
      <c r="D95" s="782"/>
      <c r="E95" s="150"/>
      <c r="F95" s="158" t="s">
        <v>752</v>
      </c>
    </row>
    <row r="96" spans="1:6" ht="15.6" x14ac:dyDescent="0.3">
      <c r="A96" s="781" t="s">
        <v>722</v>
      </c>
      <c r="B96" s="782"/>
      <c r="C96" s="782"/>
      <c r="D96" s="782"/>
      <c r="E96" s="150"/>
      <c r="F96" s="158" t="s">
        <v>753</v>
      </c>
    </row>
    <row r="97" spans="1:6" ht="15.6" x14ac:dyDescent="0.3">
      <c r="A97" s="783" t="s">
        <v>708</v>
      </c>
      <c r="B97" s="784"/>
      <c r="C97" s="784"/>
      <c r="D97" s="784"/>
      <c r="E97" s="150"/>
      <c r="F97" s="158" t="s">
        <v>754</v>
      </c>
    </row>
    <row r="98" spans="1:6" ht="15.6" x14ac:dyDescent="0.3">
      <c r="A98" s="783" t="s">
        <v>723</v>
      </c>
      <c r="B98" s="784"/>
      <c r="C98" s="784"/>
      <c r="D98" s="784"/>
      <c r="E98" s="150"/>
      <c r="F98" s="158" t="s">
        <v>755</v>
      </c>
    </row>
    <row r="99" spans="1:6" ht="15.6" x14ac:dyDescent="0.3">
      <c r="A99" s="781" t="s">
        <v>756</v>
      </c>
      <c r="B99" s="782"/>
      <c r="C99" s="782"/>
      <c r="D99" s="782"/>
      <c r="E99" s="153" t="s">
        <v>757</v>
      </c>
      <c r="F99" s="152"/>
    </row>
    <row r="100" spans="1:6" ht="15.6" x14ac:dyDescent="0.3">
      <c r="A100" s="781" t="s">
        <v>758</v>
      </c>
      <c r="B100" s="782"/>
      <c r="C100" s="782"/>
      <c r="D100" s="782"/>
      <c r="E100" s="153" t="s">
        <v>759</v>
      </c>
      <c r="F100" s="152"/>
    </row>
    <row r="101" spans="1:6" ht="15.6" x14ac:dyDescent="0.3">
      <c r="A101" s="781" t="s">
        <v>719</v>
      </c>
      <c r="B101" s="782"/>
      <c r="C101" s="782"/>
      <c r="D101" s="782"/>
      <c r="E101" s="153" t="s">
        <v>760</v>
      </c>
      <c r="F101" s="152"/>
    </row>
    <row r="102" spans="1:6" ht="15.6" x14ac:dyDescent="0.3">
      <c r="A102" s="783" t="s">
        <v>715</v>
      </c>
      <c r="B102" s="784"/>
      <c r="C102" s="784"/>
      <c r="D102" s="784"/>
      <c r="E102" s="153" t="s">
        <v>761</v>
      </c>
      <c r="F102" s="152"/>
    </row>
    <row r="103" spans="1:6" ht="15.6" x14ac:dyDescent="0.3">
      <c r="A103" s="781" t="s">
        <v>697</v>
      </c>
      <c r="B103" s="782"/>
      <c r="C103" s="782"/>
      <c r="D103" s="782"/>
      <c r="E103" s="153" t="s">
        <v>762</v>
      </c>
      <c r="F103" s="152"/>
    </row>
    <row r="104" spans="1:6" ht="15.6" x14ac:dyDescent="0.3">
      <c r="A104" s="781" t="s">
        <v>716</v>
      </c>
      <c r="B104" s="782"/>
      <c r="C104" s="782"/>
      <c r="D104" s="782"/>
      <c r="E104" s="153" t="s">
        <v>763</v>
      </c>
      <c r="F104" s="152"/>
    </row>
    <row r="105" spans="1:6" ht="15.6" x14ac:dyDescent="0.3">
      <c r="A105" s="781" t="s">
        <v>717</v>
      </c>
      <c r="B105" s="782"/>
      <c r="C105" s="782"/>
      <c r="D105" s="782"/>
      <c r="E105" s="153" t="s">
        <v>764</v>
      </c>
      <c r="F105" s="152"/>
    </row>
    <row r="106" spans="1:6" ht="15.6" x14ac:dyDescent="0.3">
      <c r="A106" s="783" t="s">
        <v>698</v>
      </c>
      <c r="B106" s="784"/>
      <c r="C106" s="784"/>
      <c r="D106" s="784"/>
      <c r="E106" s="153" t="s">
        <v>765</v>
      </c>
      <c r="F106" s="152"/>
    </row>
    <row r="107" spans="1:6" ht="15.6" x14ac:dyDescent="0.3">
      <c r="A107" s="783" t="s">
        <v>718</v>
      </c>
      <c r="B107" s="784"/>
      <c r="C107" s="784"/>
      <c r="D107" s="784"/>
      <c r="E107" s="153" t="s">
        <v>766</v>
      </c>
      <c r="F107" s="152"/>
    </row>
    <row r="108" spans="1:6" ht="15.6" x14ac:dyDescent="0.3">
      <c r="A108" s="783" t="s">
        <v>699</v>
      </c>
      <c r="B108" s="784"/>
      <c r="C108" s="784"/>
      <c r="D108" s="784"/>
      <c r="E108" s="153" t="s">
        <v>767</v>
      </c>
      <c r="F108" s="158" t="s">
        <v>768</v>
      </c>
    </row>
    <row r="109" spans="1:6" ht="15.6" x14ac:dyDescent="0.3">
      <c r="A109" s="783" t="s">
        <v>700</v>
      </c>
      <c r="B109" s="784"/>
      <c r="C109" s="784"/>
      <c r="D109" s="784"/>
      <c r="E109" s="153" t="s">
        <v>769</v>
      </c>
      <c r="F109" s="158" t="s">
        <v>770</v>
      </c>
    </row>
    <row r="110" spans="1:6" ht="15.6" x14ac:dyDescent="0.3">
      <c r="A110" s="783" t="s">
        <v>446</v>
      </c>
      <c r="B110" s="784"/>
      <c r="C110" s="784"/>
      <c r="D110" s="784"/>
      <c r="E110" s="153" t="s">
        <v>771</v>
      </c>
      <c r="F110" s="152"/>
    </row>
    <row r="111" spans="1:6" ht="15.6" x14ac:dyDescent="0.3">
      <c r="A111" s="783" t="s">
        <v>702</v>
      </c>
      <c r="B111" s="784"/>
      <c r="C111" s="784"/>
      <c r="D111" s="784"/>
      <c r="E111" s="153" t="s">
        <v>772</v>
      </c>
      <c r="F111" s="152"/>
    </row>
    <row r="112" spans="1:6" ht="15.6" x14ac:dyDescent="0.3">
      <c r="A112" s="783" t="s">
        <v>701</v>
      </c>
      <c r="B112" s="784"/>
      <c r="C112" s="784"/>
      <c r="D112" s="784"/>
      <c r="E112" s="153" t="s">
        <v>773</v>
      </c>
      <c r="F112" s="158" t="s">
        <v>774</v>
      </c>
    </row>
    <row r="113" spans="1:6" ht="15.6" x14ac:dyDescent="0.3">
      <c r="A113" s="783" t="s">
        <v>709</v>
      </c>
      <c r="B113" s="784"/>
      <c r="C113" s="784"/>
      <c r="D113" s="784"/>
      <c r="E113" s="150"/>
      <c r="F113" s="158" t="s">
        <v>775</v>
      </c>
    </row>
    <row r="114" spans="1:6" ht="19.2" customHeight="1" thickBot="1" x14ac:dyDescent="0.35">
      <c r="A114" s="785" t="s">
        <v>720</v>
      </c>
      <c r="B114" s="786"/>
      <c r="C114" s="786"/>
      <c r="D114" s="786"/>
      <c r="E114" s="155" t="s">
        <v>776</v>
      </c>
      <c r="F114" s="159" t="s">
        <v>777</v>
      </c>
    </row>
    <row r="115" spans="1:6" ht="14.4" customHeight="1" thickBot="1" x14ac:dyDescent="0.35">
      <c r="A115" s="787" t="s">
        <v>721</v>
      </c>
      <c r="B115" s="788"/>
      <c r="C115" s="788"/>
      <c r="D115" s="788"/>
      <c r="E115" s="788"/>
      <c r="F115" s="789"/>
    </row>
    <row r="116" spans="1:6" ht="15.6" x14ac:dyDescent="0.3">
      <c r="D116" s="149"/>
    </row>
  </sheetData>
  <mergeCells count="48">
    <mergeCell ref="A113:D113"/>
    <mergeCell ref="A114:D114"/>
    <mergeCell ref="A115:F115"/>
    <mergeCell ref="A75:F75"/>
    <mergeCell ref="A108:D108"/>
    <mergeCell ref="A109:D109"/>
    <mergeCell ref="A110:D110"/>
    <mergeCell ref="A111:D111"/>
    <mergeCell ref="A112:D112"/>
    <mergeCell ref="A103:D103"/>
    <mergeCell ref="A104:D104"/>
    <mergeCell ref="A105:D105"/>
    <mergeCell ref="A106:D106"/>
    <mergeCell ref="A107:D107"/>
    <mergeCell ref="A99:D99"/>
    <mergeCell ref="A100:D100"/>
    <mergeCell ref="A101:D101"/>
    <mergeCell ref="A102:D102"/>
    <mergeCell ref="A94:D94"/>
    <mergeCell ref="A95:D95"/>
    <mergeCell ref="A96:D96"/>
    <mergeCell ref="A97:D97"/>
    <mergeCell ref="A98:D98"/>
    <mergeCell ref="A89:D89"/>
    <mergeCell ref="A90:D90"/>
    <mergeCell ref="A91:D91"/>
    <mergeCell ref="A92:D92"/>
    <mergeCell ref="A93:D93"/>
    <mergeCell ref="A84:D84"/>
    <mergeCell ref="A85:D85"/>
    <mergeCell ref="A86:D86"/>
    <mergeCell ref="A87:D87"/>
    <mergeCell ref="A88:D88"/>
    <mergeCell ref="A79:D79"/>
    <mergeCell ref="A80:D80"/>
    <mergeCell ref="A81:D81"/>
    <mergeCell ref="A82:D82"/>
    <mergeCell ref="A83:D83"/>
    <mergeCell ref="A77:D78"/>
    <mergeCell ref="E77:E78"/>
    <mergeCell ref="F77:F78"/>
    <mergeCell ref="A12:C12"/>
    <mergeCell ref="A2:C2"/>
    <mergeCell ref="E2:G2"/>
    <mergeCell ref="A7:B7"/>
    <mergeCell ref="E7:G7"/>
    <mergeCell ref="A18:D18"/>
    <mergeCell ref="A19:D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3A8A-985B-4C8D-B17D-24702B0D109B}">
  <sheetPr>
    <tabColor rgb="FF92D050"/>
  </sheetPr>
  <dimension ref="A1:L255"/>
  <sheetViews>
    <sheetView view="pageLayout" topLeftCell="A9" zoomScaleNormal="100" workbookViewId="0">
      <selection activeCell="C19" sqref="C19:L21"/>
    </sheetView>
  </sheetViews>
  <sheetFormatPr baseColWidth="10" defaultRowHeight="14.4" x14ac:dyDescent="0.3"/>
  <cols>
    <col min="1" max="1" width="17.88671875" style="495" customWidth="1"/>
    <col min="2" max="2" width="10.6640625" style="495" customWidth="1"/>
    <col min="3" max="3" width="12" style="495" customWidth="1"/>
    <col min="4" max="4" width="9.5546875" style="495" customWidth="1"/>
    <col min="5" max="5" width="7.21875" style="495" customWidth="1"/>
    <col min="6" max="6" width="5.6640625" style="495" customWidth="1"/>
    <col min="7" max="7" width="4.21875" style="495" customWidth="1"/>
    <col min="8" max="8" width="4.109375" style="495" customWidth="1"/>
    <col min="9" max="9" width="3.77734375" style="495" customWidth="1"/>
    <col min="10" max="10" width="4.109375" style="495" customWidth="1"/>
    <col min="11" max="11" width="6" style="495" customWidth="1"/>
    <col min="12" max="12" width="4.21875" style="495" customWidth="1"/>
    <col min="13" max="16384" width="11.5546875" style="27"/>
  </cols>
  <sheetData>
    <row r="1" spans="1:12" ht="15" thickBot="1" x14ac:dyDescent="0.35">
      <c r="A1" s="555" t="s">
        <v>194</v>
      </c>
      <c r="B1" s="556"/>
      <c r="C1" s="556"/>
      <c r="D1" s="556"/>
      <c r="E1" s="556"/>
      <c r="F1" s="556"/>
      <c r="G1" s="556"/>
      <c r="H1" s="556"/>
      <c r="I1" s="556"/>
      <c r="J1" s="556"/>
      <c r="K1" s="556"/>
      <c r="L1" s="557"/>
    </row>
    <row r="3" spans="1:12" x14ac:dyDescent="0.3">
      <c r="A3" s="491" t="s">
        <v>167</v>
      </c>
      <c r="B3" s="554" t="s">
        <v>195</v>
      </c>
      <c r="C3" s="554"/>
      <c r="D3" s="554"/>
      <c r="E3" s="554"/>
      <c r="F3" s="554"/>
      <c r="G3" s="554"/>
      <c r="H3" s="554"/>
      <c r="I3" s="602"/>
      <c r="J3" s="600" t="s">
        <v>198</v>
      </c>
      <c r="K3" s="600"/>
      <c r="L3" s="601"/>
    </row>
    <row r="4" spans="1:12" x14ac:dyDescent="0.3">
      <c r="A4" s="407">
        <v>44558</v>
      </c>
      <c r="B4" s="626" t="s">
        <v>891</v>
      </c>
      <c r="C4" s="720"/>
      <c r="D4" s="720"/>
      <c r="E4" s="720"/>
      <c r="F4" s="720"/>
      <c r="G4" s="720"/>
      <c r="H4" s="721"/>
      <c r="I4" s="474">
        <v>2</v>
      </c>
      <c r="J4" s="607" t="s">
        <v>1101</v>
      </c>
      <c r="K4" s="608"/>
      <c r="L4" s="608"/>
    </row>
    <row r="5" spans="1:12" ht="15" thickBot="1" x14ac:dyDescent="0.35"/>
    <row r="6" spans="1:12" ht="15" thickBot="1" x14ac:dyDescent="0.35">
      <c r="B6" s="555" t="s">
        <v>0</v>
      </c>
      <c r="C6" s="556"/>
      <c r="D6" s="556"/>
      <c r="E6" s="556"/>
      <c r="F6" s="556"/>
      <c r="G6" s="556"/>
      <c r="H6" s="556"/>
      <c r="I6" s="557"/>
      <c r="J6" s="489"/>
      <c r="K6" s="489"/>
    </row>
    <row r="8" spans="1:12" x14ac:dyDescent="0.3">
      <c r="A8" s="491" t="s">
        <v>1</v>
      </c>
      <c r="B8" s="637" t="s">
        <v>1084</v>
      </c>
      <c r="C8" s="638"/>
      <c r="D8" s="638"/>
      <c r="E8" s="638"/>
      <c r="F8" s="638"/>
      <c r="G8" s="638"/>
      <c r="H8" s="638"/>
      <c r="I8" s="639"/>
      <c r="J8" s="554" t="s">
        <v>2</v>
      </c>
      <c r="K8" s="554"/>
      <c r="L8" s="294" t="s">
        <v>1079</v>
      </c>
    </row>
    <row r="9" spans="1:12" x14ac:dyDescent="0.3">
      <c r="A9" s="491" t="s">
        <v>166</v>
      </c>
      <c r="B9" s="522" t="s">
        <v>1085</v>
      </c>
      <c r="C9" s="523"/>
      <c r="D9" s="523"/>
      <c r="E9" s="524"/>
      <c r="F9" s="664" t="s">
        <v>392</v>
      </c>
      <c r="G9" s="665"/>
      <c r="H9" s="666">
        <v>33027</v>
      </c>
      <c r="I9" s="667"/>
      <c r="J9" s="554" t="s">
        <v>3</v>
      </c>
      <c r="K9" s="554"/>
      <c r="L9" s="473">
        <f>'ANTROPOMETRIA INICIAL'!B8</f>
        <v>31.441478439425051</v>
      </c>
    </row>
    <row r="10" spans="1:12" x14ac:dyDescent="0.3">
      <c r="A10" s="491" t="s">
        <v>165</v>
      </c>
      <c r="B10" s="603" t="s">
        <v>1086</v>
      </c>
      <c r="C10" s="603"/>
      <c r="D10" s="636" t="s">
        <v>196</v>
      </c>
      <c r="E10" s="601"/>
      <c r="F10" s="637" t="s">
        <v>1087</v>
      </c>
      <c r="G10" s="638"/>
      <c r="H10" s="638"/>
      <c r="I10" s="638"/>
      <c r="J10" s="638"/>
      <c r="K10" s="638"/>
      <c r="L10" s="639"/>
    </row>
    <row r="11" spans="1:12" x14ac:dyDescent="0.3">
      <c r="A11" s="554" t="s">
        <v>197</v>
      </c>
      <c r="B11" s="554"/>
      <c r="C11" s="603" t="s">
        <v>1088</v>
      </c>
      <c r="D11" s="603"/>
      <c r="E11" s="603"/>
      <c r="F11" s="603"/>
      <c r="G11" s="603"/>
      <c r="H11" s="603"/>
      <c r="I11" s="603"/>
      <c r="J11" s="603"/>
      <c r="K11" s="603"/>
      <c r="L11" s="603"/>
    </row>
    <row r="12" spans="1:12" x14ac:dyDescent="0.3">
      <c r="A12" s="558"/>
      <c r="B12" s="558"/>
      <c r="C12" s="558"/>
      <c r="D12" s="558"/>
      <c r="E12" s="558"/>
      <c r="F12" s="558"/>
      <c r="G12" s="558"/>
      <c r="H12" s="558"/>
      <c r="I12" s="558"/>
      <c r="J12" s="558"/>
      <c r="K12" s="558"/>
      <c r="L12" s="558"/>
    </row>
    <row r="13" spans="1:12" ht="15" thickBot="1" x14ac:dyDescent="0.35"/>
    <row r="14" spans="1:12" ht="15" thickBot="1" x14ac:dyDescent="0.35">
      <c r="C14" s="555" t="s">
        <v>199</v>
      </c>
      <c r="D14" s="556"/>
      <c r="E14" s="556"/>
      <c r="F14" s="556"/>
      <c r="G14" s="556"/>
      <c r="H14" s="557"/>
      <c r="I14" s="489"/>
      <c r="J14" s="489"/>
      <c r="K14" s="489"/>
    </row>
    <row r="15" spans="1:12" ht="15" thickBot="1" x14ac:dyDescent="0.35"/>
    <row r="16" spans="1:12" ht="15" thickBot="1" x14ac:dyDescent="0.35">
      <c r="A16" s="218" t="s">
        <v>168</v>
      </c>
      <c r="B16" s="37" t="s">
        <v>870</v>
      </c>
    </row>
    <row r="17" spans="1:12" ht="15" thickBot="1" x14ac:dyDescent="0.35">
      <c r="A17" s="69" t="s">
        <v>1089</v>
      </c>
      <c r="B17" s="492" t="s">
        <v>877</v>
      </c>
      <c r="C17" s="604" t="s">
        <v>204</v>
      </c>
      <c r="D17" s="605"/>
      <c r="E17" s="606"/>
      <c r="F17" s="623" t="s">
        <v>1089</v>
      </c>
      <c r="G17" s="624"/>
      <c r="H17" s="624"/>
      <c r="I17" s="624"/>
      <c r="J17" s="624"/>
      <c r="K17" s="624"/>
      <c r="L17" s="625"/>
    </row>
    <row r="18" spans="1:12" ht="15" thickBot="1" x14ac:dyDescent="0.35">
      <c r="A18" s="53" t="s">
        <v>200</v>
      </c>
      <c r="B18" s="296"/>
      <c r="C18" s="661" t="s">
        <v>1090</v>
      </c>
      <c r="D18" s="662"/>
      <c r="E18" s="662"/>
      <c r="F18" s="662"/>
      <c r="G18" s="662"/>
      <c r="H18" s="662"/>
      <c r="I18" s="662"/>
      <c r="J18" s="662"/>
      <c r="K18" s="662"/>
      <c r="L18" s="663"/>
    </row>
    <row r="19" spans="1:12" x14ac:dyDescent="0.3">
      <c r="A19" s="53" t="s">
        <v>169</v>
      </c>
      <c r="B19" s="296"/>
      <c r="C19" s="651" t="s">
        <v>1091</v>
      </c>
      <c r="D19" s="652"/>
      <c r="E19" s="652"/>
      <c r="F19" s="652"/>
      <c r="G19" s="652"/>
      <c r="H19" s="652"/>
      <c r="I19" s="652"/>
      <c r="J19" s="652"/>
      <c r="K19" s="652"/>
      <c r="L19" s="653"/>
    </row>
    <row r="20" spans="1:12" x14ac:dyDescent="0.3">
      <c r="A20" s="53" t="s">
        <v>170</v>
      </c>
      <c r="B20" s="296"/>
      <c r="C20" s="654"/>
      <c r="D20" s="655"/>
      <c r="E20" s="655"/>
      <c r="F20" s="655"/>
      <c r="G20" s="655"/>
      <c r="H20" s="655"/>
      <c r="I20" s="655"/>
      <c r="J20" s="655"/>
      <c r="K20" s="655"/>
      <c r="L20" s="656"/>
    </row>
    <row r="21" spans="1:12" ht="15" thickBot="1" x14ac:dyDescent="0.35">
      <c r="A21" s="53" t="s">
        <v>201</v>
      </c>
      <c r="B21" s="296"/>
      <c r="C21" s="657"/>
      <c r="D21" s="658"/>
      <c r="E21" s="658"/>
      <c r="F21" s="658"/>
      <c r="G21" s="658"/>
      <c r="H21" s="658"/>
      <c r="I21" s="658"/>
      <c r="J21" s="658"/>
      <c r="K21" s="658"/>
      <c r="L21" s="659"/>
    </row>
    <row r="22" spans="1:12" ht="15" thickBot="1" x14ac:dyDescent="0.35">
      <c r="A22" s="53" t="s">
        <v>171</v>
      </c>
      <c r="B22" s="296"/>
      <c r="C22" s="556" t="s">
        <v>205</v>
      </c>
      <c r="D22" s="556"/>
      <c r="E22" s="556"/>
      <c r="F22" s="556"/>
      <c r="G22" s="556"/>
      <c r="H22" s="556"/>
      <c r="I22" s="556"/>
      <c r="J22" s="556"/>
      <c r="K22" s="556"/>
      <c r="L22" s="557"/>
    </row>
    <row r="23" spans="1:12" ht="15" thickBot="1" x14ac:dyDescent="0.35">
      <c r="A23" s="53" t="s">
        <v>172</v>
      </c>
      <c r="B23" s="296"/>
      <c r="C23" s="609" t="s">
        <v>174</v>
      </c>
      <c r="D23" s="610"/>
      <c r="E23" s="611"/>
      <c r="F23" s="610" t="s">
        <v>175</v>
      </c>
      <c r="G23" s="610"/>
      <c r="H23" s="609" t="s">
        <v>176</v>
      </c>
      <c r="I23" s="610"/>
      <c r="J23" s="610"/>
      <c r="K23" s="610"/>
      <c r="L23" s="611"/>
    </row>
    <row r="24" spans="1:12" x14ac:dyDescent="0.3">
      <c r="A24" s="53" t="s">
        <v>173</v>
      </c>
      <c r="B24" s="296"/>
      <c r="C24" s="612" t="s">
        <v>1096</v>
      </c>
      <c r="D24" s="613"/>
      <c r="E24" s="614"/>
      <c r="F24" s="618" t="s">
        <v>1097</v>
      </c>
      <c r="G24" s="614"/>
      <c r="H24" s="618" t="s">
        <v>1098</v>
      </c>
      <c r="I24" s="613"/>
      <c r="J24" s="613"/>
      <c r="K24" s="613"/>
      <c r="L24" s="660"/>
    </row>
    <row r="25" spans="1:12" ht="28.2" thickBot="1" x14ac:dyDescent="0.35">
      <c r="A25" s="219" t="s">
        <v>202</v>
      </c>
      <c r="B25" s="297" t="s">
        <v>877</v>
      </c>
      <c r="C25" s="615" t="s">
        <v>1099</v>
      </c>
      <c r="D25" s="616"/>
      <c r="E25" s="617"/>
      <c r="F25" s="619"/>
      <c r="G25" s="620"/>
      <c r="H25" s="619"/>
      <c r="I25" s="621"/>
      <c r="J25" s="621"/>
      <c r="K25" s="621"/>
      <c r="L25" s="622"/>
    </row>
    <row r="26" spans="1:12" ht="15" thickBot="1" x14ac:dyDescent="0.35"/>
    <row r="27" spans="1:12" ht="15" thickBot="1" x14ac:dyDescent="0.35">
      <c r="C27" s="555" t="s">
        <v>177</v>
      </c>
      <c r="D27" s="556"/>
      <c r="E27" s="556"/>
      <c r="F27" s="556"/>
      <c r="G27" s="556"/>
      <c r="H27" s="557"/>
      <c r="I27" s="489"/>
      <c r="J27" s="489"/>
      <c r="K27" s="489"/>
    </row>
    <row r="28" spans="1:12" ht="15" thickBot="1" x14ac:dyDescent="0.35"/>
    <row r="29" spans="1:12" ht="15" thickBot="1" x14ac:dyDescent="0.35">
      <c r="A29" s="218" t="s">
        <v>206</v>
      </c>
      <c r="B29" s="37" t="s">
        <v>870</v>
      </c>
      <c r="C29" s="555" t="s">
        <v>861</v>
      </c>
      <c r="D29" s="556"/>
      <c r="E29" s="556"/>
      <c r="F29" s="556"/>
      <c r="G29" s="556"/>
      <c r="H29" s="556"/>
      <c r="I29" s="556"/>
      <c r="J29" s="556"/>
      <c r="K29" s="556"/>
      <c r="L29" s="557"/>
    </row>
    <row r="30" spans="1:12" x14ac:dyDescent="0.3">
      <c r="A30" s="484" t="s">
        <v>207</v>
      </c>
      <c r="B30" s="493"/>
      <c r="C30" s="597" t="s">
        <v>1102</v>
      </c>
      <c r="D30" s="597"/>
      <c r="E30" s="597"/>
      <c r="F30" s="597"/>
      <c r="G30" s="597"/>
      <c r="H30" s="597"/>
      <c r="I30" s="597"/>
      <c r="J30" s="597"/>
      <c r="K30" s="597"/>
      <c r="L30" s="597"/>
    </row>
    <row r="31" spans="1:12" x14ac:dyDescent="0.3">
      <c r="A31" s="482" t="s">
        <v>208</v>
      </c>
      <c r="B31" s="490"/>
      <c r="C31" s="558" t="s">
        <v>1103</v>
      </c>
      <c r="D31" s="558"/>
      <c r="E31" s="558"/>
      <c r="F31" s="558"/>
      <c r="G31" s="558"/>
      <c r="H31" s="558"/>
      <c r="I31" s="558"/>
      <c r="J31" s="558"/>
      <c r="K31" s="558"/>
      <c r="L31" s="558"/>
    </row>
    <row r="32" spans="1:12" x14ac:dyDescent="0.3">
      <c r="A32" s="482" t="s">
        <v>209</v>
      </c>
      <c r="B32" s="490"/>
      <c r="C32" s="558"/>
      <c r="D32" s="558"/>
      <c r="E32" s="558"/>
      <c r="F32" s="558"/>
      <c r="G32" s="558"/>
      <c r="H32" s="558"/>
      <c r="I32" s="558"/>
      <c r="J32" s="558"/>
      <c r="K32" s="558"/>
      <c r="L32" s="558"/>
    </row>
    <row r="33" spans="1:12" x14ac:dyDescent="0.3">
      <c r="A33" s="482" t="s">
        <v>210</v>
      </c>
      <c r="B33" s="490"/>
      <c r="C33" s="558"/>
      <c r="D33" s="558"/>
      <c r="E33" s="558"/>
      <c r="F33" s="558"/>
      <c r="G33" s="558"/>
      <c r="H33" s="558"/>
      <c r="I33" s="558"/>
      <c r="J33" s="558"/>
      <c r="K33" s="558"/>
      <c r="L33" s="558"/>
    </row>
    <row r="34" spans="1:12" x14ac:dyDescent="0.3">
      <c r="A34" s="482" t="s">
        <v>211</v>
      </c>
      <c r="B34" s="490"/>
      <c r="C34" s="558"/>
      <c r="D34" s="558"/>
      <c r="E34" s="558"/>
      <c r="F34" s="558"/>
      <c r="G34" s="558"/>
      <c r="H34" s="558"/>
      <c r="I34" s="558"/>
      <c r="J34" s="558"/>
      <c r="K34" s="558"/>
      <c r="L34" s="558"/>
    </row>
    <row r="35" spans="1:12" x14ac:dyDescent="0.3">
      <c r="A35" s="482" t="s">
        <v>212</v>
      </c>
      <c r="B35" s="490"/>
      <c r="C35" s="558"/>
      <c r="D35" s="558"/>
      <c r="E35" s="558"/>
      <c r="F35" s="558"/>
      <c r="G35" s="558"/>
      <c r="H35" s="558"/>
      <c r="I35" s="558"/>
      <c r="J35" s="558"/>
      <c r="K35" s="558"/>
      <c r="L35" s="558"/>
    </row>
    <row r="36" spans="1:12" x14ac:dyDescent="0.3">
      <c r="A36" s="482" t="s">
        <v>213</v>
      </c>
      <c r="B36" s="490"/>
      <c r="C36" s="558"/>
      <c r="D36" s="558"/>
      <c r="E36" s="558"/>
      <c r="F36" s="558"/>
      <c r="G36" s="558"/>
      <c r="H36" s="558"/>
      <c r="I36" s="558"/>
      <c r="J36" s="558"/>
      <c r="K36" s="558"/>
      <c r="L36" s="558"/>
    </row>
    <row r="37" spans="1:12" x14ac:dyDescent="0.3">
      <c r="A37" s="482" t="s">
        <v>214</v>
      </c>
      <c r="B37" s="490"/>
      <c r="C37" s="558"/>
      <c r="D37" s="558"/>
      <c r="E37" s="558"/>
      <c r="F37" s="558"/>
      <c r="G37" s="558"/>
      <c r="H37" s="558"/>
      <c r="I37" s="558"/>
      <c r="J37" s="558"/>
      <c r="K37" s="558"/>
      <c r="L37" s="558"/>
    </row>
    <row r="38" spans="1:12" x14ac:dyDescent="0.3">
      <c r="A38" s="482" t="s">
        <v>215</v>
      </c>
      <c r="B38" s="490"/>
      <c r="C38" s="558"/>
      <c r="D38" s="558"/>
      <c r="E38" s="558"/>
      <c r="F38" s="558"/>
      <c r="G38" s="558"/>
      <c r="H38" s="558"/>
      <c r="I38" s="558"/>
      <c r="J38" s="558"/>
      <c r="K38" s="558"/>
      <c r="L38" s="558"/>
    </row>
    <row r="39" spans="1:12" x14ac:dyDescent="0.3">
      <c r="A39" s="482" t="s">
        <v>229</v>
      </c>
      <c r="B39" s="490"/>
      <c r="C39" s="558"/>
      <c r="D39" s="558"/>
      <c r="E39" s="558"/>
      <c r="F39" s="558"/>
      <c r="G39" s="558"/>
      <c r="H39" s="558"/>
      <c r="I39" s="558"/>
      <c r="J39" s="558"/>
      <c r="K39" s="558"/>
      <c r="L39" s="558"/>
    </row>
    <row r="40" spans="1:12" x14ac:dyDescent="0.3">
      <c r="A40" s="482" t="s">
        <v>216</v>
      </c>
      <c r="B40" s="490"/>
      <c r="C40" s="558"/>
      <c r="D40" s="558"/>
      <c r="E40" s="558"/>
      <c r="F40" s="558"/>
      <c r="G40" s="558"/>
      <c r="H40" s="558"/>
      <c r="I40" s="558"/>
      <c r="J40" s="558"/>
      <c r="K40" s="558"/>
      <c r="L40" s="558"/>
    </row>
    <row r="41" spans="1:12" x14ac:dyDescent="0.3">
      <c r="A41" s="482" t="s">
        <v>217</v>
      </c>
      <c r="B41" s="490"/>
      <c r="C41" s="558"/>
      <c r="D41" s="558"/>
      <c r="E41" s="558"/>
      <c r="F41" s="558"/>
      <c r="G41" s="558"/>
      <c r="H41" s="558"/>
      <c r="I41" s="558"/>
      <c r="J41" s="558"/>
      <c r="K41" s="558"/>
      <c r="L41" s="558"/>
    </row>
    <row r="42" spans="1:12" x14ac:dyDescent="0.3">
      <c r="A42" s="482" t="s">
        <v>218</v>
      </c>
      <c r="B42" s="490"/>
      <c r="C42" s="558"/>
      <c r="D42" s="558"/>
      <c r="E42" s="558"/>
      <c r="F42" s="558"/>
      <c r="G42" s="558"/>
      <c r="H42" s="558"/>
      <c r="I42" s="558"/>
      <c r="J42" s="558"/>
      <c r="K42" s="558"/>
      <c r="L42" s="558"/>
    </row>
    <row r="43" spans="1:12" x14ac:dyDescent="0.3">
      <c r="A43" s="482" t="s">
        <v>236</v>
      </c>
      <c r="B43" s="490"/>
      <c r="C43" s="558"/>
      <c r="D43" s="558"/>
      <c r="E43" s="558"/>
      <c r="F43" s="558"/>
      <c r="G43" s="558"/>
      <c r="H43" s="558"/>
      <c r="I43" s="558"/>
      <c r="J43" s="558"/>
      <c r="K43" s="558"/>
      <c r="L43" s="558"/>
    </row>
    <row r="45" spans="1:12" ht="15" thickBot="1" x14ac:dyDescent="0.35"/>
    <row r="46" spans="1:12" ht="15" thickBot="1" x14ac:dyDescent="0.35">
      <c r="C46" s="555" t="s">
        <v>219</v>
      </c>
      <c r="D46" s="556"/>
      <c r="E46" s="556"/>
      <c r="F46" s="556"/>
      <c r="G46" s="557"/>
      <c r="H46" s="489"/>
      <c r="I46" s="489"/>
      <c r="J46" s="489"/>
      <c r="K46" s="489"/>
    </row>
    <row r="47" spans="1:12" ht="15" thickBot="1" x14ac:dyDescent="0.35">
      <c r="C47" s="489"/>
      <c r="D47" s="489"/>
      <c r="E47" s="489"/>
      <c r="F47" s="489"/>
      <c r="G47" s="489"/>
      <c r="H47" s="489"/>
      <c r="I47" s="489"/>
      <c r="J47" s="489"/>
      <c r="K47" s="489"/>
    </row>
    <row r="48" spans="1:12" ht="15" thickBot="1" x14ac:dyDescent="0.35">
      <c r="A48" s="551" t="s">
        <v>860</v>
      </c>
      <c r="B48" s="552"/>
      <c r="C48" s="552"/>
      <c r="D48" s="552"/>
      <c r="E48" s="552"/>
      <c r="F48" s="552"/>
      <c r="G48" s="552"/>
      <c r="H48" s="552"/>
      <c r="I48" s="552"/>
      <c r="J48" s="552"/>
      <c r="K48" s="552"/>
      <c r="L48" s="553"/>
    </row>
    <row r="49" spans="1:12" ht="15" thickBot="1" x14ac:dyDescent="0.35">
      <c r="A49" s="529" t="s">
        <v>458</v>
      </c>
      <c r="B49" s="640"/>
      <c r="C49" s="193" t="s">
        <v>834</v>
      </c>
      <c r="D49" s="193" t="s">
        <v>176</v>
      </c>
      <c r="E49" s="529" t="s">
        <v>859</v>
      </c>
      <c r="F49" s="629"/>
      <c r="G49" s="529" t="s">
        <v>861</v>
      </c>
      <c r="H49" s="530"/>
      <c r="I49" s="530"/>
      <c r="J49" s="530"/>
      <c r="K49" s="530"/>
      <c r="L49" s="640"/>
    </row>
    <row r="50" spans="1:12" x14ac:dyDescent="0.3">
      <c r="A50" s="641" t="s">
        <v>498</v>
      </c>
      <c r="B50" s="642"/>
      <c r="C50" s="300">
        <v>7</v>
      </c>
      <c r="D50" s="300">
        <v>7</v>
      </c>
      <c r="E50" s="645">
        <f>(C50*D50)/7</f>
        <v>7</v>
      </c>
      <c r="F50" s="646"/>
      <c r="G50" s="542" t="s">
        <v>1082</v>
      </c>
      <c r="H50" s="543"/>
      <c r="I50" s="543"/>
      <c r="J50" s="543"/>
      <c r="K50" s="543"/>
      <c r="L50" s="544"/>
    </row>
    <row r="51" spans="1:12" x14ac:dyDescent="0.3">
      <c r="A51" s="525" t="s">
        <v>456</v>
      </c>
      <c r="B51" s="526"/>
      <c r="C51" s="301">
        <v>3</v>
      </c>
      <c r="D51" s="301">
        <v>7</v>
      </c>
      <c r="E51" s="527">
        <f t="shared" ref="E51:E57" si="0">(C51*D51)/7</f>
        <v>3</v>
      </c>
      <c r="F51" s="528"/>
      <c r="G51" s="545"/>
      <c r="H51" s="546"/>
      <c r="I51" s="546"/>
      <c r="J51" s="546"/>
      <c r="K51" s="546"/>
      <c r="L51" s="547"/>
    </row>
    <row r="52" spans="1:12" x14ac:dyDescent="0.3">
      <c r="A52" s="525" t="s">
        <v>855</v>
      </c>
      <c r="B52" s="526"/>
      <c r="C52" s="301">
        <v>2</v>
      </c>
      <c r="D52" s="301">
        <v>7</v>
      </c>
      <c r="E52" s="527">
        <f t="shared" si="0"/>
        <v>2</v>
      </c>
      <c r="F52" s="528"/>
      <c r="G52" s="545"/>
      <c r="H52" s="546"/>
      <c r="I52" s="546"/>
      <c r="J52" s="546"/>
      <c r="K52" s="546"/>
      <c r="L52" s="547"/>
    </row>
    <row r="53" spans="1:12" x14ac:dyDescent="0.3">
      <c r="A53" s="525" t="s">
        <v>841</v>
      </c>
      <c r="B53" s="526"/>
      <c r="C53" s="301">
        <v>1</v>
      </c>
      <c r="D53" s="301">
        <v>7</v>
      </c>
      <c r="E53" s="527">
        <f t="shared" si="0"/>
        <v>1</v>
      </c>
      <c r="F53" s="528"/>
      <c r="G53" s="545"/>
      <c r="H53" s="546"/>
      <c r="I53" s="546"/>
      <c r="J53" s="546"/>
      <c r="K53" s="546"/>
      <c r="L53" s="547"/>
    </row>
    <row r="54" spans="1:12" x14ac:dyDescent="0.3">
      <c r="A54" s="525" t="s">
        <v>423</v>
      </c>
      <c r="B54" s="526"/>
      <c r="C54" s="301">
        <v>2</v>
      </c>
      <c r="D54" s="301">
        <v>1</v>
      </c>
      <c r="E54" s="527">
        <f t="shared" si="0"/>
        <v>0.2857142857142857</v>
      </c>
      <c r="F54" s="528"/>
      <c r="G54" s="545"/>
      <c r="H54" s="546"/>
      <c r="I54" s="546"/>
      <c r="J54" s="546"/>
      <c r="K54" s="546"/>
      <c r="L54" s="547"/>
    </row>
    <row r="55" spans="1:12" x14ac:dyDescent="0.3">
      <c r="A55" s="525" t="s">
        <v>431</v>
      </c>
      <c r="B55" s="526"/>
      <c r="C55" s="301">
        <v>5</v>
      </c>
      <c r="D55" s="301">
        <v>0</v>
      </c>
      <c r="E55" s="527">
        <f t="shared" si="0"/>
        <v>0</v>
      </c>
      <c r="F55" s="528"/>
      <c r="G55" s="545"/>
      <c r="H55" s="546"/>
      <c r="I55" s="546"/>
      <c r="J55" s="546"/>
      <c r="K55" s="546"/>
      <c r="L55" s="547"/>
    </row>
    <row r="56" spans="1:12" ht="15" thickBot="1" x14ac:dyDescent="0.35">
      <c r="A56" s="525" t="s">
        <v>432</v>
      </c>
      <c r="B56" s="526"/>
      <c r="C56" s="301">
        <v>2</v>
      </c>
      <c r="D56" s="301">
        <v>0</v>
      </c>
      <c r="E56" s="527">
        <f t="shared" si="0"/>
        <v>0</v>
      </c>
      <c r="F56" s="528"/>
      <c r="G56" s="548"/>
      <c r="H56" s="549"/>
      <c r="I56" s="549"/>
      <c r="J56" s="549"/>
      <c r="K56" s="549"/>
      <c r="L56" s="550"/>
    </row>
    <row r="57" spans="1:12" ht="15" thickBot="1" x14ac:dyDescent="0.35">
      <c r="A57" s="535" t="s">
        <v>469</v>
      </c>
      <c r="B57" s="536"/>
      <c r="C57" s="302">
        <v>1</v>
      </c>
      <c r="D57" s="302">
        <v>3</v>
      </c>
      <c r="E57" s="537">
        <f t="shared" si="0"/>
        <v>0.42857142857142855</v>
      </c>
      <c r="F57" s="538"/>
      <c r="G57" s="539" t="s">
        <v>865</v>
      </c>
      <c r="H57" s="540"/>
      <c r="I57" s="540"/>
      <c r="J57" s="540"/>
      <c r="K57" s="540"/>
      <c r="L57" s="541"/>
    </row>
    <row r="58" spans="1:12" ht="15" thickBot="1" x14ac:dyDescent="0.35">
      <c r="A58" s="529" t="s">
        <v>866</v>
      </c>
      <c r="B58" s="530"/>
      <c r="C58" s="189">
        <f>SUM(C50:C57)</f>
        <v>23</v>
      </c>
      <c r="D58" s="189"/>
      <c r="E58" s="531">
        <f>SUM(E50:F57)</f>
        <v>13.714285714285715</v>
      </c>
      <c r="F58" s="532"/>
      <c r="G58" s="533">
        <f>C58-E58</f>
        <v>9.2857142857142847</v>
      </c>
      <c r="H58" s="531"/>
      <c r="I58" s="531"/>
      <c r="J58" s="531"/>
      <c r="K58" s="531"/>
      <c r="L58" s="534"/>
    </row>
    <row r="59" spans="1:12" ht="15" thickBot="1" x14ac:dyDescent="0.35">
      <c r="A59" s="647" t="s">
        <v>871</v>
      </c>
      <c r="B59" s="648"/>
      <c r="C59" s="648"/>
      <c r="D59" s="648"/>
      <c r="E59" s="648"/>
      <c r="F59" s="648"/>
      <c r="G59" s="648"/>
      <c r="H59" s="648"/>
      <c r="I59" s="648"/>
      <c r="J59" s="648"/>
      <c r="K59" s="649"/>
      <c r="L59" s="650"/>
    </row>
    <row r="60" spans="1:12" ht="15" thickBot="1" x14ac:dyDescent="0.35">
      <c r="A60" s="730" t="s">
        <v>878</v>
      </c>
      <c r="B60" s="731"/>
      <c r="C60" s="731"/>
      <c r="D60" s="732"/>
      <c r="E60" s="743" t="s">
        <v>872</v>
      </c>
      <c r="F60" s="744"/>
      <c r="G60" s="744"/>
      <c r="H60" s="731"/>
      <c r="I60" s="731"/>
      <c r="J60" s="732"/>
      <c r="K60" s="1105">
        <v>1</v>
      </c>
      <c r="L60" s="1105">
        <v>1</v>
      </c>
    </row>
    <row r="61" spans="1:12" ht="15" thickBot="1" x14ac:dyDescent="0.35">
      <c r="A61" s="223" t="s">
        <v>879</v>
      </c>
      <c r="B61" s="305">
        <v>1</v>
      </c>
      <c r="C61" s="733" t="s">
        <v>831</v>
      </c>
      <c r="D61" s="734"/>
      <c r="E61" s="739" t="s">
        <v>876</v>
      </c>
      <c r="F61" s="740"/>
      <c r="G61" s="741"/>
      <c r="H61" s="725">
        <v>0</v>
      </c>
      <c r="I61" s="742"/>
      <c r="J61" s="725">
        <v>0</v>
      </c>
      <c r="K61" s="726"/>
      <c r="L61" s="1104" t="e">
        <f>((J61*L60)/H61)-K60</f>
        <v>#DIV/0!</v>
      </c>
    </row>
    <row r="62" spans="1:12" ht="15" thickBot="1" x14ac:dyDescent="0.35">
      <c r="A62" s="224" t="s">
        <v>880</v>
      </c>
      <c r="B62" s="304">
        <v>1</v>
      </c>
      <c r="C62" s="735" t="str">
        <f>IF(B62&gt;=1.02,"DESHIDRATADO","HIDRATADO")</f>
        <v>HIDRATADO</v>
      </c>
      <c r="D62" s="736"/>
      <c r="E62" s="722" t="s">
        <v>875</v>
      </c>
      <c r="F62" s="723"/>
      <c r="G62" s="724"/>
      <c r="H62" s="745" t="s">
        <v>873</v>
      </c>
      <c r="I62" s="746"/>
      <c r="J62" s="307">
        <v>0</v>
      </c>
      <c r="K62" s="727" t="e">
        <f>_xlfn.IFS(J62=1,"HIDRATADO",J62=2,"HIDRATADO",J62=3,"HIDRATADO",J62=4,"HIDRATADO",J62=5,"DESHIDRATADO",J62=6,"DESHIDRATADO",J62=7,"DESHIDRATADO",J62=8,"DESHIDRATADO")</f>
        <v>#N/A</v>
      </c>
      <c r="L62" s="729"/>
    </row>
    <row r="63" spans="1:12" ht="15" thickBot="1" x14ac:dyDescent="0.35">
      <c r="A63" s="225" t="s">
        <v>881</v>
      </c>
      <c r="B63" s="306">
        <v>1</v>
      </c>
      <c r="C63" s="737" t="str">
        <f>IF(B63&gt;=1.02,"DESHIDRATADO","HIDRATADO")</f>
        <v>HIDRATADO</v>
      </c>
      <c r="D63" s="738"/>
      <c r="E63" s="722" t="s">
        <v>874</v>
      </c>
      <c r="F63" s="723"/>
      <c r="G63" s="724"/>
      <c r="H63" s="725"/>
      <c r="I63" s="726"/>
      <c r="J63" s="727" t="str">
        <f>IF(H63="SI","HIDRATADO","DESHIDRATADO")</f>
        <v>DESHIDRATADO</v>
      </c>
      <c r="K63" s="728"/>
      <c r="L63" s="729"/>
    </row>
    <row r="64" spans="1:12" ht="15" thickBot="1" x14ac:dyDescent="0.35"/>
    <row r="65" spans="1:12" ht="15" thickBot="1" x14ac:dyDescent="0.35">
      <c r="C65" s="555" t="s">
        <v>222</v>
      </c>
      <c r="D65" s="556"/>
      <c r="E65" s="556"/>
      <c r="F65" s="556"/>
      <c r="G65" s="557"/>
      <c r="H65" s="489"/>
      <c r="I65" s="221"/>
      <c r="J65" s="221"/>
      <c r="K65" s="221"/>
    </row>
    <row r="66" spans="1:12" ht="15" thickBot="1" x14ac:dyDescent="0.35">
      <c r="I66" s="221"/>
      <c r="J66" s="222"/>
      <c r="K66" s="222"/>
    </row>
    <row r="67" spans="1:12" ht="15" thickBot="1" x14ac:dyDescent="0.35">
      <c r="A67" s="643" t="s">
        <v>178</v>
      </c>
      <c r="B67" s="605"/>
      <c r="C67" s="605" t="s">
        <v>226</v>
      </c>
      <c r="D67" s="605"/>
      <c r="E67" s="644"/>
      <c r="F67" s="555" t="s">
        <v>193</v>
      </c>
      <c r="G67" s="556"/>
      <c r="H67" s="556"/>
      <c r="I67" s="556"/>
      <c r="J67" s="556"/>
      <c r="K67" s="556"/>
      <c r="L67" s="557"/>
    </row>
    <row r="68" spans="1:12" x14ac:dyDescent="0.3">
      <c r="A68" s="627" t="s">
        <v>227</v>
      </c>
      <c r="B68" s="597"/>
      <c r="C68" s="597" t="s">
        <v>179</v>
      </c>
      <c r="D68" s="597"/>
      <c r="E68" s="628"/>
      <c r="F68" s="630"/>
      <c r="G68" s="631"/>
      <c r="H68" s="631"/>
      <c r="I68" s="631"/>
      <c r="J68" s="631"/>
      <c r="K68" s="631"/>
      <c r="L68" s="632"/>
    </row>
    <row r="69" spans="1:12" x14ac:dyDescent="0.3">
      <c r="A69" s="627" t="s">
        <v>899</v>
      </c>
      <c r="B69" s="597"/>
      <c r="C69" s="558" t="s">
        <v>900</v>
      </c>
      <c r="D69" s="558"/>
      <c r="E69" s="626"/>
      <c r="F69" s="633"/>
      <c r="G69" s="634"/>
      <c r="H69" s="634"/>
      <c r="I69" s="634"/>
      <c r="J69" s="634"/>
      <c r="K69" s="634"/>
      <c r="L69" s="635"/>
    </row>
    <row r="70" spans="1:12" x14ac:dyDescent="0.3">
      <c r="A70" s="627" t="s">
        <v>901</v>
      </c>
      <c r="B70" s="597"/>
      <c r="C70" s="558" t="s">
        <v>902</v>
      </c>
      <c r="D70" s="558"/>
      <c r="E70" s="626"/>
      <c r="F70" s="633"/>
      <c r="G70" s="634"/>
      <c r="H70" s="634"/>
      <c r="I70" s="634"/>
      <c r="J70" s="634"/>
      <c r="K70" s="634"/>
      <c r="L70" s="635"/>
    </row>
    <row r="71" spans="1:12" x14ac:dyDescent="0.3">
      <c r="A71" s="562" t="s">
        <v>228</v>
      </c>
      <c r="B71" s="558"/>
      <c r="C71" s="558" t="s">
        <v>232</v>
      </c>
      <c r="D71" s="558"/>
      <c r="E71" s="626"/>
      <c r="F71" s="633"/>
      <c r="G71" s="634"/>
      <c r="H71" s="634"/>
      <c r="I71" s="634"/>
      <c r="J71" s="634"/>
      <c r="K71" s="634"/>
      <c r="L71" s="635"/>
    </row>
    <row r="72" spans="1:12" x14ac:dyDescent="0.3">
      <c r="A72" s="562" t="s">
        <v>181</v>
      </c>
      <c r="B72" s="558"/>
      <c r="C72" s="558" t="s">
        <v>892</v>
      </c>
      <c r="D72" s="558"/>
      <c r="E72" s="626"/>
      <c r="F72" s="633"/>
      <c r="G72" s="634"/>
      <c r="H72" s="634"/>
      <c r="I72" s="634"/>
      <c r="J72" s="634"/>
      <c r="K72" s="634"/>
      <c r="L72" s="635"/>
    </row>
    <row r="73" spans="1:12" x14ac:dyDescent="0.3">
      <c r="A73" s="562" t="s">
        <v>182</v>
      </c>
      <c r="B73" s="558"/>
      <c r="C73" s="558" t="s">
        <v>183</v>
      </c>
      <c r="D73" s="558"/>
      <c r="E73" s="626"/>
      <c r="F73" s="633"/>
      <c r="G73" s="634"/>
      <c r="H73" s="634"/>
      <c r="I73" s="634"/>
      <c r="J73" s="634"/>
      <c r="K73" s="634"/>
      <c r="L73" s="635"/>
    </row>
    <row r="74" spans="1:12" x14ac:dyDescent="0.3">
      <c r="A74" s="562" t="s">
        <v>904</v>
      </c>
      <c r="B74" s="558"/>
      <c r="C74" s="558" t="s">
        <v>905</v>
      </c>
      <c r="D74" s="558"/>
      <c r="E74" s="626"/>
      <c r="F74" s="633"/>
      <c r="G74" s="634"/>
      <c r="H74" s="634"/>
      <c r="I74" s="634"/>
      <c r="J74" s="634"/>
      <c r="K74" s="634"/>
      <c r="L74" s="635"/>
    </row>
    <row r="75" spans="1:12" x14ac:dyDescent="0.3">
      <c r="A75" s="562" t="s">
        <v>164</v>
      </c>
      <c r="B75" s="558"/>
      <c r="C75" s="558" t="s">
        <v>184</v>
      </c>
      <c r="D75" s="558"/>
      <c r="E75" s="626"/>
      <c r="F75" s="633"/>
      <c r="G75" s="634"/>
      <c r="H75" s="634"/>
      <c r="I75" s="634"/>
      <c r="J75" s="634"/>
      <c r="K75" s="634"/>
      <c r="L75" s="635"/>
    </row>
    <row r="76" spans="1:12" x14ac:dyDescent="0.3">
      <c r="A76" s="562" t="s">
        <v>185</v>
      </c>
      <c r="B76" s="558"/>
      <c r="C76" s="558" t="s">
        <v>223</v>
      </c>
      <c r="D76" s="558"/>
      <c r="E76" s="626"/>
      <c r="F76" s="633"/>
      <c r="G76" s="634"/>
      <c r="H76" s="634"/>
      <c r="I76" s="634"/>
      <c r="J76" s="634"/>
      <c r="K76" s="634"/>
      <c r="L76" s="635"/>
    </row>
    <row r="77" spans="1:12" x14ac:dyDescent="0.3">
      <c r="A77" s="562" t="s">
        <v>186</v>
      </c>
      <c r="B77" s="558"/>
      <c r="C77" s="558" t="s">
        <v>187</v>
      </c>
      <c r="D77" s="558"/>
      <c r="E77" s="626"/>
      <c r="F77" s="633"/>
      <c r="G77" s="634"/>
      <c r="H77" s="634"/>
      <c r="I77" s="634"/>
      <c r="J77" s="634"/>
      <c r="K77" s="634"/>
      <c r="L77" s="635"/>
    </row>
    <row r="78" spans="1:12" x14ac:dyDescent="0.3">
      <c r="A78" s="562" t="s">
        <v>188</v>
      </c>
      <c r="B78" s="558"/>
      <c r="C78" s="558" t="s">
        <v>903</v>
      </c>
      <c r="D78" s="558"/>
      <c r="E78" s="626"/>
      <c r="F78" s="633"/>
      <c r="G78" s="634"/>
      <c r="H78" s="634"/>
      <c r="I78" s="634"/>
      <c r="J78" s="634"/>
      <c r="K78" s="634"/>
      <c r="L78" s="635"/>
    </row>
    <row r="79" spans="1:12" x14ac:dyDescent="0.3">
      <c r="A79" s="562" t="s">
        <v>190</v>
      </c>
      <c r="B79" s="558"/>
      <c r="C79" s="558" t="s">
        <v>225</v>
      </c>
      <c r="D79" s="558"/>
      <c r="E79" s="626"/>
      <c r="F79" s="633"/>
      <c r="G79" s="634"/>
      <c r="H79" s="634"/>
      <c r="I79" s="634"/>
      <c r="J79" s="634"/>
      <c r="K79" s="634"/>
      <c r="L79" s="635"/>
    </row>
    <row r="80" spans="1:12" x14ac:dyDescent="0.3">
      <c r="A80" s="562" t="s">
        <v>189</v>
      </c>
      <c r="B80" s="558"/>
      <c r="C80" s="558" t="s">
        <v>224</v>
      </c>
      <c r="D80" s="558"/>
      <c r="E80" s="626"/>
      <c r="F80" s="633"/>
      <c r="G80" s="634"/>
      <c r="H80" s="634"/>
      <c r="I80" s="634"/>
      <c r="J80" s="634"/>
      <c r="K80" s="634"/>
      <c r="L80" s="635"/>
    </row>
    <row r="81" spans="1:12" x14ac:dyDescent="0.3">
      <c r="A81" s="562" t="s">
        <v>908</v>
      </c>
      <c r="B81" s="558"/>
      <c r="C81" s="558" t="s">
        <v>909</v>
      </c>
      <c r="D81" s="558"/>
      <c r="E81" s="626"/>
      <c r="F81" s="633"/>
      <c r="G81" s="634"/>
      <c r="H81" s="634"/>
      <c r="I81" s="634"/>
      <c r="J81" s="634"/>
      <c r="K81" s="634"/>
      <c r="L81" s="635"/>
    </row>
    <row r="82" spans="1:12" x14ac:dyDescent="0.3">
      <c r="A82" s="562" t="s">
        <v>906</v>
      </c>
      <c r="B82" s="558"/>
      <c r="C82" s="558" t="s">
        <v>907</v>
      </c>
      <c r="D82" s="558"/>
      <c r="E82" s="626"/>
      <c r="F82" s="668"/>
      <c r="G82" s="669"/>
      <c r="H82" s="669"/>
      <c r="I82" s="669"/>
      <c r="J82" s="669"/>
      <c r="K82" s="669"/>
      <c r="L82" s="670"/>
    </row>
    <row r="83" spans="1:12" x14ac:dyDescent="0.3">
      <c r="A83" s="562" t="s">
        <v>230</v>
      </c>
      <c r="B83" s="558"/>
      <c r="C83" s="558" t="s">
        <v>233</v>
      </c>
      <c r="D83" s="558"/>
      <c r="E83" s="626"/>
      <c r="F83" s="633"/>
      <c r="G83" s="634"/>
      <c r="H83" s="634"/>
      <c r="I83" s="634"/>
      <c r="J83" s="634"/>
      <c r="K83" s="634"/>
      <c r="L83" s="635"/>
    </row>
    <row r="84" spans="1:12" x14ac:dyDescent="0.3">
      <c r="A84" s="562" t="s">
        <v>180</v>
      </c>
      <c r="B84" s="558"/>
      <c r="C84" s="558" t="s">
        <v>894</v>
      </c>
      <c r="D84" s="558"/>
      <c r="E84" s="626"/>
      <c r="F84" s="633"/>
      <c r="G84" s="634"/>
      <c r="H84" s="634"/>
      <c r="I84" s="634"/>
      <c r="J84" s="634"/>
      <c r="K84" s="634"/>
      <c r="L84" s="635"/>
    </row>
    <row r="85" spans="1:12" x14ac:dyDescent="0.3">
      <c r="A85" s="562" t="s">
        <v>231</v>
      </c>
      <c r="B85" s="558"/>
      <c r="C85" s="558" t="s">
        <v>893</v>
      </c>
      <c r="D85" s="558"/>
      <c r="E85" s="626"/>
      <c r="F85" s="633"/>
      <c r="G85" s="634"/>
      <c r="H85" s="634"/>
      <c r="I85" s="634"/>
      <c r="J85" s="634"/>
      <c r="K85" s="634"/>
      <c r="L85" s="635"/>
    </row>
    <row r="86" spans="1:12" x14ac:dyDescent="0.3">
      <c r="A86" s="562" t="s">
        <v>191</v>
      </c>
      <c r="B86" s="558"/>
      <c r="C86" s="558" t="s">
        <v>192</v>
      </c>
      <c r="D86" s="558"/>
      <c r="E86" s="626"/>
      <c r="F86" s="633"/>
      <c r="G86" s="634"/>
      <c r="H86" s="634"/>
      <c r="I86" s="634"/>
      <c r="J86" s="634"/>
      <c r="K86" s="634"/>
      <c r="L86" s="635"/>
    </row>
    <row r="87" spans="1:12" x14ac:dyDescent="0.3">
      <c r="A87" s="562" t="s">
        <v>895</v>
      </c>
      <c r="B87" s="558"/>
      <c r="C87" s="558" t="s">
        <v>896</v>
      </c>
      <c r="D87" s="558"/>
      <c r="E87" s="626"/>
      <c r="F87" s="633"/>
      <c r="G87" s="634"/>
      <c r="H87" s="634"/>
      <c r="I87" s="634"/>
      <c r="J87" s="634"/>
      <c r="K87" s="634"/>
      <c r="L87" s="635"/>
    </row>
    <row r="88" spans="1:12" ht="15" thickBot="1" x14ac:dyDescent="0.35">
      <c r="A88" s="562" t="s">
        <v>897</v>
      </c>
      <c r="B88" s="558"/>
      <c r="C88" s="558" t="s">
        <v>898</v>
      </c>
      <c r="D88" s="558"/>
      <c r="E88" s="626"/>
      <c r="F88" s="633"/>
      <c r="G88" s="634"/>
      <c r="H88" s="634"/>
      <c r="I88" s="634"/>
      <c r="J88" s="634"/>
      <c r="K88" s="634"/>
      <c r="L88" s="635"/>
    </row>
    <row r="89" spans="1:12" ht="15" thickBot="1" x14ac:dyDescent="0.35">
      <c r="A89" s="555" t="s">
        <v>234</v>
      </c>
      <c r="B89" s="556"/>
      <c r="C89" s="556"/>
      <c r="D89" s="556"/>
      <c r="E89" s="557"/>
      <c r="F89" s="671"/>
      <c r="G89" s="556"/>
      <c r="H89" s="556"/>
      <c r="I89" s="556"/>
      <c r="J89" s="556"/>
      <c r="K89" s="556"/>
      <c r="L89" s="557"/>
    </row>
    <row r="90" spans="1:12" x14ac:dyDescent="0.3">
      <c r="A90" s="686" t="s">
        <v>203</v>
      </c>
      <c r="B90" s="687"/>
      <c r="C90" s="687"/>
      <c r="D90" s="687"/>
      <c r="E90" s="687"/>
      <c r="F90" s="687"/>
      <c r="G90" s="687"/>
      <c r="H90" s="687"/>
      <c r="I90" s="687"/>
      <c r="J90" s="687"/>
      <c r="K90" s="687"/>
      <c r="L90" s="688"/>
    </row>
    <row r="91" spans="1:12" ht="15" thickBot="1" x14ac:dyDescent="0.35">
      <c r="A91" s="689"/>
      <c r="B91" s="690"/>
      <c r="C91" s="690"/>
      <c r="D91" s="690"/>
      <c r="E91" s="690"/>
      <c r="F91" s="690"/>
      <c r="G91" s="690"/>
      <c r="H91" s="690"/>
      <c r="I91" s="690"/>
      <c r="J91" s="690"/>
      <c r="K91" s="690"/>
      <c r="L91" s="691"/>
    </row>
    <row r="92" spans="1:12" ht="15" thickBot="1" x14ac:dyDescent="0.35"/>
    <row r="93" spans="1:12" ht="15" thickBot="1" x14ac:dyDescent="0.35">
      <c r="B93" s="555" t="s">
        <v>235</v>
      </c>
      <c r="C93" s="556"/>
      <c r="D93" s="556"/>
      <c r="E93" s="556"/>
      <c r="F93" s="556"/>
      <c r="G93" s="556"/>
      <c r="H93" s="557"/>
      <c r="I93" s="35"/>
      <c r="J93" s="35"/>
      <c r="K93" s="35"/>
      <c r="L93" s="35"/>
    </row>
    <row r="94" spans="1:12" ht="15" thickBot="1" x14ac:dyDescent="0.35"/>
    <row r="95" spans="1:12" ht="27" customHeight="1" thickBot="1" x14ac:dyDescent="0.35">
      <c r="A95" s="692" t="s">
        <v>237</v>
      </c>
      <c r="B95" s="556"/>
      <c r="C95" s="556"/>
      <c r="D95" s="556"/>
      <c r="E95" s="556"/>
      <c r="F95" s="556"/>
      <c r="G95" s="556"/>
      <c r="H95" s="556"/>
      <c r="I95" s="556"/>
      <c r="J95" s="556"/>
      <c r="K95" s="556"/>
      <c r="L95" s="556"/>
    </row>
    <row r="96" spans="1:12" ht="15" thickBot="1" x14ac:dyDescent="0.35"/>
    <row r="97" spans="1:12" ht="15" thickBot="1" x14ac:dyDescent="0.35">
      <c r="A97" s="693" t="s">
        <v>238</v>
      </c>
      <c r="B97" s="694"/>
      <c r="C97" s="694"/>
      <c r="D97" s="695"/>
      <c r="E97" s="575" t="s">
        <v>239</v>
      </c>
      <c r="F97" s="702"/>
      <c r="G97" s="702"/>
      <c r="H97" s="702"/>
      <c r="I97" s="702"/>
      <c r="J97" s="702"/>
      <c r="K97" s="702"/>
      <c r="L97" s="703"/>
    </row>
    <row r="98" spans="1:12" ht="15" thickBot="1" x14ac:dyDescent="0.35">
      <c r="A98" s="696"/>
      <c r="B98" s="697"/>
      <c r="C98" s="697"/>
      <c r="D98" s="698"/>
      <c r="E98" s="477"/>
      <c r="F98" s="37" t="s">
        <v>241</v>
      </c>
      <c r="G98" s="529" t="s">
        <v>242</v>
      </c>
      <c r="H98" s="530"/>
      <c r="I98" s="640"/>
      <c r="J98" s="529" t="s">
        <v>243</v>
      </c>
      <c r="K98" s="530"/>
      <c r="L98" s="640"/>
    </row>
    <row r="99" spans="1:12" ht="14.4" customHeight="1" x14ac:dyDescent="0.3">
      <c r="A99" s="696"/>
      <c r="B99" s="697"/>
      <c r="C99" s="697"/>
      <c r="D99" s="698"/>
      <c r="E99" s="672" t="s">
        <v>240</v>
      </c>
      <c r="F99" s="674" t="s">
        <v>246</v>
      </c>
      <c r="G99" s="677">
        <v>1</v>
      </c>
      <c r="H99" s="680" t="s">
        <v>244</v>
      </c>
      <c r="I99" s="683" t="s">
        <v>245</v>
      </c>
      <c r="J99" s="677">
        <v>1</v>
      </c>
      <c r="K99" s="680" t="s">
        <v>247</v>
      </c>
      <c r="L99" s="683" t="s">
        <v>248</v>
      </c>
    </row>
    <row r="100" spans="1:12" x14ac:dyDescent="0.3">
      <c r="A100" s="696"/>
      <c r="B100" s="697"/>
      <c r="C100" s="697"/>
      <c r="D100" s="698"/>
      <c r="E100" s="672"/>
      <c r="F100" s="675"/>
      <c r="G100" s="678"/>
      <c r="H100" s="681"/>
      <c r="I100" s="684"/>
      <c r="J100" s="678"/>
      <c r="K100" s="681"/>
      <c r="L100" s="684"/>
    </row>
    <row r="101" spans="1:12" x14ac:dyDescent="0.3">
      <c r="A101" s="696"/>
      <c r="B101" s="697"/>
      <c r="C101" s="697"/>
      <c r="D101" s="698"/>
      <c r="E101" s="672"/>
      <c r="F101" s="675"/>
      <c r="G101" s="678"/>
      <c r="H101" s="681"/>
      <c r="I101" s="684"/>
      <c r="J101" s="678"/>
      <c r="K101" s="681"/>
      <c r="L101" s="684"/>
    </row>
    <row r="102" spans="1:12" ht="15" thickBot="1" x14ac:dyDescent="0.35">
      <c r="A102" s="699"/>
      <c r="B102" s="700"/>
      <c r="C102" s="700"/>
      <c r="D102" s="701"/>
      <c r="E102" s="673"/>
      <c r="F102" s="676"/>
      <c r="G102" s="679"/>
      <c r="H102" s="682"/>
      <c r="I102" s="685"/>
      <c r="J102" s="679"/>
      <c r="K102" s="682"/>
      <c r="L102" s="685"/>
    </row>
    <row r="103" spans="1:12" x14ac:dyDescent="0.3">
      <c r="A103" s="704" t="s">
        <v>249</v>
      </c>
      <c r="B103" s="705"/>
      <c r="C103" s="705"/>
      <c r="D103" s="706"/>
      <c r="E103" s="580"/>
      <c r="F103" s="580"/>
      <c r="G103" s="580"/>
      <c r="H103" s="580"/>
      <c r="I103" s="580"/>
      <c r="J103" s="580"/>
      <c r="K103" s="580"/>
      <c r="L103" s="581"/>
    </row>
    <row r="104" spans="1:12" x14ac:dyDescent="0.3">
      <c r="A104" s="562" t="s">
        <v>250</v>
      </c>
      <c r="B104" s="558"/>
      <c r="C104" s="558"/>
      <c r="D104" s="563"/>
      <c r="E104" s="478"/>
      <c r="F104" s="482"/>
      <c r="G104" s="482"/>
      <c r="H104" s="482"/>
      <c r="I104" s="482"/>
      <c r="J104" s="482"/>
      <c r="K104" s="482"/>
      <c r="L104" s="483"/>
    </row>
    <row r="105" spans="1:12" x14ac:dyDescent="0.3">
      <c r="A105" s="562" t="s">
        <v>251</v>
      </c>
      <c r="B105" s="558"/>
      <c r="C105" s="558"/>
      <c r="D105" s="563"/>
      <c r="E105" s="478"/>
      <c r="F105" s="482"/>
      <c r="G105" s="482"/>
      <c r="H105" s="482"/>
      <c r="I105" s="482"/>
      <c r="J105" s="482"/>
      <c r="K105" s="482"/>
      <c r="L105" s="483"/>
    </row>
    <row r="106" spans="1:12" x14ac:dyDescent="0.3">
      <c r="A106" s="562" t="s">
        <v>252</v>
      </c>
      <c r="B106" s="558"/>
      <c r="C106" s="558"/>
      <c r="D106" s="563"/>
      <c r="E106" s="478"/>
      <c r="F106" s="482"/>
      <c r="G106" s="482"/>
      <c r="H106" s="482"/>
      <c r="I106" s="482"/>
      <c r="J106" s="482"/>
      <c r="K106" s="482"/>
      <c r="L106" s="483"/>
    </row>
    <row r="107" spans="1:12" x14ac:dyDescent="0.3">
      <c r="A107" s="562" t="s">
        <v>253</v>
      </c>
      <c r="B107" s="558"/>
      <c r="C107" s="558"/>
      <c r="D107" s="563"/>
      <c r="E107" s="478"/>
      <c r="F107" s="482"/>
      <c r="G107" s="482"/>
      <c r="H107" s="482"/>
      <c r="I107" s="482"/>
      <c r="J107" s="482"/>
      <c r="K107" s="482"/>
      <c r="L107" s="483"/>
    </row>
    <row r="108" spans="1:12" x14ac:dyDescent="0.3">
      <c r="A108" s="562" t="s">
        <v>254</v>
      </c>
      <c r="B108" s="558"/>
      <c r="C108" s="558"/>
      <c r="D108" s="563"/>
      <c r="E108" s="478"/>
      <c r="F108" s="482"/>
      <c r="G108" s="482"/>
      <c r="H108" s="482"/>
      <c r="I108" s="482"/>
      <c r="J108" s="482"/>
      <c r="K108" s="482"/>
      <c r="L108" s="483"/>
    </row>
    <row r="109" spans="1:12" x14ac:dyDescent="0.3">
      <c r="A109" s="562" t="s">
        <v>255</v>
      </c>
      <c r="B109" s="558"/>
      <c r="C109" s="558"/>
      <c r="D109" s="563"/>
      <c r="E109" s="478"/>
      <c r="F109" s="482"/>
      <c r="G109" s="482"/>
      <c r="H109" s="482"/>
      <c r="I109" s="482"/>
      <c r="J109" s="482"/>
      <c r="K109" s="482"/>
      <c r="L109" s="483"/>
    </row>
    <row r="110" spans="1:12" x14ac:dyDescent="0.3">
      <c r="A110" s="562" t="s">
        <v>256</v>
      </c>
      <c r="B110" s="558"/>
      <c r="C110" s="558"/>
      <c r="D110" s="563"/>
      <c r="E110" s="478"/>
      <c r="F110" s="482"/>
      <c r="G110" s="482"/>
      <c r="H110" s="482"/>
      <c r="I110" s="482"/>
      <c r="J110" s="482"/>
      <c r="K110" s="482"/>
      <c r="L110" s="483"/>
    </row>
    <row r="111" spans="1:12" x14ac:dyDescent="0.3">
      <c r="A111" s="562" t="s">
        <v>257</v>
      </c>
      <c r="B111" s="558"/>
      <c r="C111" s="558"/>
      <c r="D111" s="563"/>
      <c r="E111" s="478"/>
      <c r="F111" s="482"/>
      <c r="G111" s="482"/>
      <c r="H111" s="482"/>
      <c r="I111" s="482"/>
      <c r="J111" s="482"/>
      <c r="K111" s="482"/>
      <c r="L111" s="483"/>
    </row>
    <row r="112" spans="1:12" x14ac:dyDescent="0.3">
      <c r="A112" s="562" t="s">
        <v>258</v>
      </c>
      <c r="B112" s="558"/>
      <c r="C112" s="558"/>
      <c r="D112" s="563"/>
      <c r="E112" s="478"/>
      <c r="F112" s="482"/>
      <c r="G112" s="482"/>
      <c r="H112" s="482"/>
      <c r="I112" s="482"/>
      <c r="J112" s="482"/>
      <c r="K112" s="482"/>
      <c r="L112" s="483"/>
    </row>
    <row r="113" spans="1:12" x14ac:dyDescent="0.3">
      <c r="A113" s="562" t="s">
        <v>259</v>
      </c>
      <c r="B113" s="558"/>
      <c r="C113" s="558"/>
      <c r="D113" s="563"/>
      <c r="E113" s="478"/>
      <c r="F113" s="482"/>
      <c r="G113" s="482"/>
      <c r="H113" s="482"/>
      <c r="I113" s="482"/>
      <c r="J113" s="482"/>
      <c r="K113" s="482"/>
      <c r="L113" s="483"/>
    </row>
    <row r="114" spans="1:12" x14ac:dyDescent="0.3">
      <c r="A114" s="562" t="s">
        <v>260</v>
      </c>
      <c r="B114" s="558"/>
      <c r="C114" s="558"/>
      <c r="D114" s="563"/>
      <c r="E114" s="478"/>
      <c r="F114" s="482"/>
      <c r="G114" s="482"/>
      <c r="H114" s="482"/>
      <c r="I114" s="482"/>
      <c r="J114" s="482"/>
      <c r="K114" s="482"/>
      <c r="L114" s="483"/>
    </row>
    <row r="115" spans="1:12" x14ac:dyDescent="0.3">
      <c r="A115" s="562" t="s">
        <v>261</v>
      </c>
      <c r="B115" s="558"/>
      <c r="C115" s="558"/>
      <c r="D115" s="563"/>
      <c r="E115" s="478"/>
      <c r="F115" s="482"/>
      <c r="G115" s="482"/>
      <c r="H115" s="482"/>
      <c r="I115" s="482"/>
      <c r="J115" s="482"/>
      <c r="K115" s="482"/>
      <c r="L115" s="483"/>
    </row>
    <row r="116" spans="1:12" ht="15" thickBot="1" x14ac:dyDescent="0.35">
      <c r="A116" s="564" t="s">
        <v>1078</v>
      </c>
      <c r="B116" s="565"/>
      <c r="C116" s="565"/>
      <c r="D116" s="566"/>
      <c r="E116" s="494"/>
      <c r="F116" s="485"/>
      <c r="G116" s="485"/>
      <c r="H116" s="485"/>
      <c r="I116" s="485"/>
      <c r="J116" s="485"/>
      <c r="K116" s="485"/>
      <c r="L116" s="486"/>
    </row>
    <row r="117" spans="1:12" ht="14.4" customHeight="1" x14ac:dyDescent="0.3">
      <c r="A117" s="651" t="s">
        <v>262</v>
      </c>
      <c r="B117" s="652"/>
      <c r="C117" s="652"/>
      <c r="D117" s="653"/>
      <c r="E117" s="580"/>
      <c r="F117" s="580"/>
      <c r="G117" s="580"/>
      <c r="H117" s="580"/>
      <c r="I117" s="580"/>
      <c r="J117" s="580"/>
      <c r="K117" s="580"/>
      <c r="L117" s="581"/>
    </row>
    <row r="118" spans="1:12" x14ac:dyDescent="0.3">
      <c r="A118" s="654"/>
      <c r="B118" s="707"/>
      <c r="C118" s="707"/>
      <c r="D118" s="656"/>
      <c r="E118" s="582"/>
      <c r="F118" s="582"/>
      <c r="G118" s="582"/>
      <c r="H118" s="582"/>
      <c r="I118" s="582"/>
      <c r="J118" s="582"/>
      <c r="K118" s="582"/>
      <c r="L118" s="583"/>
    </row>
    <row r="119" spans="1:12" ht="15" thickBot="1" x14ac:dyDescent="0.35">
      <c r="A119" s="657"/>
      <c r="B119" s="658"/>
      <c r="C119" s="658"/>
      <c r="D119" s="659"/>
      <c r="E119" s="582"/>
      <c r="F119" s="582"/>
      <c r="G119" s="582"/>
      <c r="H119" s="582"/>
      <c r="I119" s="582"/>
      <c r="J119" s="582"/>
      <c r="K119" s="582"/>
      <c r="L119" s="583"/>
    </row>
    <row r="120" spans="1:12" x14ac:dyDescent="0.3">
      <c r="A120" s="627" t="s">
        <v>263</v>
      </c>
      <c r="B120" s="597"/>
      <c r="C120" s="597"/>
      <c r="D120" s="598"/>
      <c r="E120" s="478"/>
      <c r="F120" s="482"/>
      <c r="G120" s="482"/>
      <c r="H120" s="482"/>
      <c r="I120" s="482"/>
      <c r="J120" s="482"/>
      <c r="K120" s="482"/>
      <c r="L120" s="483"/>
    </row>
    <row r="121" spans="1:12" x14ac:dyDescent="0.3">
      <c r="A121" s="562" t="s">
        <v>264</v>
      </c>
      <c r="B121" s="558"/>
      <c r="C121" s="558"/>
      <c r="D121" s="563"/>
      <c r="E121" s="478"/>
      <c r="F121" s="482"/>
      <c r="G121" s="482"/>
      <c r="H121" s="482"/>
      <c r="I121" s="482"/>
      <c r="J121" s="482"/>
      <c r="K121" s="482"/>
      <c r="L121" s="483"/>
    </row>
    <row r="122" spans="1:12" x14ac:dyDescent="0.3">
      <c r="A122" s="562" t="s">
        <v>265</v>
      </c>
      <c r="B122" s="558"/>
      <c r="C122" s="558"/>
      <c r="D122" s="563"/>
      <c r="E122" s="478"/>
      <c r="F122" s="482"/>
      <c r="G122" s="482"/>
      <c r="H122" s="482"/>
      <c r="I122" s="482"/>
      <c r="J122" s="482"/>
      <c r="K122" s="482"/>
      <c r="L122" s="483"/>
    </row>
    <row r="123" spans="1:12" x14ac:dyDescent="0.3">
      <c r="A123" s="562" t="s">
        <v>266</v>
      </c>
      <c r="B123" s="558"/>
      <c r="C123" s="558"/>
      <c r="D123" s="563"/>
      <c r="E123" s="478"/>
      <c r="F123" s="482"/>
      <c r="G123" s="482"/>
      <c r="H123" s="482"/>
      <c r="I123" s="482"/>
      <c r="J123" s="482"/>
      <c r="K123" s="482"/>
      <c r="L123" s="483"/>
    </row>
    <row r="124" spans="1:12" x14ac:dyDescent="0.3">
      <c r="A124" s="562" t="s">
        <v>267</v>
      </c>
      <c r="B124" s="558"/>
      <c r="C124" s="558"/>
      <c r="D124" s="563"/>
      <c r="E124" s="478"/>
      <c r="F124" s="482"/>
      <c r="G124" s="482"/>
      <c r="H124" s="482"/>
      <c r="I124" s="482"/>
      <c r="J124" s="482"/>
      <c r="K124" s="482"/>
      <c r="L124" s="483"/>
    </row>
    <row r="125" spans="1:12" x14ac:dyDescent="0.3">
      <c r="A125" s="562" t="s">
        <v>268</v>
      </c>
      <c r="B125" s="558"/>
      <c r="C125" s="558"/>
      <c r="D125" s="563"/>
      <c r="E125" s="478"/>
      <c r="F125" s="482"/>
      <c r="G125" s="482"/>
      <c r="H125" s="482"/>
      <c r="I125" s="482"/>
      <c r="J125" s="482"/>
      <c r="K125" s="482"/>
      <c r="L125" s="483"/>
    </row>
    <row r="126" spans="1:12" x14ac:dyDescent="0.3">
      <c r="A126" s="562" t="s">
        <v>269</v>
      </c>
      <c r="B126" s="558"/>
      <c r="C126" s="558"/>
      <c r="D126" s="563"/>
      <c r="E126" s="478"/>
      <c r="F126" s="482"/>
      <c r="G126" s="482"/>
      <c r="H126" s="482"/>
      <c r="I126" s="482"/>
      <c r="J126" s="482"/>
      <c r="K126" s="482"/>
      <c r="L126" s="483"/>
    </row>
    <row r="127" spans="1:12" x14ac:dyDescent="0.3">
      <c r="A127" s="562" t="s">
        <v>270</v>
      </c>
      <c r="B127" s="558"/>
      <c r="C127" s="558"/>
      <c r="D127" s="563"/>
      <c r="E127" s="478"/>
      <c r="F127" s="482"/>
      <c r="G127" s="482"/>
      <c r="H127" s="482"/>
      <c r="I127" s="482"/>
      <c r="J127" s="482"/>
      <c r="K127" s="482"/>
      <c r="L127" s="483"/>
    </row>
    <row r="128" spans="1:12" x14ac:dyDescent="0.3">
      <c r="A128" s="562" t="s">
        <v>271</v>
      </c>
      <c r="B128" s="558"/>
      <c r="C128" s="558"/>
      <c r="D128" s="563"/>
      <c r="E128" s="478"/>
      <c r="F128" s="482"/>
      <c r="G128" s="482"/>
      <c r="H128" s="482"/>
      <c r="I128" s="482"/>
      <c r="J128" s="482"/>
      <c r="K128" s="482"/>
      <c r="L128" s="483"/>
    </row>
    <row r="129" spans="1:12" x14ac:dyDescent="0.3">
      <c r="A129" s="562" t="s">
        <v>272</v>
      </c>
      <c r="B129" s="558"/>
      <c r="C129" s="558"/>
      <c r="D129" s="563"/>
      <c r="E129" s="478"/>
      <c r="F129" s="482"/>
      <c r="G129" s="482"/>
      <c r="H129" s="482"/>
      <c r="I129" s="482"/>
      <c r="J129" s="482"/>
      <c r="K129" s="482"/>
      <c r="L129" s="483"/>
    </row>
    <row r="130" spans="1:12" x14ac:dyDescent="0.3">
      <c r="A130" s="562" t="s">
        <v>273</v>
      </c>
      <c r="B130" s="558"/>
      <c r="C130" s="558"/>
      <c r="D130" s="563"/>
      <c r="E130" s="478"/>
      <c r="F130" s="482"/>
      <c r="G130" s="482"/>
      <c r="H130" s="482"/>
      <c r="I130" s="482"/>
      <c r="J130" s="482"/>
      <c r="K130" s="482"/>
      <c r="L130" s="483"/>
    </row>
    <row r="131" spans="1:12" ht="28.8" customHeight="1" x14ac:dyDescent="0.3">
      <c r="A131" s="708" t="s">
        <v>274</v>
      </c>
      <c r="B131" s="526"/>
      <c r="C131" s="526"/>
      <c r="D131" s="709"/>
      <c r="E131" s="478"/>
      <c r="F131" s="482"/>
      <c r="G131" s="482"/>
      <c r="H131" s="482"/>
      <c r="I131" s="482"/>
      <c r="J131" s="482"/>
      <c r="K131" s="482"/>
      <c r="L131" s="483"/>
    </row>
    <row r="132" spans="1:12" x14ac:dyDescent="0.3">
      <c r="A132" s="562" t="s">
        <v>275</v>
      </c>
      <c r="B132" s="558"/>
      <c r="C132" s="558"/>
      <c r="D132" s="563"/>
      <c r="E132" s="478"/>
      <c r="F132" s="482"/>
      <c r="G132" s="482"/>
      <c r="H132" s="482"/>
      <c r="I132" s="482"/>
      <c r="J132" s="482"/>
      <c r="K132" s="482"/>
      <c r="L132" s="483"/>
    </row>
    <row r="133" spans="1:12" x14ac:dyDescent="0.3">
      <c r="A133" s="562" t="s">
        <v>276</v>
      </c>
      <c r="B133" s="558"/>
      <c r="C133" s="558"/>
      <c r="D133" s="563"/>
      <c r="E133" s="478"/>
      <c r="F133" s="482"/>
      <c r="G133" s="482"/>
      <c r="H133" s="482"/>
      <c r="I133" s="482"/>
      <c r="J133" s="482"/>
      <c r="K133" s="482"/>
      <c r="L133" s="483"/>
    </row>
    <row r="134" spans="1:12" x14ac:dyDescent="0.3">
      <c r="A134" s="562" t="s">
        <v>277</v>
      </c>
      <c r="B134" s="558"/>
      <c r="C134" s="558"/>
      <c r="D134" s="563"/>
      <c r="E134" s="478"/>
      <c r="F134" s="482"/>
      <c r="G134" s="482"/>
      <c r="H134" s="482"/>
      <c r="I134" s="482"/>
      <c r="J134" s="482"/>
      <c r="K134" s="482"/>
      <c r="L134" s="483"/>
    </row>
    <row r="135" spans="1:12" ht="30" customHeight="1" x14ac:dyDescent="0.3">
      <c r="A135" s="599" t="s">
        <v>278</v>
      </c>
      <c r="B135" s="558"/>
      <c r="C135" s="558"/>
      <c r="D135" s="563"/>
      <c r="E135" s="478"/>
      <c r="F135" s="482"/>
      <c r="G135" s="482"/>
      <c r="H135" s="482"/>
      <c r="I135" s="482"/>
      <c r="J135" s="482"/>
      <c r="K135" s="482"/>
      <c r="L135" s="483"/>
    </row>
    <row r="136" spans="1:12" ht="28.8" customHeight="1" x14ac:dyDescent="0.3">
      <c r="A136" s="599" t="s">
        <v>279</v>
      </c>
      <c r="B136" s="558"/>
      <c r="C136" s="558"/>
      <c r="D136" s="563"/>
      <c r="E136" s="478"/>
      <c r="F136" s="482"/>
      <c r="G136" s="482"/>
      <c r="H136" s="482"/>
      <c r="I136" s="482"/>
      <c r="J136" s="482"/>
      <c r="K136" s="482"/>
      <c r="L136" s="483"/>
    </row>
    <row r="137" spans="1:12" ht="24.6" customHeight="1" x14ac:dyDescent="0.3">
      <c r="A137" s="599" t="s">
        <v>280</v>
      </c>
      <c r="B137" s="558"/>
      <c r="C137" s="558"/>
      <c r="D137" s="563"/>
      <c r="E137" s="478"/>
      <c r="F137" s="482"/>
      <c r="G137" s="482"/>
      <c r="H137" s="482"/>
      <c r="I137" s="482"/>
      <c r="J137" s="482"/>
      <c r="K137" s="482"/>
      <c r="L137" s="483"/>
    </row>
    <row r="138" spans="1:12" x14ac:dyDescent="0.3">
      <c r="A138" s="562" t="s">
        <v>281</v>
      </c>
      <c r="B138" s="558"/>
      <c r="C138" s="558"/>
      <c r="D138" s="563"/>
      <c r="E138" s="478"/>
      <c r="F138" s="482"/>
      <c r="G138" s="482"/>
      <c r="H138" s="482"/>
      <c r="I138" s="482"/>
      <c r="J138" s="482"/>
      <c r="K138" s="482"/>
      <c r="L138" s="483"/>
    </row>
    <row r="139" spans="1:12" x14ac:dyDescent="0.3">
      <c r="A139" s="562" t="s">
        <v>282</v>
      </c>
      <c r="B139" s="558"/>
      <c r="C139" s="558"/>
      <c r="D139" s="563"/>
      <c r="E139" s="478"/>
      <c r="F139" s="482"/>
      <c r="G139" s="482"/>
      <c r="H139" s="482"/>
      <c r="I139" s="482"/>
      <c r="J139" s="482"/>
      <c r="K139" s="482"/>
      <c r="L139" s="483"/>
    </row>
    <row r="140" spans="1:12" ht="27" customHeight="1" x14ac:dyDescent="0.3">
      <c r="A140" s="599" t="s">
        <v>283</v>
      </c>
      <c r="B140" s="558"/>
      <c r="C140" s="558"/>
      <c r="D140" s="563"/>
      <c r="E140" s="478"/>
      <c r="F140" s="482"/>
      <c r="G140" s="482"/>
      <c r="H140" s="482"/>
      <c r="I140" s="482"/>
      <c r="J140" s="482"/>
      <c r="K140" s="482"/>
      <c r="L140" s="483"/>
    </row>
    <row r="141" spans="1:12" ht="28.2" customHeight="1" x14ac:dyDescent="0.3">
      <c r="A141" s="599" t="s">
        <v>284</v>
      </c>
      <c r="B141" s="558"/>
      <c r="C141" s="558"/>
      <c r="D141" s="563"/>
      <c r="E141" s="478"/>
      <c r="F141" s="482"/>
      <c r="G141" s="482"/>
      <c r="H141" s="482"/>
      <c r="I141" s="482"/>
      <c r="J141" s="482"/>
      <c r="K141" s="482"/>
      <c r="L141" s="483"/>
    </row>
    <row r="142" spans="1:12" ht="28.8" customHeight="1" thickBot="1" x14ac:dyDescent="0.35">
      <c r="A142" s="710" t="s">
        <v>285</v>
      </c>
      <c r="B142" s="565"/>
      <c r="C142" s="565"/>
      <c r="D142" s="566"/>
      <c r="E142" s="494"/>
      <c r="F142" s="485"/>
      <c r="G142" s="485"/>
      <c r="H142" s="485"/>
      <c r="I142" s="485"/>
      <c r="J142" s="485"/>
      <c r="K142" s="485"/>
      <c r="L142" s="486"/>
    </row>
    <row r="143" spans="1:12" x14ac:dyDescent="0.3">
      <c r="A143" s="651" t="s">
        <v>286</v>
      </c>
      <c r="B143" s="705"/>
      <c r="C143" s="705"/>
      <c r="D143" s="706"/>
      <c r="E143" s="580"/>
      <c r="F143" s="580"/>
      <c r="G143" s="580"/>
      <c r="H143" s="580"/>
      <c r="I143" s="580"/>
      <c r="J143" s="580"/>
      <c r="K143" s="580"/>
      <c r="L143" s="581"/>
    </row>
    <row r="144" spans="1:12" x14ac:dyDescent="0.3">
      <c r="A144" s="711"/>
      <c r="B144" s="712"/>
      <c r="C144" s="712"/>
      <c r="D144" s="713"/>
      <c r="E144" s="582"/>
      <c r="F144" s="582"/>
      <c r="G144" s="582"/>
      <c r="H144" s="582"/>
      <c r="I144" s="582"/>
      <c r="J144" s="582"/>
      <c r="K144" s="582"/>
      <c r="L144" s="583"/>
    </row>
    <row r="145" spans="1:12" ht="15" thickBot="1" x14ac:dyDescent="0.35">
      <c r="A145" s="714"/>
      <c r="B145" s="715"/>
      <c r="C145" s="715"/>
      <c r="D145" s="716"/>
      <c r="E145" s="582"/>
      <c r="F145" s="582"/>
      <c r="G145" s="582"/>
      <c r="H145" s="582"/>
      <c r="I145" s="582"/>
      <c r="J145" s="582"/>
      <c r="K145" s="582"/>
      <c r="L145" s="583"/>
    </row>
    <row r="146" spans="1:12" x14ac:dyDescent="0.3">
      <c r="A146" s="627" t="s">
        <v>287</v>
      </c>
      <c r="B146" s="597"/>
      <c r="C146" s="597"/>
      <c r="D146" s="598"/>
      <c r="E146" s="478"/>
      <c r="F146" s="482"/>
      <c r="G146" s="482"/>
      <c r="H146" s="482"/>
      <c r="I146" s="482"/>
      <c r="J146" s="482"/>
      <c r="K146" s="482"/>
      <c r="L146" s="483"/>
    </row>
    <row r="147" spans="1:12" x14ac:dyDescent="0.3">
      <c r="A147" s="562" t="s">
        <v>288</v>
      </c>
      <c r="B147" s="558"/>
      <c r="C147" s="558"/>
      <c r="D147" s="563"/>
      <c r="E147" s="478"/>
      <c r="F147" s="482"/>
      <c r="G147" s="482"/>
      <c r="H147" s="482"/>
      <c r="I147" s="482"/>
      <c r="J147" s="482"/>
      <c r="K147" s="482"/>
      <c r="L147" s="483"/>
    </row>
    <row r="148" spans="1:12" x14ac:dyDescent="0.3">
      <c r="A148" s="562" t="s">
        <v>289</v>
      </c>
      <c r="B148" s="558"/>
      <c r="C148" s="558"/>
      <c r="D148" s="563"/>
      <c r="E148" s="478"/>
      <c r="F148" s="482"/>
      <c r="G148" s="482"/>
      <c r="H148" s="482"/>
      <c r="I148" s="482"/>
      <c r="J148" s="482"/>
      <c r="K148" s="482"/>
      <c r="L148" s="483"/>
    </row>
    <row r="149" spans="1:12" x14ac:dyDescent="0.3">
      <c r="A149" s="562" t="s">
        <v>290</v>
      </c>
      <c r="B149" s="558"/>
      <c r="C149" s="558"/>
      <c r="D149" s="563"/>
      <c r="E149" s="478"/>
      <c r="F149" s="482"/>
      <c r="G149" s="482"/>
      <c r="H149" s="482"/>
      <c r="I149" s="482"/>
      <c r="J149" s="482"/>
      <c r="K149" s="482"/>
      <c r="L149" s="483"/>
    </row>
    <row r="150" spans="1:12" x14ac:dyDescent="0.3">
      <c r="A150" s="562" t="s">
        <v>291</v>
      </c>
      <c r="B150" s="558"/>
      <c r="C150" s="558"/>
      <c r="D150" s="563"/>
      <c r="E150" s="478"/>
      <c r="F150" s="482"/>
      <c r="G150" s="482"/>
      <c r="H150" s="482"/>
      <c r="I150" s="482"/>
      <c r="J150" s="482"/>
      <c r="K150" s="482"/>
      <c r="L150" s="483"/>
    </row>
    <row r="151" spans="1:12" x14ac:dyDescent="0.3">
      <c r="A151" s="562" t="s">
        <v>292</v>
      </c>
      <c r="B151" s="558"/>
      <c r="C151" s="558"/>
      <c r="D151" s="563"/>
      <c r="E151" s="478"/>
      <c r="F151" s="482"/>
      <c r="G151" s="482"/>
      <c r="H151" s="482"/>
      <c r="I151" s="482"/>
      <c r="J151" s="482"/>
      <c r="K151" s="482"/>
      <c r="L151" s="483"/>
    </row>
    <row r="152" spans="1:12" x14ac:dyDescent="0.3">
      <c r="A152" s="562" t="s">
        <v>293</v>
      </c>
      <c r="B152" s="558"/>
      <c r="C152" s="558"/>
      <c r="D152" s="563"/>
      <c r="E152" s="478"/>
      <c r="F152" s="482"/>
      <c r="G152" s="482"/>
      <c r="H152" s="482"/>
      <c r="I152" s="482"/>
      <c r="J152" s="482"/>
      <c r="K152" s="482"/>
      <c r="L152" s="483"/>
    </row>
    <row r="153" spans="1:12" x14ac:dyDescent="0.3">
      <c r="A153" s="562" t="s">
        <v>294</v>
      </c>
      <c r="B153" s="558"/>
      <c r="C153" s="558"/>
      <c r="D153" s="563"/>
      <c r="E153" s="478"/>
      <c r="F153" s="482"/>
      <c r="G153" s="482"/>
      <c r="H153" s="482"/>
      <c r="I153" s="482"/>
      <c r="J153" s="482"/>
      <c r="K153" s="482"/>
      <c r="L153" s="483"/>
    </row>
    <row r="154" spans="1:12" x14ac:dyDescent="0.3">
      <c r="A154" s="562" t="s">
        <v>295</v>
      </c>
      <c r="B154" s="558"/>
      <c r="C154" s="558"/>
      <c r="D154" s="563"/>
      <c r="E154" s="478"/>
      <c r="F154" s="482"/>
      <c r="G154" s="482"/>
      <c r="H154" s="482"/>
      <c r="I154" s="482"/>
      <c r="J154" s="482"/>
      <c r="K154" s="482"/>
      <c r="L154" s="483"/>
    </row>
    <row r="155" spans="1:12" x14ac:dyDescent="0.3">
      <c r="A155" s="562" t="s">
        <v>296</v>
      </c>
      <c r="B155" s="558"/>
      <c r="C155" s="558"/>
      <c r="D155" s="563"/>
      <c r="E155" s="478"/>
      <c r="F155" s="482"/>
      <c r="G155" s="482"/>
      <c r="H155" s="482"/>
      <c r="I155" s="482"/>
      <c r="J155" s="482"/>
      <c r="K155" s="482"/>
      <c r="L155" s="483"/>
    </row>
    <row r="156" spans="1:12" x14ac:dyDescent="0.3">
      <c r="A156" s="562" t="s">
        <v>297</v>
      </c>
      <c r="B156" s="558"/>
      <c r="C156" s="558"/>
      <c r="D156" s="563"/>
      <c r="E156" s="478"/>
      <c r="F156" s="482"/>
      <c r="G156" s="482"/>
      <c r="H156" s="482"/>
      <c r="I156" s="482"/>
      <c r="J156" s="482"/>
      <c r="K156" s="482"/>
      <c r="L156" s="483"/>
    </row>
    <row r="157" spans="1:12" x14ac:dyDescent="0.3">
      <c r="A157" s="562" t="s">
        <v>298</v>
      </c>
      <c r="B157" s="558"/>
      <c r="C157" s="558"/>
      <c r="D157" s="563"/>
      <c r="E157" s="478"/>
      <c r="F157" s="482"/>
      <c r="G157" s="482"/>
      <c r="H157" s="482"/>
      <c r="I157" s="482"/>
      <c r="J157" s="482"/>
      <c r="K157" s="482"/>
      <c r="L157" s="483"/>
    </row>
    <row r="158" spans="1:12" x14ac:dyDescent="0.3">
      <c r="A158" s="562" t="s">
        <v>299</v>
      </c>
      <c r="B158" s="558"/>
      <c r="C158" s="558"/>
      <c r="D158" s="563"/>
      <c r="E158" s="478"/>
      <c r="F158" s="482"/>
      <c r="G158" s="482"/>
      <c r="H158" s="482"/>
      <c r="I158" s="482"/>
      <c r="J158" s="482"/>
      <c r="K158" s="482"/>
      <c r="L158" s="483"/>
    </row>
    <row r="159" spans="1:12" x14ac:dyDescent="0.3">
      <c r="A159" s="562" t="s">
        <v>300</v>
      </c>
      <c r="B159" s="558"/>
      <c r="C159" s="558"/>
      <c r="D159" s="563"/>
      <c r="E159" s="478"/>
      <c r="F159" s="482"/>
      <c r="G159" s="482"/>
      <c r="H159" s="482"/>
      <c r="I159" s="482"/>
      <c r="J159" s="482"/>
      <c r="K159" s="482"/>
      <c r="L159" s="483"/>
    </row>
    <row r="160" spans="1:12" x14ac:dyDescent="0.3">
      <c r="A160" s="562" t="s">
        <v>301</v>
      </c>
      <c r="B160" s="558"/>
      <c r="C160" s="558"/>
      <c r="D160" s="563"/>
      <c r="E160" s="478"/>
      <c r="F160" s="482"/>
      <c r="G160" s="482"/>
      <c r="H160" s="482"/>
      <c r="I160" s="482"/>
      <c r="J160" s="482"/>
      <c r="K160" s="482"/>
      <c r="L160" s="483"/>
    </row>
    <row r="161" spans="1:12" x14ac:dyDescent="0.3">
      <c r="A161" s="562" t="s">
        <v>302</v>
      </c>
      <c r="B161" s="558"/>
      <c r="C161" s="558"/>
      <c r="D161" s="563"/>
      <c r="E161" s="478"/>
      <c r="F161" s="482"/>
      <c r="G161" s="482"/>
      <c r="H161" s="482"/>
      <c r="I161" s="482"/>
      <c r="J161" s="482"/>
      <c r="K161" s="482"/>
      <c r="L161" s="483"/>
    </row>
    <row r="162" spans="1:12" ht="15" thickBot="1" x14ac:dyDescent="0.35">
      <c r="A162" s="564" t="s">
        <v>303</v>
      </c>
      <c r="B162" s="565"/>
      <c r="C162" s="565"/>
      <c r="D162" s="566"/>
      <c r="E162" s="494"/>
      <c r="F162" s="485"/>
      <c r="G162" s="485"/>
      <c r="H162" s="485"/>
      <c r="I162" s="485"/>
      <c r="J162" s="485"/>
      <c r="K162" s="485"/>
      <c r="L162" s="486"/>
    </row>
    <row r="163" spans="1:12" x14ac:dyDescent="0.3">
      <c r="A163" s="651" t="s">
        <v>304</v>
      </c>
      <c r="B163" s="705"/>
      <c r="C163" s="705"/>
      <c r="D163" s="706"/>
      <c r="E163" s="580"/>
      <c r="F163" s="580"/>
      <c r="G163" s="580"/>
      <c r="H163" s="580"/>
      <c r="I163" s="580"/>
      <c r="J163" s="580"/>
      <c r="K163" s="580"/>
      <c r="L163" s="581"/>
    </row>
    <row r="164" spans="1:12" ht="15" thickBot="1" x14ac:dyDescent="0.35">
      <c r="A164" s="714"/>
      <c r="B164" s="715"/>
      <c r="C164" s="715"/>
      <c r="D164" s="716"/>
      <c r="E164" s="582"/>
      <c r="F164" s="582"/>
      <c r="G164" s="582"/>
      <c r="H164" s="582"/>
      <c r="I164" s="582"/>
      <c r="J164" s="582"/>
      <c r="K164" s="582"/>
      <c r="L164" s="583"/>
    </row>
    <row r="165" spans="1:12" x14ac:dyDescent="0.3">
      <c r="A165" s="627" t="s">
        <v>305</v>
      </c>
      <c r="B165" s="597"/>
      <c r="C165" s="597"/>
      <c r="D165" s="598"/>
      <c r="E165" s="478"/>
      <c r="F165" s="482"/>
      <c r="G165" s="482"/>
      <c r="H165" s="482"/>
      <c r="I165" s="482"/>
      <c r="J165" s="482"/>
      <c r="K165" s="482"/>
      <c r="L165" s="483"/>
    </row>
    <row r="166" spans="1:12" x14ac:dyDescent="0.3">
      <c r="A166" s="562" t="s">
        <v>306</v>
      </c>
      <c r="B166" s="558"/>
      <c r="C166" s="558"/>
      <c r="D166" s="563"/>
      <c r="E166" s="478"/>
      <c r="F166" s="482"/>
      <c r="G166" s="482"/>
      <c r="H166" s="482"/>
      <c r="I166" s="482"/>
      <c r="J166" s="482"/>
      <c r="K166" s="482"/>
      <c r="L166" s="483"/>
    </row>
    <row r="167" spans="1:12" x14ac:dyDescent="0.3">
      <c r="A167" s="562" t="s">
        <v>307</v>
      </c>
      <c r="B167" s="558"/>
      <c r="C167" s="558"/>
      <c r="D167" s="563"/>
      <c r="E167" s="478"/>
      <c r="F167" s="482"/>
      <c r="G167" s="482"/>
      <c r="H167" s="482"/>
      <c r="I167" s="482"/>
      <c r="J167" s="482"/>
      <c r="K167" s="482"/>
      <c r="L167" s="483"/>
    </row>
    <row r="168" spans="1:12" x14ac:dyDescent="0.3">
      <c r="A168" s="562" t="s">
        <v>308</v>
      </c>
      <c r="B168" s="558"/>
      <c r="C168" s="558"/>
      <c r="D168" s="563"/>
      <c r="E168" s="478"/>
      <c r="F168" s="482"/>
      <c r="G168" s="482"/>
      <c r="H168" s="482"/>
      <c r="I168" s="482"/>
      <c r="J168" s="482"/>
      <c r="K168" s="482"/>
      <c r="L168" s="483"/>
    </row>
    <row r="169" spans="1:12" x14ac:dyDescent="0.3">
      <c r="A169" s="562" t="s">
        <v>309</v>
      </c>
      <c r="B169" s="558"/>
      <c r="C169" s="558"/>
      <c r="D169" s="563"/>
      <c r="E169" s="478"/>
      <c r="F169" s="482"/>
      <c r="G169" s="482"/>
      <c r="H169" s="482"/>
      <c r="I169" s="482"/>
      <c r="J169" s="482"/>
      <c r="K169" s="482"/>
      <c r="L169" s="483"/>
    </row>
    <row r="170" spans="1:12" x14ac:dyDescent="0.3">
      <c r="A170" s="562" t="s">
        <v>310</v>
      </c>
      <c r="B170" s="558"/>
      <c r="C170" s="558"/>
      <c r="D170" s="563"/>
      <c r="E170" s="478"/>
      <c r="F170" s="482"/>
      <c r="G170" s="482"/>
      <c r="H170" s="482"/>
      <c r="I170" s="482"/>
      <c r="J170" s="482"/>
      <c r="K170" s="482"/>
      <c r="L170" s="483"/>
    </row>
    <row r="171" spans="1:12" x14ac:dyDescent="0.3">
      <c r="A171" s="562" t="s">
        <v>311</v>
      </c>
      <c r="B171" s="558"/>
      <c r="C171" s="558"/>
      <c r="D171" s="563"/>
      <c r="E171" s="478"/>
      <c r="F171" s="482"/>
      <c r="G171" s="482"/>
      <c r="H171" s="482"/>
      <c r="I171" s="482"/>
      <c r="J171" s="482"/>
      <c r="K171" s="482"/>
      <c r="L171" s="483"/>
    </row>
    <row r="172" spans="1:12" x14ac:dyDescent="0.3">
      <c r="A172" s="562" t="s">
        <v>312</v>
      </c>
      <c r="B172" s="558"/>
      <c r="C172" s="558"/>
      <c r="D172" s="563"/>
      <c r="E172" s="478"/>
      <c r="F172" s="482"/>
      <c r="G172" s="482"/>
      <c r="H172" s="482"/>
      <c r="I172" s="482"/>
      <c r="J172" s="482"/>
      <c r="K172" s="482"/>
      <c r="L172" s="483"/>
    </row>
    <row r="173" spans="1:12" x14ac:dyDescent="0.3">
      <c r="A173" s="562" t="s">
        <v>313</v>
      </c>
      <c r="B173" s="558"/>
      <c r="C173" s="558"/>
      <c r="D173" s="563"/>
      <c r="E173" s="478"/>
      <c r="F173" s="482"/>
      <c r="G173" s="482"/>
      <c r="H173" s="482"/>
      <c r="I173" s="482"/>
      <c r="J173" s="482"/>
      <c r="K173" s="482"/>
      <c r="L173" s="483"/>
    </row>
    <row r="174" spans="1:12" x14ac:dyDescent="0.3">
      <c r="A174" s="562" t="s">
        <v>314</v>
      </c>
      <c r="B174" s="558"/>
      <c r="C174" s="558"/>
      <c r="D174" s="563"/>
      <c r="E174" s="478"/>
      <c r="F174" s="482"/>
      <c r="G174" s="482"/>
      <c r="H174" s="482"/>
      <c r="I174" s="482"/>
      <c r="J174" s="482"/>
      <c r="K174" s="482"/>
      <c r="L174" s="483"/>
    </row>
    <row r="175" spans="1:12" x14ac:dyDescent="0.3">
      <c r="A175" s="562" t="s">
        <v>315</v>
      </c>
      <c r="B175" s="558"/>
      <c r="C175" s="558"/>
      <c r="D175" s="563"/>
      <c r="E175" s="478"/>
      <c r="F175" s="482"/>
      <c r="G175" s="482"/>
      <c r="H175" s="482"/>
      <c r="I175" s="482"/>
      <c r="J175" s="482"/>
      <c r="K175" s="482"/>
      <c r="L175" s="483"/>
    </row>
    <row r="176" spans="1:12" x14ac:dyDescent="0.3">
      <c r="A176" s="562" t="s">
        <v>316</v>
      </c>
      <c r="B176" s="558"/>
      <c r="C176" s="558"/>
      <c r="D176" s="563"/>
      <c r="E176" s="478"/>
      <c r="F176" s="482"/>
      <c r="G176" s="482"/>
      <c r="H176" s="482"/>
      <c r="I176" s="482"/>
      <c r="J176" s="482"/>
      <c r="K176" s="482"/>
      <c r="L176" s="483"/>
    </row>
    <row r="177" spans="1:12" x14ac:dyDescent="0.3">
      <c r="A177" s="562" t="s">
        <v>317</v>
      </c>
      <c r="B177" s="558"/>
      <c r="C177" s="558"/>
      <c r="D177" s="563"/>
      <c r="E177" s="478"/>
      <c r="F177" s="482"/>
      <c r="G177" s="482"/>
      <c r="H177" s="482"/>
      <c r="I177" s="482"/>
      <c r="J177" s="482"/>
      <c r="K177" s="482"/>
      <c r="L177" s="483"/>
    </row>
    <row r="178" spans="1:12" x14ac:dyDescent="0.3">
      <c r="A178" s="562" t="s">
        <v>318</v>
      </c>
      <c r="B178" s="558"/>
      <c r="C178" s="558"/>
      <c r="D178" s="563"/>
      <c r="E178" s="478"/>
      <c r="F178" s="482"/>
      <c r="G178" s="482"/>
      <c r="H178" s="482"/>
      <c r="I178" s="482"/>
      <c r="J178" s="482"/>
      <c r="K178" s="482"/>
      <c r="L178" s="483"/>
    </row>
    <row r="179" spans="1:12" x14ac:dyDescent="0.3">
      <c r="A179" s="562" t="s">
        <v>319</v>
      </c>
      <c r="B179" s="558"/>
      <c r="C179" s="558"/>
      <c r="D179" s="563"/>
      <c r="E179" s="478"/>
      <c r="F179" s="482"/>
      <c r="G179" s="482"/>
      <c r="H179" s="482"/>
      <c r="I179" s="482"/>
      <c r="J179" s="482"/>
      <c r="K179" s="482"/>
      <c r="L179" s="483"/>
    </row>
    <row r="180" spans="1:12" ht="15" thickBot="1" x14ac:dyDescent="0.35">
      <c r="A180" s="564" t="s">
        <v>320</v>
      </c>
      <c r="B180" s="565"/>
      <c r="C180" s="565"/>
      <c r="D180" s="566"/>
      <c r="E180" s="585"/>
      <c r="F180" s="594"/>
      <c r="G180" s="594"/>
      <c r="H180" s="594"/>
      <c r="I180" s="594"/>
      <c r="J180" s="594"/>
      <c r="K180" s="594"/>
      <c r="L180" s="595"/>
    </row>
    <row r="181" spans="1:12" x14ac:dyDescent="0.3">
      <c r="A181" s="654" t="s">
        <v>321</v>
      </c>
      <c r="B181" s="712"/>
      <c r="C181" s="712"/>
      <c r="D181" s="713"/>
      <c r="E181" s="584"/>
      <c r="F181" s="584"/>
      <c r="G181" s="584"/>
      <c r="H181" s="584"/>
      <c r="I181" s="584"/>
      <c r="J181" s="584"/>
      <c r="K181" s="584"/>
      <c r="L181" s="585"/>
    </row>
    <row r="182" spans="1:12" ht="15" thickBot="1" x14ac:dyDescent="0.35">
      <c r="A182" s="711"/>
      <c r="B182" s="712"/>
      <c r="C182" s="712"/>
      <c r="D182" s="713"/>
      <c r="E182" s="582"/>
      <c r="F182" s="582"/>
      <c r="G182" s="582"/>
      <c r="H182" s="582"/>
      <c r="I182" s="582"/>
      <c r="J182" s="582"/>
      <c r="K182" s="582"/>
      <c r="L182" s="586"/>
    </row>
    <row r="183" spans="1:12" x14ac:dyDescent="0.3">
      <c r="A183" s="559" t="s">
        <v>322</v>
      </c>
      <c r="B183" s="560"/>
      <c r="C183" s="560"/>
      <c r="D183" s="561"/>
      <c r="E183" s="70"/>
      <c r="F183" s="487"/>
      <c r="G183" s="487"/>
      <c r="H183" s="487"/>
      <c r="I183" s="487"/>
      <c r="J183" s="487"/>
      <c r="K183" s="487"/>
      <c r="L183" s="488"/>
    </row>
    <row r="184" spans="1:12" ht="25.2" customHeight="1" x14ac:dyDescent="0.3">
      <c r="A184" s="599" t="s">
        <v>323</v>
      </c>
      <c r="B184" s="558"/>
      <c r="C184" s="558"/>
      <c r="D184" s="563"/>
      <c r="E184" s="478"/>
      <c r="F184" s="482"/>
      <c r="G184" s="482"/>
      <c r="H184" s="482"/>
      <c r="I184" s="482"/>
      <c r="J184" s="482"/>
      <c r="K184" s="482"/>
      <c r="L184" s="483"/>
    </row>
    <row r="185" spans="1:12" x14ac:dyDescent="0.3">
      <c r="A185" s="562" t="s">
        <v>324</v>
      </c>
      <c r="B185" s="558"/>
      <c r="C185" s="558"/>
      <c r="D185" s="563"/>
      <c r="E185" s="478"/>
      <c r="F185" s="482"/>
      <c r="G185" s="482"/>
      <c r="H185" s="482"/>
      <c r="I185" s="482"/>
      <c r="J185" s="482"/>
      <c r="K185" s="482"/>
      <c r="L185" s="483"/>
    </row>
    <row r="186" spans="1:12" x14ac:dyDescent="0.3">
      <c r="A186" s="562" t="s">
        <v>325</v>
      </c>
      <c r="B186" s="558"/>
      <c r="C186" s="558"/>
      <c r="D186" s="563"/>
      <c r="E186" s="478"/>
      <c r="F186" s="482"/>
      <c r="G186" s="482"/>
      <c r="H186" s="482"/>
      <c r="I186" s="482"/>
      <c r="J186" s="482"/>
      <c r="K186" s="482"/>
      <c r="L186" s="483"/>
    </row>
    <row r="187" spans="1:12" x14ac:dyDescent="0.3">
      <c r="A187" s="562" t="s">
        <v>326</v>
      </c>
      <c r="B187" s="558"/>
      <c r="C187" s="558"/>
      <c r="D187" s="563"/>
      <c r="E187" s="478"/>
      <c r="F187" s="482"/>
      <c r="G187" s="482"/>
      <c r="H187" s="482"/>
      <c r="I187" s="482"/>
      <c r="J187" s="482"/>
      <c r="K187" s="482"/>
      <c r="L187" s="483"/>
    </row>
    <row r="188" spans="1:12" x14ac:dyDescent="0.3">
      <c r="A188" s="562" t="s">
        <v>327</v>
      </c>
      <c r="B188" s="558"/>
      <c r="C188" s="558"/>
      <c r="D188" s="563"/>
      <c r="E188" s="478"/>
      <c r="F188" s="482"/>
      <c r="G188" s="482"/>
      <c r="H188" s="482"/>
      <c r="I188" s="482"/>
      <c r="J188" s="482"/>
      <c r="K188" s="482"/>
      <c r="L188" s="483"/>
    </row>
    <row r="189" spans="1:12" x14ac:dyDescent="0.3">
      <c r="A189" s="562" t="s">
        <v>328</v>
      </c>
      <c r="B189" s="558"/>
      <c r="C189" s="558"/>
      <c r="D189" s="563"/>
      <c r="E189" s="478"/>
      <c r="F189" s="482"/>
      <c r="G189" s="482"/>
      <c r="H189" s="482"/>
      <c r="I189" s="482"/>
      <c r="J189" s="482"/>
      <c r="K189" s="482"/>
      <c r="L189" s="483"/>
    </row>
    <row r="190" spans="1:12" x14ac:dyDescent="0.3">
      <c r="A190" s="562" t="s">
        <v>329</v>
      </c>
      <c r="B190" s="558"/>
      <c r="C190" s="558"/>
      <c r="D190" s="563"/>
      <c r="E190" s="478"/>
      <c r="F190" s="482"/>
      <c r="G190" s="482"/>
      <c r="H190" s="482"/>
      <c r="I190" s="482"/>
      <c r="J190" s="482"/>
      <c r="K190" s="482"/>
      <c r="L190" s="483"/>
    </row>
    <row r="191" spans="1:12" x14ac:dyDescent="0.3">
      <c r="A191" s="562" t="s">
        <v>330</v>
      </c>
      <c r="B191" s="558"/>
      <c r="C191" s="558"/>
      <c r="D191" s="563"/>
      <c r="E191" s="478"/>
      <c r="F191" s="482"/>
      <c r="G191" s="482"/>
      <c r="H191" s="482"/>
      <c r="I191" s="482"/>
      <c r="J191" s="482"/>
      <c r="K191" s="482"/>
      <c r="L191" s="483"/>
    </row>
    <row r="192" spans="1:12" ht="28.2" customHeight="1" x14ac:dyDescent="0.3">
      <c r="A192" s="599" t="s">
        <v>331</v>
      </c>
      <c r="B192" s="558"/>
      <c r="C192" s="558"/>
      <c r="D192" s="563"/>
      <c r="E192" s="478"/>
      <c r="F192" s="482"/>
      <c r="G192" s="482"/>
      <c r="H192" s="482"/>
      <c r="I192" s="482"/>
      <c r="J192" s="482"/>
      <c r="K192" s="482"/>
      <c r="L192" s="483"/>
    </row>
    <row r="193" spans="1:12" ht="15" thickBot="1" x14ac:dyDescent="0.35">
      <c r="A193" s="564" t="s">
        <v>332</v>
      </c>
      <c r="B193" s="565"/>
      <c r="C193" s="565"/>
      <c r="D193" s="566"/>
      <c r="E193" s="494"/>
      <c r="F193" s="485"/>
      <c r="G193" s="485"/>
      <c r="H193" s="485"/>
      <c r="I193" s="485"/>
      <c r="J193" s="485"/>
      <c r="K193" s="485"/>
      <c r="L193" s="486"/>
    </row>
    <row r="194" spans="1:12" ht="14.4" customHeight="1" x14ac:dyDescent="0.3">
      <c r="A194" s="651" t="s">
        <v>333</v>
      </c>
      <c r="B194" s="652"/>
      <c r="C194" s="652"/>
      <c r="D194" s="653"/>
      <c r="E194" s="580"/>
      <c r="F194" s="580"/>
      <c r="G194" s="580"/>
      <c r="H194" s="580"/>
      <c r="I194" s="580"/>
      <c r="J194" s="580"/>
      <c r="K194" s="580"/>
      <c r="L194" s="581"/>
    </row>
    <row r="195" spans="1:12" x14ac:dyDescent="0.3">
      <c r="A195" s="654"/>
      <c r="B195" s="707"/>
      <c r="C195" s="707"/>
      <c r="D195" s="656"/>
      <c r="E195" s="582"/>
      <c r="F195" s="582"/>
      <c r="G195" s="582"/>
      <c r="H195" s="582"/>
      <c r="I195" s="582"/>
      <c r="J195" s="582"/>
      <c r="K195" s="582"/>
      <c r="L195" s="583"/>
    </row>
    <row r="196" spans="1:12" ht="14.4" customHeight="1" x14ac:dyDescent="0.3">
      <c r="A196" s="654"/>
      <c r="B196" s="707"/>
      <c r="C196" s="707"/>
      <c r="D196" s="656"/>
      <c r="E196" s="582"/>
      <c r="F196" s="582"/>
      <c r="G196" s="582"/>
      <c r="H196" s="582"/>
      <c r="I196" s="582"/>
      <c r="J196" s="582"/>
      <c r="K196" s="582"/>
      <c r="L196" s="583"/>
    </row>
    <row r="197" spans="1:12" ht="15" thickBot="1" x14ac:dyDescent="0.35">
      <c r="A197" s="657"/>
      <c r="B197" s="658"/>
      <c r="C197" s="658"/>
      <c r="D197" s="659"/>
      <c r="E197" s="582"/>
      <c r="F197" s="582"/>
      <c r="G197" s="582"/>
      <c r="H197" s="582"/>
      <c r="I197" s="582"/>
      <c r="J197" s="582"/>
      <c r="K197" s="582"/>
      <c r="L197" s="583"/>
    </row>
    <row r="198" spans="1:12" x14ac:dyDescent="0.3">
      <c r="A198" s="627" t="s">
        <v>334</v>
      </c>
      <c r="B198" s="597"/>
      <c r="C198" s="597"/>
      <c r="D198" s="598"/>
      <c r="E198" s="478"/>
      <c r="F198" s="482"/>
      <c r="G198" s="482"/>
      <c r="H198" s="482"/>
      <c r="I198" s="482"/>
      <c r="J198" s="482"/>
      <c r="K198" s="482"/>
      <c r="L198" s="483"/>
    </row>
    <row r="199" spans="1:12" x14ac:dyDescent="0.3">
      <c r="A199" s="562" t="s">
        <v>335</v>
      </c>
      <c r="B199" s="558"/>
      <c r="C199" s="558"/>
      <c r="D199" s="563"/>
      <c r="E199" s="478"/>
      <c r="F199" s="482"/>
      <c r="G199" s="482"/>
      <c r="H199" s="482"/>
      <c r="I199" s="482"/>
      <c r="J199" s="482"/>
      <c r="K199" s="482"/>
      <c r="L199" s="483"/>
    </row>
    <row r="200" spans="1:12" x14ac:dyDescent="0.3">
      <c r="A200" s="562" t="s">
        <v>336</v>
      </c>
      <c r="B200" s="558"/>
      <c r="C200" s="558"/>
      <c r="D200" s="563"/>
      <c r="E200" s="478"/>
      <c r="F200" s="482"/>
      <c r="G200" s="482"/>
      <c r="H200" s="482"/>
      <c r="I200" s="482"/>
      <c r="J200" s="482"/>
      <c r="K200" s="482"/>
      <c r="L200" s="483"/>
    </row>
    <row r="201" spans="1:12" x14ac:dyDescent="0.3">
      <c r="A201" s="562" t="s">
        <v>337</v>
      </c>
      <c r="B201" s="558"/>
      <c r="C201" s="558"/>
      <c r="D201" s="563"/>
      <c r="E201" s="478"/>
      <c r="F201" s="482"/>
      <c r="G201" s="482"/>
      <c r="H201" s="482"/>
      <c r="I201" s="482"/>
      <c r="J201" s="482"/>
      <c r="K201" s="482"/>
      <c r="L201" s="483"/>
    </row>
    <row r="202" spans="1:12" x14ac:dyDescent="0.3">
      <c r="A202" s="562" t="s">
        <v>338</v>
      </c>
      <c r="B202" s="558"/>
      <c r="C202" s="558"/>
      <c r="D202" s="563"/>
      <c r="E202" s="478"/>
      <c r="F202" s="482"/>
      <c r="G202" s="482"/>
      <c r="H202" s="482"/>
      <c r="I202" s="482"/>
      <c r="J202" s="482"/>
      <c r="K202" s="482"/>
      <c r="L202" s="483"/>
    </row>
    <row r="203" spans="1:12" x14ac:dyDescent="0.3">
      <c r="A203" s="562" t="s">
        <v>339</v>
      </c>
      <c r="B203" s="558"/>
      <c r="C203" s="558"/>
      <c r="D203" s="563"/>
      <c r="E203" s="478"/>
      <c r="F203" s="482"/>
      <c r="G203" s="482"/>
      <c r="H203" s="482"/>
      <c r="I203" s="482"/>
      <c r="J203" s="482"/>
      <c r="K203" s="482"/>
      <c r="L203" s="483"/>
    </row>
    <row r="204" spans="1:12" ht="15" thickBot="1" x14ac:dyDescent="0.35">
      <c r="A204" s="564" t="s">
        <v>340</v>
      </c>
      <c r="B204" s="565"/>
      <c r="C204" s="565"/>
      <c r="D204" s="566"/>
      <c r="E204" s="494"/>
      <c r="F204" s="485"/>
      <c r="G204" s="485"/>
      <c r="H204" s="485"/>
      <c r="I204" s="485"/>
      <c r="J204" s="485"/>
      <c r="K204" s="485"/>
      <c r="L204" s="486"/>
    </row>
    <row r="205" spans="1:12" ht="15" thickBot="1" x14ac:dyDescent="0.35">
      <c r="A205" s="555" t="s">
        <v>341</v>
      </c>
      <c r="B205" s="556"/>
      <c r="C205" s="556"/>
      <c r="D205" s="557"/>
      <c r="E205" s="587"/>
      <c r="F205" s="588"/>
      <c r="G205" s="588"/>
      <c r="H205" s="588"/>
      <c r="I205" s="588"/>
      <c r="J205" s="588"/>
      <c r="K205" s="588"/>
      <c r="L205" s="589"/>
    </row>
    <row r="206" spans="1:12" x14ac:dyDescent="0.3">
      <c r="A206" s="627" t="s">
        <v>342</v>
      </c>
      <c r="B206" s="597"/>
      <c r="C206" s="597"/>
      <c r="D206" s="598"/>
      <c r="E206" s="478"/>
      <c r="F206" s="482"/>
      <c r="G206" s="482"/>
      <c r="H206" s="482"/>
      <c r="I206" s="482"/>
      <c r="J206" s="482"/>
      <c r="K206" s="482"/>
      <c r="L206" s="483"/>
    </row>
    <row r="207" spans="1:12" x14ac:dyDescent="0.3">
      <c r="A207" s="562" t="s">
        <v>343</v>
      </c>
      <c r="B207" s="558"/>
      <c r="C207" s="558"/>
      <c r="D207" s="563"/>
      <c r="E207" s="478"/>
      <c r="F207" s="482"/>
      <c r="G207" s="482"/>
      <c r="H207" s="482"/>
      <c r="I207" s="482"/>
      <c r="J207" s="482"/>
      <c r="K207" s="482"/>
      <c r="L207" s="483"/>
    </row>
    <row r="208" spans="1:12" x14ac:dyDescent="0.3">
      <c r="A208" s="562" t="s">
        <v>344</v>
      </c>
      <c r="B208" s="558"/>
      <c r="C208" s="558"/>
      <c r="D208" s="563"/>
      <c r="E208" s="478"/>
      <c r="F208" s="482"/>
      <c r="G208" s="482"/>
      <c r="H208" s="482"/>
      <c r="I208" s="482"/>
      <c r="J208" s="482"/>
      <c r="K208" s="482"/>
      <c r="L208" s="483"/>
    </row>
    <row r="209" spans="1:12" x14ac:dyDescent="0.3">
      <c r="A209" s="562" t="s">
        <v>345</v>
      </c>
      <c r="B209" s="558"/>
      <c r="C209" s="558"/>
      <c r="D209" s="563"/>
      <c r="E209" s="478"/>
      <c r="F209" s="482"/>
      <c r="G209" s="482"/>
      <c r="H209" s="482"/>
      <c r="I209" s="482"/>
      <c r="J209" s="482"/>
      <c r="K209" s="482"/>
      <c r="L209" s="483"/>
    </row>
    <row r="210" spans="1:12" ht="27" customHeight="1" x14ac:dyDescent="0.3">
      <c r="A210" s="599" t="s">
        <v>346</v>
      </c>
      <c r="B210" s="717"/>
      <c r="C210" s="717"/>
      <c r="D210" s="718"/>
      <c r="E210" s="478"/>
      <c r="F210" s="482"/>
      <c r="G210" s="482"/>
      <c r="H210" s="482"/>
      <c r="I210" s="482"/>
      <c r="J210" s="482"/>
      <c r="K210" s="482"/>
      <c r="L210" s="483"/>
    </row>
    <row r="211" spans="1:12" x14ac:dyDescent="0.3">
      <c r="A211" s="562" t="s">
        <v>347</v>
      </c>
      <c r="B211" s="558"/>
      <c r="C211" s="558"/>
      <c r="D211" s="563"/>
      <c r="E211" s="478"/>
      <c r="F211" s="482"/>
      <c r="G211" s="482"/>
      <c r="H211" s="482"/>
      <c r="I211" s="482"/>
      <c r="J211" s="482"/>
      <c r="K211" s="482"/>
      <c r="L211" s="483"/>
    </row>
    <row r="212" spans="1:12" x14ac:dyDescent="0.3">
      <c r="A212" s="562" t="s">
        <v>348</v>
      </c>
      <c r="B212" s="558"/>
      <c r="C212" s="558"/>
      <c r="D212" s="563"/>
      <c r="E212" s="478"/>
      <c r="F212" s="482"/>
      <c r="G212" s="482"/>
      <c r="H212" s="482"/>
      <c r="I212" s="482"/>
      <c r="J212" s="482"/>
      <c r="K212" s="482"/>
      <c r="L212" s="483"/>
    </row>
    <row r="213" spans="1:12" x14ac:dyDescent="0.3">
      <c r="A213" s="562" t="s">
        <v>349</v>
      </c>
      <c r="B213" s="558"/>
      <c r="C213" s="558"/>
      <c r="D213" s="563"/>
      <c r="E213" s="478"/>
      <c r="F213" s="482"/>
      <c r="G213" s="482"/>
      <c r="H213" s="482"/>
      <c r="I213" s="482"/>
      <c r="J213" s="482"/>
      <c r="K213" s="482"/>
      <c r="L213" s="483"/>
    </row>
    <row r="214" spans="1:12" x14ac:dyDescent="0.3">
      <c r="A214" s="562" t="s">
        <v>350</v>
      </c>
      <c r="B214" s="558"/>
      <c r="C214" s="558"/>
      <c r="D214" s="563"/>
      <c r="E214" s="478"/>
      <c r="F214" s="482"/>
      <c r="G214" s="482"/>
      <c r="H214" s="482"/>
      <c r="I214" s="482"/>
      <c r="J214" s="482"/>
      <c r="K214" s="482"/>
      <c r="L214" s="483"/>
    </row>
    <row r="215" spans="1:12" x14ac:dyDescent="0.3">
      <c r="A215" s="562" t="s">
        <v>351</v>
      </c>
      <c r="B215" s="558"/>
      <c r="C215" s="558"/>
      <c r="D215" s="563"/>
      <c r="E215" s="478"/>
      <c r="F215" s="482"/>
      <c r="G215" s="482"/>
      <c r="H215" s="482"/>
      <c r="I215" s="482"/>
      <c r="J215" s="482"/>
      <c r="K215" s="482"/>
      <c r="L215" s="483"/>
    </row>
    <row r="216" spans="1:12" x14ac:dyDescent="0.3">
      <c r="A216" s="562" t="s">
        <v>352</v>
      </c>
      <c r="B216" s="558"/>
      <c r="C216" s="558"/>
      <c r="D216" s="563"/>
      <c r="E216" s="478"/>
      <c r="F216" s="482"/>
      <c r="G216" s="482"/>
      <c r="H216" s="482"/>
      <c r="I216" s="482"/>
      <c r="J216" s="482"/>
      <c r="K216" s="482"/>
      <c r="L216" s="483"/>
    </row>
    <row r="217" spans="1:12" ht="15" thickBot="1" x14ac:dyDescent="0.35">
      <c r="A217" s="719" t="s">
        <v>353</v>
      </c>
      <c r="B217" s="594"/>
      <c r="C217" s="594"/>
      <c r="D217" s="595"/>
      <c r="E217" s="479"/>
      <c r="F217" s="480"/>
      <c r="G217" s="480"/>
      <c r="H217" s="480"/>
      <c r="I217" s="480"/>
      <c r="J217" s="480"/>
      <c r="K217" s="480"/>
      <c r="L217" s="481"/>
    </row>
    <row r="218" spans="1:12" ht="15" thickBot="1" x14ac:dyDescent="0.35">
      <c r="A218" s="555" t="s">
        <v>354</v>
      </c>
      <c r="B218" s="556"/>
      <c r="C218" s="556"/>
      <c r="D218" s="557"/>
      <c r="E218" s="587"/>
      <c r="F218" s="588"/>
      <c r="G218" s="588"/>
      <c r="H218" s="588"/>
      <c r="I218" s="588"/>
      <c r="J218" s="588"/>
      <c r="K218" s="588"/>
      <c r="L218" s="589"/>
    </row>
    <row r="219" spans="1:12" x14ac:dyDescent="0.3">
      <c r="A219" s="627" t="s">
        <v>355</v>
      </c>
      <c r="B219" s="597"/>
      <c r="C219" s="597"/>
      <c r="D219" s="598"/>
      <c r="E219" s="478"/>
      <c r="F219" s="482"/>
      <c r="G219" s="482"/>
      <c r="H219" s="482"/>
      <c r="I219" s="482"/>
      <c r="J219" s="482"/>
      <c r="K219" s="482"/>
      <c r="L219" s="483"/>
    </row>
    <row r="220" spans="1:12" x14ac:dyDescent="0.3">
      <c r="A220" s="562" t="s">
        <v>356</v>
      </c>
      <c r="B220" s="558"/>
      <c r="C220" s="558"/>
      <c r="D220" s="563"/>
      <c r="E220" s="478"/>
      <c r="F220" s="482"/>
      <c r="G220" s="482"/>
      <c r="H220" s="482"/>
      <c r="I220" s="482"/>
      <c r="J220" s="482"/>
      <c r="K220" s="482"/>
      <c r="L220" s="483"/>
    </row>
    <row r="221" spans="1:12" x14ac:dyDescent="0.3">
      <c r="A221" s="562" t="s">
        <v>357</v>
      </c>
      <c r="B221" s="558"/>
      <c r="C221" s="558"/>
      <c r="D221" s="563"/>
      <c r="E221" s="478"/>
      <c r="F221" s="482"/>
      <c r="G221" s="482"/>
      <c r="H221" s="482"/>
      <c r="I221" s="482"/>
      <c r="J221" s="482"/>
      <c r="K221" s="482"/>
      <c r="L221" s="483"/>
    </row>
    <row r="222" spans="1:12" x14ac:dyDescent="0.3">
      <c r="A222" s="562" t="s">
        <v>358</v>
      </c>
      <c r="B222" s="558"/>
      <c r="C222" s="558"/>
      <c r="D222" s="563"/>
      <c r="E222" s="478"/>
      <c r="F222" s="482"/>
      <c r="G222" s="482"/>
      <c r="H222" s="482"/>
      <c r="I222" s="482"/>
      <c r="J222" s="482"/>
      <c r="K222" s="482"/>
      <c r="L222" s="483"/>
    </row>
    <row r="223" spans="1:12" x14ac:dyDescent="0.3">
      <c r="A223" s="562" t="s">
        <v>359</v>
      </c>
      <c r="B223" s="558"/>
      <c r="C223" s="558"/>
      <c r="D223" s="563"/>
      <c r="E223" s="478"/>
      <c r="F223" s="482"/>
      <c r="G223" s="482"/>
      <c r="H223" s="482"/>
      <c r="I223" s="482"/>
      <c r="J223" s="482"/>
      <c r="K223" s="482"/>
      <c r="L223" s="483"/>
    </row>
    <row r="224" spans="1:12" x14ac:dyDescent="0.3">
      <c r="A224" s="562" t="s">
        <v>360</v>
      </c>
      <c r="B224" s="558"/>
      <c r="C224" s="558"/>
      <c r="D224" s="563"/>
      <c r="E224" s="478"/>
      <c r="F224" s="482"/>
      <c r="G224" s="482"/>
      <c r="H224" s="482"/>
      <c r="I224" s="482"/>
      <c r="J224" s="482"/>
      <c r="K224" s="482"/>
      <c r="L224" s="483"/>
    </row>
    <row r="225" spans="1:12" x14ac:dyDescent="0.3">
      <c r="A225" s="562" t="s">
        <v>361</v>
      </c>
      <c r="B225" s="558"/>
      <c r="C225" s="558"/>
      <c r="D225" s="563"/>
      <c r="E225" s="478"/>
      <c r="F225" s="482"/>
      <c r="G225" s="482"/>
      <c r="H225" s="482"/>
      <c r="I225" s="482"/>
      <c r="J225" s="482"/>
      <c r="K225" s="482"/>
      <c r="L225" s="483"/>
    </row>
    <row r="226" spans="1:12" x14ac:dyDescent="0.3">
      <c r="A226" s="562" t="s">
        <v>362</v>
      </c>
      <c r="B226" s="558"/>
      <c r="C226" s="558"/>
      <c r="D226" s="563"/>
      <c r="E226" s="478"/>
      <c r="F226" s="482"/>
      <c r="G226" s="482"/>
      <c r="H226" s="482"/>
      <c r="I226" s="482"/>
      <c r="J226" s="482"/>
      <c r="K226" s="482"/>
      <c r="L226" s="483"/>
    </row>
    <row r="227" spans="1:12" x14ac:dyDescent="0.3">
      <c r="A227" s="562" t="s">
        <v>363</v>
      </c>
      <c r="B227" s="558"/>
      <c r="C227" s="558"/>
      <c r="D227" s="563"/>
      <c r="E227" s="478"/>
      <c r="F227" s="482"/>
      <c r="G227" s="482"/>
      <c r="H227" s="482"/>
      <c r="I227" s="482"/>
      <c r="J227" s="482"/>
      <c r="K227" s="482"/>
      <c r="L227" s="483"/>
    </row>
    <row r="228" spans="1:12" x14ac:dyDescent="0.3">
      <c r="A228" s="562" t="s">
        <v>364</v>
      </c>
      <c r="B228" s="558"/>
      <c r="C228" s="558"/>
      <c r="D228" s="563"/>
      <c r="E228" s="478"/>
      <c r="F228" s="482"/>
      <c r="G228" s="482"/>
      <c r="H228" s="482"/>
      <c r="I228" s="482"/>
      <c r="J228" s="482"/>
      <c r="K228" s="482"/>
      <c r="L228" s="483"/>
    </row>
    <row r="229" spans="1:12" ht="40.200000000000003" customHeight="1" thickBot="1" x14ac:dyDescent="0.35">
      <c r="A229" s="593" t="s">
        <v>365</v>
      </c>
      <c r="B229" s="594"/>
      <c r="C229" s="594"/>
      <c r="D229" s="595"/>
      <c r="E229" s="479"/>
      <c r="F229" s="480"/>
      <c r="G229" s="480"/>
      <c r="H229" s="480"/>
      <c r="I229" s="480"/>
      <c r="J229" s="480"/>
      <c r="K229" s="480"/>
      <c r="L229" s="481"/>
    </row>
    <row r="230" spans="1:12" ht="15" thickBot="1" x14ac:dyDescent="0.35">
      <c r="A230" s="555" t="s">
        <v>366</v>
      </c>
      <c r="B230" s="556"/>
      <c r="C230" s="556"/>
      <c r="D230" s="557"/>
      <c r="E230" s="587"/>
      <c r="F230" s="588"/>
      <c r="G230" s="588"/>
      <c r="H230" s="588"/>
      <c r="I230" s="588"/>
      <c r="J230" s="588"/>
      <c r="K230" s="588"/>
      <c r="L230" s="589"/>
    </row>
    <row r="231" spans="1:12" ht="32.4" customHeight="1" x14ac:dyDescent="0.3">
      <c r="A231" s="596" t="s">
        <v>367</v>
      </c>
      <c r="B231" s="597"/>
      <c r="C231" s="597"/>
      <c r="D231" s="598"/>
      <c r="E231" s="478"/>
      <c r="F231" s="482"/>
      <c r="G231" s="482"/>
      <c r="H231" s="482"/>
      <c r="I231" s="482"/>
      <c r="J231" s="482"/>
      <c r="K231" s="482"/>
      <c r="L231" s="483"/>
    </row>
    <row r="232" spans="1:12" ht="24.6" customHeight="1" x14ac:dyDescent="0.3">
      <c r="A232" s="599" t="s">
        <v>368</v>
      </c>
      <c r="B232" s="558"/>
      <c r="C232" s="558"/>
      <c r="D232" s="563"/>
      <c r="E232" s="478"/>
      <c r="F232" s="482"/>
      <c r="G232" s="482"/>
      <c r="H232" s="482"/>
      <c r="I232" s="482"/>
      <c r="J232" s="482"/>
      <c r="K232" s="482"/>
      <c r="L232" s="483"/>
    </row>
    <row r="233" spans="1:12" x14ac:dyDescent="0.3">
      <c r="A233" s="562" t="s">
        <v>369</v>
      </c>
      <c r="B233" s="558"/>
      <c r="C233" s="558"/>
      <c r="D233" s="563"/>
      <c r="E233" s="478"/>
      <c r="F233" s="482"/>
      <c r="G233" s="482"/>
      <c r="H233" s="482"/>
      <c r="I233" s="482"/>
      <c r="J233" s="482"/>
      <c r="K233" s="482"/>
      <c r="L233" s="483"/>
    </row>
    <row r="234" spans="1:12" x14ac:dyDescent="0.3">
      <c r="A234" s="562" t="s">
        <v>370</v>
      </c>
      <c r="B234" s="558"/>
      <c r="C234" s="558"/>
      <c r="D234" s="563"/>
      <c r="E234" s="478"/>
      <c r="F234" s="482"/>
      <c r="G234" s="482"/>
      <c r="H234" s="482"/>
      <c r="I234" s="482"/>
      <c r="J234" s="482"/>
      <c r="K234" s="482"/>
      <c r="L234" s="483"/>
    </row>
    <row r="235" spans="1:12" x14ac:dyDescent="0.3">
      <c r="A235" s="562" t="s">
        <v>371</v>
      </c>
      <c r="B235" s="558"/>
      <c r="C235" s="558"/>
      <c r="D235" s="563"/>
      <c r="E235" s="478"/>
      <c r="F235" s="482"/>
      <c r="G235" s="482"/>
      <c r="H235" s="482"/>
      <c r="I235" s="482"/>
      <c r="J235" s="482"/>
      <c r="K235" s="482"/>
      <c r="L235" s="483"/>
    </row>
    <row r="236" spans="1:12" x14ac:dyDescent="0.3">
      <c r="A236" s="562" t="s">
        <v>372</v>
      </c>
      <c r="B236" s="558"/>
      <c r="C236" s="558"/>
      <c r="D236" s="563"/>
      <c r="E236" s="478"/>
      <c r="F236" s="482"/>
      <c r="G236" s="482"/>
      <c r="H236" s="482"/>
      <c r="I236" s="482"/>
      <c r="J236" s="482"/>
      <c r="K236" s="482"/>
      <c r="L236" s="483"/>
    </row>
    <row r="237" spans="1:12" x14ac:dyDescent="0.3">
      <c r="A237" s="562" t="s">
        <v>373</v>
      </c>
      <c r="B237" s="558"/>
      <c r="C237" s="558"/>
      <c r="D237" s="563"/>
      <c r="E237" s="478"/>
      <c r="F237" s="482"/>
      <c r="G237" s="482"/>
      <c r="H237" s="482"/>
      <c r="I237" s="482"/>
      <c r="J237" s="482"/>
      <c r="K237" s="482"/>
      <c r="L237" s="483"/>
    </row>
    <row r="238" spans="1:12" x14ac:dyDescent="0.3">
      <c r="A238" s="562" t="s">
        <v>374</v>
      </c>
      <c r="B238" s="558"/>
      <c r="C238" s="558"/>
      <c r="D238" s="563"/>
      <c r="E238" s="478"/>
      <c r="F238" s="482"/>
      <c r="G238" s="482"/>
      <c r="H238" s="482"/>
      <c r="I238" s="482"/>
      <c r="J238" s="482"/>
      <c r="K238" s="482"/>
      <c r="L238" s="483"/>
    </row>
    <row r="239" spans="1:12" x14ac:dyDescent="0.3">
      <c r="A239" s="562" t="s">
        <v>375</v>
      </c>
      <c r="B239" s="558"/>
      <c r="C239" s="558"/>
      <c r="D239" s="563"/>
      <c r="E239" s="478"/>
      <c r="F239" s="482"/>
      <c r="G239" s="482"/>
      <c r="H239" s="482"/>
      <c r="I239" s="482"/>
      <c r="J239" s="482"/>
      <c r="K239" s="482"/>
      <c r="L239" s="483"/>
    </row>
    <row r="240" spans="1:12" x14ac:dyDescent="0.3">
      <c r="A240" s="562" t="s">
        <v>376</v>
      </c>
      <c r="B240" s="558"/>
      <c r="C240" s="558"/>
      <c r="D240" s="563"/>
      <c r="E240" s="478"/>
      <c r="F240" s="482"/>
      <c r="G240" s="482"/>
      <c r="H240" s="482"/>
      <c r="I240" s="482"/>
      <c r="J240" s="482"/>
      <c r="K240" s="482"/>
      <c r="L240" s="483"/>
    </row>
    <row r="241" spans="1:12" x14ac:dyDescent="0.3">
      <c r="A241" s="562" t="s">
        <v>377</v>
      </c>
      <c r="B241" s="558"/>
      <c r="C241" s="558"/>
      <c r="D241" s="563"/>
      <c r="E241" s="478"/>
      <c r="F241" s="482"/>
      <c r="G241" s="482"/>
      <c r="H241" s="482"/>
      <c r="I241" s="482"/>
      <c r="J241" s="482"/>
      <c r="K241" s="482"/>
      <c r="L241" s="483"/>
    </row>
    <row r="242" spans="1:12" x14ac:dyDescent="0.3">
      <c r="A242" s="562" t="s">
        <v>378</v>
      </c>
      <c r="B242" s="558"/>
      <c r="C242" s="558"/>
      <c r="D242" s="563"/>
      <c r="E242" s="478"/>
      <c r="F242" s="482"/>
      <c r="G242" s="482"/>
      <c r="H242" s="482"/>
      <c r="I242" s="482"/>
      <c r="J242" s="482"/>
      <c r="K242" s="482"/>
      <c r="L242" s="483"/>
    </row>
    <row r="243" spans="1:12" x14ac:dyDescent="0.3">
      <c r="A243" s="562" t="s">
        <v>379</v>
      </c>
      <c r="B243" s="558"/>
      <c r="C243" s="558"/>
      <c r="D243" s="563"/>
      <c r="E243" s="478"/>
      <c r="F243" s="482"/>
      <c r="G243" s="482"/>
      <c r="H243" s="482"/>
      <c r="I243" s="482"/>
      <c r="J243" s="482"/>
      <c r="K243" s="482"/>
      <c r="L243" s="483"/>
    </row>
    <row r="244" spans="1:12" ht="15" thickBot="1" x14ac:dyDescent="0.35">
      <c r="A244" s="564" t="s">
        <v>380</v>
      </c>
      <c r="B244" s="565"/>
      <c r="C244" s="565"/>
      <c r="D244" s="566"/>
      <c r="E244" s="494"/>
      <c r="F244" s="485"/>
      <c r="G244" s="485"/>
      <c r="H244" s="485"/>
      <c r="I244" s="485"/>
      <c r="J244" s="485"/>
      <c r="K244" s="485"/>
      <c r="L244" s="486"/>
    </row>
    <row r="245" spans="1:12" ht="14.4" customHeight="1" x14ac:dyDescent="0.3">
      <c r="A245" s="590" t="s">
        <v>381</v>
      </c>
      <c r="B245" s="591"/>
      <c r="C245" s="591"/>
      <c r="D245" s="591"/>
      <c r="E245" s="591"/>
      <c r="F245" s="591"/>
      <c r="G245" s="591"/>
      <c r="H245" s="591"/>
      <c r="I245" s="591"/>
      <c r="J245" s="591"/>
      <c r="K245" s="591"/>
      <c r="L245" s="592"/>
    </row>
    <row r="246" spans="1:12" x14ac:dyDescent="0.3">
      <c r="A246" s="590"/>
      <c r="B246" s="591"/>
      <c r="C246" s="591"/>
      <c r="D246" s="591"/>
      <c r="E246" s="591"/>
      <c r="F246" s="591"/>
      <c r="G246" s="591"/>
      <c r="H246" s="591"/>
      <c r="I246" s="591"/>
      <c r="J246" s="591"/>
      <c r="K246" s="591"/>
      <c r="L246" s="592"/>
    </row>
    <row r="247" spans="1:12" ht="15" thickBot="1" x14ac:dyDescent="0.35">
      <c r="A247" s="590"/>
      <c r="B247" s="591"/>
      <c r="C247" s="591"/>
      <c r="D247" s="591"/>
      <c r="E247" s="591"/>
      <c r="F247" s="591"/>
      <c r="G247" s="591"/>
      <c r="H247" s="591"/>
      <c r="I247" s="591"/>
      <c r="J247" s="591"/>
      <c r="K247" s="591"/>
      <c r="L247" s="592"/>
    </row>
    <row r="248" spans="1:12" ht="16.2" customHeight="1" x14ac:dyDescent="0.3">
      <c r="A248" s="567" t="s">
        <v>382</v>
      </c>
      <c r="B248" s="568"/>
      <c r="C248" s="568"/>
      <c r="D248" s="569"/>
      <c r="E248" s="573" t="s">
        <v>240</v>
      </c>
      <c r="F248" s="45" t="s">
        <v>388</v>
      </c>
      <c r="G248" s="575" t="s">
        <v>242</v>
      </c>
      <c r="H248" s="576"/>
      <c r="I248" s="577"/>
      <c r="J248" s="578" t="s">
        <v>243</v>
      </c>
      <c r="K248" s="576"/>
      <c r="L248" s="579"/>
    </row>
    <row r="249" spans="1:12" ht="15" thickBot="1" x14ac:dyDescent="0.35">
      <c r="A249" s="570"/>
      <c r="B249" s="571"/>
      <c r="C249" s="571"/>
      <c r="D249" s="572"/>
      <c r="E249" s="574"/>
      <c r="F249" s="46" t="s">
        <v>383</v>
      </c>
      <c r="G249" s="47">
        <v>1</v>
      </c>
      <c r="H249" s="48" t="s">
        <v>384</v>
      </c>
      <c r="I249" s="49" t="s">
        <v>385</v>
      </c>
      <c r="J249" s="50">
        <v>1</v>
      </c>
      <c r="K249" s="48" t="s">
        <v>386</v>
      </c>
      <c r="L249" s="51" t="s">
        <v>387</v>
      </c>
    </row>
    <row r="250" spans="1:12" x14ac:dyDescent="0.3">
      <c r="A250" s="559"/>
      <c r="B250" s="560"/>
      <c r="C250" s="560"/>
      <c r="D250" s="561"/>
      <c r="E250" s="70"/>
      <c r="F250" s="487"/>
      <c r="G250" s="487"/>
      <c r="H250" s="487"/>
      <c r="I250" s="487"/>
      <c r="J250" s="487"/>
      <c r="K250" s="487"/>
      <c r="L250" s="488"/>
    </row>
    <row r="251" spans="1:12" x14ac:dyDescent="0.3">
      <c r="A251" s="562"/>
      <c r="B251" s="558"/>
      <c r="C251" s="558"/>
      <c r="D251" s="563"/>
      <c r="E251" s="478"/>
      <c r="F251" s="482"/>
      <c r="G251" s="482"/>
      <c r="H251" s="482"/>
      <c r="I251" s="482"/>
      <c r="J251" s="482"/>
      <c r="K251" s="482"/>
      <c r="L251" s="483"/>
    </row>
    <row r="252" spans="1:12" ht="15" thickBot="1" x14ac:dyDescent="0.35">
      <c r="A252" s="564"/>
      <c r="B252" s="565"/>
      <c r="C252" s="565"/>
      <c r="D252" s="566"/>
      <c r="E252" s="494"/>
      <c r="F252" s="485"/>
      <c r="G252" s="485"/>
      <c r="H252" s="485"/>
      <c r="I252" s="485"/>
      <c r="J252" s="485"/>
      <c r="K252" s="485"/>
      <c r="L252" s="486"/>
    </row>
    <row r="253" spans="1:12" x14ac:dyDescent="0.3">
      <c r="A253" s="476" t="s">
        <v>1092</v>
      </c>
    </row>
    <row r="254" spans="1:12" x14ac:dyDescent="0.3">
      <c r="A254" s="476" t="s">
        <v>1093</v>
      </c>
    </row>
    <row r="255" spans="1:12" x14ac:dyDescent="0.3">
      <c r="A255" s="476" t="s">
        <v>1094</v>
      </c>
    </row>
  </sheetData>
  <mergeCells count="325">
    <mergeCell ref="A250:D250"/>
    <mergeCell ref="A251:D251"/>
    <mergeCell ref="A252:D252"/>
    <mergeCell ref="A242:D242"/>
    <mergeCell ref="A243:D243"/>
    <mergeCell ref="A244:D244"/>
    <mergeCell ref="A245:L247"/>
    <mergeCell ref="A248:D249"/>
    <mergeCell ref="E248:E249"/>
    <mergeCell ref="G248:I248"/>
    <mergeCell ref="J248:L248"/>
    <mergeCell ref="A236:D236"/>
    <mergeCell ref="A237:D237"/>
    <mergeCell ref="A238:D238"/>
    <mergeCell ref="A239:D239"/>
    <mergeCell ref="A240:D240"/>
    <mergeCell ref="A241:D241"/>
    <mergeCell ref="E230:L230"/>
    <mergeCell ref="A231:D231"/>
    <mergeCell ref="A232:D232"/>
    <mergeCell ref="A233:D233"/>
    <mergeCell ref="A234:D234"/>
    <mergeCell ref="A235:D235"/>
    <mergeCell ref="A225:D225"/>
    <mergeCell ref="A226:D226"/>
    <mergeCell ref="A227:D227"/>
    <mergeCell ref="A228:D228"/>
    <mergeCell ref="A229:D229"/>
    <mergeCell ref="A230:D230"/>
    <mergeCell ref="A219:D219"/>
    <mergeCell ref="A220:D220"/>
    <mergeCell ref="A221:D221"/>
    <mergeCell ref="A222:D222"/>
    <mergeCell ref="A223:D223"/>
    <mergeCell ref="A224:D224"/>
    <mergeCell ref="A214:D214"/>
    <mergeCell ref="A215:D215"/>
    <mergeCell ref="A216:D216"/>
    <mergeCell ref="A217:D217"/>
    <mergeCell ref="A218:D218"/>
    <mergeCell ref="E218:L218"/>
    <mergeCell ref="A208:D208"/>
    <mergeCell ref="A209:D209"/>
    <mergeCell ref="A210:D210"/>
    <mergeCell ref="A211:D211"/>
    <mergeCell ref="A212:D212"/>
    <mergeCell ref="A213:D213"/>
    <mergeCell ref="A203:D203"/>
    <mergeCell ref="A204:D204"/>
    <mergeCell ref="A205:D205"/>
    <mergeCell ref="E205:L205"/>
    <mergeCell ref="A206:D206"/>
    <mergeCell ref="A207:D207"/>
    <mergeCell ref="E194:L197"/>
    <mergeCell ref="A198:D198"/>
    <mergeCell ref="A199:D199"/>
    <mergeCell ref="A200:D200"/>
    <mergeCell ref="A201:D201"/>
    <mergeCell ref="A202:D202"/>
    <mergeCell ref="A189:D189"/>
    <mergeCell ref="A190:D190"/>
    <mergeCell ref="A191:D191"/>
    <mergeCell ref="A192:D192"/>
    <mergeCell ref="A193:D193"/>
    <mergeCell ref="A194:D197"/>
    <mergeCell ref="A183:D183"/>
    <mergeCell ref="A184:D184"/>
    <mergeCell ref="A185:D185"/>
    <mergeCell ref="A186:D186"/>
    <mergeCell ref="A187:D187"/>
    <mergeCell ref="A188:D188"/>
    <mergeCell ref="A178:D178"/>
    <mergeCell ref="A179:D179"/>
    <mergeCell ref="A180:D180"/>
    <mergeCell ref="E180:L180"/>
    <mergeCell ref="A181:D182"/>
    <mergeCell ref="E181:L182"/>
    <mergeCell ref="A172:D172"/>
    <mergeCell ref="A173:D173"/>
    <mergeCell ref="A174:D174"/>
    <mergeCell ref="A175:D175"/>
    <mergeCell ref="A176:D176"/>
    <mergeCell ref="A177:D177"/>
    <mergeCell ref="A166:D166"/>
    <mergeCell ref="A167:D167"/>
    <mergeCell ref="A168:D168"/>
    <mergeCell ref="A169:D169"/>
    <mergeCell ref="A170:D170"/>
    <mergeCell ref="A171:D171"/>
    <mergeCell ref="A160:D160"/>
    <mergeCell ref="A161:D161"/>
    <mergeCell ref="A162:D162"/>
    <mergeCell ref="A163:D164"/>
    <mergeCell ref="E163:L164"/>
    <mergeCell ref="A165:D165"/>
    <mergeCell ref="A154:D154"/>
    <mergeCell ref="A155:D155"/>
    <mergeCell ref="A156:D156"/>
    <mergeCell ref="A157:D157"/>
    <mergeCell ref="A158:D158"/>
    <mergeCell ref="A159:D159"/>
    <mergeCell ref="A148:D148"/>
    <mergeCell ref="A149:D149"/>
    <mergeCell ref="A150:D150"/>
    <mergeCell ref="A151:D151"/>
    <mergeCell ref="A152:D152"/>
    <mergeCell ref="A153:D153"/>
    <mergeCell ref="A141:D141"/>
    <mergeCell ref="A142:D142"/>
    <mergeCell ref="A143:D145"/>
    <mergeCell ref="E143:L145"/>
    <mergeCell ref="A146:D146"/>
    <mergeCell ref="A147:D147"/>
    <mergeCell ref="A135:D135"/>
    <mergeCell ref="A136:D136"/>
    <mergeCell ref="A137:D137"/>
    <mergeCell ref="A138:D138"/>
    <mergeCell ref="A139:D139"/>
    <mergeCell ref="A140:D140"/>
    <mergeCell ref="A129:D129"/>
    <mergeCell ref="A130:D130"/>
    <mergeCell ref="A131:D131"/>
    <mergeCell ref="A132:D132"/>
    <mergeCell ref="A133:D133"/>
    <mergeCell ref="A134:D134"/>
    <mergeCell ref="A123:D123"/>
    <mergeCell ref="A124:D124"/>
    <mergeCell ref="A125:D125"/>
    <mergeCell ref="A126:D126"/>
    <mergeCell ref="A127:D127"/>
    <mergeCell ref="A128:D128"/>
    <mergeCell ref="A116:D116"/>
    <mergeCell ref="A117:D119"/>
    <mergeCell ref="E117:L119"/>
    <mergeCell ref="A120:D120"/>
    <mergeCell ref="A121:D121"/>
    <mergeCell ref="A122:D122"/>
    <mergeCell ref="A110:D110"/>
    <mergeCell ref="A111:D111"/>
    <mergeCell ref="A112:D112"/>
    <mergeCell ref="A113:D113"/>
    <mergeCell ref="A114:D114"/>
    <mergeCell ref="A115:D115"/>
    <mergeCell ref="A104:D104"/>
    <mergeCell ref="A105:D105"/>
    <mergeCell ref="A106:D106"/>
    <mergeCell ref="A107:D107"/>
    <mergeCell ref="A108:D108"/>
    <mergeCell ref="A109:D109"/>
    <mergeCell ref="I99:I102"/>
    <mergeCell ref="J99:J102"/>
    <mergeCell ref="K99:K102"/>
    <mergeCell ref="L99:L102"/>
    <mergeCell ref="A103:D103"/>
    <mergeCell ref="E103:L103"/>
    <mergeCell ref="B93:H93"/>
    <mergeCell ref="A95:L95"/>
    <mergeCell ref="A97:D102"/>
    <mergeCell ref="E97:L97"/>
    <mergeCell ref="G98:I98"/>
    <mergeCell ref="J98:L98"/>
    <mergeCell ref="E99:E102"/>
    <mergeCell ref="F99:F102"/>
    <mergeCell ref="G99:G102"/>
    <mergeCell ref="H99:H102"/>
    <mergeCell ref="A88:B88"/>
    <mergeCell ref="C88:E88"/>
    <mergeCell ref="F88:L88"/>
    <mergeCell ref="A89:E89"/>
    <mergeCell ref="F89:L89"/>
    <mergeCell ref="A90:L91"/>
    <mergeCell ref="A86:B86"/>
    <mergeCell ref="C86:E86"/>
    <mergeCell ref="F86:L86"/>
    <mergeCell ref="A87:B87"/>
    <mergeCell ref="C87:E87"/>
    <mergeCell ref="F87:L87"/>
    <mergeCell ref="A84:B84"/>
    <mergeCell ref="C84:E84"/>
    <mergeCell ref="F84:L84"/>
    <mergeCell ref="A85:B85"/>
    <mergeCell ref="C85:E85"/>
    <mergeCell ref="F85:L85"/>
    <mergeCell ref="A82:B82"/>
    <mergeCell ref="C82:E82"/>
    <mergeCell ref="F82:L82"/>
    <mergeCell ref="A83:B83"/>
    <mergeCell ref="C83:E83"/>
    <mergeCell ref="F83:L83"/>
    <mergeCell ref="A80:B80"/>
    <mergeCell ref="C80:E80"/>
    <mergeCell ref="F80:L80"/>
    <mergeCell ref="A81:B81"/>
    <mergeCell ref="C81:E81"/>
    <mergeCell ref="F81:L81"/>
    <mergeCell ref="A78:B78"/>
    <mergeCell ref="C78:E78"/>
    <mergeCell ref="F78:L78"/>
    <mergeCell ref="A79:B79"/>
    <mergeCell ref="C79:E79"/>
    <mergeCell ref="F79:L79"/>
    <mergeCell ref="A76:B76"/>
    <mergeCell ref="C76:E76"/>
    <mergeCell ref="F76:L76"/>
    <mergeCell ref="A77:B77"/>
    <mergeCell ref="C77:E77"/>
    <mergeCell ref="F77:L77"/>
    <mergeCell ref="A74:B74"/>
    <mergeCell ref="C74:E74"/>
    <mergeCell ref="F74:L74"/>
    <mergeCell ref="A75:B75"/>
    <mergeCell ref="C75:E75"/>
    <mergeCell ref="F75:L75"/>
    <mergeCell ref="A72:B72"/>
    <mergeCell ref="C72:E72"/>
    <mergeCell ref="F72:L72"/>
    <mergeCell ref="A73:B73"/>
    <mergeCell ref="C73:E73"/>
    <mergeCell ref="F73:L73"/>
    <mergeCell ref="A70:B70"/>
    <mergeCell ref="C70:E70"/>
    <mergeCell ref="F70:L70"/>
    <mergeCell ref="A71:B71"/>
    <mergeCell ref="C71:E71"/>
    <mergeCell ref="F71:L71"/>
    <mergeCell ref="A68:B68"/>
    <mergeCell ref="C68:E68"/>
    <mergeCell ref="F68:L68"/>
    <mergeCell ref="A69:B69"/>
    <mergeCell ref="C69:E69"/>
    <mergeCell ref="F69:L69"/>
    <mergeCell ref="C63:D63"/>
    <mergeCell ref="E63:G63"/>
    <mergeCell ref="H63:I63"/>
    <mergeCell ref="J63:L63"/>
    <mergeCell ref="C65:G65"/>
    <mergeCell ref="A67:B67"/>
    <mergeCell ref="C67:E67"/>
    <mergeCell ref="F67:L67"/>
    <mergeCell ref="C61:D61"/>
    <mergeCell ref="E61:G61"/>
    <mergeCell ref="H61:I61"/>
    <mergeCell ref="J61:K61"/>
    <mergeCell ref="C62:D62"/>
    <mergeCell ref="E62:G62"/>
    <mergeCell ref="H62:I62"/>
    <mergeCell ref="K62:L62"/>
    <mergeCell ref="G57:L57"/>
    <mergeCell ref="A58:B58"/>
    <mergeCell ref="E58:F58"/>
    <mergeCell ref="G58:L58"/>
    <mergeCell ref="A59:L59"/>
    <mergeCell ref="A60:D60"/>
    <mergeCell ref="E60:J60"/>
    <mergeCell ref="E54:F54"/>
    <mergeCell ref="A55:B55"/>
    <mergeCell ref="E55:F55"/>
    <mergeCell ref="A56:B56"/>
    <mergeCell ref="E56:F56"/>
    <mergeCell ref="A57:B57"/>
    <mergeCell ref="E57:F57"/>
    <mergeCell ref="A50:B50"/>
    <mergeCell ref="E50:F50"/>
    <mergeCell ref="G50:L56"/>
    <mergeCell ref="A51:B51"/>
    <mergeCell ref="E51:F51"/>
    <mergeCell ref="A52:B52"/>
    <mergeCell ref="E52:F52"/>
    <mergeCell ref="A53:B53"/>
    <mergeCell ref="E53:F53"/>
    <mergeCell ref="A54:B54"/>
    <mergeCell ref="C43:L43"/>
    <mergeCell ref="C46:G46"/>
    <mergeCell ref="A48:L48"/>
    <mergeCell ref="A49:B49"/>
    <mergeCell ref="E49:F49"/>
    <mergeCell ref="G49:L49"/>
    <mergeCell ref="C37:L37"/>
    <mergeCell ref="C38:L38"/>
    <mergeCell ref="C39:L39"/>
    <mergeCell ref="C40:L40"/>
    <mergeCell ref="C41:L41"/>
    <mergeCell ref="C42:L42"/>
    <mergeCell ref="C31:L31"/>
    <mergeCell ref="C32:L32"/>
    <mergeCell ref="C33:L33"/>
    <mergeCell ref="C34:L34"/>
    <mergeCell ref="C35:L35"/>
    <mergeCell ref="C36:L36"/>
    <mergeCell ref="C25:E25"/>
    <mergeCell ref="F25:G25"/>
    <mergeCell ref="H25:L25"/>
    <mergeCell ref="C27:H27"/>
    <mergeCell ref="C29:L29"/>
    <mergeCell ref="C30:L30"/>
    <mergeCell ref="C23:E23"/>
    <mergeCell ref="F23:G23"/>
    <mergeCell ref="H23:L23"/>
    <mergeCell ref="C24:E24"/>
    <mergeCell ref="F24:G24"/>
    <mergeCell ref="H24:L24"/>
    <mergeCell ref="C14:H14"/>
    <mergeCell ref="C17:E17"/>
    <mergeCell ref="F17:L17"/>
    <mergeCell ref="C18:L18"/>
    <mergeCell ref="C19:L21"/>
    <mergeCell ref="C22:L22"/>
    <mergeCell ref="B10:C10"/>
    <mergeCell ref="D10:E10"/>
    <mergeCell ref="F10:L10"/>
    <mergeCell ref="A11:B11"/>
    <mergeCell ref="C11:L11"/>
    <mergeCell ref="A12:L12"/>
    <mergeCell ref="B8:I8"/>
    <mergeCell ref="J8:K8"/>
    <mergeCell ref="B9:E9"/>
    <mergeCell ref="F9:G9"/>
    <mergeCell ref="H9:I9"/>
    <mergeCell ref="J9:K9"/>
    <mergeCell ref="A1:L1"/>
    <mergeCell ref="B3:I3"/>
    <mergeCell ref="J3:L3"/>
    <mergeCell ref="B4:H4"/>
    <mergeCell ref="J4:L4"/>
    <mergeCell ref="B6:I6"/>
  </mergeCells>
  <hyperlinks>
    <hyperlink ref="B9" r:id="rId1" xr:uid="{72072198-B411-4A27-9AB5-1FBA2E9FAB8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411562B7-4E80-4D53-A140-14CBBD5426DB}">
          <x14:formula1>
            <xm:f>'COSTO ENERG. POR ACTV. FAOMS'!$A$4:$A$253</xm:f>
          </x14:formula1>
          <xm:sqref>A50:B55 A56:A57 B56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61E0-D1B5-4263-8363-DF028EE88490}">
  <sheetPr>
    <tabColor rgb="FF7030A0"/>
  </sheetPr>
  <dimension ref="B1:U123"/>
  <sheetViews>
    <sheetView tabSelected="1" zoomScale="80" zoomScaleNormal="80" workbookViewId="0">
      <selection activeCell="G13" sqref="G13"/>
    </sheetView>
  </sheetViews>
  <sheetFormatPr baseColWidth="10" defaultRowHeight="14.4" x14ac:dyDescent="0.3"/>
  <cols>
    <col min="1" max="1" width="11.5546875" customWidth="1"/>
    <col min="2" max="2" width="14.88671875" customWidth="1"/>
    <col min="3" max="3" width="12.77734375" customWidth="1"/>
    <col min="6" max="6" width="14.6640625" customWidth="1"/>
    <col min="7" max="7" width="12.6640625" customWidth="1"/>
    <col min="8" max="8" width="19.44140625" bestFit="1" customWidth="1"/>
    <col min="9" max="9" width="13.77734375" bestFit="1" customWidth="1"/>
    <col min="10" max="10" width="11.109375" customWidth="1"/>
    <col min="11" max="11" width="12.77734375" customWidth="1"/>
    <col min="12" max="12" width="26.6640625" customWidth="1"/>
    <col min="13" max="13" width="13.5546875" bestFit="1" customWidth="1"/>
    <col min="16" max="16" width="0" hidden="1" customWidth="1"/>
    <col min="17" max="17" width="8.88671875" hidden="1" customWidth="1"/>
    <col min="18" max="20" width="0" hidden="1" customWidth="1"/>
  </cols>
  <sheetData>
    <row r="1" spans="2:20" ht="15" thickBot="1" x14ac:dyDescent="0.35"/>
    <row r="2" spans="2:20" ht="16.8" thickBot="1" x14ac:dyDescent="0.4">
      <c r="B2" s="855" t="s">
        <v>132</v>
      </c>
      <c r="C2" s="856"/>
      <c r="D2" s="856"/>
      <c r="E2" s="856"/>
      <c r="F2" s="856"/>
      <c r="G2" s="856"/>
      <c r="H2" s="856"/>
      <c r="I2" s="857"/>
      <c r="K2" s="318" t="s">
        <v>402</v>
      </c>
      <c r="L2" s="55" t="s">
        <v>138</v>
      </c>
      <c r="M2" s="55" t="s">
        <v>137</v>
      </c>
      <c r="N2" s="317" t="s">
        <v>136</v>
      </c>
    </row>
    <row r="3" spans="2:20" ht="15" thickBot="1" x14ac:dyDescent="0.35">
      <c r="K3" s="308" t="s">
        <v>403</v>
      </c>
      <c r="L3" s="56" t="s">
        <v>409</v>
      </c>
      <c r="M3" s="311">
        <v>1.3</v>
      </c>
      <c r="N3" s="312">
        <v>1.3</v>
      </c>
      <c r="P3" s="73" t="s">
        <v>646</v>
      </c>
      <c r="Q3" s="82" t="s">
        <v>402</v>
      </c>
      <c r="R3" s="60" t="s">
        <v>133</v>
      </c>
      <c r="S3" s="60" t="s">
        <v>136</v>
      </c>
      <c r="T3" s="74" t="s">
        <v>137</v>
      </c>
    </row>
    <row r="4" spans="2:20" ht="16.2" thickBot="1" x14ac:dyDescent="0.35">
      <c r="B4" s="858" t="s">
        <v>0</v>
      </c>
      <c r="C4" s="859"/>
      <c r="D4" s="859"/>
      <c r="E4" s="859"/>
      <c r="F4" s="859"/>
      <c r="G4" s="859"/>
      <c r="H4" s="859"/>
      <c r="I4" s="860"/>
      <c r="K4" s="309" t="s">
        <v>404</v>
      </c>
      <c r="L4" s="17" t="s">
        <v>410</v>
      </c>
      <c r="M4" s="313">
        <v>1.5</v>
      </c>
      <c r="N4" s="314">
        <v>1.6</v>
      </c>
      <c r="P4" s="889" t="s">
        <v>651</v>
      </c>
      <c r="Q4" s="87" t="s">
        <v>403</v>
      </c>
      <c r="R4" s="83" t="s">
        <v>647</v>
      </c>
      <c r="S4" s="76">
        <f>(17.5*I12)+651</f>
        <v>1286.578125</v>
      </c>
      <c r="T4" s="77">
        <f>(12.2*I12)+746</f>
        <v>1189.0887499999999</v>
      </c>
    </row>
    <row r="5" spans="2:20" ht="15" customHeight="1" thickBot="1" x14ac:dyDescent="0.35">
      <c r="B5" s="16" t="s">
        <v>135</v>
      </c>
      <c r="C5" s="865" t="str">
        <f>'FICHA INICIAL'!B8</f>
        <v>ANDREA BERNARDINO</v>
      </c>
      <c r="D5" s="866"/>
      <c r="E5" s="866"/>
      <c r="F5" s="866"/>
      <c r="G5" s="866"/>
      <c r="H5" s="14" t="s">
        <v>393</v>
      </c>
      <c r="I5" s="15">
        <f ca="1">TODAY()</f>
        <v>44559</v>
      </c>
      <c r="K5" s="309" t="s">
        <v>405</v>
      </c>
      <c r="L5" s="17" t="s">
        <v>411</v>
      </c>
      <c r="M5" s="313">
        <v>1.6</v>
      </c>
      <c r="N5" s="314">
        <v>1.7</v>
      </c>
      <c r="P5" s="889"/>
      <c r="Q5" s="88" t="s">
        <v>404</v>
      </c>
      <c r="R5" s="7" t="s">
        <v>648</v>
      </c>
      <c r="S5" s="75">
        <f>(15.3*I12)+679</f>
        <v>1234.6768750000001</v>
      </c>
      <c r="T5" s="78">
        <f>(14.7*I12)+496</f>
        <v>1029.8856249999999</v>
      </c>
    </row>
    <row r="6" spans="2:20" ht="15" customHeight="1" thickBot="1" x14ac:dyDescent="0.35">
      <c r="B6" s="217" t="s">
        <v>1058</v>
      </c>
      <c r="C6" s="397">
        <f>'ANTROPOMETRIA INICIAL'!E10</f>
        <v>96.6</v>
      </c>
      <c r="D6" s="12" t="s">
        <v>134</v>
      </c>
      <c r="E6" s="397">
        <v>150</v>
      </c>
      <c r="F6" s="12" t="s">
        <v>133</v>
      </c>
      <c r="G6" s="226">
        <v>31</v>
      </c>
      <c r="H6" s="14" t="s">
        <v>408</v>
      </c>
      <c r="I6" s="398" t="s">
        <v>405</v>
      </c>
      <c r="K6" s="309" t="s">
        <v>406</v>
      </c>
      <c r="L6" s="17" t="s">
        <v>412</v>
      </c>
      <c r="M6" s="313">
        <v>1.9</v>
      </c>
      <c r="N6" s="314">
        <v>2.1</v>
      </c>
      <c r="P6" s="889"/>
      <c r="Q6" s="88" t="s">
        <v>405</v>
      </c>
      <c r="R6" s="7" t="s">
        <v>649</v>
      </c>
      <c r="S6" s="75">
        <f>(11.6*I12)+879</f>
        <v>1300.2975000000001</v>
      </c>
      <c r="T6" s="78">
        <f>(8.7*I12)+829</f>
        <v>1144.973125</v>
      </c>
    </row>
    <row r="7" spans="2:20" ht="15" customHeight="1" thickBot="1" x14ac:dyDescent="0.35">
      <c r="H7" s="57" t="s">
        <v>458</v>
      </c>
      <c r="I7" s="399" t="str">
        <f>(_xlfn.IFS(I6="A","SEDENTARIO",I6="B","ACTIVO",I6="C","RECREACIONAL",I6="D","DEPORTISTA",I6="E","REND. DEP."))</f>
        <v>RECREACIONAL</v>
      </c>
      <c r="K7" s="310" t="s">
        <v>407</v>
      </c>
      <c r="L7" s="18" t="s">
        <v>413</v>
      </c>
      <c r="M7" s="315">
        <v>2.15</v>
      </c>
      <c r="N7" s="316">
        <v>2.4</v>
      </c>
      <c r="P7" s="889"/>
      <c r="Q7" s="89" t="s">
        <v>406</v>
      </c>
      <c r="R7" s="13" t="s">
        <v>650</v>
      </c>
      <c r="S7" s="71">
        <f>(13.5*I12)+487</f>
        <v>977.30312500000002</v>
      </c>
      <c r="T7" s="81">
        <f>(10.5*I12)+596</f>
        <v>977.34687499999995</v>
      </c>
    </row>
    <row r="8" spans="2:20" ht="16.2" thickBot="1" x14ac:dyDescent="0.35">
      <c r="N8" s="65">
        <f>MATCH(N10,'COSTO ENERG. POR ACTV. FAOMS'!A3:F3,0)</f>
        <v>6</v>
      </c>
      <c r="P8" s="878" t="s">
        <v>655</v>
      </c>
      <c r="Q8" s="90" t="s">
        <v>403</v>
      </c>
      <c r="R8" s="84" t="s">
        <v>652</v>
      </c>
      <c r="S8" s="76">
        <f>15.6*I12+2.66*E6+299</f>
        <v>1264.5725</v>
      </c>
      <c r="T8" s="77">
        <f>9.4*I12+2.46*E6+462</f>
        <v>1172.39625</v>
      </c>
    </row>
    <row r="9" spans="2:20" ht="16.2" thickBot="1" x14ac:dyDescent="0.35">
      <c r="B9" s="861" t="s">
        <v>394</v>
      </c>
      <c r="C9" s="749"/>
      <c r="D9" s="749"/>
      <c r="E9" s="749"/>
      <c r="F9" s="749"/>
      <c r="G9" s="749"/>
      <c r="H9" s="749"/>
      <c r="I9" s="833"/>
      <c r="K9" s="901" t="s">
        <v>863</v>
      </c>
      <c r="L9" s="902"/>
      <c r="M9" s="902"/>
      <c r="N9" s="902"/>
      <c r="O9" s="903"/>
      <c r="P9" s="890"/>
      <c r="Q9" s="88" t="s">
        <v>404</v>
      </c>
      <c r="R9" s="85" t="s">
        <v>653</v>
      </c>
      <c r="S9" s="75">
        <f>14.4*I12+3.13*E6+133</f>
        <v>1125.49</v>
      </c>
      <c r="T9" s="78">
        <f>10.4*I12+6.15*E6-282</f>
        <v>1018.2150000000001</v>
      </c>
    </row>
    <row r="10" spans="2:20" ht="16.2" customHeight="1" thickBot="1" x14ac:dyDescent="0.35">
      <c r="B10" s="892" t="s">
        <v>395</v>
      </c>
      <c r="C10" s="400" t="s">
        <v>396</v>
      </c>
      <c r="D10" s="867" t="s">
        <v>645</v>
      </c>
      <c r="E10" s="868"/>
      <c r="F10" s="868"/>
      <c r="G10" s="868"/>
      <c r="H10" s="869"/>
      <c r="I10" s="72">
        <f>IF('ANTROPOMETRIA INICIAL'!B5=1,((REQUERIMIENTOS!E6/100)^2)*23,((REQUERIMIENTOS!E6/100)^2)*21.5)</f>
        <v>48.375</v>
      </c>
      <c r="K10" s="878" t="s">
        <v>220</v>
      </c>
      <c r="L10" s="880"/>
      <c r="M10" s="195" t="s">
        <v>862</v>
      </c>
      <c r="N10" s="163" t="s">
        <v>221</v>
      </c>
      <c r="O10" s="195" t="s">
        <v>147</v>
      </c>
      <c r="P10" s="891"/>
      <c r="Q10" s="88" t="s">
        <v>405</v>
      </c>
      <c r="R10" s="85" t="s">
        <v>654</v>
      </c>
      <c r="S10" s="75">
        <f>11.4*I12+5.41*E6-137</f>
        <v>1088.5337500000001</v>
      </c>
      <c r="T10" s="78">
        <f>8.18*I12+5.02*E6-11.6</f>
        <v>1038.4873749999999</v>
      </c>
    </row>
    <row r="11" spans="2:20" ht="16.2" thickBot="1" x14ac:dyDescent="0.35">
      <c r="B11" s="893"/>
      <c r="C11" s="862" t="s">
        <v>397</v>
      </c>
      <c r="D11" s="863"/>
      <c r="E11" s="92" t="s">
        <v>398</v>
      </c>
      <c r="F11" s="93">
        <f>(I10-C6)</f>
        <v>-48.224999999999994</v>
      </c>
      <c r="G11" s="864" t="s">
        <v>644</v>
      </c>
      <c r="H11" s="864"/>
      <c r="I11" s="8">
        <f>F11*0.25</f>
        <v>-12.056249999999999</v>
      </c>
      <c r="J11" s="194">
        <f>MATCH(K11,'COSTO ENERG. POR ACTV. FAOMS'!A4:A253,0)</f>
        <v>1</v>
      </c>
      <c r="K11" s="904" t="str">
        <f>'FICHA INICIAL'!A50:A50</f>
        <v>DORMIR</v>
      </c>
      <c r="L11" s="905"/>
      <c r="M11" s="186">
        <f>'FICHA INICIAL'!E50:E50</f>
        <v>7</v>
      </c>
      <c r="N11" s="198">
        <f>INDEX('COSTO ENERG. POR ACTV. FAOMS'!A4:F253,REQUERIMIENTOS!J11,REQUERIMIENTOS!N8)</f>
        <v>1</v>
      </c>
      <c r="O11" s="202">
        <f>M11*N11</f>
        <v>7</v>
      </c>
      <c r="P11" s="882"/>
      <c r="Q11" s="89" t="s">
        <v>406</v>
      </c>
      <c r="R11" s="86" t="s">
        <v>650</v>
      </c>
      <c r="S11" s="79">
        <f>11.4*I12+5.41*E6-256</f>
        <v>969.53375000000005</v>
      </c>
      <c r="T11" s="80">
        <f>8.52*I12+4.21*E6+10.7</f>
        <v>951.63575000000003</v>
      </c>
    </row>
    <row r="12" spans="2:20" ht="15" thickBot="1" x14ac:dyDescent="0.35">
      <c r="B12" s="893"/>
      <c r="C12" s="872" t="s">
        <v>399</v>
      </c>
      <c r="D12" s="873"/>
      <c r="E12" s="873"/>
      <c r="F12" s="874"/>
      <c r="G12" s="145">
        <f>I10+I11</f>
        <v>36.318750000000001</v>
      </c>
      <c r="H12" s="401" t="str">
        <f>_xlfn.IFS(G6&lt;=18,"A",G6=19,"B",G6=20,"B",G6=21,"B",G6=22,"B",G6=23,"B",G6=24,"B",G6=25,"B",G6=26,"B",G6=27,"B",G6=28,"B",G6=29,"B",G6=30,"B",G6=31,"C",G6=32,"C",G6=33,"C",G6=34,"C",G6=35,"C",G6=36,"C",G6=37,"C",G6=38,"C",G6=39,"C",G6=40,"C",G6=41,"C",G6=42,"C",G6=43,"C",G6=44,"C",G6=45,"C",G6=46,"C",G6=47,"C",G6=48,"C",G6=49,"C",G6=50,"C",G6=51,"C",G6=52,"C",G6=53,"C",G6=54,"C", G6=55,"C",G6=56,"C",G6=57,"C",G6=58,"C",G6=59,"C",G6=60,"C",G6&gt;=61,"D")</f>
        <v>C</v>
      </c>
      <c r="I12" s="91">
        <f>_xlfn.IFS(C6&lt;I10,G12,C6&gt;I10,G12)</f>
        <v>36.318750000000001</v>
      </c>
      <c r="J12">
        <f>MATCH(K12,'COSTO ENERG. POR ACTV. FAOMS'!A4:A253,0)</f>
        <v>66</v>
      </c>
      <c r="K12" s="829" t="str">
        <f>'FICHA INICIAL'!A51:A51</f>
        <v>VER TELEVISION</v>
      </c>
      <c r="L12" s="830"/>
      <c r="M12" s="205">
        <f>'FICHA INICIAL'!E51:E51</f>
        <v>3</v>
      </c>
      <c r="N12" s="199">
        <f>INDEX('COSTO ENERG. POR ACTV. FAOMS'!A4:F253,REQUERIMIENTOS!J12,REQUERIMIENTOS!N8)</f>
        <v>1.64</v>
      </c>
      <c r="O12" s="97">
        <f t="shared" ref="O12:O19" si="0">M12*N12</f>
        <v>4.92</v>
      </c>
    </row>
    <row r="13" spans="2:20" ht="15" thickBot="1" x14ac:dyDescent="0.35">
      <c r="B13" s="893"/>
      <c r="C13" s="875" t="s">
        <v>658</v>
      </c>
      <c r="D13" s="876"/>
      <c r="E13" s="876"/>
      <c r="F13" s="877"/>
      <c r="G13" s="204">
        <f>IF('ANTROPOMETRIA INICIAL'!B5=1,66.473+(13.7516*I12)+(5.0033*E6)-(6.775*G6),655.0955+(9.5634*I12)+(1.8449*E6)-(4.6756*G6))</f>
        <v>1134.21763375</v>
      </c>
      <c r="H13" s="739" t="s">
        <v>660</v>
      </c>
      <c r="I13" s="741"/>
      <c r="J13">
        <f>MATCH(K13,'COSTO ENERG. POR ACTV. FAOMS'!A4:A253,0)</f>
        <v>22</v>
      </c>
      <c r="K13" s="829" t="str">
        <f>'FICHA INICIAL'!A52:A52</f>
        <v>CONDUCIR EN AUTO</v>
      </c>
      <c r="L13" s="830"/>
      <c r="M13" s="205">
        <f>'FICHA INICIAL'!E52:E52</f>
        <v>2</v>
      </c>
      <c r="N13" s="199">
        <f>INDEX('COSTO ENERG. POR ACTV. FAOMS'!A4:F253,REQUERIMIENTOS!J13,REQUERIMIENTOS!N8)</f>
        <v>2</v>
      </c>
      <c r="O13" s="97">
        <f t="shared" si="0"/>
        <v>4</v>
      </c>
    </row>
    <row r="14" spans="2:20" ht="15" customHeight="1" thickBot="1" x14ac:dyDescent="0.35">
      <c r="B14" s="893"/>
      <c r="C14" s="884" t="s">
        <v>657</v>
      </c>
      <c r="D14" s="885"/>
      <c r="E14" s="885"/>
      <c r="F14" s="886"/>
      <c r="G14" s="146">
        <f>IF('ANTROPOMETRIA INICIAL'!B5=1,10*I12+6.25*E6-5*G6+5,10*I12+6.25*E6-5*G6-161)</f>
        <v>984.6875</v>
      </c>
      <c r="H14" s="895">
        <f>(G13+G14+G15+G16)/4</f>
        <v>1075.5914084374999</v>
      </c>
      <c r="I14" s="896"/>
      <c r="J14">
        <f>MATCH(K14,'COSTO ENERG. POR ACTV. FAOMS'!A4:A253,0)</f>
        <v>8</v>
      </c>
      <c r="K14" s="829" t="str">
        <f>'FICHA INICIAL'!A53:A53</f>
        <v>COMER Y BEBER</v>
      </c>
      <c r="L14" s="830"/>
      <c r="M14" s="205">
        <f>'FICHA INICIAL'!E53:E53</f>
        <v>1</v>
      </c>
      <c r="N14" s="199">
        <f>INDEX('COSTO ENERG. POR ACTV. FAOMS'!A4:F253,REQUERIMIENTOS!J14,REQUERIMIENTOS!N8)</f>
        <v>1.4</v>
      </c>
      <c r="O14" s="97">
        <f t="shared" si="0"/>
        <v>1.4</v>
      </c>
    </row>
    <row r="15" spans="2:20" ht="15" customHeight="1" thickBot="1" x14ac:dyDescent="0.35">
      <c r="B15" s="893"/>
      <c r="C15" s="884" t="s">
        <v>659</v>
      </c>
      <c r="D15" s="885"/>
      <c r="E15" s="885"/>
      <c r="F15" s="886"/>
      <c r="G15" s="146">
        <f>IF('ANTROPOMETRIA INICIAL'!B5=1,_xlfn.IFS(H12="A",S4,H12="B",S5,H12="C",S6,H12="D",S7),_xlfn.IFS(H12="A",T4,H12="B",T5,H12="C",T6,H12="D",T7))</f>
        <v>1144.973125</v>
      </c>
      <c r="H15" s="897"/>
      <c r="I15" s="898"/>
      <c r="J15">
        <f>MATCH(K15,'COSTO ENERG. POR ACTV. FAOMS'!A4:A253,0)</f>
        <v>30</v>
      </c>
      <c r="K15" s="829" t="str">
        <f>'FICHA INICIAL'!A54:A54</f>
        <v>TAREAS DEL HOGAR SIN ESPECIFICAR</v>
      </c>
      <c r="L15" s="830"/>
      <c r="M15" s="205">
        <f>'FICHA INICIAL'!E54:E54</f>
        <v>0.2857142857142857</v>
      </c>
      <c r="N15" s="199">
        <f>INDEX('COSTO ENERG. POR ACTV. FAOMS'!A4:F253,REQUERIMIENTOS!J15,REQUERIMIENTOS!N8)</f>
        <v>2.8</v>
      </c>
      <c r="O15" s="97">
        <f t="shared" si="0"/>
        <v>0.79999999999999993</v>
      </c>
    </row>
    <row r="16" spans="2:20" ht="15" customHeight="1" thickBot="1" x14ac:dyDescent="0.35">
      <c r="B16" s="894"/>
      <c r="C16" s="884" t="s">
        <v>656</v>
      </c>
      <c r="D16" s="885"/>
      <c r="E16" s="885"/>
      <c r="F16" s="886"/>
      <c r="G16" s="147">
        <f>IF('ANTROPOMETRIA INICIAL'!B5=1,_xlfn.IFS(H12="A",S8,H12="B",S9,H12="C",S10,H12="D",S11),_xlfn.IFS(H12="A",T8,H12="B",T9,H12="C",T10,H12="D",T11))</f>
        <v>1038.4873749999999</v>
      </c>
      <c r="H16" s="899"/>
      <c r="I16" s="900"/>
      <c r="J16">
        <f>MATCH(K16,'COSTO ENERG. POR ACTV. FAOMS'!A4:A253,0)</f>
        <v>39</v>
      </c>
      <c r="K16" s="829" t="str">
        <f>'FICHA INICIAL'!A55:A55</f>
        <v>ESTAR SENTADO EN EL ESCRITORIO</v>
      </c>
      <c r="L16" s="830"/>
      <c r="M16" s="205">
        <f>'FICHA INICIAL'!E55:E55</f>
        <v>5</v>
      </c>
      <c r="N16" s="199">
        <f>INDEX('COSTO ENERG. POR ACTV. FAOMS'!A4:F253,REQUERIMIENTOS!J16,REQUERIMIENTOS!N8)</f>
        <v>1.3</v>
      </c>
      <c r="O16" s="97">
        <f t="shared" si="0"/>
        <v>6.5</v>
      </c>
    </row>
    <row r="17" spans="2:21" ht="15" customHeight="1" x14ac:dyDescent="0.3">
      <c r="B17" s="850" t="s">
        <v>400</v>
      </c>
      <c r="C17" s="878" t="s">
        <v>401</v>
      </c>
      <c r="D17" s="879"/>
      <c r="E17" s="879"/>
      <c r="F17" s="880"/>
      <c r="G17" s="852" t="str">
        <f>VLOOKUP(I6,K3:L8,2)</f>
        <v>MODERADA</v>
      </c>
      <c r="H17" s="887">
        <f>VLOOKUP(I6,K2:N8,I17)</f>
        <v>1.6</v>
      </c>
      <c r="I17" s="870">
        <f>IF(I7=1,4,3)</f>
        <v>3</v>
      </c>
      <c r="J17">
        <f>MATCH(K17,'COSTO ENERG. POR ACTV. FAOMS'!A4:A253,0)</f>
        <v>40</v>
      </c>
      <c r="K17" s="829" t="str">
        <f>'FICHA INICIAL'!A56:A56</f>
        <v>PARARSE Y MOVERSE ALREDEDOR</v>
      </c>
      <c r="L17" s="830"/>
      <c r="M17" s="205">
        <f>'FICHA INICIAL'!E56:E56</f>
        <v>2</v>
      </c>
      <c r="N17" s="199">
        <f>INDEX('COSTO ENERG. POR ACTV. FAOMS'!A4:F253,REQUERIMIENTOS!J17,REQUERIMIENTOS!N8)</f>
        <v>1.6</v>
      </c>
      <c r="O17" s="97">
        <f t="shared" si="0"/>
        <v>3.2</v>
      </c>
    </row>
    <row r="18" spans="2:21" ht="15" thickBot="1" x14ac:dyDescent="0.35">
      <c r="B18" s="851"/>
      <c r="C18" s="881"/>
      <c r="D18" s="882"/>
      <c r="E18" s="882"/>
      <c r="F18" s="883"/>
      <c r="G18" s="853"/>
      <c r="H18" s="888"/>
      <c r="I18" s="871"/>
      <c r="J18">
        <f>MATCH(K18,'COSTO ENERG. POR ACTV. FAOMS'!A4:A253,0)</f>
        <v>77</v>
      </c>
      <c r="K18" s="831" t="str">
        <f>'FICHA INICIAL'!A57:A57</f>
        <v>ENTRENAMIENTO CON CARGA, SENTADILLAS, ESFUERZO LENTO O EXPLOSIVO</v>
      </c>
      <c r="L18" s="832"/>
      <c r="M18" s="206">
        <f>'FICHA INICIAL'!E57:E57</f>
        <v>0.8571428571428571</v>
      </c>
      <c r="N18" s="200">
        <f>INDEX('COSTO ENERG. POR ACTV. FAOMS'!A4:F253,REQUERIMIENTOS!J18,REQUERIMIENTOS!N8)</f>
        <v>5</v>
      </c>
      <c r="O18" s="97">
        <f t="shared" si="0"/>
        <v>4.2857142857142856</v>
      </c>
    </row>
    <row r="19" spans="2:21" ht="15" thickBot="1" x14ac:dyDescent="0.35">
      <c r="B19" s="748" t="s">
        <v>868</v>
      </c>
      <c r="C19" s="749"/>
      <c r="D19" s="749"/>
      <c r="E19" s="749"/>
      <c r="F19" s="749"/>
      <c r="G19" s="833"/>
      <c r="H19" s="148">
        <f>G13*H17</f>
        <v>1814.7482140000002</v>
      </c>
      <c r="I19" s="196" t="s">
        <v>163</v>
      </c>
      <c r="K19" s="843" t="str">
        <f>'FICHA INICIAL'!G57:G57</f>
        <v>ACTIVIDADES RESIDUALES</v>
      </c>
      <c r="L19" s="854"/>
      <c r="M19" s="207">
        <f>'FICHA INICIAL'!G58:G58</f>
        <v>2.8571428571428577</v>
      </c>
      <c r="N19" s="201">
        <v>1</v>
      </c>
      <c r="O19" s="203">
        <f t="shared" si="0"/>
        <v>2.8571428571428577</v>
      </c>
    </row>
    <row r="20" spans="2:21" ht="15" thickBot="1" x14ac:dyDescent="0.35">
      <c r="I20" s="72" t="s">
        <v>864</v>
      </c>
      <c r="J20" s="197">
        <f>G15/24</f>
        <v>47.707213541666668</v>
      </c>
      <c r="K20" s="906" t="s">
        <v>1105</v>
      </c>
      <c r="L20" s="906"/>
      <c r="M20" s="906"/>
      <c r="N20" s="907"/>
      <c r="O20" s="230">
        <f>SUM(O11+O12+O14+O15+O17+O19+O16)</f>
        <v>26.677142857142858</v>
      </c>
      <c r="U20" s="1099">
        <f>SUM(O11:O17)+O19+O18</f>
        <v>34.962857142857146</v>
      </c>
    </row>
    <row r="21" spans="2:21" ht="15" customHeight="1" thickBot="1" x14ac:dyDescent="0.35">
      <c r="B21" s="748" t="s">
        <v>884</v>
      </c>
      <c r="C21" s="749"/>
      <c r="D21" s="749"/>
      <c r="E21" s="749"/>
      <c r="F21" s="833"/>
      <c r="K21" s="908" t="s">
        <v>867</v>
      </c>
      <c r="L21" s="909"/>
      <c r="M21" s="909"/>
      <c r="N21" s="910"/>
      <c r="O21" s="914">
        <f>J20*O20</f>
        <v>1272.692150967262</v>
      </c>
      <c r="U21" s="1102" t="s">
        <v>883</v>
      </c>
    </row>
    <row r="22" spans="2:21" ht="15" customHeight="1" thickBot="1" x14ac:dyDescent="0.35">
      <c r="B22" s="916" t="s">
        <v>139</v>
      </c>
      <c r="C22" s="917"/>
      <c r="D22" s="917"/>
      <c r="E22" s="918"/>
      <c r="F22" s="215" t="s">
        <v>869</v>
      </c>
      <c r="G22" s="213"/>
      <c r="H22" s="213"/>
      <c r="I22" s="213"/>
      <c r="K22" s="911"/>
      <c r="L22" s="912"/>
      <c r="M22" s="912"/>
      <c r="N22" s="913"/>
      <c r="O22" s="915"/>
      <c r="U22" s="1103"/>
    </row>
    <row r="23" spans="2:21" ht="15" customHeight="1" thickBot="1" x14ac:dyDescent="0.35">
      <c r="B23" s="210" t="s">
        <v>140</v>
      </c>
      <c r="C23" s="211" t="s">
        <v>141</v>
      </c>
      <c r="D23" s="211" t="s">
        <v>142</v>
      </c>
      <c r="E23" s="212" t="s">
        <v>143</v>
      </c>
      <c r="F23" s="22" t="s">
        <v>156</v>
      </c>
      <c r="G23" s="213"/>
      <c r="H23" s="213"/>
      <c r="I23" s="208"/>
      <c r="K23" s="836" t="s">
        <v>867</v>
      </c>
      <c r="L23" s="837"/>
      <c r="M23" s="837"/>
      <c r="N23" s="838"/>
      <c r="O23" s="834">
        <f>J20*U20</f>
        <v>1667.9804917410715</v>
      </c>
      <c r="U23" s="1100" t="s">
        <v>1104</v>
      </c>
    </row>
    <row r="24" spans="2:21" ht="15" customHeight="1" thickBot="1" x14ac:dyDescent="0.35">
      <c r="B24" s="236" t="s">
        <v>144</v>
      </c>
      <c r="C24" s="237">
        <v>0.5</v>
      </c>
      <c r="D24" s="238">
        <f>H19*C24</f>
        <v>907.37410700000009</v>
      </c>
      <c r="E24" s="231">
        <f>D24/4</f>
        <v>226.84352675000002</v>
      </c>
      <c r="F24" s="227">
        <f>(E24*D31)/E31</f>
        <v>6.2459067768026157</v>
      </c>
      <c r="G24" s="214"/>
      <c r="H24" s="214"/>
      <c r="I24" s="208"/>
      <c r="K24" s="839"/>
      <c r="L24" s="840"/>
      <c r="M24" s="840"/>
      <c r="N24" s="841"/>
      <c r="O24" s="835"/>
      <c r="U24" s="1101"/>
    </row>
    <row r="25" spans="2:21" x14ac:dyDescent="0.3">
      <c r="B25" s="19" t="s">
        <v>145</v>
      </c>
      <c r="C25" s="6">
        <v>0.3</v>
      </c>
      <c r="D25" s="239">
        <f>H19*C25</f>
        <v>544.42446419999999</v>
      </c>
      <c r="E25" s="232">
        <f>D25/9</f>
        <v>60.491607133333332</v>
      </c>
      <c r="F25" s="228">
        <f>(E25*D32)/E32</f>
        <v>1.6655751404806975</v>
      </c>
      <c r="G25" s="214"/>
      <c r="H25" s="214"/>
      <c r="I25" s="208"/>
    </row>
    <row r="26" spans="2:21" ht="15" thickBot="1" x14ac:dyDescent="0.35">
      <c r="B26" s="240" t="s">
        <v>146</v>
      </c>
      <c r="C26" s="241">
        <v>0.2</v>
      </c>
      <c r="D26" s="242">
        <f>H19*C26</f>
        <v>362.94964280000005</v>
      </c>
      <c r="E26" s="233">
        <f>D26/4</f>
        <v>90.737410700000012</v>
      </c>
      <c r="F26" s="229">
        <f>(E26*D33)/E33</f>
        <v>2.4983627107210467</v>
      </c>
      <c r="G26" s="214"/>
      <c r="H26" s="214"/>
      <c r="I26" s="208"/>
    </row>
    <row r="27" spans="2:21" ht="15" thickBot="1" x14ac:dyDescent="0.35">
      <c r="B27" s="234" t="s">
        <v>147</v>
      </c>
      <c r="C27" s="235">
        <f>SUM(C24:C26)</f>
        <v>1</v>
      </c>
      <c r="D27" s="827">
        <f>SUM(D24:D26)</f>
        <v>1814.748214</v>
      </c>
      <c r="E27" s="828"/>
    </row>
    <row r="28" spans="2:21" ht="15" thickBot="1" x14ac:dyDescent="0.35"/>
    <row r="29" spans="2:21" ht="15" customHeight="1" thickBot="1" x14ac:dyDescent="0.35">
      <c r="B29" s="845" t="s">
        <v>160</v>
      </c>
      <c r="C29" s="846"/>
      <c r="D29" s="846"/>
      <c r="E29" s="847"/>
      <c r="G29" s="921" t="s">
        <v>688</v>
      </c>
      <c r="H29" s="922"/>
    </row>
    <row r="30" spans="2:21" ht="14.4" customHeight="1" thickBot="1" x14ac:dyDescent="0.35">
      <c r="B30" s="848" t="s">
        <v>155</v>
      </c>
      <c r="C30" s="849"/>
      <c r="D30" s="20" t="s">
        <v>161</v>
      </c>
      <c r="E30" s="21" t="s">
        <v>162</v>
      </c>
      <c r="G30" s="919" t="s">
        <v>1106</v>
      </c>
      <c r="H30" s="923"/>
      <c r="I30" s="176" t="s">
        <v>152</v>
      </c>
      <c r="J30" s="170" t="s">
        <v>153</v>
      </c>
      <c r="K30" s="170" t="s">
        <v>154</v>
      </c>
      <c r="L30" s="170" t="s">
        <v>830</v>
      </c>
      <c r="M30" s="171" t="s">
        <v>826</v>
      </c>
    </row>
    <row r="31" spans="2:21" ht="15" thickBot="1" x14ac:dyDescent="0.35">
      <c r="B31" s="829" t="s">
        <v>157</v>
      </c>
      <c r="C31" s="842"/>
      <c r="D31" s="24">
        <v>9</v>
      </c>
      <c r="E31" s="4">
        <f>D31*I12</f>
        <v>326.86875000000003</v>
      </c>
      <c r="G31" s="217" t="s">
        <v>829</v>
      </c>
      <c r="H31" s="216">
        <f>MATCH(G30,REQUERIMIENTOS!B40:B90,0)</f>
        <v>45</v>
      </c>
      <c r="I31" s="161">
        <f>MATCH(I30,F39:J39,0)</f>
        <v>1</v>
      </c>
      <c r="J31" s="161">
        <f>MATCH(J30,F39:J39,0)</f>
        <v>2</v>
      </c>
      <c r="K31" s="161">
        <f>MATCH(K30,F39:J39,0)</f>
        <v>3</v>
      </c>
      <c r="L31" s="161">
        <f>MATCH(L30,F39:J39,0)</f>
        <v>4</v>
      </c>
      <c r="M31" s="172">
        <f>MATCH(M30,F39:J39,0)</f>
        <v>5</v>
      </c>
    </row>
    <row r="32" spans="2:21" ht="16.2" thickBot="1" x14ac:dyDescent="0.35">
      <c r="B32" s="829" t="s">
        <v>158</v>
      </c>
      <c r="C32" s="842"/>
      <c r="D32" s="24">
        <v>0.9</v>
      </c>
      <c r="E32" s="4">
        <f>D32*I12</f>
        <v>32.686875000000001</v>
      </c>
      <c r="G32" s="919" t="s">
        <v>831</v>
      </c>
      <c r="H32" s="920"/>
      <c r="I32" s="174">
        <f>INDEX(REQUERIMIENTOS!F40:J90,H31,I31)</f>
        <v>3.8</v>
      </c>
      <c r="J32" s="173">
        <f>INDEX(REQUERIMIENTOS!F40:J90,H31,J31)</f>
        <v>5.2</v>
      </c>
      <c r="K32" s="173">
        <f>INDEX(REQUERIMIENTOS!F40:J90,H31,K31)</f>
        <v>1.6</v>
      </c>
      <c r="L32" s="173">
        <f>INDEX(REQUERIMIENTOS!F40:J90,H31,L31)</f>
        <v>77.8</v>
      </c>
      <c r="M32" s="175">
        <f>INDEX(REQUERIMIENTOS!F40:J90,H31,M31)</f>
        <v>29.1</v>
      </c>
    </row>
    <row r="33" spans="2:10" ht="15" thickBot="1" x14ac:dyDescent="0.35">
      <c r="B33" s="843" t="s">
        <v>159</v>
      </c>
      <c r="C33" s="844"/>
      <c r="D33" s="25">
        <v>1.8</v>
      </c>
      <c r="E33" s="4">
        <f>D33*I12</f>
        <v>65.373750000000001</v>
      </c>
    </row>
    <row r="39" spans="2:10" ht="14.4" hidden="1" customHeight="1" x14ac:dyDescent="0.3">
      <c r="B39" s="928" t="s">
        <v>686</v>
      </c>
      <c r="C39" s="929"/>
      <c r="D39" s="929"/>
      <c r="E39" s="930"/>
      <c r="F39" s="190" t="s">
        <v>152</v>
      </c>
      <c r="G39" s="167" t="s">
        <v>153</v>
      </c>
      <c r="H39" s="167" t="s">
        <v>154</v>
      </c>
      <c r="I39" s="168" t="s">
        <v>830</v>
      </c>
      <c r="J39" s="169" t="s">
        <v>826</v>
      </c>
    </row>
    <row r="40" spans="2:10" ht="15.6" hidden="1" customHeight="1" x14ac:dyDescent="0.3">
      <c r="B40" s="931" t="s">
        <v>778</v>
      </c>
      <c r="C40" s="932"/>
      <c r="D40" s="932"/>
      <c r="E40" s="933"/>
      <c r="F40" s="192">
        <v>1.7</v>
      </c>
      <c r="G40" s="151">
        <v>4.2</v>
      </c>
      <c r="H40" s="151">
        <v>3.6</v>
      </c>
      <c r="I40" s="165">
        <v>36.9</v>
      </c>
      <c r="J40" s="151">
        <v>9.6</v>
      </c>
    </row>
    <row r="41" spans="2:10" ht="15.6" hidden="1" customHeight="1" x14ac:dyDescent="0.3">
      <c r="B41" s="934" t="s">
        <v>779</v>
      </c>
      <c r="C41" s="935"/>
      <c r="D41" s="935"/>
      <c r="E41" s="936"/>
      <c r="F41" s="191">
        <v>1.8</v>
      </c>
      <c r="G41" s="150">
        <v>4.3</v>
      </c>
      <c r="H41" s="150">
        <v>3.4</v>
      </c>
      <c r="I41" s="153">
        <v>35.200000000000003</v>
      </c>
      <c r="J41" s="150">
        <v>8.5</v>
      </c>
    </row>
    <row r="42" spans="2:10" ht="15.6" hidden="1" customHeight="1" x14ac:dyDescent="0.3">
      <c r="B42" s="934" t="s">
        <v>780</v>
      </c>
      <c r="C42" s="935"/>
      <c r="D42" s="935"/>
      <c r="E42" s="936"/>
      <c r="F42" s="191">
        <v>1.5</v>
      </c>
      <c r="G42" s="150">
        <v>4.0999999999999996</v>
      </c>
      <c r="H42" s="150">
        <v>3.7</v>
      </c>
      <c r="I42" s="153">
        <v>35.200000000000003</v>
      </c>
      <c r="J42" s="150">
        <v>8.5</v>
      </c>
    </row>
    <row r="43" spans="2:10" ht="15.6" hidden="1" customHeight="1" x14ac:dyDescent="0.3">
      <c r="B43" s="934" t="s">
        <v>781</v>
      </c>
      <c r="C43" s="935"/>
      <c r="D43" s="935"/>
      <c r="E43" s="936"/>
      <c r="F43" s="191">
        <v>1.6</v>
      </c>
      <c r="G43" s="150">
        <v>4.5</v>
      </c>
      <c r="H43" s="150">
        <v>3.4</v>
      </c>
      <c r="I43" s="153">
        <v>37</v>
      </c>
      <c r="J43" s="150">
        <v>6.6</v>
      </c>
    </row>
    <row r="44" spans="2:10" ht="15.6" hidden="1" x14ac:dyDescent="0.3">
      <c r="B44" s="782" t="s">
        <v>782</v>
      </c>
      <c r="C44" s="782"/>
      <c r="D44" s="782"/>
      <c r="E44" s="782"/>
      <c r="F44" s="150">
        <v>1.8</v>
      </c>
      <c r="G44" s="150">
        <v>4.0999999999999996</v>
      </c>
      <c r="H44" s="150">
        <v>3.6</v>
      </c>
      <c r="I44" s="153">
        <v>37</v>
      </c>
      <c r="J44" s="150">
        <v>6.6</v>
      </c>
    </row>
    <row r="45" spans="2:10" ht="15.6" hidden="1" x14ac:dyDescent="0.3">
      <c r="B45" s="782" t="s">
        <v>783</v>
      </c>
      <c r="C45" s="782"/>
      <c r="D45" s="782"/>
      <c r="E45" s="782"/>
      <c r="F45" s="150">
        <v>1.6</v>
      </c>
      <c r="G45" s="150">
        <v>3.7</v>
      </c>
      <c r="H45" s="150">
        <v>3.7</v>
      </c>
      <c r="I45" s="153">
        <v>37</v>
      </c>
      <c r="J45" s="150">
        <v>6.6</v>
      </c>
    </row>
    <row r="46" spans="2:10" ht="15.6" hidden="1" x14ac:dyDescent="0.3">
      <c r="B46" s="782" t="s">
        <v>784</v>
      </c>
      <c r="C46" s="782"/>
      <c r="D46" s="782"/>
      <c r="E46" s="782"/>
      <c r="F46" s="150">
        <v>1.8</v>
      </c>
      <c r="G46" s="150">
        <v>5.2</v>
      </c>
      <c r="H46" s="150">
        <v>2.7</v>
      </c>
      <c r="I46" s="153">
        <v>38.700000000000003</v>
      </c>
      <c r="J46" s="150">
        <v>8.8000000000000007</v>
      </c>
    </row>
    <row r="47" spans="2:10" ht="15.6" hidden="1" x14ac:dyDescent="0.3">
      <c r="B47" s="782" t="s">
        <v>784</v>
      </c>
      <c r="C47" s="782"/>
      <c r="D47" s="782"/>
      <c r="E47" s="782"/>
      <c r="F47" s="150">
        <v>1.7</v>
      </c>
      <c r="G47" s="150">
        <v>4.5</v>
      </c>
      <c r="H47" s="150">
        <v>3.2</v>
      </c>
      <c r="I47" s="153">
        <v>38.700000000000003</v>
      </c>
      <c r="J47" s="150">
        <v>8.8000000000000007</v>
      </c>
    </row>
    <row r="48" spans="2:10" ht="15.6" hidden="1" x14ac:dyDescent="0.3">
      <c r="B48" s="782" t="s">
        <v>785</v>
      </c>
      <c r="C48" s="782"/>
      <c r="D48" s="782"/>
      <c r="E48" s="782"/>
      <c r="F48" s="150">
        <v>1.6</v>
      </c>
      <c r="G48" s="150">
        <v>3.7</v>
      </c>
      <c r="H48" s="150">
        <v>4.2</v>
      </c>
      <c r="I48" s="153">
        <v>39.6</v>
      </c>
      <c r="J48" s="150">
        <v>12</v>
      </c>
    </row>
    <row r="49" spans="2:18" ht="15.6" hidden="1" x14ac:dyDescent="0.3">
      <c r="B49" s="782" t="s">
        <v>786</v>
      </c>
      <c r="C49" s="782"/>
      <c r="D49" s="782"/>
      <c r="E49" s="782"/>
      <c r="F49" s="150">
        <v>1.7</v>
      </c>
      <c r="G49" s="150">
        <v>4.3</v>
      </c>
      <c r="H49" s="150">
        <v>3.5</v>
      </c>
      <c r="I49" s="153">
        <v>38.700000000000003</v>
      </c>
      <c r="J49" s="150">
        <v>9.1</v>
      </c>
    </row>
    <row r="50" spans="2:18" ht="15.6" hidden="1" x14ac:dyDescent="0.3">
      <c r="B50" s="782" t="s">
        <v>787</v>
      </c>
      <c r="C50" s="782"/>
      <c r="D50" s="782"/>
      <c r="E50" s="782"/>
      <c r="F50" s="150">
        <v>1.7</v>
      </c>
      <c r="G50" s="150">
        <v>4.8</v>
      </c>
      <c r="H50" s="150">
        <v>3</v>
      </c>
      <c r="I50" s="153">
        <v>39.700000000000003</v>
      </c>
      <c r="J50" s="150">
        <v>10.199999999999999</v>
      </c>
    </row>
    <row r="51" spans="2:18" ht="15.6" hidden="1" x14ac:dyDescent="0.3">
      <c r="B51" s="782" t="s">
        <v>788</v>
      </c>
      <c r="C51" s="782"/>
      <c r="D51" s="782"/>
      <c r="E51" s="782"/>
      <c r="F51" s="150">
        <v>4.4000000000000004</v>
      </c>
      <c r="G51" s="150">
        <v>7.2</v>
      </c>
      <c r="H51" s="150">
        <v>0.5</v>
      </c>
      <c r="I51" s="153">
        <v>96.1</v>
      </c>
      <c r="J51" s="150">
        <v>31.9</v>
      </c>
      <c r="R51" s="11"/>
    </row>
    <row r="52" spans="2:18" ht="15.6" hidden="1" x14ac:dyDescent="0.3">
      <c r="B52" s="782" t="s">
        <v>789</v>
      </c>
      <c r="C52" s="782"/>
      <c r="D52" s="782"/>
      <c r="E52" s="782"/>
      <c r="F52" s="150">
        <v>2.1</v>
      </c>
      <c r="G52" s="150">
        <v>5.3</v>
      </c>
      <c r="H52" s="150">
        <v>2.4</v>
      </c>
      <c r="I52" s="153">
        <v>47.9</v>
      </c>
      <c r="J52" s="150">
        <v>16.600000000000001</v>
      </c>
      <c r="R52" s="11"/>
    </row>
    <row r="53" spans="2:18" s="11" customFormat="1" ht="15" hidden="1" customHeight="1" x14ac:dyDescent="0.3">
      <c r="B53" s="784" t="s">
        <v>790</v>
      </c>
      <c r="C53" s="784"/>
      <c r="D53" s="784"/>
      <c r="E53" s="784"/>
      <c r="F53" s="150">
        <v>2.4</v>
      </c>
      <c r="G53" s="150">
        <v>5</v>
      </c>
      <c r="H53" s="150">
        <v>3</v>
      </c>
      <c r="I53" s="153">
        <v>55.8</v>
      </c>
      <c r="J53" s="150">
        <v>19.8</v>
      </c>
      <c r="K53" s="23"/>
      <c r="L53" s="23"/>
    </row>
    <row r="54" spans="2:18" s="11" customFormat="1" ht="15.6" hidden="1" x14ac:dyDescent="0.3">
      <c r="B54" s="782" t="s">
        <v>791</v>
      </c>
      <c r="C54" s="782"/>
      <c r="D54" s="782"/>
      <c r="E54" s="782"/>
      <c r="F54" s="150">
        <v>2.1</v>
      </c>
      <c r="G54" s="150">
        <v>4.4000000000000004</v>
      </c>
      <c r="H54" s="150">
        <v>3.5</v>
      </c>
      <c r="I54" s="153">
        <v>53.4</v>
      </c>
      <c r="J54" s="150">
        <v>12.3</v>
      </c>
      <c r="K54" s="164"/>
      <c r="L54" s="23"/>
    </row>
    <row r="55" spans="2:18" s="11" customFormat="1" ht="15.6" hidden="1" x14ac:dyDescent="0.3">
      <c r="B55" s="782" t="s">
        <v>792</v>
      </c>
      <c r="C55" s="782"/>
      <c r="D55" s="782"/>
      <c r="E55" s="782"/>
      <c r="F55" s="150">
        <v>2.2000000000000002</v>
      </c>
      <c r="G55" s="150">
        <v>4.7</v>
      </c>
      <c r="H55" s="150">
        <v>3.3</v>
      </c>
      <c r="I55" s="153">
        <v>59.5</v>
      </c>
      <c r="J55" s="150">
        <v>20.7</v>
      </c>
      <c r="K55" s="23"/>
      <c r="L55" s="23"/>
    </row>
    <row r="56" spans="2:18" s="11" customFormat="1" ht="15.6" hidden="1" x14ac:dyDescent="0.3">
      <c r="B56" s="782" t="s">
        <v>793</v>
      </c>
      <c r="C56" s="782"/>
      <c r="D56" s="782"/>
      <c r="E56" s="782"/>
      <c r="F56" s="150">
        <v>2.8</v>
      </c>
      <c r="G56" s="150">
        <v>3.9</v>
      </c>
      <c r="H56" s="150">
        <v>3.7</v>
      </c>
      <c r="I56" s="153">
        <v>74.900000000000006</v>
      </c>
      <c r="J56" s="150">
        <v>26.9</v>
      </c>
      <c r="K56" s="23"/>
      <c r="L56" s="23"/>
    </row>
    <row r="57" spans="2:18" s="11" customFormat="1" ht="15.6" hidden="1" x14ac:dyDescent="0.3">
      <c r="B57" s="784" t="s">
        <v>794</v>
      </c>
      <c r="C57" s="784"/>
      <c r="D57" s="784"/>
      <c r="E57" s="784"/>
      <c r="F57" s="150">
        <v>1.9</v>
      </c>
      <c r="G57" s="150">
        <v>4.7</v>
      </c>
      <c r="H57" s="150">
        <v>2.9</v>
      </c>
      <c r="I57" s="153">
        <v>43.7</v>
      </c>
      <c r="J57" s="150">
        <v>12.1</v>
      </c>
      <c r="K57" s="164"/>
      <c r="L57" s="23"/>
    </row>
    <row r="58" spans="2:18" s="11" customFormat="1" ht="15.6" hidden="1" x14ac:dyDescent="0.3">
      <c r="B58" s="784" t="s">
        <v>795</v>
      </c>
      <c r="C58" s="784"/>
      <c r="D58" s="784"/>
      <c r="E58" s="784"/>
      <c r="F58" s="150">
        <v>2.5</v>
      </c>
      <c r="G58" s="150">
        <v>5.2</v>
      </c>
      <c r="H58" s="150">
        <v>2.4</v>
      </c>
      <c r="I58" s="153">
        <v>50</v>
      </c>
      <c r="J58" s="150">
        <v>14.1</v>
      </c>
      <c r="K58" s="23"/>
      <c r="L58" s="23"/>
    </row>
    <row r="59" spans="2:18" s="11" customFormat="1" ht="15.6" hidden="1" x14ac:dyDescent="0.3">
      <c r="B59" s="782" t="s">
        <v>796</v>
      </c>
      <c r="C59" s="782"/>
      <c r="D59" s="782"/>
      <c r="E59" s="782"/>
      <c r="F59" s="150">
        <v>2.2000000000000002</v>
      </c>
      <c r="G59" s="150">
        <v>5.2</v>
      </c>
      <c r="H59" s="150">
        <v>2.5</v>
      </c>
      <c r="I59" s="153">
        <v>50</v>
      </c>
      <c r="J59" s="150">
        <v>14.1</v>
      </c>
      <c r="K59" s="23"/>
      <c r="L59" s="23"/>
    </row>
    <row r="60" spans="2:18" s="11" customFormat="1" ht="15.6" hidden="1" x14ac:dyDescent="0.3">
      <c r="B60" s="782" t="s">
        <v>797</v>
      </c>
      <c r="C60" s="782"/>
      <c r="D60" s="782"/>
      <c r="E60" s="782"/>
      <c r="F60" s="150">
        <v>2.5</v>
      </c>
      <c r="G60" s="150">
        <v>5</v>
      </c>
      <c r="H60" s="150">
        <v>2.5</v>
      </c>
      <c r="I60" s="153">
        <v>50</v>
      </c>
      <c r="J60" s="150">
        <v>14.1</v>
      </c>
      <c r="K60" s="23"/>
      <c r="L60" s="23"/>
    </row>
    <row r="61" spans="2:18" s="11" customFormat="1" ht="15.6" hidden="1" x14ac:dyDescent="0.3">
      <c r="B61" s="782" t="s">
        <v>798</v>
      </c>
      <c r="C61" s="782"/>
      <c r="D61" s="782"/>
      <c r="E61" s="782"/>
      <c r="F61" s="150">
        <v>2.1</v>
      </c>
      <c r="G61" s="150">
        <v>4.9000000000000004</v>
      </c>
      <c r="H61" s="150">
        <v>2.7</v>
      </c>
      <c r="I61" s="153">
        <v>50</v>
      </c>
      <c r="J61" s="150">
        <v>14.1</v>
      </c>
      <c r="K61" s="23"/>
      <c r="L61" s="23"/>
    </row>
    <row r="62" spans="2:18" s="11" customFormat="1" ht="15.6" hidden="1" x14ac:dyDescent="0.3">
      <c r="B62" s="784" t="s">
        <v>799</v>
      </c>
      <c r="C62" s="784"/>
      <c r="D62" s="784"/>
      <c r="E62" s="784"/>
      <c r="F62" s="150">
        <v>2.1</v>
      </c>
      <c r="G62" s="150">
        <v>5.9</v>
      </c>
      <c r="H62" s="150">
        <v>1.9</v>
      </c>
      <c r="I62" s="153">
        <v>43.5</v>
      </c>
      <c r="J62" s="150">
        <v>9.6</v>
      </c>
      <c r="K62" s="23"/>
      <c r="L62" s="23"/>
    </row>
    <row r="63" spans="2:18" s="11" customFormat="1" ht="15.6" hidden="1" x14ac:dyDescent="0.3">
      <c r="B63" s="782" t="s">
        <v>800</v>
      </c>
      <c r="C63" s="782"/>
      <c r="D63" s="782"/>
      <c r="E63" s="782"/>
      <c r="F63" s="150">
        <v>2.2999999999999998</v>
      </c>
      <c r="G63" s="150">
        <v>6.7</v>
      </c>
      <c r="H63" s="150">
        <v>1.6</v>
      </c>
      <c r="I63" s="153">
        <v>49</v>
      </c>
      <c r="J63" s="150">
        <v>8.3000000000000007</v>
      </c>
      <c r="K63" s="164"/>
      <c r="L63" s="23"/>
    </row>
    <row r="64" spans="2:18" s="11" customFormat="1" ht="15.6" hidden="1" x14ac:dyDescent="0.3">
      <c r="B64" s="782" t="s">
        <v>801</v>
      </c>
      <c r="C64" s="782"/>
      <c r="D64" s="782"/>
      <c r="E64" s="782"/>
      <c r="F64" s="150">
        <v>2.5</v>
      </c>
      <c r="G64" s="150">
        <v>6.3</v>
      </c>
      <c r="H64" s="150">
        <v>1.9</v>
      </c>
      <c r="I64" s="153">
        <v>62.1</v>
      </c>
      <c r="J64" s="150">
        <v>18.8</v>
      </c>
      <c r="K64" s="23"/>
      <c r="L64" s="23"/>
    </row>
    <row r="65" spans="2:18" s="11" customFormat="1" ht="15.6" hidden="1" x14ac:dyDescent="0.3">
      <c r="B65" s="784" t="s">
        <v>802</v>
      </c>
      <c r="C65" s="784"/>
      <c r="D65" s="784"/>
      <c r="E65" s="784"/>
      <c r="F65" s="150">
        <v>2.2999999999999998</v>
      </c>
      <c r="G65" s="150">
        <v>4.9000000000000004</v>
      </c>
      <c r="H65" s="150">
        <v>3</v>
      </c>
      <c r="I65" s="153">
        <v>56</v>
      </c>
      <c r="J65" s="150">
        <v>18.399999999999999</v>
      </c>
      <c r="K65" s="23"/>
      <c r="L65" s="23"/>
    </row>
    <row r="66" spans="2:18" s="11" customFormat="1" ht="15.6" hidden="1" x14ac:dyDescent="0.3">
      <c r="B66" s="784" t="s">
        <v>803</v>
      </c>
      <c r="C66" s="784"/>
      <c r="D66" s="784"/>
      <c r="E66" s="784"/>
      <c r="F66" s="150">
        <v>2.2000000000000002</v>
      </c>
      <c r="G66" s="150">
        <v>6.1</v>
      </c>
      <c r="H66" s="150">
        <v>2</v>
      </c>
      <c r="I66" s="153">
        <v>50.6</v>
      </c>
      <c r="J66" s="150">
        <v>13.5</v>
      </c>
      <c r="K66" s="23"/>
      <c r="L66" s="23"/>
    </row>
    <row r="67" spans="2:18" s="11" customFormat="1" ht="15.6" hidden="1" x14ac:dyDescent="0.3">
      <c r="B67" s="784" t="s">
        <v>804</v>
      </c>
      <c r="C67" s="784"/>
      <c r="D67" s="784"/>
      <c r="E67" s="784"/>
      <c r="F67" s="150">
        <v>1.9</v>
      </c>
      <c r="G67" s="150">
        <v>5.4</v>
      </c>
      <c r="H67" s="150">
        <v>2.5</v>
      </c>
      <c r="I67" s="153">
        <v>45.6</v>
      </c>
      <c r="J67" s="150">
        <v>12.2</v>
      </c>
      <c r="K67" s="23"/>
      <c r="L67" s="23"/>
    </row>
    <row r="68" spans="2:18" s="11" customFormat="1" ht="15.6" hidden="1" x14ac:dyDescent="0.3">
      <c r="B68" s="784" t="s">
        <v>805</v>
      </c>
      <c r="C68" s="784"/>
      <c r="D68" s="784"/>
      <c r="E68" s="784"/>
      <c r="F68" s="150">
        <v>4.9000000000000004</v>
      </c>
      <c r="G68" s="150">
        <v>5.8</v>
      </c>
      <c r="H68" s="150">
        <v>1.6</v>
      </c>
      <c r="I68" s="153">
        <v>107</v>
      </c>
      <c r="J68" s="150">
        <v>45.7</v>
      </c>
      <c r="K68" s="23"/>
      <c r="L68" s="23"/>
    </row>
    <row r="69" spans="2:18" s="11" customFormat="1" ht="15.6" hidden="1" x14ac:dyDescent="0.3">
      <c r="B69" s="784" t="s">
        <v>806</v>
      </c>
      <c r="C69" s="784"/>
      <c r="D69" s="784"/>
      <c r="E69" s="784"/>
      <c r="F69" s="150">
        <v>2</v>
      </c>
      <c r="G69" s="150">
        <v>3.8</v>
      </c>
      <c r="H69" s="150">
        <v>3.7</v>
      </c>
      <c r="I69" s="153">
        <v>49.2</v>
      </c>
      <c r="J69" s="150">
        <v>12.9</v>
      </c>
      <c r="K69" s="23"/>
      <c r="L69" s="23"/>
    </row>
    <row r="70" spans="2:18" s="11" customFormat="1" ht="15.6" hidden="1" x14ac:dyDescent="0.3">
      <c r="B70" s="782" t="s">
        <v>807</v>
      </c>
      <c r="C70" s="782"/>
      <c r="D70" s="782"/>
      <c r="E70" s="782"/>
      <c r="F70" s="150">
        <v>2.6</v>
      </c>
      <c r="G70" s="150">
        <v>4.0999999999999996</v>
      </c>
      <c r="H70" s="150">
        <v>3.4</v>
      </c>
      <c r="I70" s="153">
        <v>58.9</v>
      </c>
      <c r="J70" s="150">
        <v>20.6</v>
      </c>
      <c r="K70" s="23"/>
      <c r="L70" s="23"/>
      <c r="R70"/>
    </row>
    <row r="71" spans="2:18" s="11" customFormat="1" ht="15.6" hidden="1" x14ac:dyDescent="0.3">
      <c r="B71" s="782" t="s">
        <v>827</v>
      </c>
      <c r="C71" s="782"/>
      <c r="D71" s="782"/>
      <c r="E71" s="782"/>
      <c r="F71" s="150">
        <v>1.9</v>
      </c>
      <c r="G71" s="150">
        <v>4.7</v>
      </c>
      <c r="H71" s="150">
        <v>2.9</v>
      </c>
      <c r="I71" s="153">
        <v>46.6</v>
      </c>
      <c r="J71" s="150">
        <v>12.8</v>
      </c>
      <c r="R71"/>
    </row>
    <row r="72" spans="2:18" ht="15.6" hidden="1" x14ac:dyDescent="0.3">
      <c r="B72" s="784" t="s">
        <v>808</v>
      </c>
      <c r="C72" s="784"/>
      <c r="D72" s="784"/>
      <c r="E72" s="784"/>
      <c r="F72" s="150">
        <v>2</v>
      </c>
      <c r="G72" s="150">
        <v>3.3</v>
      </c>
      <c r="H72" s="150">
        <v>3.9</v>
      </c>
      <c r="I72" s="153">
        <v>45</v>
      </c>
      <c r="J72" s="150">
        <v>10.9</v>
      </c>
    </row>
    <row r="73" spans="2:18" ht="15.6" hidden="1" x14ac:dyDescent="0.3">
      <c r="B73" s="782" t="s">
        <v>809</v>
      </c>
      <c r="C73" s="782"/>
      <c r="D73" s="782"/>
      <c r="E73" s="782"/>
      <c r="F73" s="150">
        <v>2.1</v>
      </c>
      <c r="G73" s="150">
        <v>3.2</v>
      </c>
      <c r="H73" s="150">
        <v>3.5</v>
      </c>
      <c r="I73" s="153">
        <v>48.6</v>
      </c>
      <c r="J73" s="150">
        <v>12.3</v>
      </c>
    </row>
    <row r="74" spans="2:18" ht="15.6" hidden="1" x14ac:dyDescent="0.3">
      <c r="B74" s="782" t="s">
        <v>810</v>
      </c>
      <c r="C74" s="782"/>
      <c r="D74" s="782"/>
      <c r="E74" s="782"/>
      <c r="F74" s="150">
        <v>2.6</v>
      </c>
      <c r="G74" s="150">
        <v>3.1</v>
      </c>
      <c r="H74" s="150">
        <v>3.5</v>
      </c>
      <c r="I74" s="153">
        <v>57.5</v>
      </c>
      <c r="J74" s="150">
        <v>15.7</v>
      </c>
    </row>
    <row r="75" spans="2:18" ht="15.6" hidden="1" x14ac:dyDescent="0.3">
      <c r="B75" s="782" t="s">
        <v>811</v>
      </c>
      <c r="C75" s="782"/>
      <c r="D75" s="782"/>
      <c r="E75" s="782"/>
      <c r="F75" s="150">
        <v>2.4</v>
      </c>
      <c r="G75" s="150">
        <v>3.3</v>
      </c>
      <c r="H75" s="150">
        <v>3.3</v>
      </c>
      <c r="I75" s="153">
        <v>56.3</v>
      </c>
      <c r="J75" s="150">
        <v>13.1</v>
      </c>
    </row>
    <row r="76" spans="2:18" ht="15.6" hidden="1" x14ac:dyDescent="0.3">
      <c r="B76" s="782" t="s">
        <v>812</v>
      </c>
      <c r="C76" s="782"/>
      <c r="D76" s="782"/>
      <c r="E76" s="782"/>
      <c r="F76" s="150">
        <v>2.2999999999999998</v>
      </c>
      <c r="G76" s="150">
        <v>2.2000000000000002</v>
      </c>
      <c r="H76" s="150">
        <v>4.5999999999999996</v>
      </c>
      <c r="I76" s="153">
        <v>60.4</v>
      </c>
      <c r="J76" s="150">
        <v>23.4</v>
      </c>
    </row>
    <row r="77" spans="2:18" ht="15.6" hidden="1" x14ac:dyDescent="0.3">
      <c r="B77" s="782" t="s">
        <v>813</v>
      </c>
      <c r="C77" s="782"/>
      <c r="D77" s="782"/>
      <c r="E77" s="782"/>
      <c r="F77" s="150">
        <v>2.2999999999999998</v>
      </c>
      <c r="G77" s="150">
        <v>3.8</v>
      </c>
      <c r="H77" s="150">
        <v>3.1</v>
      </c>
      <c r="I77" s="153">
        <v>49.3</v>
      </c>
      <c r="J77" s="150">
        <v>14.4</v>
      </c>
    </row>
    <row r="78" spans="2:18" ht="15.6" hidden="1" x14ac:dyDescent="0.3">
      <c r="B78" s="782" t="s">
        <v>814</v>
      </c>
      <c r="C78" s="782"/>
      <c r="D78" s="782"/>
      <c r="E78" s="782"/>
      <c r="F78" s="150">
        <v>2.5</v>
      </c>
      <c r="G78" s="150">
        <v>3.5</v>
      </c>
      <c r="H78" s="150">
        <v>3.5</v>
      </c>
      <c r="I78" s="153">
        <v>58.9</v>
      </c>
      <c r="J78" s="150">
        <v>13.2</v>
      </c>
    </row>
    <row r="79" spans="2:18" ht="15.6" hidden="1" x14ac:dyDescent="0.3">
      <c r="B79" s="784" t="s">
        <v>815</v>
      </c>
      <c r="C79" s="784"/>
      <c r="D79" s="784"/>
      <c r="E79" s="784"/>
      <c r="F79" s="150">
        <v>3</v>
      </c>
      <c r="G79" s="150">
        <v>3.4</v>
      </c>
      <c r="H79" s="150">
        <v>3.5</v>
      </c>
      <c r="I79" s="153">
        <v>71.8</v>
      </c>
      <c r="J79" s="150">
        <v>28.6</v>
      </c>
    </row>
    <row r="80" spans="2:18" ht="15.6" hidden="1" x14ac:dyDescent="0.3">
      <c r="B80" s="784" t="s">
        <v>816</v>
      </c>
      <c r="C80" s="784"/>
      <c r="D80" s="784"/>
      <c r="E80" s="784"/>
      <c r="F80" s="150">
        <v>1.9</v>
      </c>
      <c r="G80" s="150">
        <v>4.5999999999999996</v>
      </c>
      <c r="H80" s="150">
        <v>2.9</v>
      </c>
      <c r="I80" s="153">
        <v>40.200000000000003</v>
      </c>
      <c r="J80" s="150">
        <v>13.4</v>
      </c>
    </row>
    <row r="81" spans="2:14" ht="15.6" hidden="1" x14ac:dyDescent="0.3">
      <c r="B81" s="782" t="s">
        <v>817</v>
      </c>
      <c r="C81" s="782"/>
      <c r="D81" s="782"/>
      <c r="E81" s="782"/>
      <c r="F81" s="150">
        <v>1.9</v>
      </c>
      <c r="G81" s="150">
        <v>2.4</v>
      </c>
      <c r="H81" s="150">
        <v>5</v>
      </c>
      <c r="I81" s="153">
        <v>46.7</v>
      </c>
      <c r="J81" s="150">
        <v>12.8</v>
      </c>
    </row>
    <row r="82" spans="2:14" ht="15.6" hidden="1" x14ac:dyDescent="0.3">
      <c r="B82" s="784" t="s">
        <v>818</v>
      </c>
      <c r="C82" s="784"/>
      <c r="D82" s="784"/>
      <c r="E82" s="784"/>
      <c r="F82" s="150">
        <v>3.6</v>
      </c>
      <c r="G82" s="150">
        <v>4.0999999999999996</v>
      </c>
      <c r="H82" s="150">
        <v>2.2000000000000002</v>
      </c>
      <c r="I82" s="153">
        <v>78</v>
      </c>
      <c r="J82" s="150">
        <v>21.7</v>
      </c>
    </row>
    <row r="83" spans="2:14" ht="15.6" hidden="1" x14ac:dyDescent="0.3">
      <c r="B83" s="784" t="s">
        <v>819</v>
      </c>
      <c r="C83" s="784"/>
      <c r="D83" s="784"/>
      <c r="E83" s="784"/>
      <c r="F83" s="150">
        <v>3.5</v>
      </c>
      <c r="G83" s="150">
        <v>5</v>
      </c>
      <c r="H83" s="150">
        <v>1.9</v>
      </c>
      <c r="I83" s="153">
        <v>77.8</v>
      </c>
      <c r="J83" s="150">
        <v>29.1</v>
      </c>
    </row>
    <row r="84" spans="2:14" ht="15.6" hidden="1" x14ac:dyDescent="0.3">
      <c r="B84" s="782" t="s">
        <v>820</v>
      </c>
      <c r="C84" s="782"/>
      <c r="D84" s="782"/>
      <c r="E84" s="782"/>
      <c r="F84" s="150">
        <v>3.8</v>
      </c>
      <c r="G84" s="150">
        <v>5.2</v>
      </c>
      <c r="H84" s="150">
        <v>1.6</v>
      </c>
      <c r="I84" s="153">
        <v>77.8</v>
      </c>
      <c r="J84" s="150">
        <v>29.1</v>
      </c>
    </row>
    <row r="85" spans="2:14" ht="15.6" hidden="1" x14ac:dyDescent="0.3">
      <c r="B85" s="782" t="s">
        <v>821</v>
      </c>
      <c r="C85" s="782"/>
      <c r="D85" s="782"/>
      <c r="E85" s="782"/>
      <c r="F85" s="150">
        <v>3.3</v>
      </c>
      <c r="G85" s="150">
        <v>4.4000000000000004</v>
      </c>
      <c r="H85" s="150">
        <v>2.2999999999999998</v>
      </c>
      <c r="I85" s="153">
        <v>77.8</v>
      </c>
      <c r="J85" s="150">
        <v>29.1</v>
      </c>
    </row>
    <row r="86" spans="2:14" ht="15.6" hidden="1" x14ac:dyDescent="0.3">
      <c r="B86" s="784" t="s">
        <v>822</v>
      </c>
      <c r="C86" s="784"/>
      <c r="D86" s="784"/>
      <c r="E86" s="784"/>
      <c r="F86" s="150">
        <v>3.5</v>
      </c>
      <c r="G86" s="150">
        <v>3.8</v>
      </c>
      <c r="H86" s="150">
        <v>3</v>
      </c>
      <c r="I86" s="153">
        <v>82.7</v>
      </c>
      <c r="J86" s="150">
        <v>25</v>
      </c>
    </row>
    <row r="87" spans="2:14" ht="15.6" hidden="1" x14ac:dyDescent="0.3">
      <c r="B87" s="784" t="s">
        <v>823</v>
      </c>
      <c r="C87" s="784"/>
      <c r="D87" s="784"/>
      <c r="E87" s="784"/>
      <c r="F87" s="150">
        <v>2.7</v>
      </c>
      <c r="G87" s="150">
        <v>5.2</v>
      </c>
      <c r="H87" s="150">
        <v>2</v>
      </c>
      <c r="I87" s="153">
        <v>66.900000000000006</v>
      </c>
      <c r="J87" s="150">
        <v>16.5</v>
      </c>
    </row>
    <row r="88" spans="2:14" ht="15.6" hidden="1" x14ac:dyDescent="0.3">
      <c r="B88" s="784" t="s">
        <v>824</v>
      </c>
      <c r="C88" s="784"/>
      <c r="D88" s="784"/>
      <c r="E88" s="784"/>
      <c r="F88" s="150">
        <v>4.9000000000000004</v>
      </c>
      <c r="G88" s="150">
        <v>4.3</v>
      </c>
      <c r="H88" s="150">
        <v>2.4</v>
      </c>
      <c r="I88" s="153">
        <v>115.6</v>
      </c>
      <c r="J88" s="150">
        <v>41.3</v>
      </c>
    </row>
    <row r="89" spans="2:14" ht="15.6" hidden="1" x14ac:dyDescent="0.3">
      <c r="B89" s="784" t="s">
        <v>825</v>
      </c>
      <c r="C89" s="784"/>
      <c r="D89" s="784"/>
      <c r="E89" s="784"/>
      <c r="F89" s="150">
        <v>2.6</v>
      </c>
      <c r="G89" s="150">
        <v>3.8</v>
      </c>
      <c r="H89" s="150">
        <v>3</v>
      </c>
      <c r="I89" s="153">
        <v>59.3</v>
      </c>
      <c r="J89" s="150">
        <v>14.6</v>
      </c>
    </row>
    <row r="90" spans="2:14" ht="16.2" hidden="1" thickBot="1" x14ac:dyDescent="0.35">
      <c r="B90" s="927" t="s">
        <v>828</v>
      </c>
      <c r="C90" s="927"/>
      <c r="D90" s="927"/>
      <c r="E90" s="927"/>
      <c r="F90" s="166">
        <v>4.5</v>
      </c>
      <c r="G90" s="166">
        <v>3.4</v>
      </c>
      <c r="H90" s="166">
        <v>2.1</v>
      </c>
      <c r="I90" s="156">
        <v>75.2</v>
      </c>
      <c r="J90" s="166">
        <v>18.8</v>
      </c>
    </row>
    <row r="91" spans="2:14" ht="19.2" hidden="1" thickBot="1" x14ac:dyDescent="0.35">
      <c r="B91" s="924" t="s">
        <v>710</v>
      </c>
      <c r="C91" s="925"/>
      <c r="D91" s="925"/>
      <c r="E91" s="925"/>
      <c r="F91" s="925"/>
      <c r="G91" s="925"/>
      <c r="H91" s="925"/>
      <c r="I91" s="925"/>
      <c r="J91" s="926"/>
    </row>
    <row r="92" spans="2:14" hidden="1" x14ac:dyDescent="0.3"/>
    <row r="95" spans="2:14" ht="15" thickBot="1" x14ac:dyDescent="0.35"/>
    <row r="96" spans="2:14" ht="14.4" customHeight="1" x14ac:dyDescent="0.3">
      <c r="J96" s="821" t="s">
        <v>888</v>
      </c>
      <c r="K96" s="822"/>
      <c r="L96" s="822"/>
      <c r="M96" s="822"/>
      <c r="N96" s="823"/>
    </row>
    <row r="97" spans="2:14" ht="15" customHeight="1" thickBot="1" x14ac:dyDescent="0.35">
      <c r="J97" s="824"/>
      <c r="K97" s="825"/>
      <c r="L97" s="825"/>
      <c r="M97" s="825"/>
      <c r="N97" s="826"/>
    </row>
    <row r="98" spans="2:14" ht="15" thickBot="1" x14ac:dyDescent="0.35"/>
    <row r="99" spans="2:14" ht="15" thickBot="1" x14ac:dyDescent="0.35">
      <c r="B99" s="810" t="s">
        <v>885</v>
      </c>
      <c r="C99" s="811"/>
      <c r="D99" s="811"/>
      <c r="E99" s="811"/>
      <c r="F99" s="812"/>
    </row>
    <row r="100" spans="2:14" ht="15" thickBot="1" x14ac:dyDescent="0.35">
      <c r="B100" s="818" t="s">
        <v>139</v>
      </c>
      <c r="C100" s="819"/>
      <c r="D100" s="819"/>
      <c r="E100" s="820"/>
      <c r="F100" s="271" t="s">
        <v>869</v>
      </c>
      <c r="G100" s="796" t="s">
        <v>889</v>
      </c>
      <c r="H100" s="798" t="s">
        <v>1095</v>
      </c>
    </row>
    <row r="101" spans="2:14" ht="15" thickBot="1" x14ac:dyDescent="0.35">
      <c r="B101" s="22" t="s">
        <v>140</v>
      </c>
      <c r="C101" s="210" t="s">
        <v>141</v>
      </c>
      <c r="D101" s="211" t="s">
        <v>142</v>
      </c>
      <c r="E101" s="212" t="s">
        <v>143</v>
      </c>
      <c r="F101" s="272" t="s">
        <v>156</v>
      </c>
      <c r="G101" s="797"/>
      <c r="H101" s="799"/>
    </row>
    <row r="102" spans="2:14" x14ac:dyDescent="0.3">
      <c r="B102" s="266" t="s">
        <v>144</v>
      </c>
      <c r="C102" s="209">
        <v>0.55000000000000004</v>
      </c>
      <c r="D102" s="268">
        <f>D105*C102</f>
        <v>699.9806830319942</v>
      </c>
      <c r="E102" s="269">
        <f>D102/4</f>
        <v>174.99517075799855</v>
      </c>
      <c r="F102" s="284">
        <f>(E102*G102)/H102</f>
        <v>4.8183148031801357</v>
      </c>
      <c r="G102" s="263">
        <v>5.39</v>
      </c>
      <c r="H102" s="277">
        <f>G102*I12</f>
        <v>195.75806249999999</v>
      </c>
    </row>
    <row r="103" spans="2:14" x14ac:dyDescent="0.3">
      <c r="B103" s="267" t="s">
        <v>145</v>
      </c>
      <c r="C103" s="6">
        <v>0.25</v>
      </c>
      <c r="D103" s="75">
        <f>D105*C103</f>
        <v>318.17303774181551</v>
      </c>
      <c r="E103" s="270">
        <f>D103/9</f>
        <v>35.352559749090609</v>
      </c>
      <c r="F103" s="285">
        <f>(E103*G103)/H103</f>
        <v>0.97339692993538074</v>
      </c>
      <c r="G103" s="264">
        <v>1.44</v>
      </c>
      <c r="H103" s="278">
        <f>G103*I12</f>
        <v>52.298999999999999</v>
      </c>
    </row>
    <row r="104" spans="2:14" ht="15" thickBot="1" x14ac:dyDescent="0.35">
      <c r="B104" s="273" t="s">
        <v>146</v>
      </c>
      <c r="C104" s="274">
        <v>0.2</v>
      </c>
      <c r="D104" s="71">
        <f>D105*C104</f>
        <v>254.53843019345243</v>
      </c>
      <c r="E104" s="283">
        <f>D104/4</f>
        <v>63.634607548363107</v>
      </c>
      <c r="F104" s="286">
        <f>(E104*G104)/H104</f>
        <v>1.7521144738836858</v>
      </c>
      <c r="G104" s="265">
        <v>2.15</v>
      </c>
      <c r="H104" s="279">
        <f>G104*I12</f>
        <v>78.085312500000001</v>
      </c>
    </row>
    <row r="105" spans="2:14" ht="16.2" thickBot="1" x14ac:dyDescent="0.35">
      <c r="B105" s="275" t="s">
        <v>147</v>
      </c>
      <c r="C105" s="276">
        <f>SUM(C102:C104)</f>
        <v>1</v>
      </c>
      <c r="D105" s="808">
        <f>O21</f>
        <v>1272.692150967262</v>
      </c>
      <c r="E105" s="809"/>
      <c r="H105" s="280">
        <f>SUM(H102*4,H103*9,H104*4)</f>
        <v>1566.0645</v>
      </c>
    </row>
    <row r="107" spans="2:14" ht="15" thickBot="1" x14ac:dyDescent="0.35"/>
    <row r="108" spans="2:14" ht="15" thickBot="1" x14ac:dyDescent="0.35">
      <c r="B108" s="810" t="s">
        <v>886</v>
      </c>
      <c r="C108" s="811"/>
      <c r="D108" s="811"/>
      <c r="E108" s="811"/>
      <c r="F108" s="812"/>
    </row>
    <row r="109" spans="2:14" ht="15" thickBot="1" x14ac:dyDescent="0.35">
      <c r="B109" s="813" t="s">
        <v>139</v>
      </c>
      <c r="C109" s="814"/>
      <c r="D109" s="814"/>
      <c r="E109" s="815"/>
      <c r="F109" s="249" t="s">
        <v>869</v>
      </c>
      <c r="G109" s="800" t="s">
        <v>889</v>
      </c>
      <c r="H109" s="802" t="s">
        <v>1095</v>
      </c>
    </row>
    <row r="110" spans="2:14" ht="15" thickBot="1" x14ac:dyDescent="0.35">
      <c r="B110" s="250" t="s">
        <v>140</v>
      </c>
      <c r="C110" s="251" t="s">
        <v>141</v>
      </c>
      <c r="D110" s="252" t="s">
        <v>142</v>
      </c>
      <c r="E110" s="253" t="s">
        <v>143</v>
      </c>
      <c r="F110" s="250" t="s">
        <v>156</v>
      </c>
      <c r="G110" s="801"/>
      <c r="H110" s="803"/>
    </row>
    <row r="111" spans="2:14" x14ac:dyDescent="0.3">
      <c r="B111" s="246" t="s">
        <v>144</v>
      </c>
      <c r="C111" s="243">
        <v>0.6</v>
      </c>
      <c r="D111" s="76">
        <f>D114*C111</f>
        <v>1000.7882950446428</v>
      </c>
      <c r="E111" s="77">
        <f>D111/4</f>
        <v>250.19707376116071</v>
      </c>
      <c r="F111" s="287">
        <f>(E111*G111)/H111</f>
        <v>6.8889230428128911</v>
      </c>
      <c r="G111" s="263">
        <v>6</v>
      </c>
      <c r="H111" s="277">
        <f>G111*I12</f>
        <v>217.91250000000002</v>
      </c>
    </row>
    <row r="112" spans="2:14" x14ac:dyDescent="0.3">
      <c r="B112" s="247" t="s">
        <v>145</v>
      </c>
      <c r="C112" s="244">
        <v>0.2</v>
      </c>
      <c r="D112" s="75">
        <f>D114*C112</f>
        <v>333.59609834821435</v>
      </c>
      <c r="E112" s="78">
        <f>D112/9</f>
        <v>37.066233149801597</v>
      </c>
      <c r="F112" s="288">
        <f>(E112*G112)/H112</f>
        <v>1.020581191527836</v>
      </c>
      <c r="G112" s="264">
        <v>1</v>
      </c>
      <c r="H112" s="278">
        <f>G112*I12</f>
        <v>36.318750000000001</v>
      </c>
    </row>
    <row r="113" spans="2:8" ht="15" thickBot="1" x14ac:dyDescent="0.35">
      <c r="B113" s="248" t="s">
        <v>146</v>
      </c>
      <c r="C113" s="245">
        <v>0.2</v>
      </c>
      <c r="D113" s="79">
        <f>D114*C113</f>
        <v>333.59609834821435</v>
      </c>
      <c r="E113" s="80">
        <f>D113/4</f>
        <v>83.399024587053589</v>
      </c>
      <c r="F113" s="289">
        <f>(E113*G113)/H113</f>
        <v>2.2963076809376308</v>
      </c>
      <c r="G113" s="265">
        <v>2</v>
      </c>
      <c r="H113" s="279">
        <f>G113*I12</f>
        <v>72.637500000000003</v>
      </c>
    </row>
    <row r="114" spans="2:8" ht="16.2" thickBot="1" x14ac:dyDescent="0.35">
      <c r="B114" s="254" t="s">
        <v>147</v>
      </c>
      <c r="C114" s="255">
        <f>SUM(C111:C113)</f>
        <v>1</v>
      </c>
      <c r="D114" s="816">
        <f>O23</f>
        <v>1667.9804917410715</v>
      </c>
      <c r="E114" s="817"/>
      <c r="H114" s="281">
        <f>SUM(H111*4,H112*9,H113*4)</f>
        <v>1489.0687500000001</v>
      </c>
    </row>
    <row r="116" spans="2:8" ht="15" thickBot="1" x14ac:dyDescent="0.35"/>
    <row r="117" spans="2:8" ht="15" thickBot="1" x14ac:dyDescent="0.35">
      <c r="B117" s="810" t="s">
        <v>887</v>
      </c>
      <c r="C117" s="811"/>
      <c r="D117" s="811"/>
      <c r="E117" s="811"/>
      <c r="F117" s="812"/>
    </row>
    <row r="118" spans="2:8" ht="15" thickBot="1" x14ac:dyDescent="0.35">
      <c r="B118" s="791" t="s">
        <v>139</v>
      </c>
      <c r="C118" s="792"/>
      <c r="D118" s="792"/>
      <c r="E118" s="793"/>
      <c r="F118" s="256" t="s">
        <v>869</v>
      </c>
      <c r="G118" s="804" t="s">
        <v>889</v>
      </c>
      <c r="H118" s="806" t="s">
        <v>1095</v>
      </c>
    </row>
    <row r="119" spans="2:8" ht="15" thickBot="1" x14ac:dyDescent="0.35">
      <c r="B119" s="257" t="s">
        <v>140</v>
      </c>
      <c r="C119" s="258" t="s">
        <v>141</v>
      </c>
      <c r="D119" s="259" t="s">
        <v>142</v>
      </c>
      <c r="E119" s="260" t="s">
        <v>143</v>
      </c>
      <c r="F119" s="257" t="s">
        <v>156</v>
      </c>
      <c r="G119" s="805"/>
      <c r="H119" s="807"/>
    </row>
    <row r="120" spans="2:8" x14ac:dyDescent="0.3">
      <c r="B120" s="246" t="s">
        <v>144</v>
      </c>
      <c r="C120" s="243">
        <v>0.65</v>
      </c>
      <c r="D120" s="76" t="e">
        <f>D123*C120</f>
        <v>#REF!</v>
      </c>
      <c r="E120" s="77" t="e">
        <f>D120/4</f>
        <v>#REF!</v>
      </c>
      <c r="F120" s="290" t="e">
        <f>(E120*G120)/H120</f>
        <v>#REF!</v>
      </c>
      <c r="G120" s="263">
        <v>8</v>
      </c>
      <c r="H120" s="277">
        <f>G120*I12</f>
        <v>290.55</v>
      </c>
    </row>
    <row r="121" spans="2:8" x14ac:dyDescent="0.3">
      <c r="B121" s="247" t="s">
        <v>145</v>
      </c>
      <c r="C121" s="244">
        <v>0.18</v>
      </c>
      <c r="D121" s="75" t="e">
        <f>D123*C121</f>
        <v>#REF!</v>
      </c>
      <c r="E121" s="78" t="e">
        <f>D121/9</f>
        <v>#REF!</v>
      </c>
      <c r="F121" s="288" t="e">
        <f>(E121*G121)/H121</f>
        <v>#REF!</v>
      </c>
      <c r="G121" s="264">
        <v>1</v>
      </c>
      <c r="H121" s="278">
        <f>G121*I12</f>
        <v>36.318750000000001</v>
      </c>
    </row>
    <row r="122" spans="2:8" ht="15" thickBot="1" x14ac:dyDescent="0.35">
      <c r="B122" s="248" t="s">
        <v>146</v>
      </c>
      <c r="C122" s="245">
        <v>0.17</v>
      </c>
      <c r="D122" s="79" t="e">
        <f>D123*C122</f>
        <v>#REF!</v>
      </c>
      <c r="E122" s="80" t="e">
        <f>D122/4</f>
        <v>#REF!</v>
      </c>
      <c r="F122" s="289" t="e">
        <f>(E122*G122)/H122</f>
        <v>#REF!</v>
      </c>
      <c r="G122" s="265">
        <v>2.2000000000000002</v>
      </c>
      <c r="H122" s="279">
        <f>G122*I12</f>
        <v>79.901250000000005</v>
      </c>
    </row>
    <row r="123" spans="2:8" ht="16.2" thickBot="1" x14ac:dyDescent="0.35">
      <c r="B123" s="261" t="s">
        <v>147</v>
      </c>
      <c r="C123" s="262">
        <f>SUM(C120:C122)</f>
        <v>1</v>
      </c>
      <c r="D123" s="794" t="e">
        <f>#REF!</f>
        <v>#REF!</v>
      </c>
      <c r="E123" s="795"/>
      <c r="H123" s="282">
        <f>SUM(H120*4,H121*9,H122*4)</f>
        <v>1808.6737500000002</v>
      </c>
    </row>
  </sheetData>
  <mergeCells count="121">
    <mergeCell ref="U23:U24"/>
    <mergeCell ref="U21:U22"/>
    <mergeCell ref="B39:E39"/>
    <mergeCell ref="B49:E49"/>
    <mergeCell ref="B40:E40"/>
    <mergeCell ref="B41:E41"/>
    <mergeCell ref="B42:E42"/>
    <mergeCell ref="B43:E43"/>
    <mergeCell ref="B44:E44"/>
    <mergeCell ref="B45:E45"/>
    <mergeCell ref="B48:E48"/>
    <mergeCell ref="B46:E46"/>
    <mergeCell ref="B47:E47"/>
    <mergeCell ref="B50:E50"/>
    <mergeCell ref="B51:E51"/>
    <mergeCell ref="B63:E63"/>
    <mergeCell ref="B64:E64"/>
    <mergeCell ref="B65:E65"/>
    <mergeCell ref="B58:E58"/>
    <mergeCell ref="B59:E59"/>
    <mergeCell ref="B60:E60"/>
    <mergeCell ref="B61:E61"/>
    <mergeCell ref="B62:E62"/>
    <mergeCell ref="B57:E57"/>
    <mergeCell ref="B84:E84"/>
    <mergeCell ref="B85:E85"/>
    <mergeCell ref="B86:E86"/>
    <mergeCell ref="B76:E76"/>
    <mergeCell ref="B68:E68"/>
    <mergeCell ref="B69:E69"/>
    <mergeCell ref="B70:E70"/>
    <mergeCell ref="B52:E52"/>
    <mergeCell ref="B53:E53"/>
    <mergeCell ref="B54:E54"/>
    <mergeCell ref="B55:E55"/>
    <mergeCell ref="B56:E56"/>
    <mergeCell ref="B71:E71"/>
    <mergeCell ref="B66:E66"/>
    <mergeCell ref="B67:E67"/>
    <mergeCell ref="K20:N20"/>
    <mergeCell ref="K21:N22"/>
    <mergeCell ref="O21:O22"/>
    <mergeCell ref="B19:G19"/>
    <mergeCell ref="B22:E22"/>
    <mergeCell ref="G32:H32"/>
    <mergeCell ref="G29:H29"/>
    <mergeCell ref="G30:H30"/>
    <mergeCell ref="B91:J91"/>
    <mergeCell ref="B77:E77"/>
    <mergeCell ref="B78:E78"/>
    <mergeCell ref="B79:E79"/>
    <mergeCell ref="B80:E80"/>
    <mergeCell ref="B81:E81"/>
    <mergeCell ref="B72:E72"/>
    <mergeCell ref="B73:E73"/>
    <mergeCell ref="B74:E74"/>
    <mergeCell ref="B75:E75"/>
    <mergeCell ref="B87:E87"/>
    <mergeCell ref="B88:E88"/>
    <mergeCell ref="B89:E89"/>
    <mergeCell ref="B90:E90"/>
    <mergeCell ref="B82:E82"/>
    <mergeCell ref="B83:E83"/>
    <mergeCell ref="P4:P7"/>
    <mergeCell ref="P8:P11"/>
    <mergeCell ref="C15:F15"/>
    <mergeCell ref="B10:B16"/>
    <mergeCell ref="H14:I16"/>
    <mergeCell ref="H13:I13"/>
    <mergeCell ref="K9:O9"/>
    <mergeCell ref="K10:L10"/>
    <mergeCell ref="K11:L11"/>
    <mergeCell ref="K12:L12"/>
    <mergeCell ref="K13:L13"/>
    <mergeCell ref="K14:L14"/>
    <mergeCell ref="B2:I2"/>
    <mergeCell ref="B4:I4"/>
    <mergeCell ref="B9:I9"/>
    <mergeCell ref="C11:D11"/>
    <mergeCell ref="G11:H11"/>
    <mergeCell ref="C5:G5"/>
    <mergeCell ref="D10:H10"/>
    <mergeCell ref="I17:I18"/>
    <mergeCell ref="C12:F12"/>
    <mergeCell ref="C13:F13"/>
    <mergeCell ref="C17:F18"/>
    <mergeCell ref="C14:F14"/>
    <mergeCell ref="C16:F16"/>
    <mergeCell ref="H17:H18"/>
    <mergeCell ref="B99:F99"/>
    <mergeCell ref="B100:E100"/>
    <mergeCell ref="J96:N97"/>
    <mergeCell ref="D27:E27"/>
    <mergeCell ref="K15:L15"/>
    <mergeCell ref="K16:L16"/>
    <mergeCell ref="K17:L17"/>
    <mergeCell ref="K18:L18"/>
    <mergeCell ref="B21:F21"/>
    <mergeCell ref="O23:O24"/>
    <mergeCell ref="K23:N24"/>
    <mergeCell ref="B31:C31"/>
    <mergeCell ref="B32:C32"/>
    <mergeCell ref="B33:C33"/>
    <mergeCell ref="B29:E29"/>
    <mergeCell ref="B30:C30"/>
    <mergeCell ref="B17:B18"/>
    <mergeCell ref="G17:G18"/>
    <mergeCell ref="K19:L19"/>
    <mergeCell ref="B118:E118"/>
    <mergeCell ref="D123:E123"/>
    <mergeCell ref="G100:G101"/>
    <mergeCell ref="H100:H101"/>
    <mergeCell ref="G109:G110"/>
    <mergeCell ref="H109:H110"/>
    <mergeCell ref="G118:G119"/>
    <mergeCell ref="H118:H119"/>
    <mergeCell ref="D105:E105"/>
    <mergeCell ref="B108:F108"/>
    <mergeCell ref="B109:E109"/>
    <mergeCell ref="D114:E114"/>
    <mergeCell ref="B117:F117"/>
  </mergeCells>
  <dataValidations disablePrompts="1" count="1">
    <dataValidation type="list" allowBlank="1" showInputMessage="1" showErrorMessage="1" sqref="G30:H30" xr:uid="{94FF1CBF-6897-4644-BB1D-2032EADCC3EF}">
      <formula1>$B$40:$B$90</formula1>
    </dataValidation>
  </dataValidations>
  <pageMargins left="0.7" right="0.7" top="0.75" bottom="0.75" header="0.3" footer="0.3"/>
  <pageSetup orientation="portrait" r:id="rId1"/>
  <ignoredErrors>
    <ignoredError sqref="E25 E103 E112 E121"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5DAC-948F-40D8-8371-03077DF6BC46}">
  <sheetPr>
    <tabColor indexed="12"/>
  </sheetPr>
  <dimension ref="A1:S72"/>
  <sheetViews>
    <sheetView zoomScaleNormal="100" workbookViewId="0">
      <selection activeCell="O31" sqref="O1:O1048576"/>
    </sheetView>
  </sheetViews>
  <sheetFormatPr baseColWidth="10" defaultRowHeight="13.2" x14ac:dyDescent="0.25"/>
  <cols>
    <col min="1" max="1" width="4.6640625" style="323" customWidth="1"/>
    <col min="2" max="2" width="8.6640625" style="323" customWidth="1"/>
    <col min="3" max="3" width="2.6640625" style="323" customWidth="1"/>
    <col min="4" max="4" width="5.6640625" style="323" bestFit="1" customWidth="1"/>
    <col min="5" max="5" width="5.88671875" style="323" bestFit="1" customWidth="1"/>
    <col min="6" max="8" width="5.44140625" style="323" bestFit="1" customWidth="1"/>
    <col min="9" max="9" width="1.6640625" style="323" customWidth="1"/>
    <col min="10" max="16" width="5.44140625" style="323" bestFit="1" customWidth="1"/>
    <col min="17" max="17" width="1.6640625" style="323" customWidth="1"/>
    <col min="18" max="19" width="5.44140625" style="323" bestFit="1" customWidth="1"/>
    <col min="20" max="256" width="11.5546875" style="323"/>
    <col min="257" max="257" width="4.6640625" style="323" customWidth="1"/>
    <col min="258" max="258" width="8.6640625" style="323" customWidth="1"/>
    <col min="259" max="259" width="2.6640625" style="323" customWidth="1"/>
    <col min="260" max="260" width="5.6640625" style="323" bestFit="1" customWidth="1"/>
    <col min="261" max="261" width="5.88671875" style="323" bestFit="1" customWidth="1"/>
    <col min="262" max="264" width="5.44140625" style="323" bestFit="1" customWidth="1"/>
    <col min="265" max="265" width="1.6640625" style="323" customWidth="1"/>
    <col min="266" max="272" width="5.44140625" style="323" bestFit="1" customWidth="1"/>
    <col min="273" max="273" width="1.6640625" style="323" customWidth="1"/>
    <col min="274" max="275" width="5.44140625" style="323" bestFit="1" customWidth="1"/>
    <col min="276" max="512" width="11.5546875" style="323"/>
    <col min="513" max="513" width="4.6640625" style="323" customWidth="1"/>
    <col min="514" max="514" width="8.6640625" style="323" customWidth="1"/>
    <col min="515" max="515" width="2.6640625" style="323" customWidth="1"/>
    <col min="516" max="516" width="5.6640625" style="323" bestFit="1" customWidth="1"/>
    <col min="517" max="517" width="5.88671875" style="323" bestFit="1" customWidth="1"/>
    <col min="518" max="520" width="5.44140625" style="323" bestFit="1" customWidth="1"/>
    <col min="521" max="521" width="1.6640625" style="323" customWidth="1"/>
    <col min="522" max="528" width="5.44140625" style="323" bestFit="1" customWidth="1"/>
    <col min="529" max="529" width="1.6640625" style="323" customWidth="1"/>
    <col min="530" max="531" width="5.44140625" style="323" bestFit="1" customWidth="1"/>
    <col min="532" max="768" width="11.5546875" style="323"/>
    <col min="769" max="769" width="4.6640625" style="323" customWidth="1"/>
    <col min="770" max="770" width="8.6640625" style="323" customWidth="1"/>
    <col min="771" max="771" width="2.6640625" style="323" customWidth="1"/>
    <col min="772" max="772" width="5.6640625" style="323" bestFit="1" customWidth="1"/>
    <col min="773" max="773" width="5.88671875" style="323" bestFit="1" customWidth="1"/>
    <col min="774" max="776" width="5.44140625" style="323" bestFit="1" customWidth="1"/>
    <col min="777" max="777" width="1.6640625" style="323" customWidth="1"/>
    <col min="778" max="784" width="5.44140625" style="323" bestFit="1" customWidth="1"/>
    <col min="785" max="785" width="1.6640625" style="323" customWidth="1"/>
    <col min="786" max="787" width="5.44140625" style="323" bestFit="1" customWidth="1"/>
    <col min="788" max="1024" width="11.5546875" style="323"/>
    <col min="1025" max="1025" width="4.6640625" style="323" customWidth="1"/>
    <col min="1026" max="1026" width="8.6640625" style="323" customWidth="1"/>
    <col min="1027" max="1027" width="2.6640625" style="323" customWidth="1"/>
    <col min="1028" max="1028" width="5.6640625" style="323" bestFit="1" customWidth="1"/>
    <col min="1029" max="1029" width="5.88671875" style="323" bestFit="1" customWidth="1"/>
    <col min="1030" max="1032" width="5.44140625" style="323" bestFit="1" customWidth="1"/>
    <col min="1033" max="1033" width="1.6640625" style="323" customWidth="1"/>
    <col min="1034" max="1040" width="5.44140625" style="323" bestFit="1" customWidth="1"/>
    <col min="1041" max="1041" width="1.6640625" style="323" customWidth="1"/>
    <col min="1042" max="1043" width="5.44140625" style="323" bestFit="1" customWidth="1"/>
    <col min="1044" max="1280" width="11.5546875" style="323"/>
    <col min="1281" max="1281" width="4.6640625" style="323" customWidth="1"/>
    <col min="1282" max="1282" width="8.6640625" style="323" customWidth="1"/>
    <col min="1283" max="1283" width="2.6640625" style="323" customWidth="1"/>
    <col min="1284" max="1284" width="5.6640625" style="323" bestFit="1" customWidth="1"/>
    <col min="1285" max="1285" width="5.88671875" style="323" bestFit="1" customWidth="1"/>
    <col min="1286" max="1288" width="5.44140625" style="323" bestFit="1" customWidth="1"/>
    <col min="1289" max="1289" width="1.6640625" style="323" customWidth="1"/>
    <col min="1290" max="1296" width="5.44140625" style="323" bestFit="1" customWidth="1"/>
    <col min="1297" max="1297" width="1.6640625" style="323" customWidth="1"/>
    <col min="1298" max="1299" width="5.44140625" style="323" bestFit="1" customWidth="1"/>
    <col min="1300" max="1536" width="11.5546875" style="323"/>
    <col min="1537" max="1537" width="4.6640625" style="323" customWidth="1"/>
    <col min="1538" max="1538" width="8.6640625" style="323" customWidth="1"/>
    <col min="1539" max="1539" width="2.6640625" style="323" customWidth="1"/>
    <col min="1540" max="1540" width="5.6640625" style="323" bestFit="1" customWidth="1"/>
    <col min="1541" max="1541" width="5.88671875" style="323" bestFit="1" customWidth="1"/>
    <col min="1542" max="1544" width="5.44140625" style="323" bestFit="1" customWidth="1"/>
    <col min="1545" max="1545" width="1.6640625" style="323" customWidth="1"/>
    <col min="1546" max="1552" width="5.44140625" style="323" bestFit="1" customWidth="1"/>
    <col min="1553" max="1553" width="1.6640625" style="323" customWidth="1"/>
    <col min="1554" max="1555" width="5.44140625" style="323" bestFit="1" customWidth="1"/>
    <col min="1556" max="1792" width="11.5546875" style="323"/>
    <col min="1793" max="1793" width="4.6640625" style="323" customWidth="1"/>
    <col min="1794" max="1794" width="8.6640625" style="323" customWidth="1"/>
    <col min="1795" max="1795" width="2.6640625" style="323" customWidth="1"/>
    <col min="1796" max="1796" width="5.6640625" style="323" bestFit="1" customWidth="1"/>
    <col min="1797" max="1797" width="5.88671875" style="323" bestFit="1" customWidth="1"/>
    <col min="1798" max="1800" width="5.44140625" style="323" bestFit="1" customWidth="1"/>
    <col min="1801" max="1801" width="1.6640625" style="323" customWidth="1"/>
    <col min="1802" max="1808" width="5.44140625" style="323" bestFit="1" customWidth="1"/>
    <col min="1809" max="1809" width="1.6640625" style="323" customWidth="1"/>
    <col min="1810" max="1811" width="5.44140625" style="323" bestFit="1" customWidth="1"/>
    <col min="1812" max="2048" width="11.5546875" style="323"/>
    <col min="2049" max="2049" width="4.6640625" style="323" customWidth="1"/>
    <col min="2050" max="2050" width="8.6640625" style="323" customWidth="1"/>
    <col min="2051" max="2051" width="2.6640625" style="323" customWidth="1"/>
    <col min="2052" max="2052" width="5.6640625" style="323" bestFit="1" customWidth="1"/>
    <col min="2053" max="2053" width="5.88671875" style="323" bestFit="1" customWidth="1"/>
    <col min="2054" max="2056" width="5.44140625" style="323" bestFit="1" customWidth="1"/>
    <col min="2057" max="2057" width="1.6640625" style="323" customWidth="1"/>
    <col min="2058" max="2064" width="5.44140625" style="323" bestFit="1" customWidth="1"/>
    <col min="2065" max="2065" width="1.6640625" style="323" customWidth="1"/>
    <col min="2066" max="2067" width="5.44140625" style="323" bestFit="1" customWidth="1"/>
    <col min="2068" max="2304" width="11.5546875" style="323"/>
    <col min="2305" max="2305" width="4.6640625" style="323" customWidth="1"/>
    <col min="2306" max="2306" width="8.6640625" style="323" customWidth="1"/>
    <col min="2307" max="2307" width="2.6640625" style="323" customWidth="1"/>
    <col min="2308" max="2308" width="5.6640625" style="323" bestFit="1" customWidth="1"/>
    <col min="2309" max="2309" width="5.88671875" style="323" bestFit="1" customWidth="1"/>
    <col min="2310" max="2312" width="5.44140625" style="323" bestFit="1" customWidth="1"/>
    <col min="2313" max="2313" width="1.6640625" style="323" customWidth="1"/>
    <col min="2314" max="2320" width="5.44140625" style="323" bestFit="1" customWidth="1"/>
    <col min="2321" max="2321" width="1.6640625" style="323" customWidth="1"/>
    <col min="2322" max="2323" width="5.44140625" style="323" bestFit="1" customWidth="1"/>
    <col min="2324" max="2560" width="11.5546875" style="323"/>
    <col min="2561" max="2561" width="4.6640625" style="323" customWidth="1"/>
    <col min="2562" max="2562" width="8.6640625" style="323" customWidth="1"/>
    <col min="2563" max="2563" width="2.6640625" style="323" customWidth="1"/>
    <col min="2564" max="2564" width="5.6640625" style="323" bestFit="1" customWidth="1"/>
    <col min="2565" max="2565" width="5.88671875" style="323" bestFit="1" customWidth="1"/>
    <col min="2566" max="2568" width="5.44140625" style="323" bestFit="1" customWidth="1"/>
    <col min="2569" max="2569" width="1.6640625" style="323" customWidth="1"/>
    <col min="2570" max="2576" width="5.44140625" style="323" bestFit="1" customWidth="1"/>
    <col min="2577" max="2577" width="1.6640625" style="323" customWidth="1"/>
    <col min="2578" max="2579" width="5.44140625" style="323" bestFit="1" customWidth="1"/>
    <col min="2580" max="2816" width="11.5546875" style="323"/>
    <col min="2817" max="2817" width="4.6640625" style="323" customWidth="1"/>
    <col min="2818" max="2818" width="8.6640625" style="323" customWidth="1"/>
    <col min="2819" max="2819" width="2.6640625" style="323" customWidth="1"/>
    <col min="2820" max="2820" width="5.6640625" style="323" bestFit="1" customWidth="1"/>
    <col min="2821" max="2821" width="5.88671875" style="323" bestFit="1" customWidth="1"/>
    <col min="2822" max="2824" width="5.44140625" style="323" bestFit="1" customWidth="1"/>
    <col min="2825" max="2825" width="1.6640625" style="323" customWidth="1"/>
    <col min="2826" max="2832" width="5.44140625" style="323" bestFit="1" customWidth="1"/>
    <col min="2833" max="2833" width="1.6640625" style="323" customWidth="1"/>
    <col min="2834" max="2835" width="5.44140625" style="323" bestFit="1" customWidth="1"/>
    <col min="2836" max="3072" width="11.5546875" style="323"/>
    <col min="3073" max="3073" width="4.6640625" style="323" customWidth="1"/>
    <col min="3074" max="3074" width="8.6640625" style="323" customWidth="1"/>
    <col min="3075" max="3075" width="2.6640625" style="323" customWidth="1"/>
    <col min="3076" max="3076" width="5.6640625" style="323" bestFit="1" customWidth="1"/>
    <col min="3077" max="3077" width="5.88671875" style="323" bestFit="1" customWidth="1"/>
    <col min="3078" max="3080" width="5.44140625" style="323" bestFit="1" customWidth="1"/>
    <col min="3081" max="3081" width="1.6640625" style="323" customWidth="1"/>
    <col min="3082" max="3088" width="5.44140625" style="323" bestFit="1" customWidth="1"/>
    <col min="3089" max="3089" width="1.6640625" style="323" customWidth="1"/>
    <col min="3090" max="3091" width="5.44140625" style="323" bestFit="1" customWidth="1"/>
    <col min="3092" max="3328" width="11.5546875" style="323"/>
    <col min="3329" max="3329" width="4.6640625" style="323" customWidth="1"/>
    <col min="3330" max="3330" width="8.6640625" style="323" customWidth="1"/>
    <col min="3331" max="3331" width="2.6640625" style="323" customWidth="1"/>
    <col min="3332" max="3332" width="5.6640625" style="323" bestFit="1" customWidth="1"/>
    <col min="3333" max="3333" width="5.88671875" style="323" bestFit="1" customWidth="1"/>
    <col min="3334" max="3336" width="5.44140625" style="323" bestFit="1" customWidth="1"/>
    <col min="3337" max="3337" width="1.6640625" style="323" customWidth="1"/>
    <col min="3338" max="3344" width="5.44140625" style="323" bestFit="1" customWidth="1"/>
    <col min="3345" max="3345" width="1.6640625" style="323" customWidth="1"/>
    <col min="3346" max="3347" width="5.44140625" style="323" bestFit="1" customWidth="1"/>
    <col min="3348" max="3584" width="11.5546875" style="323"/>
    <col min="3585" max="3585" width="4.6640625" style="323" customWidth="1"/>
    <col min="3586" max="3586" width="8.6640625" style="323" customWidth="1"/>
    <col min="3587" max="3587" width="2.6640625" style="323" customWidth="1"/>
    <col min="3588" max="3588" width="5.6640625" style="323" bestFit="1" customWidth="1"/>
    <col min="3589" max="3589" width="5.88671875" style="323" bestFit="1" customWidth="1"/>
    <col min="3590" max="3592" width="5.44140625" style="323" bestFit="1" customWidth="1"/>
    <col min="3593" max="3593" width="1.6640625" style="323" customWidth="1"/>
    <col min="3594" max="3600" width="5.44140625" style="323" bestFit="1" customWidth="1"/>
    <col min="3601" max="3601" width="1.6640625" style="323" customWidth="1"/>
    <col min="3602" max="3603" width="5.44140625" style="323" bestFit="1" customWidth="1"/>
    <col min="3604" max="3840" width="11.5546875" style="323"/>
    <col min="3841" max="3841" width="4.6640625" style="323" customWidth="1"/>
    <col min="3842" max="3842" width="8.6640625" style="323" customWidth="1"/>
    <col min="3843" max="3843" width="2.6640625" style="323" customWidth="1"/>
    <col min="3844" max="3844" width="5.6640625" style="323" bestFit="1" customWidth="1"/>
    <col min="3845" max="3845" width="5.88671875" style="323" bestFit="1" customWidth="1"/>
    <col min="3846" max="3848" width="5.44140625" style="323" bestFit="1" customWidth="1"/>
    <col min="3849" max="3849" width="1.6640625" style="323" customWidth="1"/>
    <col min="3850" max="3856" width="5.44140625" style="323" bestFit="1" customWidth="1"/>
    <col min="3857" max="3857" width="1.6640625" style="323" customWidth="1"/>
    <col min="3858" max="3859" width="5.44140625" style="323" bestFit="1" customWidth="1"/>
    <col min="3860" max="4096" width="11.5546875" style="323"/>
    <col min="4097" max="4097" width="4.6640625" style="323" customWidth="1"/>
    <col min="4098" max="4098" width="8.6640625" style="323" customWidth="1"/>
    <col min="4099" max="4099" width="2.6640625" style="323" customWidth="1"/>
    <col min="4100" max="4100" width="5.6640625" style="323" bestFit="1" customWidth="1"/>
    <col min="4101" max="4101" width="5.88671875" style="323" bestFit="1" customWidth="1"/>
    <col min="4102" max="4104" width="5.44140625" style="323" bestFit="1" customWidth="1"/>
    <col min="4105" max="4105" width="1.6640625" style="323" customWidth="1"/>
    <col min="4106" max="4112" width="5.44140625" style="323" bestFit="1" customWidth="1"/>
    <col min="4113" max="4113" width="1.6640625" style="323" customWidth="1"/>
    <col min="4114" max="4115" width="5.44140625" style="323" bestFit="1" customWidth="1"/>
    <col min="4116" max="4352" width="11.5546875" style="323"/>
    <col min="4353" max="4353" width="4.6640625" style="323" customWidth="1"/>
    <col min="4354" max="4354" width="8.6640625" style="323" customWidth="1"/>
    <col min="4355" max="4355" width="2.6640625" style="323" customWidth="1"/>
    <col min="4356" max="4356" width="5.6640625" style="323" bestFit="1" customWidth="1"/>
    <col min="4357" max="4357" width="5.88671875" style="323" bestFit="1" customWidth="1"/>
    <col min="4358" max="4360" width="5.44140625" style="323" bestFit="1" customWidth="1"/>
    <col min="4361" max="4361" width="1.6640625" style="323" customWidth="1"/>
    <col min="4362" max="4368" width="5.44140625" style="323" bestFit="1" customWidth="1"/>
    <col min="4369" max="4369" width="1.6640625" style="323" customWidth="1"/>
    <col min="4370" max="4371" width="5.44140625" style="323" bestFit="1" customWidth="1"/>
    <col min="4372" max="4608" width="11.5546875" style="323"/>
    <col min="4609" max="4609" width="4.6640625" style="323" customWidth="1"/>
    <col min="4610" max="4610" width="8.6640625" style="323" customWidth="1"/>
    <col min="4611" max="4611" width="2.6640625" style="323" customWidth="1"/>
    <col min="4612" max="4612" width="5.6640625" style="323" bestFit="1" customWidth="1"/>
    <col min="4613" max="4613" width="5.88671875" style="323" bestFit="1" customWidth="1"/>
    <col min="4614" max="4616" width="5.44140625" style="323" bestFit="1" customWidth="1"/>
    <col min="4617" max="4617" width="1.6640625" style="323" customWidth="1"/>
    <col min="4618" max="4624" width="5.44140625" style="323" bestFit="1" customWidth="1"/>
    <col min="4625" max="4625" width="1.6640625" style="323" customWidth="1"/>
    <col min="4626" max="4627" width="5.44140625" style="323" bestFit="1" customWidth="1"/>
    <col min="4628" max="4864" width="11.5546875" style="323"/>
    <col min="4865" max="4865" width="4.6640625" style="323" customWidth="1"/>
    <col min="4866" max="4866" width="8.6640625" style="323" customWidth="1"/>
    <col min="4867" max="4867" width="2.6640625" style="323" customWidth="1"/>
    <col min="4868" max="4868" width="5.6640625" style="323" bestFit="1" customWidth="1"/>
    <col min="4869" max="4869" width="5.88671875" style="323" bestFit="1" customWidth="1"/>
    <col min="4870" max="4872" width="5.44140625" style="323" bestFit="1" customWidth="1"/>
    <col min="4873" max="4873" width="1.6640625" style="323" customWidth="1"/>
    <col min="4874" max="4880" width="5.44140625" style="323" bestFit="1" customWidth="1"/>
    <col min="4881" max="4881" width="1.6640625" style="323" customWidth="1"/>
    <col min="4882" max="4883" width="5.44140625" style="323" bestFit="1" customWidth="1"/>
    <col min="4884" max="5120" width="11.5546875" style="323"/>
    <col min="5121" max="5121" width="4.6640625" style="323" customWidth="1"/>
    <col min="5122" max="5122" width="8.6640625" style="323" customWidth="1"/>
    <col min="5123" max="5123" width="2.6640625" style="323" customWidth="1"/>
    <col min="5124" max="5124" width="5.6640625" style="323" bestFit="1" customWidth="1"/>
    <col min="5125" max="5125" width="5.88671875" style="323" bestFit="1" customWidth="1"/>
    <col min="5126" max="5128" width="5.44140625" style="323" bestFit="1" customWidth="1"/>
    <col min="5129" max="5129" width="1.6640625" style="323" customWidth="1"/>
    <col min="5130" max="5136" width="5.44140625" style="323" bestFit="1" customWidth="1"/>
    <col min="5137" max="5137" width="1.6640625" style="323" customWidth="1"/>
    <col min="5138" max="5139" width="5.44140625" style="323" bestFit="1" customWidth="1"/>
    <col min="5140" max="5376" width="11.5546875" style="323"/>
    <col min="5377" max="5377" width="4.6640625" style="323" customWidth="1"/>
    <col min="5378" max="5378" width="8.6640625" style="323" customWidth="1"/>
    <col min="5379" max="5379" width="2.6640625" style="323" customWidth="1"/>
    <col min="5380" max="5380" width="5.6640625" style="323" bestFit="1" customWidth="1"/>
    <col min="5381" max="5381" width="5.88671875" style="323" bestFit="1" customWidth="1"/>
    <col min="5382" max="5384" width="5.44140625" style="323" bestFit="1" customWidth="1"/>
    <col min="5385" max="5385" width="1.6640625" style="323" customWidth="1"/>
    <col min="5386" max="5392" width="5.44140625" style="323" bestFit="1" customWidth="1"/>
    <col min="5393" max="5393" width="1.6640625" style="323" customWidth="1"/>
    <col min="5394" max="5395" width="5.44140625" style="323" bestFit="1" customWidth="1"/>
    <col min="5396" max="5632" width="11.5546875" style="323"/>
    <col min="5633" max="5633" width="4.6640625" style="323" customWidth="1"/>
    <col min="5634" max="5634" width="8.6640625" style="323" customWidth="1"/>
    <col min="5635" max="5635" width="2.6640625" style="323" customWidth="1"/>
    <col min="5636" max="5636" width="5.6640625" style="323" bestFit="1" customWidth="1"/>
    <col min="5637" max="5637" width="5.88671875" style="323" bestFit="1" customWidth="1"/>
    <col min="5638" max="5640" width="5.44140625" style="323" bestFit="1" customWidth="1"/>
    <col min="5641" max="5641" width="1.6640625" style="323" customWidth="1"/>
    <col min="5642" max="5648" width="5.44140625" style="323" bestFit="1" customWidth="1"/>
    <col min="5649" max="5649" width="1.6640625" style="323" customWidth="1"/>
    <col min="5650" max="5651" width="5.44140625" style="323" bestFit="1" customWidth="1"/>
    <col min="5652" max="5888" width="11.5546875" style="323"/>
    <col min="5889" max="5889" width="4.6640625" style="323" customWidth="1"/>
    <col min="5890" max="5890" width="8.6640625" style="323" customWidth="1"/>
    <col min="5891" max="5891" width="2.6640625" style="323" customWidth="1"/>
    <col min="5892" max="5892" width="5.6640625" style="323" bestFit="1" customWidth="1"/>
    <col min="5893" max="5893" width="5.88671875" style="323" bestFit="1" customWidth="1"/>
    <col min="5894" max="5896" width="5.44140625" style="323" bestFit="1" customWidth="1"/>
    <col min="5897" max="5897" width="1.6640625" style="323" customWidth="1"/>
    <col min="5898" max="5904" width="5.44140625" style="323" bestFit="1" customWidth="1"/>
    <col min="5905" max="5905" width="1.6640625" style="323" customWidth="1"/>
    <col min="5906" max="5907" width="5.44140625" style="323" bestFit="1" customWidth="1"/>
    <col min="5908" max="6144" width="11.5546875" style="323"/>
    <col min="6145" max="6145" width="4.6640625" style="323" customWidth="1"/>
    <col min="6146" max="6146" width="8.6640625" style="323" customWidth="1"/>
    <col min="6147" max="6147" width="2.6640625" style="323" customWidth="1"/>
    <col min="6148" max="6148" width="5.6640625" style="323" bestFit="1" customWidth="1"/>
    <col min="6149" max="6149" width="5.88671875" style="323" bestFit="1" customWidth="1"/>
    <col min="6150" max="6152" width="5.44140625" style="323" bestFit="1" customWidth="1"/>
    <col min="6153" max="6153" width="1.6640625" style="323" customWidth="1"/>
    <col min="6154" max="6160" width="5.44140625" style="323" bestFit="1" customWidth="1"/>
    <col min="6161" max="6161" width="1.6640625" style="323" customWidth="1"/>
    <col min="6162" max="6163" width="5.44140625" style="323" bestFit="1" customWidth="1"/>
    <col min="6164" max="6400" width="11.5546875" style="323"/>
    <col min="6401" max="6401" width="4.6640625" style="323" customWidth="1"/>
    <col min="6402" max="6402" width="8.6640625" style="323" customWidth="1"/>
    <col min="6403" max="6403" width="2.6640625" style="323" customWidth="1"/>
    <col min="6404" max="6404" width="5.6640625" style="323" bestFit="1" customWidth="1"/>
    <col min="6405" max="6405" width="5.88671875" style="323" bestFit="1" customWidth="1"/>
    <col min="6406" max="6408" width="5.44140625" style="323" bestFit="1" customWidth="1"/>
    <col min="6409" max="6409" width="1.6640625" style="323" customWidth="1"/>
    <col min="6410" max="6416" width="5.44140625" style="323" bestFit="1" customWidth="1"/>
    <col min="6417" max="6417" width="1.6640625" style="323" customWidth="1"/>
    <col min="6418" max="6419" width="5.44140625" style="323" bestFit="1" customWidth="1"/>
    <col min="6420" max="6656" width="11.5546875" style="323"/>
    <col min="6657" max="6657" width="4.6640625" style="323" customWidth="1"/>
    <col min="6658" max="6658" width="8.6640625" style="323" customWidth="1"/>
    <col min="6659" max="6659" width="2.6640625" style="323" customWidth="1"/>
    <col min="6660" max="6660" width="5.6640625" style="323" bestFit="1" customWidth="1"/>
    <col min="6661" max="6661" width="5.88671875" style="323" bestFit="1" customWidth="1"/>
    <col min="6662" max="6664" width="5.44140625" style="323" bestFit="1" customWidth="1"/>
    <col min="6665" max="6665" width="1.6640625" style="323" customWidth="1"/>
    <col min="6666" max="6672" width="5.44140625" style="323" bestFit="1" customWidth="1"/>
    <col min="6673" max="6673" width="1.6640625" style="323" customWidth="1"/>
    <col min="6674" max="6675" width="5.44140625" style="323" bestFit="1" customWidth="1"/>
    <col min="6676" max="6912" width="11.5546875" style="323"/>
    <col min="6913" max="6913" width="4.6640625" style="323" customWidth="1"/>
    <col min="6914" max="6914" width="8.6640625" style="323" customWidth="1"/>
    <col min="6915" max="6915" width="2.6640625" style="323" customWidth="1"/>
    <col min="6916" max="6916" width="5.6640625" style="323" bestFit="1" customWidth="1"/>
    <col min="6917" max="6917" width="5.88671875" style="323" bestFit="1" customWidth="1"/>
    <col min="6918" max="6920" width="5.44140625" style="323" bestFit="1" customWidth="1"/>
    <col min="6921" max="6921" width="1.6640625" style="323" customWidth="1"/>
    <col min="6922" max="6928" width="5.44140625" style="323" bestFit="1" customWidth="1"/>
    <col min="6929" max="6929" width="1.6640625" style="323" customWidth="1"/>
    <col min="6930" max="6931" width="5.44140625" style="323" bestFit="1" customWidth="1"/>
    <col min="6932" max="7168" width="11.5546875" style="323"/>
    <col min="7169" max="7169" width="4.6640625" style="323" customWidth="1"/>
    <col min="7170" max="7170" width="8.6640625" style="323" customWidth="1"/>
    <col min="7171" max="7171" width="2.6640625" style="323" customWidth="1"/>
    <col min="7172" max="7172" width="5.6640625" style="323" bestFit="1" customWidth="1"/>
    <col min="7173" max="7173" width="5.88671875" style="323" bestFit="1" customWidth="1"/>
    <col min="7174" max="7176" width="5.44140625" style="323" bestFit="1" customWidth="1"/>
    <col min="7177" max="7177" width="1.6640625" style="323" customWidth="1"/>
    <col min="7178" max="7184" width="5.44140625" style="323" bestFit="1" customWidth="1"/>
    <col min="7185" max="7185" width="1.6640625" style="323" customWidth="1"/>
    <col min="7186" max="7187" width="5.44140625" style="323" bestFit="1" customWidth="1"/>
    <col min="7188" max="7424" width="11.5546875" style="323"/>
    <col min="7425" max="7425" width="4.6640625" style="323" customWidth="1"/>
    <col min="7426" max="7426" width="8.6640625" style="323" customWidth="1"/>
    <col min="7427" max="7427" width="2.6640625" style="323" customWidth="1"/>
    <col min="7428" max="7428" width="5.6640625" style="323" bestFit="1" customWidth="1"/>
    <col min="7429" max="7429" width="5.88671875" style="323" bestFit="1" customWidth="1"/>
    <col min="7430" max="7432" width="5.44140625" style="323" bestFit="1" customWidth="1"/>
    <col min="7433" max="7433" width="1.6640625" style="323" customWidth="1"/>
    <col min="7434" max="7440" width="5.44140625" style="323" bestFit="1" customWidth="1"/>
    <col min="7441" max="7441" width="1.6640625" style="323" customWidth="1"/>
    <col min="7442" max="7443" width="5.44140625" style="323" bestFit="1" customWidth="1"/>
    <col min="7444" max="7680" width="11.5546875" style="323"/>
    <col min="7681" max="7681" width="4.6640625" style="323" customWidth="1"/>
    <col min="7682" max="7682" width="8.6640625" style="323" customWidth="1"/>
    <col min="7683" max="7683" width="2.6640625" style="323" customWidth="1"/>
    <col min="7684" max="7684" width="5.6640625" style="323" bestFit="1" customWidth="1"/>
    <col min="7685" max="7685" width="5.88671875" style="323" bestFit="1" customWidth="1"/>
    <col min="7686" max="7688" width="5.44140625" style="323" bestFit="1" customWidth="1"/>
    <col min="7689" max="7689" width="1.6640625" style="323" customWidth="1"/>
    <col min="7690" max="7696" width="5.44140625" style="323" bestFit="1" customWidth="1"/>
    <col min="7697" max="7697" width="1.6640625" style="323" customWidth="1"/>
    <col min="7698" max="7699" width="5.44140625" style="323" bestFit="1" customWidth="1"/>
    <col min="7700" max="7936" width="11.5546875" style="323"/>
    <col min="7937" max="7937" width="4.6640625" style="323" customWidth="1"/>
    <col min="7938" max="7938" width="8.6640625" style="323" customWidth="1"/>
    <col min="7939" max="7939" width="2.6640625" style="323" customWidth="1"/>
    <col min="7940" max="7940" width="5.6640625" style="323" bestFit="1" customWidth="1"/>
    <col min="7941" max="7941" width="5.88671875" style="323" bestFit="1" customWidth="1"/>
    <col min="7942" max="7944" width="5.44140625" style="323" bestFit="1" customWidth="1"/>
    <col min="7945" max="7945" width="1.6640625" style="323" customWidth="1"/>
    <col min="7946" max="7952" width="5.44140625" style="323" bestFit="1" customWidth="1"/>
    <col min="7953" max="7953" width="1.6640625" style="323" customWidth="1"/>
    <col min="7954" max="7955" width="5.44140625" style="323" bestFit="1" customWidth="1"/>
    <col min="7956" max="8192" width="11.5546875" style="323"/>
    <col min="8193" max="8193" width="4.6640625" style="323" customWidth="1"/>
    <col min="8194" max="8194" width="8.6640625" style="323" customWidth="1"/>
    <col min="8195" max="8195" width="2.6640625" style="323" customWidth="1"/>
    <col min="8196" max="8196" width="5.6640625" style="323" bestFit="1" customWidth="1"/>
    <col min="8197" max="8197" width="5.88671875" style="323" bestFit="1" customWidth="1"/>
    <col min="8198" max="8200" width="5.44140625" style="323" bestFit="1" customWidth="1"/>
    <col min="8201" max="8201" width="1.6640625" style="323" customWidth="1"/>
    <col min="8202" max="8208" width="5.44140625" style="323" bestFit="1" customWidth="1"/>
    <col min="8209" max="8209" width="1.6640625" style="323" customWidth="1"/>
    <col min="8210" max="8211" width="5.44140625" style="323" bestFit="1" customWidth="1"/>
    <col min="8212" max="8448" width="11.5546875" style="323"/>
    <col min="8449" max="8449" width="4.6640625" style="323" customWidth="1"/>
    <col min="8450" max="8450" width="8.6640625" style="323" customWidth="1"/>
    <col min="8451" max="8451" width="2.6640625" style="323" customWidth="1"/>
    <col min="8452" max="8452" width="5.6640625" style="323" bestFit="1" customWidth="1"/>
    <col min="8453" max="8453" width="5.88671875" style="323" bestFit="1" customWidth="1"/>
    <col min="8454" max="8456" width="5.44140625" style="323" bestFit="1" customWidth="1"/>
    <col min="8457" max="8457" width="1.6640625" style="323" customWidth="1"/>
    <col min="8458" max="8464" width="5.44140625" style="323" bestFit="1" customWidth="1"/>
    <col min="8465" max="8465" width="1.6640625" style="323" customWidth="1"/>
    <col min="8466" max="8467" width="5.44140625" style="323" bestFit="1" customWidth="1"/>
    <col min="8468" max="8704" width="11.5546875" style="323"/>
    <col min="8705" max="8705" width="4.6640625" style="323" customWidth="1"/>
    <col min="8706" max="8706" width="8.6640625" style="323" customWidth="1"/>
    <col min="8707" max="8707" width="2.6640625" style="323" customWidth="1"/>
    <col min="8708" max="8708" width="5.6640625" style="323" bestFit="1" customWidth="1"/>
    <col min="8709" max="8709" width="5.88671875" style="323" bestFit="1" customWidth="1"/>
    <col min="8710" max="8712" width="5.44140625" style="323" bestFit="1" customWidth="1"/>
    <col min="8713" max="8713" width="1.6640625" style="323" customWidth="1"/>
    <col min="8714" max="8720" width="5.44140625" style="323" bestFit="1" customWidth="1"/>
    <col min="8721" max="8721" width="1.6640625" style="323" customWidth="1"/>
    <col min="8722" max="8723" width="5.44140625" style="323" bestFit="1" customWidth="1"/>
    <col min="8724" max="8960" width="11.5546875" style="323"/>
    <col min="8961" max="8961" width="4.6640625" style="323" customWidth="1"/>
    <col min="8962" max="8962" width="8.6640625" style="323" customWidth="1"/>
    <col min="8963" max="8963" width="2.6640625" style="323" customWidth="1"/>
    <col min="8964" max="8964" width="5.6640625" style="323" bestFit="1" customWidth="1"/>
    <col min="8965" max="8965" width="5.88671875" style="323" bestFit="1" customWidth="1"/>
    <col min="8966" max="8968" width="5.44140625" style="323" bestFit="1" customWidth="1"/>
    <col min="8969" max="8969" width="1.6640625" style="323" customWidth="1"/>
    <col min="8970" max="8976" width="5.44140625" style="323" bestFit="1" customWidth="1"/>
    <col min="8977" max="8977" width="1.6640625" style="323" customWidth="1"/>
    <col min="8978" max="8979" width="5.44140625" style="323" bestFit="1" customWidth="1"/>
    <col min="8980" max="9216" width="11.5546875" style="323"/>
    <col min="9217" max="9217" width="4.6640625" style="323" customWidth="1"/>
    <col min="9218" max="9218" width="8.6640625" style="323" customWidth="1"/>
    <col min="9219" max="9219" width="2.6640625" style="323" customWidth="1"/>
    <col min="9220" max="9220" width="5.6640625" style="323" bestFit="1" customWidth="1"/>
    <col min="9221" max="9221" width="5.88671875" style="323" bestFit="1" customWidth="1"/>
    <col min="9222" max="9224" width="5.44140625" style="323" bestFit="1" customWidth="1"/>
    <col min="9225" max="9225" width="1.6640625" style="323" customWidth="1"/>
    <col min="9226" max="9232" width="5.44140625" style="323" bestFit="1" customWidth="1"/>
    <col min="9233" max="9233" width="1.6640625" style="323" customWidth="1"/>
    <col min="9234" max="9235" width="5.44140625" style="323" bestFit="1" customWidth="1"/>
    <col min="9236" max="9472" width="11.5546875" style="323"/>
    <col min="9473" max="9473" width="4.6640625" style="323" customWidth="1"/>
    <col min="9474" max="9474" width="8.6640625" style="323" customWidth="1"/>
    <col min="9475" max="9475" width="2.6640625" style="323" customWidth="1"/>
    <col min="9476" max="9476" width="5.6640625" style="323" bestFit="1" customWidth="1"/>
    <col min="9477" max="9477" width="5.88671875" style="323" bestFit="1" customWidth="1"/>
    <col min="9478" max="9480" width="5.44140625" style="323" bestFit="1" customWidth="1"/>
    <col min="9481" max="9481" width="1.6640625" style="323" customWidth="1"/>
    <col min="9482" max="9488" width="5.44140625" style="323" bestFit="1" customWidth="1"/>
    <col min="9489" max="9489" width="1.6640625" style="323" customWidth="1"/>
    <col min="9490" max="9491" width="5.44140625" style="323" bestFit="1" customWidth="1"/>
    <col min="9492" max="9728" width="11.5546875" style="323"/>
    <col min="9729" max="9729" width="4.6640625" style="323" customWidth="1"/>
    <col min="9730" max="9730" width="8.6640625" style="323" customWidth="1"/>
    <col min="9731" max="9731" width="2.6640625" style="323" customWidth="1"/>
    <col min="9732" max="9732" width="5.6640625" style="323" bestFit="1" customWidth="1"/>
    <col min="9733" max="9733" width="5.88671875" style="323" bestFit="1" customWidth="1"/>
    <col min="9734" max="9736" width="5.44140625" style="323" bestFit="1" customWidth="1"/>
    <col min="9737" max="9737" width="1.6640625" style="323" customWidth="1"/>
    <col min="9738" max="9744" width="5.44140625" style="323" bestFit="1" customWidth="1"/>
    <col min="9745" max="9745" width="1.6640625" style="323" customWidth="1"/>
    <col min="9746" max="9747" width="5.44140625" style="323" bestFit="1" customWidth="1"/>
    <col min="9748" max="9984" width="11.5546875" style="323"/>
    <col min="9985" max="9985" width="4.6640625" style="323" customWidth="1"/>
    <col min="9986" max="9986" width="8.6640625" style="323" customWidth="1"/>
    <col min="9987" max="9987" width="2.6640625" style="323" customWidth="1"/>
    <col min="9988" max="9988" width="5.6640625" style="323" bestFit="1" customWidth="1"/>
    <col min="9989" max="9989" width="5.88671875" style="323" bestFit="1" customWidth="1"/>
    <col min="9990" max="9992" width="5.44140625" style="323" bestFit="1" customWidth="1"/>
    <col min="9993" max="9993" width="1.6640625" style="323" customWidth="1"/>
    <col min="9994" max="10000" width="5.44140625" style="323" bestFit="1" customWidth="1"/>
    <col min="10001" max="10001" width="1.6640625" style="323" customWidth="1"/>
    <col min="10002" max="10003" width="5.44140625" style="323" bestFit="1" customWidth="1"/>
    <col min="10004" max="10240" width="11.5546875" style="323"/>
    <col min="10241" max="10241" width="4.6640625" style="323" customWidth="1"/>
    <col min="10242" max="10242" width="8.6640625" style="323" customWidth="1"/>
    <col min="10243" max="10243" width="2.6640625" style="323" customWidth="1"/>
    <col min="10244" max="10244" width="5.6640625" style="323" bestFit="1" customWidth="1"/>
    <col min="10245" max="10245" width="5.88671875" style="323" bestFit="1" customWidth="1"/>
    <col min="10246" max="10248" width="5.44140625" style="323" bestFit="1" customWidth="1"/>
    <col min="10249" max="10249" width="1.6640625" style="323" customWidth="1"/>
    <col min="10250" max="10256" width="5.44140625" style="323" bestFit="1" customWidth="1"/>
    <col min="10257" max="10257" width="1.6640625" style="323" customWidth="1"/>
    <col min="10258" max="10259" width="5.44140625" style="323" bestFit="1" customWidth="1"/>
    <col min="10260" max="10496" width="11.5546875" style="323"/>
    <col min="10497" max="10497" width="4.6640625" style="323" customWidth="1"/>
    <col min="10498" max="10498" width="8.6640625" style="323" customWidth="1"/>
    <col min="10499" max="10499" width="2.6640625" style="323" customWidth="1"/>
    <col min="10500" max="10500" width="5.6640625" style="323" bestFit="1" customWidth="1"/>
    <col min="10501" max="10501" width="5.88671875" style="323" bestFit="1" customWidth="1"/>
    <col min="10502" max="10504" width="5.44140625" style="323" bestFit="1" customWidth="1"/>
    <col min="10505" max="10505" width="1.6640625" style="323" customWidth="1"/>
    <col min="10506" max="10512" width="5.44140625" style="323" bestFit="1" customWidth="1"/>
    <col min="10513" max="10513" width="1.6640625" style="323" customWidth="1"/>
    <col min="10514" max="10515" width="5.44140625" style="323" bestFit="1" customWidth="1"/>
    <col min="10516" max="10752" width="11.5546875" style="323"/>
    <col min="10753" max="10753" width="4.6640625" style="323" customWidth="1"/>
    <col min="10754" max="10754" width="8.6640625" style="323" customWidth="1"/>
    <col min="10755" max="10755" width="2.6640625" style="323" customWidth="1"/>
    <col min="10756" max="10756" width="5.6640625" style="323" bestFit="1" customWidth="1"/>
    <col min="10757" max="10757" width="5.88671875" style="323" bestFit="1" customWidth="1"/>
    <col min="10758" max="10760" width="5.44140625" style="323" bestFit="1" customWidth="1"/>
    <col min="10761" max="10761" width="1.6640625" style="323" customWidth="1"/>
    <col min="10762" max="10768" width="5.44140625" style="323" bestFit="1" customWidth="1"/>
    <col min="10769" max="10769" width="1.6640625" style="323" customWidth="1"/>
    <col min="10770" max="10771" width="5.44140625" style="323" bestFit="1" customWidth="1"/>
    <col min="10772" max="11008" width="11.5546875" style="323"/>
    <col min="11009" max="11009" width="4.6640625" style="323" customWidth="1"/>
    <col min="11010" max="11010" width="8.6640625" style="323" customWidth="1"/>
    <col min="11011" max="11011" width="2.6640625" style="323" customWidth="1"/>
    <col min="11012" max="11012" width="5.6640625" style="323" bestFit="1" customWidth="1"/>
    <col min="11013" max="11013" width="5.88671875" style="323" bestFit="1" customWidth="1"/>
    <col min="11014" max="11016" width="5.44140625" style="323" bestFit="1" customWidth="1"/>
    <col min="11017" max="11017" width="1.6640625" style="323" customWidth="1"/>
    <col min="11018" max="11024" width="5.44140625" style="323" bestFit="1" customWidth="1"/>
    <col min="11025" max="11025" width="1.6640625" style="323" customWidth="1"/>
    <col min="11026" max="11027" width="5.44140625" style="323" bestFit="1" customWidth="1"/>
    <col min="11028" max="11264" width="11.5546875" style="323"/>
    <col min="11265" max="11265" width="4.6640625" style="323" customWidth="1"/>
    <col min="11266" max="11266" width="8.6640625" style="323" customWidth="1"/>
    <col min="11267" max="11267" width="2.6640625" style="323" customWidth="1"/>
    <col min="11268" max="11268" width="5.6640625" style="323" bestFit="1" customWidth="1"/>
    <col min="11269" max="11269" width="5.88671875" style="323" bestFit="1" customWidth="1"/>
    <col min="11270" max="11272" width="5.44140625" style="323" bestFit="1" customWidth="1"/>
    <col min="11273" max="11273" width="1.6640625" style="323" customWidth="1"/>
    <col min="11274" max="11280" width="5.44140625" style="323" bestFit="1" customWidth="1"/>
    <col min="11281" max="11281" width="1.6640625" style="323" customWidth="1"/>
    <col min="11282" max="11283" width="5.44140625" style="323" bestFit="1" customWidth="1"/>
    <col min="11284" max="11520" width="11.5546875" style="323"/>
    <col min="11521" max="11521" width="4.6640625" style="323" customWidth="1"/>
    <col min="11522" max="11522" width="8.6640625" style="323" customWidth="1"/>
    <col min="11523" max="11523" width="2.6640625" style="323" customWidth="1"/>
    <col min="11524" max="11524" width="5.6640625" style="323" bestFit="1" customWidth="1"/>
    <col min="11525" max="11525" width="5.88671875" style="323" bestFit="1" customWidth="1"/>
    <col min="11526" max="11528" width="5.44140625" style="323" bestFit="1" customWidth="1"/>
    <col min="11529" max="11529" width="1.6640625" style="323" customWidth="1"/>
    <col min="11530" max="11536" width="5.44140625" style="323" bestFit="1" customWidth="1"/>
    <col min="11537" max="11537" width="1.6640625" style="323" customWidth="1"/>
    <col min="11538" max="11539" width="5.44140625" style="323" bestFit="1" customWidth="1"/>
    <col min="11540" max="11776" width="11.5546875" style="323"/>
    <col min="11777" max="11777" width="4.6640625" style="323" customWidth="1"/>
    <col min="11778" max="11778" width="8.6640625" style="323" customWidth="1"/>
    <col min="11779" max="11779" width="2.6640625" style="323" customWidth="1"/>
    <col min="11780" max="11780" width="5.6640625" style="323" bestFit="1" customWidth="1"/>
    <col min="11781" max="11781" width="5.88671875" style="323" bestFit="1" customWidth="1"/>
    <col min="11782" max="11784" width="5.44140625" style="323" bestFit="1" customWidth="1"/>
    <col min="11785" max="11785" width="1.6640625" style="323" customWidth="1"/>
    <col min="11786" max="11792" width="5.44140625" style="323" bestFit="1" customWidth="1"/>
    <col min="11793" max="11793" width="1.6640625" style="323" customWidth="1"/>
    <col min="11794" max="11795" width="5.44140625" style="323" bestFit="1" customWidth="1"/>
    <col min="11796" max="12032" width="11.5546875" style="323"/>
    <col min="12033" max="12033" width="4.6640625" style="323" customWidth="1"/>
    <col min="12034" max="12034" width="8.6640625" style="323" customWidth="1"/>
    <col min="12035" max="12035" width="2.6640625" style="323" customWidth="1"/>
    <col min="12036" max="12036" width="5.6640625" style="323" bestFit="1" customWidth="1"/>
    <col min="12037" max="12037" width="5.88671875" style="323" bestFit="1" customWidth="1"/>
    <col min="12038" max="12040" width="5.44140625" style="323" bestFit="1" customWidth="1"/>
    <col min="12041" max="12041" width="1.6640625" style="323" customWidth="1"/>
    <col min="12042" max="12048" width="5.44140625" style="323" bestFit="1" customWidth="1"/>
    <col min="12049" max="12049" width="1.6640625" style="323" customWidth="1"/>
    <col min="12050" max="12051" width="5.44140625" style="323" bestFit="1" customWidth="1"/>
    <col min="12052" max="12288" width="11.5546875" style="323"/>
    <col min="12289" max="12289" width="4.6640625" style="323" customWidth="1"/>
    <col min="12290" max="12290" width="8.6640625" style="323" customWidth="1"/>
    <col min="12291" max="12291" width="2.6640625" style="323" customWidth="1"/>
    <col min="12292" max="12292" width="5.6640625" style="323" bestFit="1" customWidth="1"/>
    <col min="12293" max="12293" width="5.88671875" style="323" bestFit="1" customWidth="1"/>
    <col min="12294" max="12296" width="5.44140625" style="323" bestFit="1" customWidth="1"/>
    <col min="12297" max="12297" width="1.6640625" style="323" customWidth="1"/>
    <col min="12298" max="12304" width="5.44140625" style="323" bestFit="1" customWidth="1"/>
    <col min="12305" max="12305" width="1.6640625" style="323" customWidth="1"/>
    <col min="12306" max="12307" width="5.44140625" style="323" bestFit="1" customWidth="1"/>
    <col min="12308" max="12544" width="11.5546875" style="323"/>
    <col min="12545" max="12545" width="4.6640625" style="323" customWidth="1"/>
    <col min="12546" max="12546" width="8.6640625" style="323" customWidth="1"/>
    <col min="12547" max="12547" width="2.6640625" style="323" customWidth="1"/>
    <col min="12548" max="12548" width="5.6640625" style="323" bestFit="1" customWidth="1"/>
    <col min="12549" max="12549" width="5.88671875" style="323" bestFit="1" customWidth="1"/>
    <col min="12550" max="12552" width="5.44140625" style="323" bestFit="1" customWidth="1"/>
    <col min="12553" max="12553" width="1.6640625" style="323" customWidth="1"/>
    <col min="12554" max="12560" width="5.44140625" style="323" bestFit="1" customWidth="1"/>
    <col min="12561" max="12561" width="1.6640625" style="323" customWidth="1"/>
    <col min="12562" max="12563" width="5.44140625" style="323" bestFit="1" customWidth="1"/>
    <col min="12564" max="12800" width="11.5546875" style="323"/>
    <col min="12801" max="12801" width="4.6640625" style="323" customWidth="1"/>
    <col min="12802" max="12802" width="8.6640625" style="323" customWidth="1"/>
    <col min="12803" max="12803" width="2.6640625" style="323" customWidth="1"/>
    <col min="12804" max="12804" width="5.6640625" style="323" bestFit="1" customWidth="1"/>
    <col min="12805" max="12805" width="5.88671875" style="323" bestFit="1" customWidth="1"/>
    <col min="12806" max="12808" width="5.44140625" style="323" bestFit="1" customWidth="1"/>
    <col min="12809" max="12809" width="1.6640625" style="323" customWidth="1"/>
    <col min="12810" max="12816" width="5.44140625" style="323" bestFit="1" customWidth="1"/>
    <col min="12817" max="12817" width="1.6640625" style="323" customWidth="1"/>
    <col min="12818" max="12819" width="5.44140625" style="323" bestFit="1" customWidth="1"/>
    <col min="12820" max="13056" width="11.5546875" style="323"/>
    <col min="13057" max="13057" width="4.6640625" style="323" customWidth="1"/>
    <col min="13058" max="13058" width="8.6640625" style="323" customWidth="1"/>
    <col min="13059" max="13059" width="2.6640625" style="323" customWidth="1"/>
    <col min="13060" max="13060" width="5.6640625" style="323" bestFit="1" customWidth="1"/>
    <col min="13061" max="13061" width="5.88671875" style="323" bestFit="1" customWidth="1"/>
    <col min="13062" max="13064" width="5.44140625" style="323" bestFit="1" customWidth="1"/>
    <col min="13065" max="13065" width="1.6640625" style="323" customWidth="1"/>
    <col min="13066" max="13072" width="5.44140625" style="323" bestFit="1" customWidth="1"/>
    <col min="13073" max="13073" width="1.6640625" style="323" customWidth="1"/>
    <col min="13074" max="13075" width="5.44140625" style="323" bestFit="1" customWidth="1"/>
    <col min="13076" max="13312" width="11.5546875" style="323"/>
    <col min="13313" max="13313" width="4.6640625" style="323" customWidth="1"/>
    <col min="13314" max="13314" width="8.6640625" style="323" customWidth="1"/>
    <col min="13315" max="13315" width="2.6640625" style="323" customWidth="1"/>
    <col min="13316" max="13316" width="5.6640625" style="323" bestFit="1" customWidth="1"/>
    <col min="13317" max="13317" width="5.88671875" style="323" bestFit="1" customWidth="1"/>
    <col min="13318" max="13320" width="5.44140625" style="323" bestFit="1" customWidth="1"/>
    <col min="13321" max="13321" width="1.6640625" style="323" customWidth="1"/>
    <col min="13322" max="13328" width="5.44140625" style="323" bestFit="1" customWidth="1"/>
    <col min="13329" max="13329" width="1.6640625" style="323" customWidth="1"/>
    <col min="13330" max="13331" width="5.44140625" style="323" bestFit="1" customWidth="1"/>
    <col min="13332" max="13568" width="11.5546875" style="323"/>
    <col min="13569" max="13569" width="4.6640625" style="323" customWidth="1"/>
    <col min="13570" max="13570" width="8.6640625" style="323" customWidth="1"/>
    <col min="13571" max="13571" width="2.6640625" style="323" customWidth="1"/>
    <col min="13572" max="13572" width="5.6640625" style="323" bestFit="1" customWidth="1"/>
    <col min="13573" max="13573" width="5.88671875" style="323" bestFit="1" customWidth="1"/>
    <col min="13574" max="13576" width="5.44140625" style="323" bestFit="1" customWidth="1"/>
    <col min="13577" max="13577" width="1.6640625" style="323" customWidth="1"/>
    <col min="13578" max="13584" width="5.44140625" style="323" bestFit="1" customWidth="1"/>
    <col min="13585" max="13585" width="1.6640625" style="323" customWidth="1"/>
    <col min="13586" max="13587" width="5.44140625" style="323" bestFit="1" customWidth="1"/>
    <col min="13588" max="13824" width="11.5546875" style="323"/>
    <col min="13825" max="13825" width="4.6640625" style="323" customWidth="1"/>
    <col min="13826" max="13826" width="8.6640625" style="323" customWidth="1"/>
    <col min="13827" max="13827" width="2.6640625" style="323" customWidth="1"/>
    <col min="13828" max="13828" width="5.6640625" style="323" bestFit="1" customWidth="1"/>
    <col min="13829" max="13829" width="5.88671875" style="323" bestFit="1" customWidth="1"/>
    <col min="13830" max="13832" width="5.44140625" style="323" bestFit="1" customWidth="1"/>
    <col min="13833" max="13833" width="1.6640625" style="323" customWidth="1"/>
    <col min="13834" max="13840" width="5.44140625" style="323" bestFit="1" customWidth="1"/>
    <col min="13841" max="13841" width="1.6640625" style="323" customWidth="1"/>
    <col min="13842" max="13843" width="5.44140625" style="323" bestFit="1" customWidth="1"/>
    <col min="13844" max="14080" width="11.5546875" style="323"/>
    <col min="14081" max="14081" width="4.6640625" style="323" customWidth="1"/>
    <col min="14082" max="14082" width="8.6640625" style="323" customWidth="1"/>
    <col min="14083" max="14083" width="2.6640625" style="323" customWidth="1"/>
    <col min="14084" max="14084" width="5.6640625" style="323" bestFit="1" customWidth="1"/>
    <col min="14085" max="14085" width="5.88671875" style="323" bestFit="1" customWidth="1"/>
    <col min="14086" max="14088" width="5.44140625" style="323" bestFit="1" customWidth="1"/>
    <col min="14089" max="14089" width="1.6640625" style="323" customWidth="1"/>
    <col min="14090" max="14096" width="5.44140625" style="323" bestFit="1" customWidth="1"/>
    <col min="14097" max="14097" width="1.6640625" style="323" customWidth="1"/>
    <col min="14098" max="14099" width="5.44140625" style="323" bestFit="1" customWidth="1"/>
    <col min="14100" max="14336" width="11.5546875" style="323"/>
    <col min="14337" max="14337" width="4.6640625" style="323" customWidth="1"/>
    <col min="14338" max="14338" width="8.6640625" style="323" customWidth="1"/>
    <col min="14339" max="14339" width="2.6640625" style="323" customWidth="1"/>
    <col min="14340" max="14340" width="5.6640625" style="323" bestFit="1" customWidth="1"/>
    <col min="14341" max="14341" width="5.88671875" style="323" bestFit="1" customWidth="1"/>
    <col min="14342" max="14344" width="5.44140625" style="323" bestFit="1" customWidth="1"/>
    <col min="14345" max="14345" width="1.6640625" style="323" customWidth="1"/>
    <col min="14346" max="14352" width="5.44140625" style="323" bestFit="1" customWidth="1"/>
    <col min="14353" max="14353" width="1.6640625" style="323" customWidth="1"/>
    <col min="14354" max="14355" width="5.44140625" style="323" bestFit="1" customWidth="1"/>
    <col min="14356" max="14592" width="11.5546875" style="323"/>
    <col min="14593" max="14593" width="4.6640625" style="323" customWidth="1"/>
    <col min="14594" max="14594" width="8.6640625" style="323" customWidth="1"/>
    <col min="14595" max="14595" width="2.6640625" style="323" customWidth="1"/>
    <col min="14596" max="14596" width="5.6640625" style="323" bestFit="1" customWidth="1"/>
    <col min="14597" max="14597" width="5.88671875" style="323" bestFit="1" customWidth="1"/>
    <col min="14598" max="14600" width="5.44140625" style="323" bestFit="1" customWidth="1"/>
    <col min="14601" max="14601" width="1.6640625" style="323" customWidth="1"/>
    <col min="14602" max="14608" width="5.44140625" style="323" bestFit="1" customWidth="1"/>
    <col min="14609" max="14609" width="1.6640625" style="323" customWidth="1"/>
    <col min="14610" max="14611" width="5.44140625" style="323" bestFit="1" customWidth="1"/>
    <col min="14612" max="14848" width="11.5546875" style="323"/>
    <col min="14849" max="14849" width="4.6640625" style="323" customWidth="1"/>
    <col min="14850" max="14850" width="8.6640625" style="323" customWidth="1"/>
    <col min="14851" max="14851" width="2.6640625" style="323" customWidth="1"/>
    <col min="14852" max="14852" width="5.6640625" style="323" bestFit="1" customWidth="1"/>
    <col min="14853" max="14853" width="5.88671875" style="323" bestFit="1" customWidth="1"/>
    <col min="14854" max="14856" width="5.44140625" style="323" bestFit="1" customWidth="1"/>
    <col min="14857" max="14857" width="1.6640625" style="323" customWidth="1"/>
    <col min="14858" max="14864" width="5.44140625" style="323" bestFit="1" customWidth="1"/>
    <col min="14865" max="14865" width="1.6640625" style="323" customWidth="1"/>
    <col min="14866" max="14867" width="5.44140625" style="323" bestFit="1" customWidth="1"/>
    <col min="14868" max="15104" width="11.5546875" style="323"/>
    <col min="15105" max="15105" width="4.6640625" style="323" customWidth="1"/>
    <col min="15106" max="15106" width="8.6640625" style="323" customWidth="1"/>
    <col min="15107" max="15107" width="2.6640625" style="323" customWidth="1"/>
    <col min="15108" max="15108" width="5.6640625" style="323" bestFit="1" customWidth="1"/>
    <col min="15109" max="15109" width="5.88671875" style="323" bestFit="1" customWidth="1"/>
    <col min="15110" max="15112" width="5.44140625" style="323" bestFit="1" customWidth="1"/>
    <col min="15113" max="15113" width="1.6640625" style="323" customWidth="1"/>
    <col min="15114" max="15120" width="5.44140625" style="323" bestFit="1" customWidth="1"/>
    <col min="15121" max="15121" width="1.6640625" style="323" customWidth="1"/>
    <col min="15122" max="15123" width="5.44140625" style="323" bestFit="1" customWidth="1"/>
    <col min="15124" max="15360" width="11.5546875" style="323"/>
    <col min="15361" max="15361" width="4.6640625" style="323" customWidth="1"/>
    <col min="15362" max="15362" width="8.6640625" style="323" customWidth="1"/>
    <col min="15363" max="15363" width="2.6640625" style="323" customWidth="1"/>
    <col min="15364" max="15364" width="5.6640625" style="323" bestFit="1" customWidth="1"/>
    <col min="15365" max="15365" width="5.88671875" style="323" bestFit="1" customWidth="1"/>
    <col min="15366" max="15368" width="5.44140625" style="323" bestFit="1" customWidth="1"/>
    <col min="15369" max="15369" width="1.6640625" style="323" customWidth="1"/>
    <col min="15370" max="15376" width="5.44140625" style="323" bestFit="1" customWidth="1"/>
    <col min="15377" max="15377" width="1.6640625" style="323" customWidth="1"/>
    <col min="15378" max="15379" width="5.44140625" style="323" bestFit="1" customWidth="1"/>
    <col min="15380" max="15616" width="11.5546875" style="323"/>
    <col min="15617" max="15617" width="4.6640625" style="323" customWidth="1"/>
    <col min="15618" max="15618" width="8.6640625" style="323" customWidth="1"/>
    <col min="15619" max="15619" width="2.6640625" style="323" customWidth="1"/>
    <col min="15620" max="15620" width="5.6640625" style="323" bestFit="1" customWidth="1"/>
    <col min="15621" max="15621" width="5.88671875" style="323" bestFit="1" customWidth="1"/>
    <col min="15622" max="15624" width="5.44140625" style="323" bestFit="1" customWidth="1"/>
    <col min="15625" max="15625" width="1.6640625" style="323" customWidth="1"/>
    <col min="15626" max="15632" width="5.44140625" style="323" bestFit="1" customWidth="1"/>
    <col min="15633" max="15633" width="1.6640625" style="323" customWidth="1"/>
    <col min="15634" max="15635" width="5.44140625" style="323" bestFit="1" customWidth="1"/>
    <col min="15636" max="15872" width="11.5546875" style="323"/>
    <col min="15873" max="15873" width="4.6640625" style="323" customWidth="1"/>
    <col min="15874" max="15874" width="8.6640625" style="323" customWidth="1"/>
    <col min="15875" max="15875" width="2.6640625" style="323" customWidth="1"/>
    <col min="15876" max="15876" width="5.6640625" style="323" bestFit="1" customWidth="1"/>
    <col min="15877" max="15877" width="5.88671875" style="323" bestFit="1" customWidth="1"/>
    <col min="15878" max="15880" width="5.44140625" style="323" bestFit="1" customWidth="1"/>
    <col min="15881" max="15881" width="1.6640625" style="323" customWidth="1"/>
    <col min="15882" max="15888" width="5.44140625" style="323" bestFit="1" customWidth="1"/>
    <col min="15889" max="15889" width="1.6640625" style="323" customWidth="1"/>
    <col min="15890" max="15891" width="5.44140625" style="323" bestFit="1" customWidth="1"/>
    <col min="15892" max="16128" width="11.5546875" style="323"/>
    <col min="16129" max="16129" width="4.6640625" style="323" customWidth="1"/>
    <col min="16130" max="16130" width="8.6640625" style="323" customWidth="1"/>
    <col min="16131" max="16131" width="2.6640625" style="323" customWidth="1"/>
    <col min="16132" max="16132" width="5.6640625" style="323" bestFit="1" customWidth="1"/>
    <col min="16133" max="16133" width="5.88671875" style="323" bestFit="1" customWidth="1"/>
    <col min="16134" max="16136" width="5.44140625" style="323" bestFit="1" customWidth="1"/>
    <col min="16137" max="16137" width="1.6640625" style="323" customWidth="1"/>
    <col min="16138" max="16144" width="5.44140625" style="323" bestFit="1" customWidth="1"/>
    <col min="16145" max="16145" width="1.6640625" style="323" customWidth="1"/>
    <col min="16146" max="16147" width="5.44140625" style="323" bestFit="1" customWidth="1"/>
    <col min="16148" max="16384" width="11.5546875" style="323"/>
  </cols>
  <sheetData>
    <row r="1" spans="1:19" x14ac:dyDescent="0.25">
      <c r="A1" s="319"/>
      <c r="B1" s="320"/>
      <c r="C1" s="939" t="s">
        <v>911</v>
      </c>
      <c r="D1" s="939"/>
      <c r="E1" s="939"/>
      <c r="F1" s="939"/>
      <c r="G1" s="939"/>
      <c r="H1" s="939"/>
      <c r="I1" s="321"/>
      <c r="J1" s="940" t="s">
        <v>912</v>
      </c>
      <c r="K1" s="940"/>
      <c r="L1" s="940"/>
      <c r="M1" s="940"/>
      <c r="N1" s="940"/>
      <c r="O1" s="940"/>
      <c r="P1" s="940"/>
      <c r="Q1" s="321"/>
      <c r="R1" s="320"/>
      <c r="S1" s="322"/>
    </row>
    <row r="2" spans="1:19" x14ac:dyDescent="0.25">
      <c r="A2" s="324"/>
      <c r="B2" s="325"/>
      <c r="C2" s="325" t="s">
        <v>684</v>
      </c>
      <c r="D2" s="325" t="s">
        <v>913</v>
      </c>
      <c r="E2" s="325" t="s">
        <v>914</v>
      </c>
      <c r="F2" s="325" t="s">
        <v>915</v>
      </c>
      <c r="G2" s="325" t="s">
        <v>916</v>
      </c>
      <c r="H2" s="325" t="s">
        <v>917</v>
      </c>
      <c r="I2" s="326"/>
      <c r="J2" s="327">
        <v>0.05</v>
      </c>
      <c r="K2" s="327">
        <v>0.15</v>
      </c>
      <c r="L2" s="327">
        <v>0.25</v>
      </c>
      <c r="M2" s="327">
        <v>0.5</v>
      </c>
      <c r="N2" s="327">
        <v>0.75</v>
      </c>
      <c r="O2" s="327">
        <v>0.85</v>
      </c>
      <c r="P2" s="327">
        <v>0.95</v>
      </c>
      <c r="Q2" s="326"/>
      <c r="R2" s="937" t="s">
        <v>918</v>
      </c>
      <c r="S2" s="938"/>
    </row>
    <row r="3" spans="1:19" x14ac:dyDescent="0.25">
      <c r="A3" s="941" t="s">
        <v>919</v>
      </c>
      <c r="B3" s="939"/>
      <c r="C3" s="328">
        <v>87</v>
      </c>
      <c r="D3" s="329">
        <v>25.259474301179317</v>
      </c>
      <c r="E3" s="329">
        <v>2.7920595851757128</v>
      </c>
      <c r="F3" s="329">
        <v>25.579739904175224</v>
      </c>
      <c r="G3" s="329">
        <v>30.357289527720738</v>
      </c>
      <c r="H3" s="329">
        <v>19.997262149212869</v>
      </c>
      <c r="I3" s="330"/>
      <c r="J3" s="329">
        <v>20.517727583846682</v>
      </c>
      <c r="K3" s="329">
        <v>22.06132785763176</v>
      </c>
      <c r="L3" s="329">
        <v>23.659137577002053</v>
      </c>
      <c r="M3" s="329">
        <v>25.587953456536617</v>
      </c>
      <c r="N3" s="329">
        <v>26.997946611909651</v>
      </c>
      <c r="O3" s="329">
        <v>29.075154004106775</v>
      </c>
      <c r="P3" s="329">
        <v>29.990417522245039</v>
      </c>
      <c r="Q3" s="330"/>
      <c r="R3" s="329">
        <v>24.672778632865167</v>
      </c>
      <c r="S3" s="331">
        <v>25.846169969493467</v>
      </c>
    </row>
    <row r="4" spans="1:19" x14ac:dyDescent="0.25">
      <c r="A4" s="942" t="s">
        <v>920</v>
      </c>
      <c r="B4" s="937"/>
      <c r="C4" s="332">
        <v>87</v>
      </c>
      <c r="D4" s="333">
        <v>74.660919540229898</v>
      </c>
      <c r="E4" s="333">
        <v>8.9657144921034497</v>
      </c>
      <c r="F4" s="333">
        <v>73.8</v>
      </c>
      <c r="G4" s="333">
        <v>99.7</v>
      </c>
      <c r="H4" s="333">
        <v>57.4</v>
      </c>
      <c r="I4" s="334"/>
      <c r="J4" s="333">
        <v>62.1</v>
      </c>
      <c r="K4" s="333">
        <v>66.45</v>
      </c>
      <c r="L4" s="333">
        <v>69.150000000000006</v>
      </c>
      <c r="M4" s="333">
        <v>73.8</v>
      </c>
      <c r="N4" s="333">
        <v>79.75</v>
      </c>
      <c r="O4" s="333">
        <v>81.83</v>
      </c>
      <c r="P4" s="333">
        <v>92.07</v>
      </c>
      <c r="Q4" s="334"/>
      <c r="R4" s="333">
        <v>72.776953351332295</v>
      </c>
      <c r="S4" s="335">
        <v>76.5448857291275</v>
      </c>
    </row>
    <row r="5" spans="1:19" x14ac:dyDescent="0.25">
      <c r="A5" s="943" t="s">
        <v>921</v>
      </c>
      <c r="B5" s="336" t="s">
        <v>922</v>
      </c>
      <c r="C5" s="328">
        <v>87</v>
      </c>
      <c r="D5" s="329">
        <v>175.37241379310342</v>
      </c>
      <c r="E5" s="329">
        <v>7.3421163170332582</v>
      </c>
      <c r="F5" s="329">
        <v>175.3</v>
      </c>
      <c r="G5" s="329">
        <v>199.6</v>
      </c>
      <c r="H5" s="329">
        <v>160</v>
      </c>
      <c r="I5" s="330"/>
      <c r="J5" s="329">
        <v>164.06</v>
      </c>
      <c r="K5" s="329">
        <v>166.96</v>
      </c>
      <c r="L5" s="329">
        <v>170.7</v>
      </c>
      <c r="M5" s="329">
        <v>174.3</v>
      </c>
      <c r="N5" s="329">
        <v>179.15</v>
      </c>
      <c r="O5" s="329">
        <v>182.05</v>
      </c>
      <c r="P5" s="329">
        <v>189.62</v>
      </c>
      <c r="Q5" s="330"/>
      <c r="R5" s="329">
        <v>173.82961439787098</v>
      </c>
      <c r="S5" s="331">
        <v>176.91521318833585</v>
      </c>
    </row>
    <row r="6" spans="1:19" x14ac:dyDescent="0.25">
      <c r="A6" s="944"/>
      <c r="B6" s="337" t="s">
        <v>923</v>
      </c>
      <c r="C6" s="338">
        <v>87</v>
      </c>
      <c r="D6" s="339">
        <v>92.365517241379337</v>
      </c>
      <c r="E6" s="339">
        <v>4.2269849496102223</v>
      </c>
      <c r="F6" s="339">
        <v>93</v>
      </c>
      <c r="G6" s="339">
        <v>105.8</v>
      </c>
      <c r="H6" s="339">
        <v>83</v>
      </c>
      <c r="I6" s="340"/>
      <c r="J6" s="339">
        <v>84.67</v>
      </c>
      <c r="K6" s="339">
        <v>88.21</v>
      </c>
      <c r="L6" s="339">
        <v>89.65</v>
      </c>
      <c r="M6" s="339">
        <v>92.4</v>
      </c>
      <c r="N6" s="339">
        <v>94.35</v>
      </c>
      <c r="O6" s="339">
        <v>96.01</v>
      </c>
      <c r="P6" s="339">
        <v>99.06</v>
      </c>
      <c r="Q6" s="340"/>
      <c r="R6" s="339">
        <v>91.477300609781423</v>
      </c>
      <c r="S6" s="341">
        <v>93.25373387297725</v>
      </c>
    </row>
    <row r="7" spans="1:19" x14ac:dyDescent="0.25">
      <c r="A7" s="944"/>
      <c r="B7" s="337" t="s">
        <v>924</v>
      </c>
      <c r="C7" s="338">
        <v>54</v>
      </c>
      <c r="D7" s="339">
        <v>177.4018518518518</v>
      </c>
      <c r="E7" s="339">
        <v>7.3048572814380686</v>
      </c>
      <c r="F7" s="339">
        <v>175.7</v>
      </c>
      <c r="G7" s="339">
        <v>201</v>
      </c>
      <c r="H7" s="339">
        <v>160.5</v>
      </c>
      <c r="I7" s="340"/>
      <c r="J7" s="339">
        <v>166.83500000000001</v>
      </c>
      <c r="K7" s="339">
        <v>171.5</v>
      </c>
      <c r="L7" s="339">
        <v>173.45</v>
      </c>
      <c r="M7" s="339">
        <v>175.6</v>
      </c>
      <c r="N7" s="339">
        <v>180.85</v>
      </c>
      <c r="O7" s="339">
        <v>185.51499999999999</v>
      </c>
      <c r="P7" s="339">
        <v>191.42500000000001</v>
      </c>
      <c r="Q7" s="340"/>
      <c r="R7" s="339">
        <v>175.45352111873618</v>
      </c>
      <c r="S7" s="341">
        <v>179.35018258496743</v>
      </c>
    </row>
    <row r="8" spans="1:19" x14ac:dyDescent="0.25">
      <c r="A8" s="944"/>
      <c r="B8" s="337" t="s">
        <v>925</v>
      </c>
      <c r="C8" s="338">
        <v>87</v>
      </c>
      <c r="D8" s="339">
        <v>33.324137931034464</v>
      </c>
      <c r="E8" s="339">
        <v>1.7372101074708937</v>
      </c>
      <c r="F8" s="339">
        <v>33.1</v>
      </c>
      <c r="G8" s="339">
        <v>39.299999999999997</v>
      </c>
      <c r="H8" s="339">
        <v>29.7</v>
      </c>
      <c r="I8" s="340"/>
      <c r="J8" s="339">
        <v>30.5</v>
      </c>
      <c r="K8" s="339">
        <v>31.69</v>
      </c>
      <c r="L8" s="339">
        <v>32.450000000000003</v>
      </c>
      <c r="M8" s="339">
        <v>33.1</v>
      </c>
      <c r="N8" s="339">
        <v>34.4</v>
      </c>
      <c r="O8" s="339">
        <v>34.83</v>
      </c>
      <c r="P8" s="339">
        <v>37.25</v>
      </c>
      <c r="Q8" s="340"/>
      <c r="R8" s="339">
        <v>32.959097854377006</v>
      </c>
      <c r="S8" s="341">
        <v>33.689178007691922</v>
      </c>
    </row>
    <row r="9" spans="1:19" x14ac:dyDescent="0.25">
      <c r="A9" s="944"/>
      <c r="B9" s="337" t="s">
        <v>926</v>
      </c>
      <c r="C9" s="338">
        <v>87</v>
      </c>
      <c r="D9" s="339">
        <v>26.142528735632187</v>
      </c>
      <c r="E9" s="339">
        <v>1.4629241332050129</v>
      </c>
      <c r="F9" s="339">
        <v>25.9</v>
      </c>
      <c r="G9" s="339">
        <v>29.7</v>
      </c>
      <c r="H9" s="339">
        <v>23.3</v>
      </c>
      <c r="I9" s="340"/>
      <c r="J9" s="339">
        <v>23.93</v>
      </c>
      <c r="K9" s="339">
        <v>24.7</v>
      </c>
      <c r="L9" s="339">
        <v>25.15</v>
      </c>
      <c r="M9" s="339">
        <v>25.9</v>
      </c>
      <c r="N9" s="339">
        <v>27.3</v>
      </c>
      <c r="O9" s="339">
        <v>28.1</v>
      </c>
      <c r="P9" s="339">
        <v>28.84</v>
      </c>
      <c r="Q9" s="340"/>
      <c r="R9" s="339">
        <v>25.835124389184617</v>
      </c>
      <c r="S9" s="341">
        <v>26.449933082079756</v>
      </c>
    </row>
    <row r="10" spans="1:19" x14ac:dyDescent="0.25">
      <c r="A10" s="944"/>
      <c r="B10" s="337" t="s">
        <v>927</v>
      </c>
      <c r="C10" s="338">
        <v>87</v>
      </c>
      <c r="D10" s="339">
        <v>19.943678160919536</v>
      </c>
      <c r="E10" s="339">
        <v>1.111012648225717</v>
      </c>
      <c r="F10" s="339">
        <v>19.8</v>
      </c>
      <c r="G10" s="339">
        <v>23.7</v>
      </c>
      <c r="H10" s="339">
        <v>17.899999999999999</v>
      </c>
      <c r="I10" s="340"/>
      <c r="J10" s="339">
        <v>18.43</v>
      </c>
      <c r="K10" s="339">
        <v>19.100000000000001</v>
      </c>
      <c r="L10" s="339">
        <v>19.399999999999999</v>
      </c>
      <c r="M10" s="339">
        <v>19.899999999999999</v>
      </c>
      <c r="N10" s="339">
        <v>20.2</v>
      </c>
      <c r="O10" s="339">
        <v>20.91</v>
      </c>
      <c r="P10" s="339">
        <v>22.74</v>
      </c>
      <c r="Q10" s="340"/>
      <c r="R10" s="339">
        <v>19.710220998466021</v>
      </c>
      <c r="S10" s="341">
        <v>20.177135323373051</v>
      </c>
    </row>
    <row r="11" spans="1:19" x14ac:dyDescent="0.25">
      <c r="A11" s="944"/>
      <c r="B11" s="337" t="s">
        <v>928</v>
      </c>
      <c r="C11" s="338">
        <v>87</v>
      </c>
      <c r="D11" s="339">
        <v>97.063218390804622</v>
      </c>
      <c r="E11" s="339">
        <v>5.393991380220049</v>
      </c>
      <c r="F11" s="339">
        <v>97.1</v>
      </c>
      <c r="G11" s="339">
        <v>114</v>
      </c>
      <c r="H11" s="339">
        <v>80.8</v>
      </c>
      <c r="I11" s="340"/>
      <c r="J11" s="339">
        <v>89.06</v>
      </c>
      <c r="K11" s="339">
        <v>91.29</v>
      </c>
      <c r="L11" s="339">
        <v>93.5</v>
      </c>
      <c r="M11" s="339">
        <v>96.9</v>
      </c>
      <c r="N11" s="339">
        <v>99.1</v>
      </c>
      <c r="O11" s="339">
        <v>102.31</v>
      </c>
      <c r="P11" s="339">
        <v>107.35</v>
      </c>
      <c r="Q11" s="340"/>
      <c r="R11" s="339">
        <v>95.929778619496943</v>
      </c>
      <c r="S11" s="341">
        <v>98.1966581621123</v>
      </c>
    </row>
    <row r="12" spans="1:19" x14ac:dyDescent="0.25">
      <c r="A12" s="944"/>
      <c r="B12" s="337" t="s">
        <v>929</v>
      </c>
      <c r="C12" s="338">
        <v>87</v>
      </c>
      <c r="D12" s="339">
        <v>91.441379310344828</v>
      </c>
      <c r="E12" s="339">
        <v>5.4956547681958119</v>
      </c>
      <c r="F12" s="339">
        <v>91.6</v>
      </c>
      <c r="G12" s="339">
        <v>107.2</v>
      </c>
      <c r="H12" s="339">
        <v>74.400000000000006</v>
      </c>
      <c r="I12" s="340"/>
      <c r="J12" s="339">
        <v>82.45</v>
      </c>
      <c r="K12" s="339">
        <v>85.69</v>
      </c>
      <c r="L12" s="339">
        <v>87.55</v>
      </c>
      <c r="M12" s="339">
        <v>91.441379310344828</v>
      </c>
      <c r="N12" s="339">
        <v>94.25</v>
      </c>
      <c r="O12" s="339">
        <v>95.98</v>
      </c>
      <c r="P12" s="339">
        <v>101.41</v>
      </c>
      <c r="Q12" s="340"/>
      <c r="R12" s="339">
        <v>90.286577004488038</v>
      </c>
      <c r="S12" s="341">
        <v>92.596181616201619</v>
      </c>
    </row>
    <row r="13" spans="1:19" x14ac:dyDescent="0.25">
      <c r="A13" s="944"/>
      <c r="B13" s="337" t="s">
        <v>930</v>
      </c>
      <c r="C13" s="338">
        <v>86</v>
      </c>
      <c r="D13" s="339">
        <v>45.134883720930233</v>
      </c>
      <c r="E13" s="339">
        <v>2.6610377207070526</v>
      </c>
      <c r="F13" s="339">
        <v>45.25</v>
      </c>
      <c r="G13" s="339">
        <v>52.2</v>
      </c>
      <c r="H13" s="339">
        <v>38.6</v>
      </c>
      <c r="I13" s="340"/>
      <c r="J13" s="339">
        <v>40.524999999999999</v>
      </c>
      <c r="K13" s="339">
        <v>42.8</v>
      </c>
      <c r="L13" s="339">
        <v>43.225000000000001</v>
      </c>
      <c r="M13" s="339">
        <v>45.117441860465121</v>
      </c>
      <c r="N13" s="339">
        <v>46.6</v>
      </c>
      <c r="O13" s="339">
        <v>47.2</v>
      </c>
      <c r="P13" s="339">
        <v>50.375</v>
      </c>
      <c r="Q13" s="340"/>
      <c r="R13" s="339">
        <v>44.572478128009934</v>
      </c>
      <c r="S13" s="341">
        <v>45.697289313850533</v>
      </c>
    </row>
    <row r="14" spans="1:19" x14ac:dyDescent="0.25">
      <c r="A14" s="944"/>
      <c r="B14" s="337" t="s">
        <v>931</v>
      </c>
      <c r="C14" s="338">
        <v>87</v>
      </c>
      <c r="D14" s="339">
        <v>46.437931034482745</v>
      </c>
      <c r="E14" s="339">
        <v>2.78798257390519</v>
      </c>
      <c r="F14" s="339">
        <v>46.1</v>
      </c>
      <c r="G14" s="339">
        <v>55.6</v>
      </c>
      <c r="H14" s="339">
        <v>40.6</v>
      </c>
      <c r="I14" s="340"/>
      <c r="J14" s="339">
        <v>42.12</v>
      </c>
      <c r="K14" s="339">
        <v>43.8</v>
      </c>
      <c r="L14" s="339">
        <v>44.5</v>
      </c>
      <c r="M14" s="339">
        <v>46.1</v>
      </c>
      <c r="N14" s="339">
        <v>48.25</v>
      </c>
      <c r="O14" s="339">
        <v>49.7</v>
      </c>
      <c r="P14" s="339">
        <v>51.66</v>
      </c>
      <c r="Q14" s="340"/>
      <c r="R14" s="339">
        <v>45.852092068820923</v>
      </c>
      <c r="S14" s="341">
        <v>47.023770000144566</v>
      </c>
    </row>
    <row r="15" spans="1:19" x14ac:dyDescent="0.25">
      <c r="A15" s="944"/>
      <c r="B15" s="337" t="s">
        <v>932</v>
      </c>
      <c r="C15" s="338">
        <v>70</v>
      </c>
      <c r="D15" s="339">
        <v>38.831428571428575</v>
      </c>
      <c r="E15" s="339">
        <v>2.676226136820997</v>
      </c>
      <c r="F15" s="339">
        <v>38.9</v>
      </c>
      <c r="G15" s="339">
        <v>45.5</v>
      </c>
      <c r="H15" s="339">
        <v>32.9</v>
      </c>
      <c r="I15" s="340"/>
      <c r="J15" s="339">
        <v>34.344999999999999</v>
      </c>
      <c r="K15" s="339">
        <v>36.1</v>
      </c>
      <c r="L15" s="339">
        <v>36.725000000000001</v>
      </c>
      <c r="M15" s="339">
        <v>38.765714285714289</v>
      </c>
      <c r="N15" s="339">
        <v>40.799999999999997</v>
      </c>
      <c r="O15" s="339">
        <v>42.1</v>
      </c>
      <c r="P15" s="339">
        <v>42.94</v>
      </c>
      <c r="Q15" s="340"/>
      <c r="R15" s="339">
        <v>38.204494874047576</v>
      </c>
      <c r="S15" s="341">
        <v>39.458362268809573</v>
      </c>
    </row>
    <row r="16" spans="1:19" x14ac:dyDescent="0.25">
      <c r="A16" s="945"/>
      <c r="B16" s="342" t="s">
        <v>933</v>
      </c>
      <c r="C16" s="332">
        <v>87</v>
      </c>
      <c r="D16" s="333">
        <v>26.587356321839064</v>
      </c>
      <c r="E16" s="333">
        <v>1.1701525042434791</v>
      </c>
      <c r="F16" s="333">
        <v>26.7</v>
      </c>
      <c r="G16" s="333">
        <v>30.1</v>
      </c>
      <c r="H16" s="333">
        <v>24</v>
      </c>
      <c r="I16" s="334"/>
      <c r="J16" s="333">
        <v>24.53</v>
      </c>
      <c r="K16" s="333">
        <v>25.29</v>
      </c>
      <c r="L16" s="333">
        <v>26</v>
      </c>
      <c r="M16" s="333">
        <v>26.6</v>
      </c>
      <c r="N16" s="333">
        <v>27.2</v>
      </c>
      <c r="O16" s="333">
        <v>27.61</v>
      </c>
      <c r="P16" s="333">
        <v>29.05</v>
      </c>
      <c r="Q16" s="334"/>
      <c r="R16" s="333">
        <v>26.341472097465179</v>
      </c>
      <c r="S16" s="335">
        <v>26.833240546212949</v>
      </c>
    </row>
    <row r="17" spans="1:19" x14ac:dyDescent="0.25">
      <c r="A17" s="943" t="s">
        <v>934</v>
      </c>
      <c r="B17" s="336" t="s">
        <v>935</v>
      </c>
      <c r="C17" s="328">
        <v>87</v>
      </c>
      <c r="D17" s="329">
        <v>40.318390804597705</v>
      </c>
      <c r="E17" s="329">
        <v>2.0530481442736224</v>
      </c>
      <c r="F17" s="329">
        <v>40</v>
      </c>
      <c r="G17" s="329">
        <v>46.2</v>
      </c>
      <c r="H17" s="329">
        <v>36.5</v>
      </c>
      <c r="I17" s="330"/>
      <c r="J17" s="329">
        <v>37.76</v>
      </c>
      <c r="K17" s="329">
        <v>38.299999999999997</v>
      </c>
      <c r="L17" s="329">
        <v>38.9</v>
      </c>
      <c r="M17" s="329">
        <v>40.200000000000003</v>
      </c>
      <c r="N17" s="329">
        <v>41.6</v>
      </c>
      <c r="O17" s="329">
        <v>42.71</v>
      </c>
      <c r="P17" s="329">
        <v>45.3</v>
      </c>
      <c r="Q17" s="330"/>
      <c r="R17" s="329">
        <v>39.886983660036378</v>
      </c>
      <c r="S17" s="331">
        <v>40.749797949159031</v>
      </c>
    </row>
    <row r="18" spans="1:19" x14ac:dyDescent="0.25">
      <c r="A18" s="944"/>
      <c r="B18" s="337" t="s">
        <v>936</v>
      </c>
      <c r="C18" s="338">
        <v>87</v>
      </c>
      <c r="D18" s="339">
        <v>29.57586206896551</v>
      </c>
      <c r="E18" s="339">
        <v>1.907083827454876</v>
      </c>
      <c r="F18" s="339">
        <v>29.4</v>
      </c>
      <c r="G18" s="339">
        <v>34.200000000000003</v>
      </c>
      <c r="H18" s="339">
        <v>26</v>
      </c>
      <c r="I18" s="340"/>
      <c r="J18" s="339">
        <v>26.8</v>
      </c>
      <c r="K18" s="339">
        <v>27.69</v>
      </c>
      <c r="L18" s="339">
        <v>28.25</v>
      </c>
      <c r="M18" s="339">
        <v>29.5</v>
      </c>
      <c r="N18" s="339">
        <v>30.55</v>
      </c>
      <c r="O18" s="339">
        <v>31.81</v>
      </c>
      <c r="P18" s="339">
        <v>33.840000000000003</v>
      </c>
      <c r="Q18" s="340"/>
      <c r="R18" s="339">
        <v>29.17512641610897</v>
      </c>
      <c r="S18" s="341">
        <v>29.976597721822049</v>
      </c>
    </row>
    <row r="19" spans="1:19" x14ac:dyDescent="0.25">
      <c r="A19" s="944"/>
      <c r="B19" s="337" t="s">
        <v>937</v>
      </c>
      <c r="C19" s="338">
        <v>87</v>
      </c>
      <c r="D19" s="339">
        <v>19.974712643678153</v>
      </c>
      <c r="E19" s="339">
        <v>1.4255328168145573</v>
      </c>
      <c r="F19" s="339">
        <v>20</v>
      </c>
      <c r="G19" s="339">
        <v>24.5</v>
      </c>
      <c r="H19" s="339">
        <v>16.8</v>
      </c>
      <c r="I19" s="340"/>
      <c r="J19" s="339">
        <v>17.829999999999998</v>
      </c>
      <c r="K19" s="339">
        <v>18.48</v>
      </c>
      <c r="L19" s="339">
        <v>19</v>
      </c>
      <c r="M19" s="339">
        <v>20</v>
      </c>
      <c r="N19" s="339">
        <v>20.95</v>
      </c>
      <c r="O19" s="339">
        <v>21.41</v>
      </c>
      <c r="P19" s="339">
        <v>22.48</v>
      </c>
      <c r="Q19" s="340"/>
      <c r="R19" s="339">
        <v>19.675165337057138</v>
      </c>
      <c r="S19" s="341">
        <v>20.274259950299168</v>
      </c>
    </row>
    <row r="20" spans="1:19" x14ac:dyDescent="0.25">
      <c r="A20" s="944"/>
      <c r="B20" s="337" t="s">
        <v>938</v>
      </c>
      <c r="C20" s="338">
        <v>87</v>
      </c>
      <c r="D20" s="339">
        <v>27.918390804597703</v>
      </c>
      <c r="E20" s="339">
        <v>1.5806628529822335</v>
      </c>
      <c r="F20" s="339">
        <v>27.8</v>
      </c>
      <c r="G20" s="339">
        <v>31.1</v>
      </c>
      <c r="H20" s="339">
        <v>24.5</v>
      </c>
      <c r="I20" s="340"/>
      <c r="J20" s="339">
        <v>25.6</v>
      </c>
      <c r="K20" s="339">
        <v>26.17</v>
      </c>
      <c r="L20" s="339">
        <v>26.75</v>
      </c>
      <c r="M20" s="339">
        <v>27.9</v>
      </c>
      <c r="N20" s="339">
        <v>29.2</v>
      </c>
      <c r="O20" s="339">
        <v>29.91</v>
      </c>
      <c r="P20" s="339">
        <v>30.84</v>
      </c>
      <c r="Q20" s="340"/>
      <c r="R20" s="339">
        <v>27.586246013048992</v>
      </c>
      <c r="S20" s="341">
        <v>28.250535596146413</v>
      </c>
    </row>
    <row r="21" spans="1:19" x14ac:dyDescent="0.25">
      <c r="A21" s="944"/>
      <c r="B21" s="337" t="s">
        <v>4</v>
      </c>
      <c r="C21" s="338">
        <v>87</v>
      </c>
      <c r="D21" s="339">
        <v>7.0893103448275863</v>
      </c>
      <c r="E21" s="339">
        <v>0.33592909378995334</v>
      </c>
      <c r="F21" s="339">
        <v>7</v>
      </c>
      <c r="G21" s="339">
        <v>7.9</v>
      </c>
      <c r="H21" s="339">
        <v>6.4</v>
      </c>
      <c r="I21" s="340"/>
      <c r="J21" s="339">
        <v>6.53</v>
      </c>
      <c r="K21" s="339">
        <v>6.7</v>
      </c>
      <c r="L21" s="339">
        <v>6.9</v>
      </c>
      <c r="M21" s="339">
        <v>7</v>
      </c>
      <c r="N21" s="339">
        <v>7.4</v>
      </c>
      <c r="O21" s="339">
        <v>7.4</v>
      </c>
      <c r="P21" s="339">
        <v>7.7</v>
      </c>
      <c r="Q21" s="340"/>
      <c r="R21" s="339">
        <v>7.0187215417684783</v>
      </c>
      <c r="S21" s="341">
        <v>7.1598991478866942</v>
      </c>
    </row>
    <row r="22" spans="1:19" x14ac:dyDescent="0.25">
      <c r="A22" s="945"/>
      <c r="B22" s="342" t="s">
        <v>5</v>
      </c>
      <c r="C22" s="332">
        <v>87</v>
      </c>
      <c r="D22" s="333">
        <v>9.8919540229885037</v>
      </c>
      <c r="E22" s="333">
        <v>0.50121211004621746</v>
      </c>
      <c r="F22" s="333">
        <v>9.9</v>
      </c>
      <c r="G22" s="333">
        <v>11.4</v>
      </c>
      <c r="H22" s="333">
        <v>8.9</v>
      </c>
      <c r="I22" s="334"/>
      <c r="J22" s="333">
        <v>9.1</v>
      </c>
      <c r="K22" s="333">
        <v>9.39</v>
      </c>
      <c r="L22" s="333">
        <v>9.6</v>
      </c>
      <c r="M22" s="333">
        <v>9.8919540229885037</v>
      </c>
      <c r="N22" s="333">
        <v>10.199999999999999</v>
      </c>
      <c r="O22" s="333">
        <v>10.31</v>
      </c>
      <c r="P22" s="333">
        <v>10.94</v>
      </c>
      <c r="Q22" s="334"/>
      <c r="R22" s="333">
        <v>9.7866342886132056</v>
      </c>
      <c r="S22" s="335">
        <v>9.9972737573638017</v>
      </c>
    </row>
    <row r="23" spans="1:19" x14ac:dyDescent="0.25">
      <c r="A23" s="943" t="s">
        <v>939</v>
      </c>
      <c r="B23" s="336" t="s">
        <v>6</v>
      </c>
      <c r="C23" s="328">
        <v>87</v>
      </c>
      <c r="D23" s="329">
        <v>57.005747126436802</v>
      </c>
      <c r="E23" s="329">
        <v>1.545838849706447</v>
      </c>
      <c r="F23" s="329">
        <v>57.3</v>
      </c>
      <c r="G23" s="329">
        <v>59.8</v>
      </c>
      <c r="H23" s="329">
        <v>53.3</v>
      </c>
      <c r="I23" s="330"/>
      <c r="J23" s="329">
        <v>54.6</v>
      </c>
      <c r="K23" s="329">
        <v>54.9</v>
      </c>
      <c r="L23" s="329">
        <v>55.85</v>
      </c>
      <c r="M23" s="329">
        <v>57.2</v>
      </c>
      <c r="N23" s="329">
        <v>58.1</v>
      </c>
      <c r="O23" s="329">
        <v>58.71</v>
      </c>
      <c r="P23" s="329">
        <v>59.1</v>
      </c>
      <c r="Q23" s="330"/>
      <c r="R23" s="329">
        <v>56.680919905037292</v>
      </c>
      <c r="S23" s="331">
        <v>57.330574347836311</v>
      </c>
    </row>
    <row r="24" spans="1:19" x14ac:dyDescent="0.25">
      <c r="A24" s="944"/>
      <c r="B24" s="337" t="s">
        <v>940</v>
      </c>
      <c r="C24" s="338">
        <v>87</v>
      </c>
      <c r="D24" s="339">
        <v>37.394252873563218</v>
      </c>
      <c r="E24" s="339">
        <v>1.8441205329269328</v>
      </c>
      <c r="F24" s="339">
        <v>37.299999999999997</v>
      </c>
      <c r="G24" s="339">
        <v>42.9</v>
      </c>
      <c r="H24" s="339">
        <v>33.6</v>
      </c>
      <c r="I24" s="340"/>
      <c r="J24" s="339">
        <v>34.53</v>
      </c>
      <c r="K24" s="339">
        <v>35.69</v>
      </c>
      <c r="L24" s="339">
        <v>36.25</v>
      </c>
      <c r="M24" s="339">
        <v>37.394252873563218</v>
      </c>
      <c r="N24" s="339">
        <v>38.5</v>
      </c>
      <c r="O24" s="339">
        <v>39.5</v>
      </c>
      <c r="P24" s="339">
        <v>41.26</v>
      </c>
      <c r="Q24" s="340"/>
      <c r="R24" s="339">
        <v>37.006747702018203</v>
      </c>
      <c r="S24" s="341">
        <v>37.781758045108234</v>
      </c>
    </row>
    <row r="25" spans="1:19" x14ac:dyDescent="0.25">
      <c r="A25" s="944"/>
      <c r="B25" s="337" t="s">
        <v>941</v>
      </c>
      <c r="C25" s="338">
        <v>87</v>
      </c>
      <c r="D25" s="339">
        <v>31.126436781609208</v>
      </c>
      <c r="E25" s="339">
        <v>2.6227741291586955</v>
      </c>
      <c r="F25" s="339">
        <v>30.8</v>
      </c>
      <c r="G25" s="339">
        <v>40.1</v>
      </c>
      <c r="H25" s="339">
        <v>25.7</v>
      </c>
      <c r="I25" s="340"/>
      <c r="J25" s="339">
        <v>27.23</v>
      </c>
      <c r="K25" s="339">
        <v>28.88</v>
      </c>
      <c r="L25" s="339">
        <v>29.45</v>
      </c>
      <c r="M25" s="339">
        <v>30.8</v>
      </c>
      <c r="N25" s="339">
        <v>32.450000000000003</v>
      </c>
      <c r="O25" s="339">
        <v>33.520000000000003</v>
      </c>
      <c r="P25" s="339">
        <v>37.4</v>
      </c>
      <c r="Q25" s="340"/>
      <c r="R25" s="339">
        <v>30.575313077547218</v>
      </c>
      <c r="S25" s="341">
        <v>31.677560485671197</v>
      </c>
    </row>
    <row r="26" spans="1:19" x14ac:dyDescent="0.25">
      <c r="A26" s="944"/>
      <c r="B26" s="337" t="s">
        <v>942</v>
      </c>
      <c r="C26" s="338">
        <v>87</v>
      </c>
      <c r="D26" s="339">
        <v>33.333333333333329</v>
      </c>
      <c r="E26" s="339">
        <v>2.7348596608128979</v>
      </c>
      <c r="F26" s="339">
        <v>32.799999999999997</v>
      </c>
      <c r="G26" s="339">
        <v>41.4</v>
      </c>
      <c r="H26" s="339">
        <v>28.6</v>
      </c>
      <c r="I26" s="340"/>
      <c r="J26" s="339">
        <v>29.66</v>
      </c>
      <c r="K26" s="339">
        <v>30.9</v>
      </c>
      <c r="L26" s="339">
        <v>31.65</v>
      </c>
      <c r="M26" s="339">
        <v>32.799999999999997</v>
      </c>
      <c r="N26" s="339">
        <v>34.5</v>
      </c>
      <c r="O26" s="339">
        <v>36.51</v>
      </c>
      <c r="P26" s="339">
        <v>39.799999999999997</v>
      </c>
      <c r="Q26" s="340"/>
      <c r="R26" s="339">
        <v>32.758657088970494</v>
      </c>
      <c r="S26" s="341">
        <v>33.908009577696163</v>
      </c>
    </row>
    <row r="27" spans="1:19" x14ac:dyDescent="0.25">
      <c r="A27" s="944"/>
      <c r="B27" s="337" t="s">
        <v>943</v>
      </c>
      <c r="C27" s="338">
        <v>87</v>
      </c>
      <c r="D27" s="339">
        <v>27.656321839080466</v>
      </c>
      <c r="E27" s="339">
        <v>1.5507463431511119</v>
      </c>
      <c r="F27" s="339">
        <v>27.4</v>
      </c>
      <c r="G27" s="339">
        <v>31.8</v>
      </c>
      <c r="H27" s="339">
        <v>24.5</v>
      </c>
      <c r="I27" s="340"/>
      <c r="J27" s="339">
        <v>25.53</v>
      </c>
      <c r="K27" s="339">
        <v>26.29</v>
      </c>
      <c r="L27" s="339">
        <v>26.9</v>
      </c>
      <c r="M27" s="339">
        <v>27.5</v>
      </c>
      <c r="N27" s="339">
        <v>28.45</v>
      </c>
      <c r="O27" s="339">
        <v>29.41</v>
      </c>
      <c r="P27" s="339">
        <v>30.64</v>
      </c>
      <c r="Q27" s="340"/>
      <c r="R27" s="339">
        <v>27.330463405753548</v>
      </c>
      <c r="S27" s="341">
        <v>27.982180272407383</v>
      </c>
    </row>
    <row r="28" spans="1:19" x14ac:dyDescent="0.25">
      <c r="A28" s="944"/>
      <c r="B28" s="337" t="s">
        <v>944</v>
      </c>
      <c r="C28" s="338">
        <v>87</v>
      </c>
      <c r="D28" s="339">
        <v>16.810344827586206</v>
      </c>
      <c r="E28" s="339">
        <v>0.81512368625713394</v>
      </c>
      <c r="F28" s="339">
        <v>16.8</v>
      </c>
      <c r="G28" s="339">
        <v>19</v>
      </c>
      <c r="H28" s="339">
        <v>15.1</v>
      </c>
      <c r="I28" s="340"/>
      <c r="J28" s="339">
        <v>15.6</v>
      </c>
      <c r="K28" s="339">
        <v>16</v>
      </c>
      <c r="L28" s="339">
        <v>16.2</v>
      </c>
      <c r="M28" s="339">
        <v>16.8</v>
      </c>
      <c r="N28" s="339">
        <v>17.350000000000001</v>
      </c>
      <c r="O28" s="339">
        <v>17.71</v>
      </c>
      <c r="P28" s="339">
        <v>18.34</v>
      </c>
      <c r="Q28" s="340"/>
      <c r="R28" s="339">
        <v>16.639062832600693</v>
      </c>
      <c r="S28" s="341">
        <v>16.98162682257172</v>
      </c>
    </row>
    <row r="29" spans="1:19" x14ac:dyDescent="0.25">
      <c r="A29" s="944"/>
      <c r="B29" s="337" t="s">
        <v>945</v>
      </c>
      <c r="C29" s="338">
        <v>87</v>
      </c>
      <c r="D29" s="339">
        <v>97.473563218390794</v>
      </c>
      <c r="E29" s="339">
        <v>5.8292458280027857</v>
      </c>
      <c r="F29" s="339">
        <v>96.6</v>
      </c>
      <c r="G29" s="339">
        <v>111.8</v>
      </c>
      <c r="H29" s="339">
        <v>87.4</v>
      </c>
      <c r="I29" s="340"/>
      <c r="J29" s="339">
        <v>89.43</v>
      </c>
      <c r="K29" s="339">
        <v>91.1</v>
      </c>
      <c r="L29" s="339">
        <v>93.05</v>
      </c>
      <c r="M29" s="339">
        <v>96.6</v>
      </c>
      <c r="N29" s="339">
        <v>100.25</v>
      </c>
      <c r="O29" s="339">
        <v>103.8</v>
      </c>
      <c r="P29" s="339">
        <v>109.74</v>
      </c>
      <c r="Q29" s="340"/>
      <c r="R29" s="339">
        <v>96.2486634007129</v>
      </c>
      <c r="S29" s="341">
        <v>98.698463036068688</v>
      </c>
    </row>
    <row r="30" spans="1:19" x14ac:dyDescent="0.25">
      <c r="A30" s="944"/>
      <c r="B30" s="337" t="s">
        <v>8</v>
      </c>
      <c r="C30" s="338">
        <v>87</v>
      </c>
      <c r="D30" s="339">
        <v>80.82528735632188</v>
      </c>
      <c r="E30" s="339">
        <v>5.5790975845849564</v>
      </c>
      <c r="F30" s="339">
        <v>80.8</v>
      </c>
      <c r="G30" s="339">
        <v>98.5</v>
      </c>
      <c r="H30" s="339">
        <v>71.099999999999994</v>
      </c>
      <c r="I30" s="340"/>
      <c r="J30" s="339">
        <v>72.010000000000005</v>
      </c>
      <c r="K30" s="339">
        <v>74.59</v>
      </c>
      <c r="L30" s="339">
        <v>77.400000000000006</v>
      </c>
      <c r="M30" s="339">
        <v>80.82528735632188</v>
      </c>
      <c r="N30" s="339">
        <v>84.7</v>
      </c>
      <c r="O30" s="339">
        <v>86.51</v>
      </c>
      <c r="P30" s="339">
        <v>90.56</v>
      </c>
      <c r="Q30" s="340"/>
      <c r="R30" s="339">
        <v>79.65295120584824</v>
      </c>
      <c r="S30" s="341">
        <v>81.99762350679552</v>
      </c>
    </row>
    <row r="31" spans="1:19" x14ac:dyDescent="0.25">
      <c r="A31" s="944"/>
      <c r="B31" s="337" t="s">
        <v>9</v>
      </c>
      <c r="C31" s="338">
        <v>87</v>
      </c>
      <c r="D31" s="339">
        <v>96.795402298850618</v>
      </c>
      <c r="E31" s="339">
        <v>4.9335092478937197</v>
      </c>
      <c r="F31" s="339">
        <v>96.3</v>
      </c>
      <c r="G31" s="339">
        <v>111.3</v>
      </c>
      <c r="H31" s="339">
        <v>86.7</v>
      </c>
      <c r="I31" s="340"/>
      <c r="J31" s="339">
        <v>89.5</v>
      </c>
      <c r="K31" s="339">
        <v>91.39</v>
      </c>
      <c r="L31" s="339">
        <v>93.5</v>
      </c>
      <c r="M31" s="339">
        <v>96.3</v>
      </c>
      <c r="N31" s="339">
        <v>100.45</v>
      </c>
      <c r="O31" s="339">
        <v>101.4</v>
      </c>
      <c r="P31" s="339">
        <v>105.37</v>
      </c>
      <c r="Q31" s="340"/>
      <c r="R31" s="339">
        <v>95.758723668962105</v>
      </c>
      <c r="S31" s="341">
        <v>97.832080928739131</v>
      </c>
    </row>
    <row r="32" spans="1:19" x14ac:dyDescent="0.25">
      <c r="A32" s="944"/>
      <c r="B32" s="337" t="s">
        <v>946</v>
      </c>
      <c r="C32" s="338">
        <v>87</v>
      </c>
      <c r="D32" s="339">
        <v>57.454022988505749</v>
      </c>
      <c r="E32" s="339">
        <v>3.1798714540972424</v>
      </c>
      <c r="F32" s="339">
        <v>57.4</v>
      </c>
      <c r="G32" s="339">
        <v>68.400000000000006</v>
      </c>
      <c r="H32" s="339">
        <v>50.2</v>
      </c>
      <c r="I32" s="340"/>
      <c r="J32" s="339">
        <v>52.7</v>
      </c>
      <c r="K32" s="339">
        <v>54.67</v>
      </c>
      <c r="L32" s="339">
        <v>55.4</v>
      </c>
      <c r="M32" s="339">
        <v>57.4</v>
      </c>
      <c r="N32" s="339">
        <v>59.45</v>
      </c>
      <c r="O32" s="339">
        <v>60.5</v>
      </c>
      <c r="P32" s="339">
        <v>64.19</v>
      </c>
      <c r="Q32" s="340"/>
      <c r="R32" s="339">
        <v>56.785836386106553</v>
      </c>
      <c r="S32" s="341">
        <v>58.122209590904944</v>
      </c>
    </row>
    <row r="33" spans="1:19" x14ac:dyDescent="0.25">
      <c r="A33" s="944"/>
      <c r="B33" s="337" t="s">
        <v>947</v>
      </c>
      <c r="C33" s="338">
        <v>87</v>
      </c>
      <c r="D33" s="339">
        <v>53.155172413793117</v>
      </c>
      <c r="E33" s="339">
        <v>2.896178661964707</v>
      </c>
      <c r="F33" s="339">
        <v>52.9</v>
      </c>
      <c r="G33" s="339">
        <v>63.4</v>
      </c>
      <c r="H33" s="339">
        <v>45.9</v>
      </c>
      <c r="I33" s="340"/>
      <c r="J33" s="339">
        <v>49.05</v>
      </c>
      <c r="K33" s="339">
        <v>50.7</v>
      </c>
      <c r="L33" s="339">
        <v>51.45</v>
      </c>
      <c r="M33" s="339">
        <v>52.9</v>
      </c>
      <c r="N33" s="339">
        <v>54.75</v>
      </c>
      <c r="O33" s="339">
        <v>56.41</v>
      </c>
      <c r="P33" s="339">
        <v>58.3</v>
      </c>
      <c r="Q33" s="340"/>
      <c r="R33" s="339">
        <v>52.546598196874449</v>
      </c>
      <c r="S33" s="341">
        <v>53.763746630711786</v>
      </c>
    </row>
    <row r="34" spans="1:19" x14ac:dyDescent="0.25">
      <c r="A34" s="944"/>
      <c r="B34" s="337" t="s">
        <v>948</v>
      </c>
      <c r="C34" s="338">
        <v>87</v>
      </c>
      <c r="D34" s="339">
        <v>37.433333333333323</v>
      </c>
      <c r="E34" s="339">
        <v>2.1871541808600226</v>
      </c>
      <c r="F34" s="339">
        <v>37.299999999999997</v>
      </c>
      <c r="G34" s="339">
        <v>48.8</v>
      </c>
      <c r="H34" s="339">
        <v>33</v>
      </c>
      <c r="I34" s="340"/>
      <c r="J34" s="339">
        <v>34.26</v>
      </c>
      <c r="K34" s="339">
        <v>35.590000000000003</v>
      </c>
      <c r="L34" s="339">
        <v>36.299999999999997</v>
      </c>
      <c r="M34" s="339">
        <v>37.299999999999997</v>
      </c>
      <c r="N34" s="339">
        <v>38.5</v>
      </c>
      <c r="O34" s="339">
        <v>39.54</v>
      </c>
      <c r="P34" s="339">
        <v>41.05</v>
      </c>
      <c r="Q34" s="340"/>
      <c r="R34" s="339">
        <v>36.973746478289542</v>
      </c>
      <c r="S34" s="341">
        <v>37.892920188377104</v>
      </c>
    </row>
    <row r="35" spans="1:19" x14ac:dyDescent="0.25">
      <c r="A35" s="945"/>
      <c r="B35" s="342" t="s">
        <v>949</v>
      </c>
      <c r="C35" s="332">
        <v>87</v>
      </c>
      <c r="D35" s="333">
        <v>22.633333333333326</v>
      </c>
      <c r="E35" s="333">
        <v>1.2268949905472164</v>
      </c>
      <c r="F35" s="333">
        <v>22.5</v>
      </c>
      <c r="G35" s="333">
        <v>25.4</v>
      </c>
      <c r="H35" s="333">
        <v>20.2</v>
      </c>
      <c r="I35" s="334"/>
      <c r="J35" s="333">
        <v>20.63</v>
      </c>
      <c r="K35" s="333">
        <v>21.38</v>
      </c>
      <c r="L35" s="333">
        <v>21.8</v>
      </c>
      <c r="M35" s="333">
        <v>22.5</v>
      </c>
      <c r="N35" s="333">
        <v>23.3</v>
      </c>
      <c r="O35" s="333">
        <v>24.21</v>
      </c>
      <c r="P35" s="333">
        <v>25.04</v>
      </c>
      <c r="Q35" s="334"/>
      <c r="R35" s="333">
        <v>22.375525806498228</v>
      </c>
      <c r="S35" s="335">
        <v>22.891140860168424</v>
      </c>
    </row>
    <row r="36" spans="1:19" x14ac:dyDescent="0.25">
      <c r="A36" s="943" t="s">
        <v>950</v>
      </c>
      <c r="B36" s="336" t="s">
        <v>951</v>
      </c>
      <c r="C36" s="328">
        <v>87</v>
      </c>
      <c r="D36" s="329">
        <v>9.0735632183908042</v>
      </c>
      <c r="E36" s="329">
        <v>3.8025835700222896</v>
      </c>
      <c r="F36" s="329">
        <v>8</v>
      </c>
      <c r="G36" s="329">
        <v>20.5</v>
      </c>
      <c r="H36" s="329">
        <v>3.5</v>
      </c>
      <c r="I36" s="330"/>
      <c r="J36" s="329">
        <v>4.43</v>
      </c>
      <c r="K36" s="329">
        <v>5.48</v>
      </c>
      <c r="L36" s="329">
        <v>7</v>
      </c>
      <c r="M36" s="329">
        <v>8</v>
      </c>
      <c r="N36" s="329">
        <v>11.6</v>
      </c>
      <c r="O36" s="329">
        <v>14</v>
      </c>
      <c r="P36" s="329">
        <v>17.489999999999998</v>
      </c>
      <c r="Q36" s="330"/>
      <c r="R36" s="329">
        <v>8.2745260772138067</v>
      </c>
      <c r="S36" s="331">
        <v>9.8726003595678016</v>
      </c>
    </row>
    <row r="37" spans="1:19" x14ac:dyDescent="0.25">
      <c r="A37" s="944"/>
      <c r="B37" s="337" t="s">
        <v>952</v>
      </c>
      <c r="C37" s="338">
        <v>87</v>
      </c>
      <c r="D37" s="339">
        <v>10.555172413793104</v>
      </c>
      <c r="E37" s="339">
        <v>3.2458473871433857</v>
      </c>
      <c r="F37" s="339">
        <v>10</v>
      </c>
      <c r="G37" s="339">
        <v>24.5</v>
      </c>
      <c r="H37" s="339">
        <v>5.5</v>
      </c>
      <c r="I37" s="340"/>
      <c r="J37" s="339">
        <v>6.59</v>
      </c>
      <c r="K37" s="339">
        <v>7.5</v>
      </c>
      <c r="L37" s="339">
        <v>8.65</v>
      </c>
      <c r="M37" s="339">
        <v>10.3</v>
      </c>
      <c r="N37" s="339">
        <v>11.85</v>
      </c>
      <c r="O37" s="339">
        <v>13</v>
      </c>
      <c r="P37" s="339">
        <v>19.2</v>
      </c>
      <c r="Q37" s="340"/>
      <c r="R37" s="339">
        <v>9.8731222841480442</v>
      </c>
      <c r="S37" s="341">
        <v>11.237222543438163</v>
      </c>
    </row>
    <row r="38" spans="1:19" x14ac:dyDescent="0.25">
      <c r="A38" s="944"/>
      <c r="B38" s="337" t="s">
        <v>953</v>
      </c>
      <c r="C38" s="338">
        <v>87</v>
      </c>
      <c r="D38" s="339">
        <v>4.2149425287356337</v>
      </c>
      <c r="E38" s="339">
        <v>1.7849844462635591</v>
      </c>
      <c r="F38" s="339">
        <v>3.8</v>
      </c>
      <c r="G38" s="339">
        <v>9</v>
      </c>
      <c r="H38" s="339">
        <v>1.5</v>
      </c>
      <c r="I38" s="340"/>
      <c r="J38" s="339">
        <v>2</v>
      </c>
      <c r="K38" s="339">
        <v>2.68</v>
      </c>
      <c r="L38" s="339">
        <v>3</v>
      </c>
      <c r="M38" s="339">
        <v>3.9</v>
      </c>
      <c r="N38" s="339">
        <v>5.55</v>
      </c>
      <c r="O38" s="339">
        <v>6.03</v>
      </c>
      <c r="P38" s="339">
        <v>8.41</v>
      </c>
      <c r="Q38" s="340"/>
      <c r="R38" s="339">
        <v>3.8398636270563005</v>
      </c>
      <c r="S38" s="341">
        <v>4.5900214304149669</v>
      </c>
    </row>
    <row r="39" spans="1:19" x14ac:dyDescent="0.25">
      <c r="A39" s="944"/>
      <c r="B39" s="337" t="s">
        <v>954</v>
      </c>
      <c r="C39" s="338">
        <v>87</v>
      </c>
      <c r="D39" s="339">
        <v>15.18620689655172</v>
      </c>
      <c r="E39" s="339">
        <v>6.6269564450159191</v>
      </c>
      <c r="F39" s="339">
        <v>14</v>
      </c>
      <c r="G39" s="339">
        <v>32.5</v>
      </c>
      <c r="H39" s="339">
        <v>5</v>
      </c>
      <c r="I39" s="340"/>
      <c r="J39" s="339">
        <v>6.53</v>
      </c>
      <c r="K39" s="339">
        <v>8.48</v>
      </c>
      <c r="L39" s="339">
        <v>10.65</v>
      </c>
      <c r="M39" s="339">
        <v>14</v>
      </c>
      <c r="N39" s="339">
        <v>18.600000000000001</v>
      </c>
      <c r="O39" s="339">
        <v>23.73</v>
      </c>
      <c r="P39" s="339">
        <v>29.55</v>
      </c>
      <c r="Q39" s="340"/>
      <c r="R39" s="339">
        <v>13.793684093299047</v>
      </c>
      <c r="S39" s="341">
        <v>16.578729699804391</v>
      </c>
    </row>
    <row r="40" spans="1:19" x14ac:dyDescent="0.25">
      <c r="A40" s="944"/>
      <c r="B40" s="337" t="s">
        <v>955</v>
      </c>
      <c r="C40" s="338">
        <v>87</v>
      </c>
      <c r="D40" s="339">
        <v>8.87816091954023</v>
      </c>
      <c r="E40" s="339">
        <v>4.1549193395287265</v>
      </c>
      <c r="F40" s="339">
        <v>7.5</v>
      </c>
      <c r="G40" s="339">
        <v>19.8</v>
      </c>
      <c r="H40" s="339">
        <v>3.5</v>
      </c>
      <c r="I40" s="340"/>
      <c r="J40" s="339">
        <v>4.09</v>
      </c>
      <c r="K40" s="339">
        <v>5.27</v>
      </c>
      <c r="L40" s="339">
        <v>6.4</v>
      </c>
      <c r="M40" s="339">
        <v>7.8</v>
      </c>
      <c r="N40" s="339">
        <v>11.75</v>
      </c>
      <c r="O40" s="339">
        <v>13.6</v>
      </c>
      <c r="P40" s="339">
        <v>19.059999999999999</v>
      </c>
      <c r="Q40" s="340"/>
      <c r="R40" s="339">
        <v>8.0050874394329696</v>
      </c>
      <c r="S40" s="341">
        <v>9.7512343996474904</v>
      </c>
    </row>
    <row r="41" spans="1:19" x14ac:dyDescent="0.25">
      <c r="A41" s="944"/>
      <c r="B41" s="337" t="s">
        <v>956</v>
      </c>
      <c r="C41" s="338">
        <v>87</v>
      </c>
      <c r="D41" s="339">
        <v>18.454022988505749</v>
      </c>
      <c r="E41" s="339">
        <v>9.0831149840469827</v>
      </c>
      <c r="F41" s="339">
        <v>16.3</v>
      </c>
      <c r="G41" s="339">
        <v>46.8</v>
      </c>
      <c r="H41" s="339">
        <v>5.3</v>
      </c>
      <c r="I41" s="340"/>
      <c r="J41" s="339">
        <v>6.59</v>
      </c>
      <c r="K41" s="339">
        <v>9.2200000000000006</v>
      </c>
      <c r="L41" s="339">
        <v>12.5</v>
      </c>
      <c r="M41" s="339">
        <v>17</v>
      </c>
      <c r="N41" s="339">
        <v>25</v>
      </c>
      <c r="O41" s="339">
        <v>27.14</v>
      </c>
      <c r="P41" s="339">
        <v>39</v>
      </c>
      <c r="Q41" s="340"/>
      <c r="R41" s="339">
        <v>16.54538742634444</v>
      </c>
      <c r="S41" s="341">
        <v>20.362658550667057</v>
      </c>
    </row>
    <row r="42" spans="1:19" x14ac:dyDescent="0.25">
      <c r="A42" s="944"/>
      <c r="B42" s="337" t="s">
        <v>957</v>
      </c>
      <c r="C42" s="338">
        <v>87</v>
      </c>
      <c r="D42" s="339">
        <v>12.728735632183904</v>
      </c>
      <c r="E42" s="339">
        <v>4.8382177202319951</v>
      </c>
      <c r="F42" s="339">
        <v>12.3</v>
      </c>
      <c r="G42" s="339">
        <v>32.299999999999997</v>
      </c>
      <c r="H42" s="339">
        <v>4.8</v>
      </c>
      <c r="I42" s="340"/>
      <c r="J42" s="339">
        <v>5.36</v>
      </c>
      <c r="K42" s="339">
        <v>8.2899999999999991</v>
      </c>
      <c r="L42" s="339">
        <v>10</v>
      </c>
      <c r="M42" s="339">
        <v>12.5</v>
      </c>
      <c r="N42" s="339">
        <v>16</v>
      </c>
      <c r="O42" s="339">
        <v>17.32</v>
      </c>
      <c r="P42" s="339">
        <v>22.55</v>
      </c>
      <c r="Q42" s="340"/>
      <c r="R42" s="339">
        <v>11.712080617408411</v>
      </c>
      <c r="S42" s="341">
        <v>13.745390646959397</v>
      </c>
    </row>
    <row r="43" spans="1:19" x14ac:dyDescent="0.25">
      <c r="A43" s="944"/>
      <c r="B43" s="337" t="s">
        <v>948</v>
      </c>
      <c r="C43" s="338">
        <v>87</v>
      </c>
      <c r="D43" s="339">
        <v>7.7781609195402277</v>
      </c>
      <c r="E43" s="339">
        <v>3.532553766517744</v>
      </c>
      <c r="F43" s="339">
        <v>7</v>
      </c>
      <c r="G43" s="339">
        <v>19.8</v>
      </c>
      <c r="H43" s="339">
        <v>3</v>
      </c>
      <c r="I43" s="340"/>
      <c r="J43" s="339">
        <v>4</v>
      </c>
      <c r="K43" s="339">
        <v>4.9800000000000004</v>
      </c>
      <c r="L43" s="339">
        <v>5.5</v>
      </c>
      <c r="M43" s="339">
        <v>7.3</v>
      </c>
      <c r="N43" s="339">
        <v>9.4</v>
      </c>
      <c r="O43" s="339">
        <v>10.52</v>
      </c>
      <c r="P43" s="339">
        <v>16.940000000000001</v>
      </c>
      <c r="Q43" s="340"/>
      <c r="R43" s="339">
        <v>7.035865159124941</v>
      </c>
      <c r="S43" s="341">
        <v>8.5204566799555135</v>
      </c>
    </row>
    <row r="44" spans="1:19" x14ac:dyDescent="0.25">
      <c r="A44" s="945"/>
      <c r="B44" s="342" t="s">
        <v>958</v>
      </c>
      <c r="C44" s="332">
        <v>87</v>
      </c>
      <c r="D44" s="333">
        <v>67.467816091954035</v>
      </c>
      <c r="E44" s="333">
        <v>24.525978131659102</v>
      </c>
      <c r="F44" s="333">
        <v>62.6</v>
      </c>
      <c r="G44" s="333">
        <v>144.9</v>
      </c>
      <c r="H44" s="333">
        <v>27.7</v>
      </c>
      <c r="I44" s="334"/>
      <c r="J44" s="333">
        <v>33.61</v>
      </c>
      <c r="K44" s="333">
        <v>47.09</v>
      </c>
      <c r="L44" s="333">
        <v>52.55</v>
      </c>
      <c r="M44" s="333">
        <v>65.599999999999994</v>
      </c>
      <c r="N44" s="333">
        <v>84.2</v>
      </c>
      <c r="O44" s="333">
        <v>94.28</v>
      </c>
      <c r="P44" s="333">
        <v>115.88</v>
      </c>
      <c r="Q44" s="334"/>
      <c r="R44" s="333">
        <v>62.31417065852164</v>
      </c>
      <c r="S44" s="335">
        <v>72.621461525386422</v>
      </c>
    </row>
    <row r="45" spans="1:19" x14ac:dyDescent="0.25">
      <c r="A45" s="319"/>
      <c r="B45" s="320"/>
      <c r="C45" s="939" t="s">
        <v>911</v>
      </c>
      <c r="D45" s="939"/>
      <c r="E45" s="939"/>
      <c r="F45" s="939"/>
      <c r="G45" s="939"/>
      <c r="H45" s="939"/>
      <c r="I45" s="321"/>
      <c r="J45" s="940" t="s">
        <v>912</v>
      </c>
      <c r="K45" s="940"/>
      <c r="L45" s="940"/>
      <c r="M45" s="940"/>
      <c r="N45" s="940"/>
      <c r="O45" s="940"/>
      <c r="P45" s="940"/>
      <c r="Q45" s="321"/>
      <c r="R45" s="320"/>
      <c r="S45" s="322"/>
    </row>
    <row r="46" spans="1:19" x14ac:dyDescent="0.25">
      <c r="A46" s="324"/>
      <c r="B46" s="325"/>
      <c r="C46" s="325" t="s">
        <v>684</v>
      </c>
      <c r="D46" s="325" t="s">
        <v>913</v>
      </c>
      <c r="E46" s="325" t="s">
        <v>914</v>
      </c>
      <c r="F46" s="325" t="s">
        <v>915</v>
      </c>
      <c r="G46" s="325" t="s">
        <v>916</v>
      </c>
      <c r="H46" s="325" t="s">
        <v>917</v>
      </c>
      <c r="I46" s="326"/>
      <c r="J46" s="327">
        <v>0.05</v>
      </c>
      <c r="K46" s="327">
        <v>0.15</v>
      </c>
      <c r="L46" s="327">
        <v>0.25</v>
      </c>
      <c r="M46" s="327">
        <v>0.5</v>
      </c>
      <c r="N46" s="327">
        <v>0.75</v>
      </c>
      <c r="O46" s="327">
        <v>0.85</v>
      </c>
      <c r="P46" s="327">
        <v>0.95</v>
      </c>
      <c r="Q46" s="326"/>
      <c r="R46" s="937" t="s">
        <v>918</v>
      </c>
      <c r="S46" s="938"/>
    </row>
    <row r="47" spans="1:19" x14ac:dyDescent="0.25">
      <c r="A47" s="943"/>
      <c r="B47" s="343" t="s">
        <v>959</v>
      </c>
      <c r="C47" s="344">
        <v>67</v>
      </c>
      <c r="D47" s="345">
        <v>5.5477611940298512</v>
      </c>
      <c r="E47" s="345">
        <v>0.50256937074464814</v>
      </c>
      <c r="F47" s="345">
        <v>5.4749999999999996</v>
      </c>
      <c r="G47" s="345">
        <v>7.3</v>
      </c>
      <c r="H47" s="345">
        <v>4.7</v>
      </c>
      <c r="I47" s="346"/>
      <c r="J47" s="345">
        <v>4.83</v>
      </c>
      <c r="K47" s="345">
        <v>5</v>
      </c>
      <c r="L47" s="345">
        <v>5.27</v>
      </c>
      <c r="M47" s="345">
        <v>5.4749999999999996</v>
      </c>
      <c r="N47" s="345">
        <v>5.8</v>
      </c>
      <c r="O47" s="345">
        <v>6</v>
      </c>
      <c r="P47" s="345">
        <v>6.2850000000000001</v>
      </c>
      <c r="Q47" s="346"/>
      <c r="R47" s="345">
        <v>5.4274221086116503</v>
      </c>
      <c r="S47" s="347">
        <v>5.6681002794480522</v>
      </c>
    </row>
    <row r="48" spans="1:19" x14ac:dyDescent="0.25">
      <c r="A48" s="944"/>
      <c r="B48" s="343" t="s">
        <v>960</v>
      </c>
      <c r="C48" s="348">
        <v>67</v>
      </c>
      <c r="D48" s="349">
        <v>7.3584328358208966</v>
      </c>
      <c r="E48" s="349">
        <v>0.62592126583675667</v>
      </c>
      <c r="F48" s="349">
        <v>7.3</v>
      </c>
      <c r="G48" s="349">
        <v>9.1</v>
      </c>
      <c r="H48" s="349">
        <v>6.05</v>
      </c>
      <c r="I48" s="350"/>
      <c r="J48" s="349">
        <v>6.4</v>
      </c>
      <c r="K48" s="349">
        <v>6.8235000000000001</v>
      </c>
      <c r="L48" s="349">
        <v>7</v>
      </c>
      <c r="M48" s="349">
        <v>7.3</v>
      </c>
      <c r="N48" s="349">
        <v>7.8049999999999997</v>
      </c>
      <c r="O48" s="349">
        <v>8</v>
      </c>
      <c r="P48" s="349">
        <v>8.1630000000000003</v>
      </c>
      <c r="Q48" s="350"/>
      <c r="R48" s="349">
        <v>7.2085574214815917</v>
      </c>
      <c r="S48" s="351">
        <v>7.5083082501602014</v>
      </c>
    </row>
    <row r="49" spans="1:19" x14ac:dyDescent="0.25">
      <c r="A49" s="944"/>
      <c r="B49" s="343" t="s">
        <v>961</v>
      </c>
      <c r="C49" s="348">
        <v>67</v>
      </c>
      <c r="D49" s="349">
        <v>9.2220059724268637</v>
      </c>
      <c r="E49" s="349">
        <v>1.5228845121893808</v>
      </c>
      <c r="F49" s="349">
        <v>9.0347487599999976</v>
      </c>
      <c r="G49" s="349">
        <v>13.081612500000002</v>
      </c>
      <c r="H49" s="349">
        <v>5.8851349199999978</v>
      </c>
      <c r="I49" s="350"/>
      <c r="J49" s="349">
        <v>7.3055936399999997</v>
      </c>
      <c r="K49" s="349">
        <v>7.6854508799999985</v>
      </c>
      <c r="L49" s="349">
        <v>7.9572535199999992</v>
      </c>
      <c r="M49" s="349">
        <v>9.0347487599999976</v>
      </c>
      <c r="N49" s="349">
        <v>10.442524815000001</v>
      </c>
      <c r="O49" s="349">
        <v>10.829230200000001</v>
      </c>
      <c r="P49" s="349">
        <v>11.560094573999997</v>
      </c>
      <c r="Q49" s="350"/>
      <c r="R49" s="349">
        <v>8.8573547619424744</v>
      </c>
      <c r="S49" s="351">
        <v>9.586657182911253</v>
      </c>
    </row>
    <row r="50" spans="1:19" x14ac:dyDescent="0.25">
      <c r="A50" s="945"/>
      <c r="B50" s="343" t="s">
        <v>962</v>
      </c>
      <c r="C50" s="352">
        <v>67</v>
      </c>
      <c r="D50" s="353">
        <v>41.846639184326811</v>
      </c>
      <c r="E50" s="353">
        <v>8.5180180685029967</v>
      </c>
      <c r="F50" s="353">
        <v>41.961794346207135</v>
      </c>
      <c r="G50" s="353">
        <v>59.303876732023731</v>
      </c>
      <c r="H50" s="353">
        <v>22.091237247973726</v>
      </c>
      <c r="I50" s="354"/>
      <c r="J50" s="353">
        <v>25.613642169955092</v>
      </c>
      <c r="K50" s="353">
        <v>33.819779140721941</v>
      </c>
      <c r="L50" s="353">
        <v>36.264766210796978</v>
      </c>
      <c r="M50" s="353">
        <v>41.961794346207135</v>
      </c>
      <c r="N50" s="353">
        <v>47.537766371445343</v>
      </c>
      <c r="O50" s="353">
        <v>50.569649721216365</v>
      </c>
      <c r="P50" s="353">
        <v>55.184874725463168</v>
      </c>
      <c r="Q50" s="354"/>
      <c r="R50" s="353">
        <v>39.807019255996195</v>
      </c>
      <c r="S50" s="355">
        <v>43.886259112657427</v>
      </c>
    </row>
    <row r="51" spans="1:19" x14ac:dyDescent="0.25">
      <c r="A51" s="947" t="s">
        <v>963</v>
      </c>
      <c r="B51" s="948"/>
      <c r="C51" s="356">
        <v>67</v>
      </c>
      <c r="D51" s="357">
        <v>4.5354161944850819</v>
      </c>
      <c r="E51" s="357">
        <v>0.59570907015970387</v>
      </c>
      <c r="F51" s="357">
        <v>4.4934378328698292</v>
      </c>
      <c r="G51" s="357">
        <v>6.4355983121960332</v>
      </c>
      <c r="H51" s="357">
        <v>3.1965076880250716</v>
      </c>
      <c r="I51" s="357"/>
      <c r="J51" s="358">
        <v>3.6771344594354232</v>
      </c>
      <c r="K51" s="358">
        <v>3.9975351662551999</v>
      </c>
      <c r="L51" s="358">
        <v>4.1581870875877431</v>
      </c>
      <c r="M51" s="358">
        <v>4.4934378328698292</v>
      </c>
      <c r="N51" s="358">
        <v>4.8571291818565836</v>
      </c>
      <c r="O51" s="358">
        <v>5.0890065566810296</v>
      </c>
      <c r="P51" s="358">
        <v>5.6471956356950805</v>
      </c>
      <c r="Q51" s="357"/>
      <c r="R51" s="358">
        <v>4.3927750212434091</v>
      </c>
      <c r="S51" s="359">
        <v>4.6780573677267547</v>
      </c>
    </row>
    <row r="52" spans="1:19" x14ac:dyDescent="0.25">
      <c r="A52" s="947" t="s">
        <v>964</v>
      </c>
      <c r="B52" s="948"/>
      <c r="C52" s="344">
        <v>67</v>
      </c>
      <c r="D52" s="345">
        <v>32.789914465595814</v>
      </c>
      <c r="E52" s="345">
        <v>4.9030574833489258</v>
      </c>
      <c r="F52" s="345">
        <v>33.358670066753533</v>
      </c>
      <c r="G52" s="345">
        <v>46.870221822217118</v>
      </c>
      <c r="H52" s="345">
        <v>22.210306228812527</v>
      </c>
      <c r="I52" s="345"/>
      <c r="J52" s="360">
        <v>24.260417219753514</v>
      </c>
      <c r="K52" s="360">
        <v>28.763314299229805</v>
      </c>
      <c r="L52" s="360">
        <v>30.008875549811698</v>
      </c>
      <c r="M52" s="360">
        <v>33.358670066753533</v>
      </c>
      <c r="N52" s="360">
        <v>34.832107773648616</v>
      </c>
      <c r="O52" s="360">
        <v>36.979863178998961</v>
      </c>
      <c r="P52" s="360">
        <v>41.335229304940235</v>
      </c>
      <c r="Q52" s="345"/>
      <c r="R52" s="360">
        <v>31.615888574553466</v>
      </c>
      <c r="S52" s="361">
        <v>33.963940356638162</v>
      </c>
    </row>
    <row r="53" spans="1:19" x14ac:dyDescent="0.25">
      <c r="A53" s="941" t="s">
        <v>965</v>
      </c>
      <c r="B53" s="939"/>
      <c r="C53" s="328">
        <v>87</v>
      </c>
      <c r="D53" s="345">
        <v>24.234811089289426</v>
      </c>
      <c r="E53" s="345">
        <v>2.0836065321260921</v>
      </c>
      <c r="F53" s="345">
        <v>24.079600278635375</v>
      </c>
      <c r="G53" s="345">
        <v>32.937523817219343</v>
      </c>
      <c r="H53" s="345">
        <v>19.908407452264907</v>
      </c>
      <c r="I53" s="346"/>
      <c r="J53" s="345">
        <v>20.824069078264664</v>
      </c>
      <c r="K53" s="345">
        <v>22.15500093826234</v>
      </c>
      <c r="L53" s="345">
        <v>23.131241774845797</v>
      </c>
      <c r="M53" s="345">
        <v>24.094410590480923</v>
      </c>
      <c r="N53" s="345">
        <v>25.603873009412176</v>
      </c>
      <c r="O53" s="345">
        <v>26.307422351531017</v>
      </c>
      <c r="P53" s="345">
        <v>27.825058685859133</v>
      </c>
      <c r="Q53" s="346"/>
      <c r="R53" s="345">
        <v>23.796982708634538</v>
      </c>
      <c r="S53" s="347">
        <v>24.672639469944315</v>
      </c>
    </row>
    <row r="54" spans="1:19" x14ac:dyDescent="0.25">
      <c r="A54" s="949" t="s">
        <v>966</v>
      </c>
      <c r="B54" s="950"/>
      <c r="C54" s="338">
        <v>87</v>
      </c>
      <c r="D54" s="349">
        <v>14.562169472589636</v>
      </c>
      <c r="E54" s="349">
        <v>4.7398264807610282</v>
      </c>
      <c r="F54" s="349">
        <v>14.090557762644494</v>
      </c>
      <c r="G54" s="349">
        <v>26.692922293872641</v>
      </c>
      <c r="H54" s="349">
        <v>5.4180366368012756</v>
      </c>
      <c r="I54" s="350"/>
      <c r="J54" s="349">
        <v>6.9792941340621555</v>
      </c>
      <c r="K54" s="349">
        <v>10.123770724129241</v>
      </c>
      <c r="L54" s="349">
        <v>11.51349804477465</v>
      </c>
      <c r="M54" s="349">
        <v>14.090557762644494</v>
      </c>
      <c r="N54" s="349">
        <v>18.611096292435292</v>
      </c>
      <c r="O54" s="349">
        <v>19.438610293259913</v>
      </c>
      <c r="P54" s="349">
        <v>23.955750750728964</v>
      </c>
      <c r="Q54" s="350"/>
      <c r="R54" s="349">
        <v>13.566189415577998</v>
      </c>
      <c r="S54" s="351">
        <v>15.558149529601273</v>
      </c>
    </row>
    <row r="55" spans="1:19" x14ac:dyDescent="0.25">
      <c r="A55" s="942" t="s">
        <v>967</v>
      </c>
      <c r="B55" s="937"/>
      <c r="C55" s="332">
        <v>67</v>
      </c>
      <c r="D55" s="362">
        <v>0.52648597354654292</v>
      </c>
      <c r="E55" s="362">
        <v>1.6122290341640325E-2</v>
      </c>
      <c r="F55" s="362">
        <v>0.52770005595970904</v>
      </c>
      <c r="G55" s="362">
        <v>0.56037151702786381</v>
      </c>
      <c r="H55" s="362">
        <v>0.49139367018323155</v>
      </c>
      <c r="I55" s="362"/>
      <c r="J55" s="362">
        <v>0.4942502428561184</v>
      </c>
      <c r="K55" s="362">
        <v>0.50963807617076251</v>
      </c>
      <c r="L55" s="362">
        <v>0.51782250614399083</v>
      </c>
      <c r="M55" s="362">
        <v>0.52770005595970904</v>
      </c>
      <c r="N55" s="362">
        <v>0.53810075231218679</v>
      </c>
      <c r="O55" s="362">
        <v>0.54325457805096677</v>
      </c>
      <c r="P55" s="362">
        <v>0.55009757107629365</v>
      </c>
      <c r="Q55" s="362"/>
      <c r="R55" s="362">
        <v>0.52262552802897189</v>
      </c>
      <c r="S55" s="363">
        <v>0.53034641906411395</v>
      </c>
    </row>
    <row r="57" spans="1:19" x14ac:dyDescent="0.25">
      <c r="A57" s="951" t="s">
        <v>968</v>
      </c>
      <c r="B57" s="951"/>
      <c r="C57" s="951"/>
      <c r="D57" s="951"/>
      <c r="E57" s="951"/>
    </row>
    <row r="58" spans="1:19" x14ac:dyDescent="0.25">
      <c r="A58" s="946" t="s">
        <v>969</v>
      </c>
      <c r="B58" s="946"/>
      <c r="C58" s="946"/>
      <c r="D58" s="946"/>
      <c r="E58" s="946"/>
      <c r="F58" s="946"/>
      <c r="G58" s="946"/>
      <c r="H58" s="946"/>
      <c r="I58" s="946"/>
      <c r="J58" s="946"/>
      <c r="K58" s="946"/>
      <c r="L58" s="946"/>
      <c r="M58" s="946"/>
      <c r="N58" s="946"/>
      <c r="O58" s="946"/>
      <c r="P58" s="946"/>
      <c r="Q58" s="946"/>
      <c r="R58" s="946"/>
      <c r="S58" s="946"/>
    </row>
    <row r="59" spans="1:19" x14ac:dyDescent="0.25">
      <c r="A59" s="946"/>
      <c r="B59" s="946"/>
      <c r="C59" s="946"/>
      <c r="D59" s="946"/>
      <c r="E59" s="946"/>
      <c r="F59" s="946"/>
      <c r="G59" s="946"/>
      <c r="H59" s="946"/>
      <c r="I59" s="946"/>
      <c r="J59" s="946"/>
      <c r="K59" s="946"/>
      <c r="L59" s="946"/>
      <c r="M59" s="946"/>
      <c r="N59" s="946"/>
      <c r="O59" s="946"/>
      <c r="P59" s="946"/>
      <c r="Q59" s="946"/>
      <c r="R59" s="946"/>
      <c r="S59" s="946"/>
    </row>
    <row r="60" spans="1:19" x14ac:dyDescent="0.25">
      <c r="A60" s="946" t="s">
        <v>970</v>
      </c>
      <c r="B60" s="946"/>
      <c r="C60" s="946"/>
      <c r="D60" s="946"/>
      <c r="E60" s="946"/>
      <c r="F60" s="946"/>
      <c r="G60" s="946"/>
      <c r="H60" s="946"/>
      <c r="I60" s="946"/>
      <c r="J60" s="946"/>
      <c r="K60" s="946"/>
      <c r="L60" s="946"/>
      <c r="M60" s="946"/>
      <c r="N60" s="946"/>
      <c r="O60" s="946"/>
      <c r="P60" s="946"/>
      <c r="Q60" s="946"/>
      <c r="R60" s="946"/>
      <c r="S60" s="946"/>
    </row>
    <row r="61" spans="1:19" x14ac:dyDescent="0.25">
      <c r="A61" s="946"/>
      <c r="B61" s="946"/>
      <c r="C61" s="946"/>
      <c r="D61" s="946"/>
      <c r="E61" s="946"/>
      <c r="F61" s="946"/>
      <c r="G61" s="946"/>
      <c r="H61" s="946"/>
      <c r="I61" s="946"/>
      <c r="J61" s="946"/>
      <c r="K61" s="946"/>
      <c r="L61" s="946"/>
      <c r="M61" s="946"/>
      <c r="N61" s="946"/>
      <c r="O61" s="946"/>
      <c r="P61" s="946"/>
      <c r="Q61" s="946"/>
      <c r="R61" s="946"/>
      <c r="S61" s="946"/>
    </row>
    <row r="62" spans="1:19" x14ac:dyDescent="0.25">
      <c r="A62" s="946" t="s">
        <v>971</v>
      </c>
      <c r="B62" s="946"/>
      <c r="C62" s="946"/>
      <c r="D62" s="946"/>
      <c r="E62" s="946"/>
      <c r="F62" s="946"/>
      <c r="G62" s="946"/>
      <c r="H62" s="946"/>
      <c r="I62" s="946"/>
      <c r="J62" s="946"/>
      <c r="K62" s="946"/>
      <c r="L62" s="946"/>
      <c r="M62" s="946"/>
      <c r="N62" s="946"/>
      <c r="O62" s="946"/>
      <c r="P62" s="946"/>
      <c r="Q62" s="946"/>
      <c r="R62" s="946"/>
      <c r="S62" s="946"/>
    </row>
    <row r="63" spans="1:19" x14ac:dyDescent="0.25">
      <c r="A63" s="946"/>
      <c r="B63" s="946"/>
      <c r="C63" s="946"/>
      <c r="D63" s="946"/>
      <c r="E63" s="946"/>
      <c r="F63" s="946"/>
      <c r="G63" s="946"/>
      <c r="H63" s="946"/>
      <c r="I63" s="946"/>
      <c r="J63" s="946"/>
      <c r="K63" s="946"/>
      <c r="L63" s="946"/>
      <c r="M63" s="946"/>
      <c r="N63" s="946"/>
      <c r="O63" s="946"/>
      <c r="P63" s="946"/>
      <c r="Q63" s="946"/>
      <c r="R63" s="946"/>
      <c r="S63" s="946"/>
    </row>
    <row r="64" spans="1:19" x14ac:dyDescent="0.25">
      <c r="A64" s="946" t="s">
        <v>972</v>
      </c>
      <c r="B64" s="946"/>
      <c r="C64" s="946"/>
      <c r="D64" s="946"/>
      <c r="E64" s="946"/>
      <c r="F64" s="946"/>
      <c r="G64" s="946"/>
      <c r="H64" s="946"/>
      <c r="I64" s="946"/>
      <c r="J64" s="946"/>
      <c r="K64" s="946"/>
      <c r="L64" s="946"/>
      <c r="M64" s="946"/>
      <c r="N64" s="946"/>
      <c r="O64" s="946"/>
      <c r="P64" s="946"/>
      <c r="Q64" s="946"/>
      <c r="R64" s="946"/>
      <c r="S64" s="946"/>
    </row>
    <row r="65" spans="1:19" x14ac:dyDescent="0.25">
      <c r="A65" s="946"/>
      <c r="B65" s="946"/>
      <c r="C65" s="946"/>
      <c r="D65" s="946"/>
      <c r="E65" s="946"/>
      <c r="F65" s="946"/>
      <c r="G65" s="946"/>
      <c r="H65" s="946"/>
      <c r="I65" s="946"/>
      <c r="J65" s="946"/>
      <c r="K65" s="946"/>
      <c r="L65" s="946"/>
      <c r="M65" s="946"/>
      <c r="N65" s="946"/>
      <c r="O65" s="946"/>
      <c r="P65" s="946"/>
      <c r="Q65" s="946"/>
      <c r="R65" s="946"/>
      <c r="S65" s="946"/>
    </row>
    <row r="66" spans="1:19" x14ac:dyDescent="0.25">
      <c r="A66" s="946" t="s">
        <v>973</v>
      </c>
      <c r="B66" s="946"/>
      <c r="C66" s="946"/>
      <c r="D66" s="946"/>
      <c r="E66" s="946"/>
      <c r="F66" s="946"/>
      <c r="G66" s="946"/>
      <c r="H66" s="946"/>
      <c r="I66" s="946"/>
      <c r="J66" s="946"/>
      <c r="K66" s="946"/>
      <c r="L66" s="946"/>
      <c r="M66" s="946"/>
      <c r="N66" s="946"/>
      <c r="O66" s="946"/>
      <c r="P66" s="946"/>
      <c r="Q66" s="946"/>
      <c r="R66" s="946"/>
      <c r="S66" s="946"/>
    </row>
    <row r="67" spans="1:19" x14ac:dyDescent="0.25">
      <c r="A67" s="946"/>
      <c r="B67" s="946"/>
      <c r="C67" s="946"/>
      <c r="D67" s="946"/>
      <c r="E67" s="946"/>
      <c r="F67" s="946"/>
      <c r="G67" s="946"/>
      <c r="H67" s="946"/>
      <c r="I67" s="946"/>
      <c r="J67" s="946"/>
      <c r="K67" s="946"/>
      <c r="L67" s="946"/>
      <c r="M67" s="946"/>
      <c r="N67" s="946"/>
      <c r="O67" s="946"/>
      <c r="P67" s="946"/>
      <c r="Q67" s="946"/>
      <c r="R67" s="946"/>
      <c r="S67" s="946"/>
    </row>
    <row r="68" spans="1:19" ht="12.75" customHeight="1" x14ac:dyDescent="0.25">
      <c r="A68" s="364" t="s">
        <v>974</v>
      </c>
      <c r="B68" s="365"/>
      <c r="C68" s="365"/>
      <c r="D68" s="365"/>
      <c r="E68" s="365"/>
      <c r="F68" s="365"/>
      <c r="G68" s="365"/>
      <c r="H68" s="365"/>
      <c r="I68" s="365"/>
      <c r="J68" s="365"/>
      <c r="K68" s="365"/>
      <c r="L68" s="365"/>
      <c r="M68" s="365"/>
      <c r="N68" s="365"/>
      <c r="O68" s="365"/>
      <c r="P68" s="365"/>
      <c r="Q68" s="365"/>
      <c r="R68" s="365"/>
      <c r="S68" s="365"/>
    </row>
    <row r="69" spans="1:19" x14ac:dyDescent="0.25">
      <c r="A69" s="366" t="s">
        <v>975</v>
      </c>
      <c r="B69" s="340"/>
      <c r="C69" s="340"/>
      <c r="D69" s="340"/>
      <c r="E69" s="340"/>
      <c r="F69" s="340"/>
      <c r="G69" s="340"/>
      <c r="H69" s="340"/>
      <c r="I69" s="340"/>
      <c r="J69" s="340"/>
      <c r="K69" s="340"/>
      <c r="L69" s="340"/>
      <c r="M69" s="340"/>
      <c r="N69" s="340"/>
      <c r="O69" s="340"/>
      <c r="P69" s="340"/>
      <c r="Q69" s="340"/>
      <c r="R69" s="340"/>
      <c r="S69" s="340"/>
    </row>
    <row r="70" spans="1:19" x14ac:dyDescent="0.25">
      <c r="A70" s="340" t="s">
        <v>976</v>
      </c>
      <c r="B70" s="340"/>
      <c r="C70" s="340"/>
      <c r="D70" s="340"/>
      <c r="E70" s="340"/>
      <c r="F70" s="340"/>
      <c r="G70" s="340"/>
      <c r="H70" s="340"/>
      <c r="I70" s="340"/>
      <c r="J70" s="340"/>
      <c r="K70" s="340"/>
      <c r="L70" s="340"/>
      <c r="M70" s="340"/>
      <c r="N70" s="340"/>
      <c r="O70" s="340"/>
      <c r="P70" s="340"/>
      <c r="Q70" s="340"/>
      <c r="R70" s="340"/>
      <c r="S70" s="340"/>
    </row>
    <row r="71" spans="1:19" x14ac:dyDescent="0.25">
      <c r="A71" s="340" t="s">
        <v>977</v>
      </c>
      <c r="B71" s="340"/>
      <c r="C71" s="340"/>
      <c r="D71" s="340"/>
      <c r="E71" s="340"/>
      <c r="F71" s="340"/>
      <c r="G71" s="340"/>
      <c r="H71" s="340"/>
      <c r="I71" s="340"/>
      <c r="J71" s="340"/>
      <c r="K71" s="340"/>
      <c r="L71" s="340"/>
      <c r="M71" s="340"/>
      <c r="N71" s="340"/>
      <c r="O71" s="340"/>
      <c r="P71" s="340"/>
      <c r="Q71" s="340"/>
      <c r="R71" s="340"/>
      <c r="S71" s="340"/>
    </row>
    <row r="72" spans="1:19" x14ac:dyDescent="0.25">
      <c r="A72" s="340" t="s">
        <v>978</v>
      </c>
      <c r="B72" s="340"/>
      <c r="C72" s="340"/>
      <c r="D72" s="340"/>
      <c r="E72" s="340"/>
      <c r="F72" s="340"/>
      <c r="G72" s="340"/>
      <c r="H72" s="340"/>
      <c r="I72" s="340"/>
      <c r="J72" s="340"/>
      <c r="K72" s="340"/>
      <c r="L72" s="340"/>
      <c r="M72" s="340"/>
      <c r="N72" s="340"/>
      <c r="O72" s="340"/>
      <c r="P72" s="340"/>
      <c r="Q72" s="340"/>
      <c r="R72" s="340"/>
      <c r="S72" s="340"/>
    </row>
  </sheetData>
  <mergeCells count="24">
    <mergeCell ref="A66:S67"/>
    <mergeCell ref="A47:A50"/>
    <mergeCell ref="A51:B51"/>
    <mergeCell ref="A52:B52"/>
    <mergeCell ref="A53:B53"/>
    <mergeCell ref="A54:B54"/>
    <mergeCell ref="A55:B55"/>
    <mergeCell ref="A57:E57"/>
    <mergeCell ref="A58:S59"/>
    <mergeCell ref="A60:S61"/>
    <mergeCell ref="A62:S63"/>
    <mergeCell ref="A64:S65"/>
    <mergeCell ref="R46:S46"/>
    <mergeCell ref="C1:H1"/>
    <mergeCell ref="J1:P1"/>
    <mergeCell ref="R2:S2"/>
    <mergeCell ref="A3:B3"/>
    <mergeCell ref="A4:B4"/>
    <mergeCell ref="A5:A16"/>
    <mergeCell ref="A17:A22"/>
    <mergeCell ref="A23:A35"/>
    <mergeCell ref="A36:A44"/>
    <mergeCell ref="C45:H45"/>
    <mergeCell ref="J45:P45"/>
  </mergeCells>
  <printOptions horizontalCentered="1" verticalCentered="1"/>
  <pageMargins left="0.78740157480314965" right="0.78740157480314965" top="0.98425196850393704" bottom="0.98425196850393704" header="0.45" footer="0"/>
  <pageSetup paperSize="9" orientation="portrait" horizontalDpi="300" verticalDpi="300" r:id="rId1"/>
  <headerFooter alignWithMargins="0">
    <oddHeader>&amp;C&amp;"Arial,Negrita"&amp;12TABLAS NORMATIVAS
ANTROPOMÉTRICAS 
ARGOREF
MASCULINO 20 a 30 años</oddHeader>
    <oddFooter>&amp;CFrancis Holway, MSc.
Buenos Aires (2004)
www.nutrideporte.com.ar</oddFooter>
  </headerFooter>
  <rowBreaks count="1" manualBreakCount="1">
    <brk id="4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9D39-A1A3-4057-BF83-DEF4A4437A61}">
  <sheetPr>
    <tabColor indexed="14"/>
  </sheetPr>
  <dimension ref="A1:T72"/>
  <sheetViews>
    <sheetView zoomScale="110" zoomScaleNormal="110" workbookViewId="0">
      <selection activeCell="U17" sqref="U17"/>
    </sheetView>
  </sheetViews>
  <sheetFormatPr baseColWidth="10" defaultRowHeight="13.2" x14ac:dyDescent="0.25"/>
  <cols>
    <col min="1" max="1" width="4.6640625" style="323" customWidth="1"/>
    <col min="2" max="2" width="8.6640625" style="323" customWidth="1"/>
    <col min="3" max="3" width="2.6640625" style="323" customWidth="1"/>
    <col min="4" max="4" width="5.6640625" style="323" bestFit="1" customWidth="1"/>
    <col min="5" max="5" width="5.88671875" style="323" bestFit="1" customWidth="1"/>
    <col min="6" max="8" width="5.44140625" style="323" bestFit="1" customWidth="1"/>
    <col min="9" max="9" width="1.6640625" style="323" customWidth="1"/>
    <col min="10" max="16" width="5.44140625" style="323" bestFit="1" customWidth="1"/>
    <col min="17" max="17" width="1.6640625" style="323" customWidth="1"/>
    <col min="18" max="19" width="5.44140625" style="323" bestFit="1" customWidth="1"/>
    <col min="20" max="256" width="11.5546875" style="323"/>
    <col min="257" max="257" width="4.6640625" style="323" customWidth="1"/>
    <col min="258" max="258" width="8.6640625" style="323" customWidth="1"/>
    <col min="259" max="259" width="2.6640625" style="323" customWidth="1"/>
    <col min="260" max="260" width="5.6640625" style="323" bestFit="1" customWidth="1"/>
    <col min="261" max="261" width="5.88671875" style="323" bestFit="1" customWidth="1"/>
    <col min="262" max="264" width="5.44140625" style="323" bestFit="1" customWidth="1"/>
    <col min="265" max="265" width="1.6640625" style="323" customWidth="1"/>
    <col min="266" max="272" width="5.44140625" style="323" bestFit="1" customWidth="1"/>
    <col min="273" max="273" width="1.6640625" style="323" customWidth="1"/>
    <col min="274" max="275" width="5.44140625" style="323" bestFit="1" customWidth="1"/>
    <col min="276" max="512" width="11.5546875" style="323"/>
    <col min="513" max="513" width="4.6640625" style="323" customWidth="1"/>
    <col min="514" max="514" width="8.6640625" style="323" customWidth="1"/>
    <col min="515" max="515" width="2.6640625" style="323" customWidth="1"/>
    <col min="516" max="516" width="5.6640625" style="323" bestFit="1" customWidth="1"/>
    <col min="517" max="517" width="5.88671875" style="323" bestFit="1" customWidth="1"/>
    <col min="518" max="520" width="5.44140625" style="323" bestFit="1" customWidth="1"/>
    <col min="521" max="521" width="1.6640625" style="323" customWidth="1"/>
    <col min="522" max="528" width="5.44140625" style="323" bestFit="1" customWidth="1"/>
    <col min="529" max="529" width="1.6640625" style="323" customWidth="1"/>
    <col min="530" max="531" width="5.44140625" style="323" bestFit="1" customWidth="1"/>
    <col min="532" max="768" width="11.5546875" style="323"/>
    <col min="769" max="769" width="4.6640625" style="323" customWidth="1"/>
    <col min="770" max="770" width="8.6640625" style="323" customWidth="1"/>
    <col min="771" max="771" width="2.6640625" style="323" customWidth="1"/>
    <col min="772" max="772" width="5.6640625" style="323" bestFit="1" customWidth="1"/>
    <col min="773" max="773" width="5.88671875" style="323" bestFit="1" customWidth="1"/>
    <col min="774" max="776" width="5.44140625" style="323" bestFit="1" customWidth="1"/>
    <col min="777" max="777" width="1.6640625" style="323" customWidth="1"/>
    <col min="778" max="784" width="5.44140625" style="323" bestFit="1" customWidth="1"/>
    <col min="785" max="785" width="1.6640625" style="323" customWidth="1"/>
    <col min="786" max="787" width="5.44140625" style="323" bestFit="1" customWidth="1"/>
    <col min="788" max="1024" width="11.5546875" style="323"/>
    <col min="1025" max="1025" width="4.6640625" style="323" customWidth="1"/>
    <col min="1026" max="1026" width="8.6640625" style="323" customWidth="1"/>
    <col min="1027" max="1027" width="2.6640625" style="323" customWidth="1"/>
    <col min="1028" max="1028" width="5.6640625" style="323" bestFit="1" customWidth="1"/>
    <col min="1029" max="1029" width="5.88671875" style="323" bestFit="1" customWidth="1"/>
    <col min="1030" max="1032" width="5.44140625" style="323" bestFit="1" customWidth="1"/>
    <col min="1033" max="1033" width="1.6640625" style="323" customWidth="1"/>
    <col min="1034" max="1040" width="5.44140625" style="323" bestFit="1" customWidth="1"/>
    <col min="1041" max="1041" width="1.6640625" style="323" customWidth="1"/>
    <col min="1042" max="1043" width="5.44140625" style="323" bestFit="1" customWidth="1"/>
    <col min="1044" max="1280" width="11.5546875" style="323"/>
    <col min="1281" max="1281" width="4.6640625" style="323" customWidth="1"/>
    <col min="1282" max="1282" width="8.6640625" style="323" customWidth="1"/>
    <col min="1283" max="1283" width="2.6640625" style="323" customWidth="1"/>
    <col min="1284" max="1284" width="5.6640625" style="323" bestFit="1" customWidth="1"/>
    <col min="1285" max="1285" width="5.88671875" style="323" bestFit="1" customWidth="1"/>
    <col min="1286" max="1288" width="5.44140625" style="323" bestFit="1" customWidth="1"/>
    <col min="1289" max="1289" width="1.6640625" style="323" customWidth="1"/>
    <col min="1290" max="1296" width="5.44140625" style="323" bestFit="1" customWidth="1"/>
    <col min="1297" max="1297" width="1.6640625" style="323" customWidth="1"/>
    <col min="1298" max="1299" width="5.44140625" style="323" bestFit="1" customWidth="1"/>
    <col min="1300" max="1536" width="11.5546875" style="323"/>
    <col min="1537" max="1537" width="4.6640625" style="323" customWidth="1"/>
    <col min="1538" max="1538" width="8.6640625" style="323" customWidth="1"/>
    <col min="1539" max="1539" width="2.6640625" style="323" customWidth="1"/>
    <col min="1540" max="1540" width="5.6640625" style="323" bestFit="1" customWidth="1"/>
    <col min="1541" max="1541" width="5.88671875" style="323" bestFit="1" customWidth="1"/>
    <col min="1542" max="1544" width="5.44140625" style="323" bestFit="1" customWidth="1"/>
    <col min="1545" max="1545" width="1.6640625" style="323" customWidth="1"/>
    <col min="1546" max="1552" width="5.44140625" style="323" bestFit="1" customWidth="1"/>
    <col min="1553" max="1553" width="1.6640625" style="323" customWidth="1"/>
    <col min="1554" max="1555" width="5.44140625" style="323" bestFit="1" customWidth="1"/>
    <col min="1556" max="1792" width="11.5546875" style="323"/>
    <col min="1793" max="1793" width="4.6640625" style="323" customWidth="1"/>
    <col min="1794" max="1794" width="8.6640625" style="323" customWidth="1"/>
    <col min="1795" max="1795" width="2.6640625" style="323" customWidth="1"/>
    <col min="1796" max="1796" width="5.6640625" style="323" bestFit="1" customWidth="1"/>
    <col min="1797" max="1797" width="5.88671875" style="323" bestFit="1" customWidth="1"/>
    <col min="1798" max="1800" width="5.44140625" style="323" bestFit="1" customWidth="1"/>
    <col min="1801" max="1801" width="1.6640625" style="323" customWidth="1"/>
    <col min="1802" max="1808" width="5.44140625" style="323" bestFit="1" customWidth="1"/>
    <col min="1809" max="1809" width="1.6640625" style="323" customWidth="1"/>
    <col min="1810" max="1811" width="5.44140625" style="323" bestFit="1" customWidth="1"/>
    <col min="1812" max="2048" width="11.5546875" style="323"/>
    <col min="2049" max="2049" width="4.6640625" style="323" customWidth="1"/>
    <col min="2050" max="2050" width="8.6640625" style="323" customWidth="1"/>
    <col min="2051" max="2051" width="2.6640625" style="323" customWidth="1"/>
    <col min="2052" max="2052" width="5.6640625" style="323" bestFit="1" customWidth="1"/>
    <col min="2053" max="2053" width="5.88671875" style="323" bestFit="1" customWidth="1"/>
    <col min="2054" max="2056" width="5.44140625" style="323" bestFit="1" customWidth="1"/>
    <col min="2057" max="2057" width="1.6640625" style="323" customWidth="1"/>
    <col min="2058" max="2064" width="5.44140625" style="323" bestFit="1" customWidth="1"/>
    <col min="2065" max="2065" width="1.6640625" style="323" customWidth="1"/>
    <col min="2066" max="2067" width="5.44140625" style="323" bestFit="1" customWidth="1"/>
    <col min="2068" max="2304" width="11.5546875" style="323"/>
    <col min="2305" max="2305" width="4.6640625" style="323" customWidth="1"/>
    <col min="2306" max="2306" width="8.6640625" style="323" customWidth="1"/>
    <col min="2307" max="2307" width="2.6640625" style="323" customWidth="1"/>
    <col min="2308" max="2308" width="5.6640625" style="323" bestFit="1" customWidth="1"/>
    <col min="2309" max="2309" width="5.88671875" style="323" bestFit="1" customWidth="1"/>
    <col min="2310" max="2312" width="5.44140625" style="323" bestFit="1" customWidth="1"/>
    <col min="2313" max="2313" width="1.6640625" style="323" customWidth="1"/>
    <col min="2314" max="2320" width="5.44140625" style="323" bestFit="1" customWidth="1"/>
    <col min="2321" max="2321" width="1.6640625" style="323" customWidth="1"/>
    <col min="2322" max="2323" width="5.44140625" style="323" bestFit="1" customWidth="1"/>
    <col min="2324" max="2560" width="11.5546875" style="323"/>
    <col min="2561" max="2561" width="4.6640625" style="323" customWidth="1"/>
    <col min="2562" max="2562" width="8.6640625" style="323" customWidth="1"/>
    <col min="2563" max="2563" width="2.6640625" style="323" customWidth="1"/>
    <col min="2564" max="2564" width="5.6640625" style="323" bestFit="1" customWidth="1"/>
    <col min="2565" max="2565" width="5.88671875" style="323" bestFit="1" customWidth="1"/>
    <col min="2566" max="2568" width="5.44140625" style="323" bestFit="1" customWidth="1"/>
    <col min="2569" max="2569" width="1.6640625" style="323" customWidth="1"/>
    <col min="2570" max="2576" width="5.44140625" style="323" bestFit="1" customWidth="1"/>
    <col min="2577" max="2577" width="1.6640625" style="323" customWidth="1"/>
    <col min="2578" max="2579" width="5.44140625" style="323" bestFit="1" customWidth="1"/>
    <col min="2580" max="2816" width="11.5546875" style="323"/>
    <col min="2817" max="2817" width="4.6640625" style="323" customWidth="1"/>
    <col min="2818" max="2818" width="8.6640625" style="323" customWidth="1"/>
    <col min="2819" max="2819" width="2.6640625" style="323" customWidth="1"/>
    <col min="2820" max="2820" width="5.6640625" style="323" bestFit="1" customWidth="1"/>
    <col min="2821" max="2821" width="5.88671875" style="323" bestFit="1" customWidth="1"/>
    <col min="2822" max="2824" width="5.44140625" style="323" bestFit="1" customWidth="1"/>
    <col min="2825" max="2825" width="1.6640625" style="323" customWidth="1"/>
    <col min="2826" max="2832" width="5.44140625" style="323" bestFit="1" customWidth="1"/>
    <col min="2833" max="2833" width="1.6640625" style="323" customWidth="1"/>
    <col min="2834" max="2835" width="5.44140625" style="323" bestFit="1" customWidth="1"/>
    <col min="2836" max="3072" width="11.5546875" style="323"/>
    <col min="3073" max="3073" width="4.6640625" style="323" customWidth="1"/>
    <col min="3074" max="3074" width="8.6640625" style="323" customWidth="1"/>
    <col min="3075" max="3075" width="2.6640625" style="323" customWidth="1"/>
    <col min="3076" max="3076" width="5.6640625" style="323" bestFit="1" customWidth="1"/>
    <col min="3077" max="3077" width="5.88671875" style="323" bestFit="1" customWidth="1"/>
    <col min="3078" max="3080" width="5.44140625" style="323" bestFit="1" customWidth="1"/>
    <col min="3081" max="3081" width="1.6640625" style="323" customWidth="1"/>
    <col min="3082" max="3088" width="5.44140625" style="323" bestFit="1" customWidth="1"/>
    <col min="3089" max="3089" width="1.6640625" style="323" customWidth="1"/>
    <col min="3090" max="3091" width="5.44140625" style="323" bestFit="1" customWidth="1"/>
    <col min="3092" max="3328" width="11.5546875" style="323"/>
    <col min="3329" max="3329" width="4.6640625" style="323" customWidth="1"/>
    <col min="3330" max="3330" width="8.6640625" style="323" customWidth="1"/>
    <col min="3331" max="3331" width="2.6640625" style="323" customWidth="1"/>
    <col min="3332" max="3332" width="5.6640625" style="323" bestFit="1" customWidth="1"/>
    <col min="3333" max="3333" width="5.88671875" style="323" bestFit="1" customWidth="1"/>
    <col min="3334" max="3336" width="5.44140625" style="323" bestFit="1" customWidth="1"/>
    <col min="3337" max="3337" width="1.6640625" style="323" customWidth="1"/>
    <col min="3338" max="3344" width="5.44140625" style="323" bestFit="1" customWidth="1"/>
    <col min="3345" max="3345" width="1.6640625" style="323" customWidth="1"/>
    <col min="3346" max="3347" width="5.44140625" style="323" bestFit="1" customWidth="1"/>
    <col min="3348" max="3584" width="11.5546875" style="323"/>
    <col min="3585" max="3585" width="4.6640625" style="323" customWidth="1"/>
    <col min="3586" max="3586" width="8.6640625" style="323" customWidth="1"/>
    <col min="3587" max="3587" width="2.6640625" style="323" customWidth="1"/>
    <col min="3588" max="3588" width="5.6640625" style="323" bestFit="1" customWidth="1"/>
    <col min="3589" max="3589" width="5.88671875" style="323" bestFit="1" customWidth="1"/>
    <col min="3590" max="3592" width="5.44140625" style="323" bestFit="1" customWidth="1"/>
    <col min="3593" max="3593" width="1.6640625" style="323" customWidth="1"/>
    <col min="3594" max="3600" width="5.44140625" style="323" bestFit="1" customWidth="1"/>
    <col min="3601" max="3601" width="1.6640625" style="323" customWidth="1"/>
    <col min="3602" max="3603" width="5.44140625" style="323" bestFit="1" customWidth="1"/>
    <col min="3604" max="3840" width="11.5546875" style="323"/>
    <col min="3841" max="3841" width="4.6640625" style="323" customWidth="1"/>
    <col min="3842" max="3842" width="8.6640625" style="323" customWidth="1"/>
    <col min="3843" max="3843" width="2.6640625" style="323" customWidth="1"/>
    <col min="3844" max="3844" width="5.6640625" style="323" bestFit="1" customWidth="1"/>
    <col min="3845" max="3845" width="5.88671875" style="323" bestFit="1" customWidth="1"/>
    <col min="3846" max="3848" width="5.44140625" style="323" bestFit="1" customWidth="1"/>
    <col min="3849" max="3849" width="1.6640625" style="323" customWidth="1"/>
    <col min="3850" max="3856" width="5.44140625" style="323" bestFit="1" customWidth="1"/>
    <col min="3857" max="3857" width="1.6640625" style="323" customWidth="1"/>
    <col min="3858" max="3859" width="5.44140625" style="323" bestFit="1" customWidth="1"/>
    <col min="3860" max="4096" width="11.5546875" style="323"/>
    <col min="4097" max="4097" width="4.6640625" style="323" customWidth="1"/>
    <col min="4098" max="4098" width="8.6640625" style="323" customWidth="1"/>
    <col min="4099" max="4099" width="2.6640625" style="323" customWidth="1"/>
    <col min="4100" max="4100" width="5.6640625" style="323" bestFit="1" customWidth="1"/>
    <col min="4101" max="4101" width="5.88671875" style="323" bestFit="1" customWidth="1"/>
    <col min="4102" max="4104" width="5.44140625" style="323" bestFit="1" customWidth="1"/>
    <col min="4105" max="4105" width="1.6640625" style="323" customWidth="1"/>
    <col min="4106" max="4112" width="5.44140625" style="323" bestFit="1" customWidth="1"/>
    <col min="4113" max="4113" width="1.6640625" style="323" customWidth="1"/>
    <col min="4114" max="4115" width="5.44140625" style="323" bestFit="1" customWidth="1"/>
    <col min="4116" max="4352" width="11.5546875" style="323"/>
    <col min="4353" max="4353" width="4.6640625" style="323" customWidth="1"/>
    <col min="4354" max="4354" width="8.6640625" style="323" customWidth="1"/>
    <col min="4355" max="4355" width="2.6640625" style="323" customWidth="1"/>
    <col min="4356" max="4356" width="5.6640625" style="323" bestFit="1" customWidth="1"/>
    <col min="4357" max="4357" width="5.88671875" style="323" bestFit="1" customWidth="1"/>
    <col min="4358" max="4360" width="5.44140625" style="323" bestFit="1" customWidth="1"/>
    <col min="4361" max="4361" width="1.6640625" style="323" customWidth="1"/>
    <col min="4362" max="4368" width="5.44140625" style="323" bestFit="1" customWidth="1"/>
    <col min="4369" max="4369" width="1.6640625" style="323" customWidth="1"/>
    <col min="4370" max="4371" width="5.44140625" style="323" bestFit="1" customWidth="1"/>
    <col min="4372" max="4608" width="11.5546875" style="323"/>
    <col min="4609" max="4609" width="4.6640625" style="323" customWidth="1"/>
    <col min="4610" max="4610" width="8.6640625" style="323" customWidth="1"/>
    <col min="4611" max="4611" width="2.6640625" style="323" customWidth="1"/>
    <col min="4612" max="4612" width="5.6640625" style="323" bestFit="1" customWidth="1"/>
    <col min="4613" max="4613" width="5.88671875" style="323" bestFit="1" customWidth="1"/>
    <col min="4614" max="4616" width="5.44140625" style="323" bestFit="1" customWidth="1"/>
    <col min="4617" max="4617" width="1.6640625" style="323" customWidth="1"/>
    <col min="4618" max="4624" width="5.44140625" style="323" bestFit="1" customWidth="1"/>
    <col min="4625" max="4625" width="1.6640625" style="323" customWidth="1"/>
    <col min="4626" max="4627" width="5.44140625" style="323" bestFit="1" customWidth="1"/>
    <col min="4628" max="4864" width="11.5546875" style="323"/>
    <col min="4865" max="4865" width="4.6640625" style="323" customWidth="1"/>
    <col min="4866" max="4866" width="8.6640625" style="323" customWidth="1"/>
    <col min="4867" max="4867" width="2.6640625" style="323" customWidth="1"/>
    <col min="4868" max="4868" width="5.6640625" style="323" bestFit="1" customWidth="1"/>
    <col min="4869" max="4869" width="5.88671875" style="323" bestFit="1" customWidth="1"/>
    <col min="4870" max="4872" width="5.44140625" style="323" bestFit="1" customWidth="1"/>
    <col min="4873" max="4873" width="1.6640625" style="323" customWidth="1"/>
    <col min="4874" max="4880" width="5.44140625" style="323" bestFit="1" customWidth="1"/>
    <col min="4881" max="4881" width="1.6640625" style="323" customWidth="1"/>
    <col min="4882" max="4883" width="5.44140625" style="323" bestFit="1" customWidth="1"/>
    <col min="4884" max="5120" width="11.5546875" style="323"/>
    <col min="5121" max="5121" width="4.6640625" style="323" customWidth="1"/>
    <col min="5122" max="5122" width="8.6640625" style="323" customWidth="1"/>
    <col min="5123" max="5123" width="2.6640625" style="323" customWidth="1"/>
    <col min="5124" max="5124" width="5.6640625" style="323" bestFit="1" customWidth="1"/>
    <col min="5125" max="5125" width="5.88671875" style="323" bestFit="1" customWidth="1"/>
    <col min="5126" max="5128" width="5.44140625" style="323" bestFit="1" customWidth="1"/>
    <col min="5129" max="5129" width="1.6640625" style="323" customWidth="1"/>
    <col min="5130" max="5136" width="5.44140625" style="323" bestFit="1" customWidth="1"/>
    <col min="5137" max="5137" width="1.6640625" style="323" customWidth="1"/>
    <col min="5138" max="5139" width="5.44140625" style="323" bestFit="1" customWidth="1"/>
    <col min="5140" max="5376" width="11.5546875" style="323"/>
    <col min="5377" max="5377" width="4.6640625" style="323" customWidth="1"/>
    <col min="5378" max="5378" width="8.6640625" style="323" customWidth="1"/>
    <col min="5379" max="5379" width="2.6640625" style="323" customWidth="1"/>
    <col min="5380" max="5380" width="5.6640625" style="323" bestFit="1" customWidth="1"/>
    <col min="5381" max="5381" width="5.88671875" style="323" bestFit="1" customWidth="1"/>
    <col min="5382" max="5384" width="5.44140625" style="323" bestFit="1" customWidth="1"/>
    <col min="5385" max="5385" width="1.6640625" style="323" customWidth="1"/>
    <col min="5386" max="5392" width="5.44140625" style="323" bestFit="1" customWidth="1"/>
    <col min="5393" max="5393" width="1.6640625" style="323" customWidth="1"/>
    <col min="5394" max="5395" width="5.44140625" style="323" bestFit="1" customWidth="1"/>
    <col min="5396" max="5632" width="11.5546875" style="323"/>
    <col min="5633" max="5633" width="4.6640625" style="323" customWidth="1"/>
    <col min="5634" max="5634" width="8.6640625" style="323" customWidth="1"/>
    <col min="5635" max="5635" width="2.6640625" style="323" customWidth="1"/>
    <col min="5636" max="5636" width="5.6640625" style="323" bestFit="1" customWidth="1"/>
    <col min="5637" max="5637" width="5.88671875" style="323" bestFit="1" customWidth="1"/>
    <col min="5638" max="5640" width="5.44140625" style="323" bestFit="1" customWidth="1"/>
    <col min="5641" max="5641" width="1.6640625" style="323" customWidth="1"/>
    <col min="5642" max="5648" width="5.44140625" style="323" bestFit="1" customWidth="1"/>
    <col min="5649" max="5649" width="1.6640625" style="323" customWidth="1"/>
    <col min="5650" max="5651" width="5.44140625" style="323" bestFit="1" customWidth="1"/>
    <col min="5652" max="5888" width="11.5546875" style="323"/>
    <col min="5889" max="5889" width="4.6640625" style="323" customWidth="1"/>
    <col min="5890" max="5890" width="8.6640625" style="323" customWidth="1"/>
    <col min="5891" max="5891" width="2.6640625" style="323" customWidth="1"/>
    <col min="5892" max="5892" width="5.6640625" style="323" bestFit="1" customWidth="1"/>
    <col min="5893" max="5893" width="5.88671875" style="323" bestFit="1" customWidth="1"/>
    <col min="5894" max="5896" width="5.44140625" style="323" bestFit="1" customWidth="1"/>
    <col min="5897" max="5897" width="1.6640625" style="323" customWidth="1"/>
    <col min="5898" max="5904" width="5.44140625" style="323" bestFit="1" customWidth="1"/>
    <col min="5905" max="5905" width="1.6640625" style="323" customWidth="1"/>
    <col min="5906" max="5907" width="5.44140625" style="323" bestFit="1" customWidth="1"/>
    <col min="5908" max="6144" width="11.5546875" style="323"/>
    <col min="6145" max="6145" width="4.6640625" style="323" customWidth="1"/>
    <col min="6146" max="6146" width="8.6640625" style="323" customWidth="1"/>
    <col min="6147" max="6147" width="2.6640625" style="323" customWidth="1"/>
    <col min="6148" max="6148" width="5.6640625" style="323" bestFit="1" customWidth="1"/>
    <col min="6149" max="6149" width="5.88671875" style="323" bestFit="1" customWidth="1"/>
    <col min="6150" max="6152" width="5.44140625" style="323" bestFit="1" customWidth="1"/>
    <col min="6153" max="6153" width="1.6640625" style="323" customWidth="1"/>
    <col min="6154" max="6160" width="5.44140625" style="323" bestFit="1" customWidth="1"/>
    <col min="6161" max="6161" width="1.6640625" style="323" customWidth="1"/>
    <col min="6162" max="6163" width="5.44140625" style="323" bestFit="1" customWidth="1"/>
    <col min="6164" max="6400" width="11.5546875" style="323"/>
    <col min="6401" max="6401" width="4.6640625" style="323" customWidth="1"/>
    <col min="6402" max="6402" width="8.6640625" style="323" customWidth="1"/>
    <col min="6403" max="6403" width="2.6640625" style="323" customWidth="1"/>
    <col min="6404" max="6404" width="5.6640625" style="323" bestFit="1" customWidth="1"/>
    <col min="6405" max="6405" width="5.88671875" style="323" bestFit="1" customWidth="1"/>
    <col min="6406" max="6408" width="5.44140625" style="323" bestFit="1" customWidth="1"/>
    <col min="6409" max="6409" width="1.6640625" style="323" customWidth="1"/>
    <col min="6410" max="6416" width="5.44140625" style="323" bestFit="1" customWidth="1"/>
    <col min="6417" max="6417" width="1.6640625" style="323" customWidth="1"/>
    <col min="6418" max="6419" width="5.44140625" style="323" bestFit="1" customWidth="1"/>
    <col min="6420" max="6656" width="11.5546875" style="323"/>
    <col min="6657" max="6657" width="4.6640625" style="323" customWidth="1"/>
    <col min="6658" max="6658" width="8.6640625" style="323" customWidth="1"/>
    <col min="6659" max="6659" width="2.6640625" style="323" customWidth="1"/>
    <col min="6660" max="6660" width="5.6640625" style="323" bestFit="1" customWidth="1"/>
    <col min="6661" max="6661" width="5.88671875" style="323" bestFit="1" customWidth="1"/>
    <col min="6662" max="6664" width="5.44140625" style="323" bestFit="1" customWidth="1"/>
    <col min="6665" max="6665" width="1.6640625" style="323" customWidth="1"/>
    <col min="6666" max="6672" width="5.44140625" style="323" bestFit="1" customWidth="1"/>
    <col min="6673" max="6673" width="1.6640625" style="323" customWidth="1"/>
    <col min="6674" max="6675" width="5.44140625" style="323" bestFit="1" customWidth="1"/>
    <col min="6676" max="6912" width="11.5546875" style="323"/>
    <col min="6913" max="6913" width="4.6640625" style="323" customWidth="1"/>
    <col min="6914" max="6914" width="8.6640625" style="323" customWidth="1"/>
    <col min="6915" max="6915" width="2.6640625" style="323" customWidth="1"/>
    <col min="6916" max="6916" width="5.6640625" style="323" bestFit="1" customWidth="1"/>
    <col min="6917" max="6917" width="5.88671875" style="323" bestFit="1" customWidth="1"/>
    <col min="6918" max="6920" width="5.44140625" style="323" bestFit="1" customWidth="1"/>
    <col min="6921" max="6921" width="1.6640625" style="323" customWidth="1"/>
    <col min="6922" max="6928" width="5.44140625" style="323" bestFit="1" customWidth="1"/>
    <col min="6929" max="6929" width="1.6640625" style="323" customWidth="1"/>
    <col min="6930" max="6931" width="5.44140625" style="323" bestFit="1" customWidth="1"/>
    <col min="6932" max="7168" width="11.5546875" style="323"/>
    <col min="7169" max="7169" width="4.6640625" style="323" customWidth="1"/>
    <col min="7170" max="7170" width="8.6640625" style="323" customWidth="1"/>
    <col min="7171" max="7171" width="2.6640625" style="323" customWidth="1"/>
    <col min="7172" max="7172" width="5.6640625" style="323" bestFit="1" customWidth="1"/>
    <col min="7173" max="7173" width="5.88671875" style="323" bestFit="1" customWidth="1"/>
    <col min="7174" max="7176" width="5.44140625" style="323" bestFit="1" customWidth="1"/>
    <col min="7177" max="7177" width="1.6640625" style="323" customWidth="1"/>
    <col min="7178" max="7184" width="5.44140625" style="323" bestFit="1" customWidth="1"/>
    <col min="7185" max="7185" width="1.6640625" style="323" customWidth="1"/>
    <col min="7186" max="7187" width="5.44140625" style="323" bestFit="1" customWidth="1"/>
    <col min="7188" max="7424" width="11.5546875" style="323"/>
    <col min="7425" max="7425" width="4.6640625" style="323" customWidth="1"/>
    <col min="7426" max="7426" width="8.6640625" style="323" customWidth="1"/>
    <col min="7427" max="7427" width="2.6640625" style="323" customWidth="1"/>
    <col min="7428" max="7428" width="5.6640625" style="323" bestFit="1" customWidth="1"/>
    <col min="7429" max="7429" width="5.88671875" style="323" bestFit="1" customWidth="1"/>
    <col min="7430" max="7432" width="5.44140625" style="323" bestFit="1" customWidth="1"/>
    <col min="7433" max="7433" width="1.6640625" style="323" customWidth="1"/>
    <col min="7434" max="7440" width="5.44140625" style="323" bestFit="1" customWidth="1"/>
    <col min="7441" max="7441" width="1.6640625" style="323" customWidth="1"/>
    <col min="7442" max="7443" width="5.44140625" style="323" bestFit="1" customWidth="1"/>
    <col min="7444" max="7680" width="11.5546875" style="323"/>
    <col min="7681" max="7681" width="4.6640625" style="323" customWidth="1"/>
    <col min="7682" max="7682" width="8.6640625" style="323" customWidth="1"/>
    <col min="7683" max="7683" width="2.6640625" style="323" customWidth="1"/>
    <col min="7684" max="7684" width="5.6640625" style="323" bestFit="1" customWidth="1"/>
    <col min="7685" max="7685" width="5.88671875" style="323" bestFit="1" customWidth="1"/>
    <col min="7686" max="7688" width="5.44140625" style="323" bestFit="1" customWidth="1"/>
    <col min="7689" max="7689" width="1.6640625" style="323" customWidth="1"/>
    <col min="7690" max="7696" width="5.44140625" style="323" bestFit="1" customWidth="1"/>
    <col min="7697" max="7697" width="1.6640625" style="323" customWidth="1"/>
    <col min="7698" max="7699" width="5.44140625" style="323" bestFit="1" customWidth="1"/>
    <col min="7700" max="7936" width="11.5546875" style="323"/>
    <col min="7937" max="7937" width="4.6640625" style="323" customWidth="1"/>
    <col min="7938" max="7938" width="8.6640625" style="323" customWidth="1"/>
    <col min="7939" max="7939" width="2.6640625" style="323" customWidth="1"/>
    <col min="7940" max="7940" width="5.6640625" style="323" bestFit="1" customWidth="1"/>
    <col min="7941" max="7941" width="5.88671875" style="323" bestFit="1" customWidth="1"/>
    <col min="7942" max="7944" width="5.44140625" style="323" bestFit="1" customWidth="1"/>
    <col min="7945" max="7945" width="1.6640625" style="323" customWidth="1"/>
    <col min="7946" max="7952" width="5.44140625" style="323" bestFit="1" customWidth="1"/>
    <col min="7953" max="7953" width="1.6640625" style="323" customWidth="1"/>
    <col min="7954" max="7955" width="5.44140625" style="323" bestFit="1" customWidth="1"/>
    <col min="7956" max="8192" width="11.5546875" style="323"/>
    <col min="8193" max="8193" width="4.6640625" style="323" customWidth="1"/>
    <col min="8194" max="8194" width="8.6640625" style="323" customWidth="1"/>
    <col min="8195" max="8195" width="2.6640625" style="323" customWidth="1"/>
    <col min="8196" max="8196" width="5.6640625" style="323" bestFit="1" customWidth="1"/>
    <col min="8197" max="8197" width="5.88671875" style="323" bestFit="1" customWidth="1"/>
    <col min="8198" max="8200" width="5.44140625" style="323" bestFit="1" customWidth="1"/>
    <col min="8201" max="8201" width="1.6640625" style="323" customWidth="1"/>
    <col min="8202" max="8208" width="5.44140625" style="323" bestFit="1" customWidth="1"/>
    <col min="8209" max="8209" width="1.6640625" style="323" customWidth="1"/>
    <col min="8210" max="8211" width="5.44140625" style="323" bestFit="1" customWidth="1"/>
    <col min="8212" max="8448" width="11.5546875" style="323"/>
    <col min="8449" max="8449" width="4.6640625" style="323" customWidth="1"/>
    <col min="8450" max="8450" width="8.6640625" style="323" customWidth="1"/>
    <col min="8451" max="8451" width="2.6640625" style="323" customWidth="1"/>
    <col min="8452" max="8452" width="5.6640625" style="323" bestFit="1" customWidth="1"/>
    <col min="8453" max="8453" width="5.88671875" style="323" bestFit="1" customWidth="1"/>
    <col min="8454" max="8456" width="5.44140625" style="323" bestFit="1" customWidth="1"/>
    <col min="8457" max="8457" width="1.6640625" style="323" customWidth="1"/>
    <col min="8458" max="8464" width="5.44140625" style="323" bestFit="1" customWidth="1"/>
    <col min="8465" max="8465" width="1.6640625" style="323" customWidth="1"/>
    <col min="8466" max="8467" width="5.44140625" style="323" bestFit="1" customWidth="1"/>
    <col min="8468" max="8704" width="11.5546875" style="323"/>
    <col min="8705" max="8705" width="4.6640625" style="323" customWidth="1"/>
    <col min="8706" max="8706" width="8.6640625" style="323" customWidth="1"/>
    <col min="8707" max="8707" width="2.6640625" style="323" customWidth="1"/>
    <col min="8708" max="8708" width="5.6640625" style="323" bestFit="1" customWidth="1"/>
    <col min="8709" max="8709" width="5.88671875" style="323" bestFit="1" customWidth="1"/>
    <col min="8710" max="8712" width="5.44140625" style="323" bestFit="1" customWidth="1"/>
    <col min="8713" max="8713" width="1.6640625" style="323" customWidth="1"/>
    <col min="8714" max="8720" width="5.44140625" style="323" bestFit="1" customWidth="1"/>
    <col min="8721" max="8721" width="1.6640625" style="323" customWidth="1"/>
    <col min="8722" max="8723" width="5.44140625" style="323" bestFit="1" customWidth="1"/>
    <col min="8724" max="8960" width="11.5546875" style="323"/>
    <col min="8961" max="8961" width="4.6640625" style="323" customWidth="1"/>
    <col min="8962" max="8962" width="8.6640625" style="323" customWidth="1"/>
    <col min="8963" max="8963" width="2.6640625" style="323" customWidth="1"/>
    <col min="8964" max="8964" width="5.6640625" style="323" bestFit="1" customWidth="1"/>
    <col min="8965" max="8965" width="5.88671875" style="323" bestFit="1" customWidth="1"/>
    <col min="8966" max="8968" width="5.44140625" style="323" bestFit="1" customWidth="1"/>
    <col min="8969" max="8969" width="1.6640625" style="323" customWidth="1"/>
    <col min="8970" max="8976" width="5.44140625" style="323" bestFit="1" customWidth="1"/>
    <col min="8977" max="8977" width="1.6640625" style="323" customWidth="1"/>
    <col min="8978" max="8979" width="5.44140625" style="323" bestFit="1" customWidth="1"/>
    <col min="8980" max="9216" width="11.5546875" style="323"/>
    <col min="9217" max="9217" width="4.6640625" style="323" customWidth="1"/>
    <col min="9218" max="9218" width="8.6640625" style="323" customWidth="1"/>
    <col min="9219" max="9219" width="2.6640625" style="323" customWidth="1"/>
    <col min="9220" max="9220" width="5.6640625" style="323" bestFit="1" customWidth="1"/>
    <col min="9221" max="9221" width="5.88671875" style="323" bestFit="1" customWidth="1"/>
    <col min="9222" max="9224" width="5.44140625" style="323" bestFit="1" customWidth="1"/>
    <col min="9225" max="9225" width="1.6640625" style="323" customWidth="1"/>
    <col min="9226" max="9232" width="5.44140625" style="323" bestFit="1" customWidth="1"/>
    <col min="9233" max="9233" width="1.6640625" style="323" customWidth="1"/>
    <col min="9234" max="9235" width="5.44140625" style="323" bestFit="1" customWidth="1"/>
    <col min="9236" max="9472" width="11.5546875" style="323"/>
    <col min="9473" max="9473" width="4.6640625" style="323" customWidth="1"/>
    <col min="9474" max="9474" width="8.6640625" style="323" customWidth="1"/>
    <col min="9475" max="9475" width="2.6640625" style="323" customWidth="1"/>
    <col min="9476" max="9476" width="5.6640625" style="323" bestFit="1" customWidth="1"/>
    <col min="9477" max="9477" width="5.88671875" style="323" bestFit="1" customWidth="1"/>
    <col min="9478" max="9480" width="5.44140625" style="323" bestFit="1" customWidth="1"/>
    <col min="9481" max="9481" width="1.6640625" style="323" customWidth="1"/>
    <col min="9482" max="9488" width="5.44140625" style="323" bestFit="1" customWidth="1"/>
    <col min="9489" max="9489" width="1.6640625" style="323" customWidth="1"/>
    <col min="9490" max="9491" width="5.44140625" style="323" bestFit="1" customWidth="1"/>
    <col min="9492" max="9728" width="11.5546875" style="323"/>
    <col min="9729" max="9729" width="4.6640625" style="323" customWidth="1"/>
    <col min="9730" max="9730" width="8.6640625" style="323" customWidth="1"/>
    <col min="9731" max="9731" width="2.6640625" style="323" customWidth="1"/>
    <col min="9732" max="9732" width="5.6640625" style="323" bestFit="1" customWidth="1"/>
    <col min="9733" max="9733" width="5.88671875" style="323" bestFit="1" customWidth="1"/>
    <col min="9734" max="9736" width="5.44140625" style="323" bestFit="1" customWidth="1"/>
    <col min="9737" max="9737" width="1.6640625" style="323" customWidth="1"/>
    <col min="9738" max="9744" width="5.44140625" style="323" bestFit="1" customWidth="1"/>
    <col min="9745" max="9745" width="1.6640625" style="323" customWidth="1"/>
    <col min="9746" max="9747" width="5.44140625" style="323" bestFit="1" customWidth="1"/>
    <col min="9748" max="9984" width="11.5546875" style="323"/>
    <col min="9985" max="9985" width="4.6640625" style="323" customWidth="1"/>
    <col min="9986" max="9986" width="8.6640625" style="323" customWidth="1"/>
    <col min="9987" max="9987" width="2.6640625" style="323" customWidth="1"/>
    <col min="9988" max="9988" width="5.6640625" style="323" bestFit="1" customWidth="1"/>
    <col min="9989" max="9989" width="5.88671875" style="323" bestFit="1" customWidth="1"/>
    <col min="9990" max="9992" width="5.44140625" style="323" bestFit="1" customWidth="1"/>
    <col min="9993" max="9993" width="1.6640625" style="323" customWidth="1"/>
    <col min="9994" max="10000" width="5.44140625" style="323" bestFit="1" customWidth="1"/>
    <col min="10001" max="10001" width="1.6640625" style="323" customWidth="1"/>
    <col min="10002" max="10003" width="5.44140625" style="323" bestFit="1" customWidth="1"/>
    <col min="10004" max="10240" width="11.5546875" style="323"/>
    <col min="10241" max="10241" width="4.6640625" style="323" customWidth="1"/>
    <col min="10242" max="10242" width="8.6640625" style="323" customWidth="1"/>
    <col min="10243" max="10243" width="2.6640625" style="323" customWidth="1"/>
    <col min="10244" max="10244" width="5.6640625" style="323" bestFit="1" customWidth="1"/>
    <col min="10245" max="10245" width="5.88671875" style="323" bestFit="1" customWidth="1"/>
    <col min="10246" max="10248" width="5.44140625" style="323" bestFit="1" customWidth="1"/>
    <col min="10249" max="10249" width="1.6640625" style="323" customWidth="1"/>
    <col min="10250" max="10256" width="5.44140625" style="323" bestFit="1" customWidth="1"/>
    <col min="10257" max="10257" width="1.6640625" style="323" customWidth="1"/>
    <col min="10258" max="10259" width="5.44140625" style="323" bestFit="1" customWidth="1"/>
    <col min="10260" max="10496" width="11.5546875" style="323"/>
    <col min="10497" max="10497" width="4.6640625" style="323" customWidth="1"/>
    <col min="10498" max="10498" width="8.6640625" style="323" customWidth="1"/>
    <col min="10499" max="10499" width="2.6640625" style="323" customWidth="1"/>
    <col min="10500" max="10500" width="5.6640625" style="323" bestFit="1" customWidth="1"/>
    <col min="10501" max="10501" width="5.88671875" style="323" bestFit="1" customWidth="1"/>
    <col min="10502" max="10504" width="5.44140625" style="323" bestFit="1" customWidth="1"/>
    <col min="10505" max="10505" width="1.6640625" style="323" customWidth="1"/>
    <col min="10506" max="10512" width="5.44140625" style="323" bestFit="1" customWidth="1"/>
    <col min="10513" max="10513" width="1.6640625" style="323" customWidth="1"/>
    <col min="10514" max="10515" width="5.44140625" style="323" bestFit="1" customWidth="1"/>
    <col min="10516" max="10752" width="11.5546875" style="323"/>
    <col min="10753" max="10753" width="4.6640625" style="323" customWidth="1"/>
    <col min="10754" max="10754" width="8.6640625" style="323" customWidth="1"/>
    <col min="10755" max="10755" width="2.6640625" style="323" customWidth="1"/>
    <col min="10756" max="10756" width="5.6640625" style="323" bestFit="1" customWidth="1"/>
    <col min="10757" max="10757" width="5.88671875" style="323" bestFit="1" customWidth="1"/>
    <col min="10758" max="10760" width="5.44140625" style="323" bestFit="1" customWidth="1"/>
    <col min="10761" max="10761" width="1.6640625" style="323" customWidth="1"/>
    <col min="10762" max="10768" width="5.44140625" style="323" bestFit="1" customWidth="1"/>
    <col min="10769" max="10769" width="1.6640625" style="323" customWidth="1"/>
    <col min="10770" max="10771" width="5.44140625" style="323" bestFit="1" customWidth="1"/>
    <col min="10772" max="11008" width="11.5546875" style="323"/>
    <col min="11009" max="11009" width="4.6640625" style="323" customWidth="1"/>
    <col min="11010" max="11010" width="8.6640625" style="323" customWidth="1"/>
    <col min="11011" max="11011" width="2.6640625" style="323" customWidth="1"/>
    <col min="11012" max="11012" width="5.6640625" style="323" bestFit="1" customWidth="1"/>
    <col min="11013" max="11013" width="5.88671875" style="323" bestFit="1" customWidth="1"/>
    <col min="11014" max="11016" width="5.44140625" style="323" bestFit="1" customWidth="1"/>
    <col min="11017" max="11017" width="1.6640625" style="323" customWidth="1"/>
    <col min="11018" max="11024" width="5.44140625" style="323" bestFit="1" customWidth="1"/>
    <col min="11025" max="11025" width="1.6640625" style="323" customWidth="1"/>
    <col min="11026" max="11027" width="5.44140625" style="323" bestFit="1" customWidth="1"/>
    <col min="11028" max="11264" width="11.5546875" style="323"/>
    <col min="11265" max="11265" width="4.6640625" style="323" customWidth="1"/>
    <col min="11266" max="11266" width="8.6640625" style="323" customWidth="1"/>
    <col min="11267" max="11267" width="2.6640625" style="323" customWidth="1"/>
    <col min="11268" max="11268" width="5.6640625" style="323" bestFit="1" customWidth="1"/>
    <col min="11269" max="11269" width="5.88671875" style="323" bestFit="1" customWidth="1"/>
    <col min="11270" max="11272" width="5.44140625" style="323" bestFit="1" customWidth="1"/>
    <col min="11273" max="11273" width="1.6640625" style="323" customWidth="1"/>
    <col min="11274" max="11280" width="5.44140625" style="323" bestFit="1" customWidth="1"/>
    <col min="11281" max="11281" width="1.6640625" style="323" customWidth="1"/>
    <col min="11282" max="11283" width="5.44140625" style="323" bestFit="1" customWidth="1"/>
    <col min="11284" max="11520" width="11.5546875" style="323"/>
    <col min="11521" max="11521" width="4.6640625" style="323" customWidth="1"/>
    <col min="11522" max="11522" width="8.6640625" style="323" customWidth="1"/>
    <col min="11523" max="11523" width="2.6640625" style="323" customWidth="1"/>
    <col min="11524" max="11524" width="5.6640625" style="323" bestFit="1" customWidth="1"/>
    <col min="11525" max="11525" width="5.88671875" style="323" bestFit="1" customWidth="1"/>
    <col min="11526" max="11528" width="5.44140625" style="323" bestFit="1" customWidth="1"/>
    <col min="11529" max="11529" width="1.6640625" style="323" customWidth="1"/>
    <col min="11530" max="11536" width="5.44140625" style="323" bestFit="1" customWidth="1"/>
    <col min="11537" max="11537" width="1.6640625" style="323" customWidth="1"/>
    <col min="11538" max="11539" width="5.44140625" style="323" bestFit="1" customWidth="1"/>
    <col min="11540" max="11776" width="11.5546875" style="323"/>
    <col min="11777" max="11777" width="4.6640625" style="323" customWidth="1"/>
    <col min="11778" max="11778" width="8.6640625" style="323" customWidth="1"/>
    <col min="11779" max="11779" width="2.6640625" style="323" customWidth="1"/>
    <col min="11780" max="11780" width="5.6640625" style="323" bestFit="1" customWidth="1"/>
    <col min="11781" max="11781" width="5.88671875" style="323" bestFit="1" customWidth="1"/>
    <col min="11782" max="11784" width="5.44140625" style="323" bestFit="1" customWidth="1"/>
    <col min="11785" max="11785" width="1.6640625" style="323" customWidth="1"/>
    <col min="11786" max="11792" width="5.44140625" style="323" bestFit="1" customWidth="1"/>
    <col min="11793" max="11793" width="1.6640625" style="323" customWidth="1"/>
    <col min="11794" max="11795" width="5.44140625" style="323" bestFit="1" customWidth="1"/>
    <col min="11796" max="12032" width="11.5546875" style="323"/>
    <col min="12033" max="12033" width="4.6640625" style="323" customWidth="1"/>
    <col min="12034" max="12034" width="8.6640625" style="323" customWidth="1"/>
    <col min="12035" max="12035" width="2.6640625" style="323" customWidth="1"/>
    <col min="12036" max="12036" width="5.6640625" style="323" bestFit="1" customWidth="1"/>
    <col min="12037" max="12037" width="5.88671875" style="323" bestFit="1" customWidth="1"/>
    <col min="12038" max="12040" width="5.44140625" style="323" bestFit="1" customWidth="1"/>
    <col min="12041" max="12041" width="1.6640625" style="323" customWidth="1"/>
    <col min="12042" max="12048" width="5.44140625" style="323" bestFit="1" customWidth="1"/>
    <col min="12049" max="12049" width="1.6640625" style="323" customWidth="1"/>
    <col min="12050" max="12051" width="5.44140625" style="323" bestFit="1" customWidth="1"/>
    <col min="12052" max="12288" width="11.5546875" style="323"/>
    <col min="12289" max="12289" width="4.6640625" style="323" customWidth="1"/>
    <col min="12290" max="12290" width="8.6640625" style="323" customWidth="1"/>
    <col min="12291" max="12291" width="2.6640625" style="323" customWidth="1"/>
    <col min="12292" max="12292" width="5.6640625" style="323" bestFit="1" customWidth="1"/>
    <col min="12293" max="12293" width="5.88671875" style="323" bestFit="1" customWidth="1"/>
    <col min="12294" max="12296" width="5.44140625" style="323" bestFit="1" customWidth="1"/>
    <col min="12297" max="12297" width="1.6640625" style="323" customWidth="1"/>
    <col min="12298" max="12304" width="5.44140625" style="323" bestFit="1" customWidth="1"/>
    <col min="12305" max="12305" width="1.6640625" style="323" customWidth="1"/>
    <col min="12306" max="12307" width="5.44140625" style="323" bestFit="1" customWidth="1"/>
    <col min="12308" max="12544" width="11.5546875" style="323"/>
    <col min="12545" max="12545" width="4.6640625" style="323" customWidth="1"/>
    <col min="12546" max="12546" width="8.6640625" style="323" customWidth="1"/>
    <col min="12547" max="12547" width="2.6640625" style="323" customWidth="1"/>
    <col min="12548" max="12548" width="5.6640625" style="323" bestFit="1" customWidth="1"/>
    <col min="12549" max="12549" width="5.88671875" style="323" bestFit="1" customWidth="1"/>
    <col min="12550" max="12552" width="5.44140625" style="323" bestFit="1" customWidth="1"/>
    <col min="12553" max="12553" width="1.6640625" style="323" customWidth="1"/>
    <col min="12554" max="12560" width="5.44140625" style="323" bestFit="1" customWidth="1"/>
    <col min="12561" max="12561" width="1.6640625" style="323" customWidth="1"/>
    <col min="12562" max="12563" width="5.44140625" style="323" bestFit="1" customWidth="1"/>
    <col min="12564" max="12800" width="11.5546875" style="323"/>
    <col min="12801" max="12801" width="4.6640625" style="323" customWidth="1"/>
    <col min="12802" max="12802" width="8.6640625" style="323" customWidth="1"/>
    <col min="12803" max="12803" width="2.6640625" style="323" customWidth="1"/>
    <col min="12804" max="12804" width="5.6640625" style="323" bestFit="1" customWidth="1"/>
    <col min="12805" max="12805" width="5.88671875" style="323" bestFit="1" customWidth="1"/>
    <col min="12806" max="12808" width="5.44140625" style="323" bestFit="1" customWidth="1"/>
    <col min="12809" max="12809" width="1.6640625" style="323" customWidth="1"/>
    <col min="12810" max="12816" width="5.44140625" style="323" bestFit="1" customWidth="1"/>
    <col min="12817" max="12817" width="1.6640625" style="323" customWidth="1"/>
    <col min="12818" max="12819" width="5.44140625" style="323" bestFit="1" customWidth="1"/>
    <col min="12820" max="13056" width="11.5546875" style="323"/>
    <col min="13057" max="13057" width="4.6640625" style="323" customWidth="1"/>
    <col min="13058" max="13058" width="8.6640625" style="323" customWidth="1"/>
    <col min="13059" max="13059" width="2.6640625" style="323" customWidth="1"/>
    <col min="13060" max="13060" width="5.6640625" style="323" bestFit="1" customWidth="1"/>
    <col min="13061" max="13061" width="5.88671875" style="323" bestFit="1" customWidth="1"/>
    <col min="13062" max="13064" width="5.44140625" style="323" bestFit="1" customWidth="1"/>
    <col min="13065" max="13065" width="1.6640625" style="323" customWidth="1"/>
    <col min="13066" max="13072" width="5.44140625" style="323" bestFit="1" customWidth="1"/>
    <col min="13073" max="13073" width="1.6640625" style="323" customWidth="1"/>
    <col min="13074" max="13075" width="5.44140625" style="323" bestFit="1" customWidth="1"/>
    <col min="13076" max="13312" width="11.5546875" style="323"/>
    <col min="13313" max="13313" width="4.6640625" style="323" customWidth="1"/>
    <col min="13314" max="13314" width="8.6640625" style="323" customWidth="1"/>
    <col min="13315" max="13315" width="2.6640625" style="323" customWidth="1"/>
    <col min="13316" max="13316" width="5.6640625" style="323" bestFit="1" customWidth="1"/>
    <col min="13317" max="13317" width="5.88671875" style="323" bestFit="1" customWidth="1"/>
    <col min="13318" max="13320" width="5.44140625" style="323" bestFit="1" customWidth="1"/>
    <col min="13321" max="13321" width="1.6640625" style="323" customWidth="1"/>
    <col min="13322" max="13328" width="5.44140625" style="323" bestFit="1" customWidth="1"/>
    <col min="13329" max="13329" width="1.6640625" style="323" customWidth="1"/>
    <col min="13330" max="13331" width="5.44140625" style="323" bestFit="1" customWidth="1"/>
    <col min="13332" max="13568" width="11.5546875" style="323"/>
    <col min="13569" max="13569" width="4.6640625" style="323" customWidth="1"/>
    <col min="13570" max="13570" width="8.6640625" style="323" customWidth="1"/>
    <col min="13571" max="13571" width="2.6640625" style="323" customWidth="1"/>
    <col min="13572" max="13572" width="5.6640625" style="323" bestFit="1" customWidth="1"/>
    <col min="13573" max="13573" width="5.88671875" style="323" bestFit="1" customWidth="1"/>
    <col min="13574" max="13576" width="5.44140625" style="323" bestFit="1" customWidth="1"/>
    <col min="13577" max="13577" width="1.6640625" style="323" customWidth="1"/>
    <col min="13578" max="13584" width="5.44140625" style="323" bestFit="1" customWidth="1"/>
    <col min="13585" max="13585" width="1.6640625" style="323" customWidth="1"/>
    <col min="13586" max="13587" width="5.44140625" style="323" bestFit="1" customWidth="1"/>
    <col min="13588" max="13824" width="11.5546875" style="323"/>
    <col min="13825" max="13825" width="4.6640625" style="323" customWidth="1"/>
    <col min="13826" max="13826" width="8.6640625" style="323" customWidth="1"/>
    <col min="13827" max="13827" width="2.6640625" style="323" customWidth="1"/>
    <col min="13828" max="13828" width="5.6640625" style="323" bestFit="1" customWidth="1"/>
    <col min="13829" max="13829" width="5.88671875" style="323" bestFit="1" customWidth="1"/>
    <col min="13830" max="13832" width="5.44140625" style="323" bestFit="1" customWidth="1"/>
    <col min="13833" max="13833" width="1.6640625" style="323" customWidth="1"/>
    <col min="13834" max="13840" width="5.44140625" style="323" bestFit="1" customWidth="1"/>
    <col min="13841" max="13841" width="1.6640625" style="323" customWidth="1"/>
    <col min="13842" max="13843" width="5.44140625" style="323" bestFit="1" customWidth="1"/>
    <col min="13844" max="14080" width="11.5546875" style="323"/>
    <col min="14081" max="14081" width="4.6640625" style="323" customWidth="1"/>
    <col min="14082" max="14082" width="8.6640625" style="323" customWidth="1"/>
    <col min="14083" max="14083" width="2.6640625" style="323" customWidth="1"/>
    <col min="14084" max="14084" width="5.6640625" style="323" bestFit="1" customWidth="1"/>
    <col min="14085" max="14085" width="5.88671875" style="323" bestFit="1" customWidth="1"/>
    <col min="14086" max="14088" width="5.44140625" style="323" bestFit="1" customWidth="1"/>
    <col min="14089" max="14089" width="1.6640625" style="323" customWidth="1"/>
    <col min="14090" max="14096" width="5.44140625" style="323" bestFit="1" customWidth="1"/>
    <col min="14097" max="14097" width="1.6640625" style="323" customWidth="1"/>
    <col min="14098" max="14099" width="5.44140625" style="323" bestFit="1" customWidth="1"/>
    <col min="14100" max="14336" width="11.5546875" style="323"/>
    <col min="14337" max="14337" width="4.6640625" style="323" customWidth="1"/>
    <col min="14338" max="14338" width="8.6640625" style="323" customWidth="1"/>
    <col min="14339" max="14339" width="2.6640625" style="323" customWidth="1"/>
    <col min="14340" max="14340" width="5.6640625" style="323" bestFit="1" customWidth="1"/>
    <col min="14341" max="14341" width="5.88671875" style="323" bestFit="1" customWidth="1"/>
    <col min="14342" max="14344" width="5.44140625" style="323" bestFit="1" customWidth="1"/>
    <col min="14345" max="14345" width="1.6640625" style="323" customWidth="1"/>
    <col min="14346" max="14352" width="5.44140625" style="323" bestFit="1" customWidth="1"/>
    <col min="14353" max="14353" width="1.6640625" style="323" customWidth="1"/>
    <col min="14354" max="14355" width="5.44140625" style="323" bestFit="1" customWidth="1"/>
    <col min="14356" max="14592" width="11.5546875" style="323"/>
    <col min="14593" max="14593" width="4.6640625" style="323" customWidth="1"/>
    <col min="14594" max="14594" width="8.6640625" style="323" customWidth="1"/>
    <col min="14595" max="14595" width="2.6640625" style="323" customWidth="1"/>
    <col min="14596" max="14596" width="5.6640625" style="323" bestFit="1" customWidth="1"/>
    <col min="14597" max="14597" width="5.88671875" style="323" bestFit="1" customWidth="1"/>
    <col min="14598" max="14600" width="5.44140625" style="323" bestFit="1" customWidth="1"/>
    <col min="14601" max="14601" width="1.6640625" style="323" customWidth="1"/>
    <col min="14602" max="14608" width="5.44140625" style="323" bestFit="1" customWidth="1"/>
    <col min="14609" max="14609" width="1.6640625" style="323" customWidth="1"/>
    <col min="14610" max="14611" width="5.44140625" style="323" bestFit="1" customWidth="1"/>
    <col min="14612" max="14848" width="11.5546875" style="323"/>
    <col min="14849" max="14849" width="4.6640625" style="323" customWidth="1"/>
    <col min="14850" max="14850" width="8.6640625" style="323" customWidth="1"/>
    <col min="14851" max="14851" width="2.6640625" style="323" customWidth="1"/>
    <col min="14852" max="14852" width="5.6640625" style="323" bestFit="1" customWidth="1"/>
    <col min="14853" max="14853" width="5.88671875" style="323" bestFit="1" customWidth="1"/>
    <col min="14854" max="14856" width="5.44140625" style="323" bestFit="1" customWidth="1"/>
    <col min="14857" max="14857" width="1.6640625" style="323" customWidth="1"/>
    <col min="14858" max="14864" width="5.44140625" style="323" bestFit="1" customWidth="1"/>
    <col min="14865" max="14865" width="1.6640625" style="323" customWidth="1"/>
    <col min="14866" max="14867" width="5.44140625" style="323" bestFit="1" customWidth="1"/>
    <col min="14868" max="15104" width="11.5546875" style="323"/>
    <col min="15105" max="15105" width="4.6640625" style="323" customWidth="1"/>
    <col min="15106" max="15106" width="8.6640625" style="323" customWidth="1"/>
    <col min="15107" max="15107" width="2.6640625" style="323" customWidth="1"/>
    <col min="15108" max="15108" width="5.6640625" style="323" bestFit="1" customWidth="1"/>
    <col min="15109" max="15109" width="5.88671875" style="323" bestFit="1" customWidth="1"/>
    <col min="15110" max="15112" width="5.44140625" style="323" bestFit="1" customWidth="1"/>
    <col min="15113" max="15113" width="1.6640625" style="323" customWidth="1"/>
    <col min="15114" max="15120" width="5.44140625" style="323" bestFit="1" customWidth="1"/>
    <col min="15121" max="15121" width="1.6640625" style="323" customWidth="1"/>
    <col min="15122" max="15123" width="5.44140625" style="323" bestFit="1" customWidth="1"/>
    <col min="15124" max="15360" width="11.5546875" style="323"/>
    <col min="15361" max="15361" width="4.6640625" style="323" customWidth="1"/>
    <col min="15362" max="15362" width="8.6640625" style="323" customWidth="1"/>
    <col min="15363" max="15363" width="2.6640625" style="323" customWidth="1"/>
    <col min="15364" max="15364" width="5.6640625" style="323" bestFit="1" customWidth="1"/>
    <col min="15365" max="15365" width="5.88671875" style="323" bestFit="1" customWidth="1"/>
    <col min="15366" max="15368" width="5.44140625" style="323" bestFit="1" customWidth="1"/>
    <col min="15369" max="15369" width="1.6640625" style="323" customWidth="1"/>
    <col min="15370" max="15376" width="5.44140625" style="323" bestFit="1" customWidth="1"/>
    <col min="15377" max="15377" width="1.6640625" style="323" customWidth="1"/>
    <col min="15378" max="15379" width="5.44140625" style="323" bestFit="1" customWidth="1"/>
    <col min="15380" max="15616" width="11.5546875" style="323"/>
    <col min="15617" max="15617" width="4.6640625" style="323" customWidth="1"/>
    <col min="15618" max="15618" width="8.6640625" style="323" customWidth="1"/>
    <col min="15619" max="15619" width="2.6640625" style="323" customWidth="1"/>
    <col min="15620" max="15620" width="5.6640625" style="323" bestFit="1" customWidth="1"/>
    <col min="15621" max="15621" width="5.88671875" style="323" bestFit="1" customWidth="1"/>
    <col min="15622" max="15624" width="5.44140625" style="323" bestFit="1" customWidth="1"/>
    <col min="15625" max="15625" width="1.6640625" style="323" customWidth="1"/>
    <col min="15626" max="15632" width="5.44140625" style="323" bestFit="1" customWidth="1"/>
    <col min="15633" max="15633" width="1.6640625" style="323" customWidth="1"/>
    <col min="15634" max="15635" width="5.44140625" style="323" bestFit="1" customWidth="1"/>
    <col min="15636" max="15872" width="11.5546875" style="323"/>
    <col min="15873" max="15873" width="4.6640625" style="323" customWidth="1"/>
    <col min="15874" max="15874" width="8.6640625" style="323" customWidth="1"/>
    <col min="15875" max="15875" width="2.6640625" style="323" customWidth="1"/>
    <col min="15876" max="15876" width="5.6640625" style="323" bestFit="1" customWidth="1"/>
    <col min="15877" max="15877" width="5.88671875" style="323" bestFit="1" customWidth="1"/>
    <col min="15878" max="15880" width="5.44140625" style="323" bestFit="1" customWidth="1"/>
    <col min="15881" max="15881" width="1.6640625" style="323" customWidth="1"/>
    <col min="15882" max="15888" width="5.44140625" style="323" bestFit="1" customWidth="1"/>
    <col min="15889" max="15889" width="1.6640625" style="323" customWidth="1"/>
    <col min="15890" max="15891" width="5.44140625" style="323" bestFit="1" customWidth="1"/>
    <col min="15892" max="16128" width="11.5546875" style="323"/>
    <col min="16129" max="16129" width="4.6640625" style="323" customWidth="1"/>
    <col min="16130" max="16130" width="8.6640625" style="323" customWidth="1"/>
    <col min="16131" max="16131" width="2.6640625" style="323" customWidth="1"/>
    <col min="16132" max="16132" width="5.6640625" style="323" bestFit="1" customWidth="1"/>
    <col min="16133" max="16133" width="5.88671875" style="323" bestFit="1" customWidth="1"/>
    <col min="16134" max="16136" width="5.44140625" style="323" bestFit="1" customWidth="1"/>
    <col min="16137" max="16137" width="1.6640625" style="323" customWidth="1"/>
    <col min="16138" max="16144" width="5.44140625" style="323" bestFit="1" customWidth="1"/>
    <col min="16145" max="16145" width="1.6640625" style="323" customWidth="1"/>
    <col min="16146" max="16147" width="5.44140625" style="323" bestFit="1" customWidth="1"/>
    <col min="16148" max="16384" width="11.5546875" style="323"/>
  </cols>
  <sheetData>
    <row r="1" spans="1:20" x14ac:dyDescent="0.25">
      <c r="A1" s="319"/>
      <c r="B1" s="320"/>
      <c r="C1" s="939" t="s">
        <v>911</v>
      </c>
      <c r="D1" s="939"/>
      <c r="E1" s="939"/>
      <c r="F1" s="939"/>
      <c r="G1" s="939"/>
      <c r="H1" s="939"/>
      <c r="I1" s="321"/>
      <c r="J1" s="940" t="s">
        <v>912</v>
      </c>
      <c r="K1" s="940"/>
      <c r="L1" s="940"/>
      <c r="M1" s="940"/>
      <c r="N1" s="940"/>
      <c r="O1" s="940"/>
      <c r="P1" s="940"/>
      <c r="Q1" s="321"/>
      <c r="R1" s="320"/>
      <c r="S1" s="322"/>
    </row>
    <row r="2" spans="1:20" x14ac:dyDescent="0.25">
      <c r="A2" s="324"/>
      <c r="B2" s="325"/>
      <c r="C2" s="325" t="s">
        <v>684</v>
      </c>
      <c r="D2" s="325" t="s">
        <v>913</v>
      </c>
      <c r="E2" s="325" t="s">
        <v>914</v>
      </c>
      <c r="F2" s="325" t="s">
        <v>915</v>
      </c>
      <c r="G2" s="325" t="s">
        <v>916</v>
      </c>
      <c r="H2" s="325" t="s">
        <v>917</v>
      </c>
      <c r="I2" s="326"/>
      <c r="J2" s="327">
        <v>0.05</v>
      </c>
      <c r="K2" s="327">
        <v>0.15</v>
      </c>
      <c r="L2" s="327">
        <v>0.25</v>
      </c>
      <c r="M2" s="327">
        <v>0.5</v>
      </c>
      <c r="N2" s="327">
        <v>0.75</v>
      </c>
      <c r="O2" s="327">
        <v>0.85</v>
      </c>
      <c r="P2" s="327">
        <v>0.95</v>
      </c>
      <c r="Q2" s="326"/>
      <c r="R2" s="937" t="s">
        <v>918</v>
      </c>
      <c r="S2" s="938"/>
    </row>
    <row r="3" spans="1:20" x14ac:dyDescent="0.25">
      <c r="A3" s="941" t="s">
        <v>919</v>
      </c>
      <c r="B3" s="939"/>
      <c r="C3" s="338">
        <v>90</v>
      </c>
      <c r="D3" s="339">
        <v>26.011894440641861</v>
      </c>
      <c r="E3" s="339">
        <v>2.3349918409999524</v>
      </c>
      <c r="F3" s="339">
        <v>26.28747433264887</v>
      </c>
      <c r="G3" s="339">
        <v>30.004106776180699</v>
      </c>
      <c r="H3" s="339">
        <v>19.085557837097877</v>
      </c>
      <c r="I3" s="340"/>
      <c r="J3" s="339">
        <v>22.726899383983572</v>
      </c>
      <c r="K3" s="339">
        <v>23.353867214236825</v>
      </c>
      <c r="L3" s="339">
        <v>23.790554414784395</v>
      </c>
      <c r="M3" s="339">
        <v>26.28747433264887</v>
      </c>
      <c r="N3" s="339">
        <v>27.822039698836413</v>
      </c>
      <c r="O3" s="339">
        <v>28.776317590691306</v>
      </c>
      <c r="P3" s="339">
        <v>29.256536618754279</v>
      </c>
      <c r="Q3" s="340"/>
      <c r="R3" s="339">
        <v>25.529489287450424</v>
      </c>
      <c r="S3" s="341">
        <v>26.494299593833297</v>
      </c>
      <c r="T3" s="339"/>
    </row>
    <row r="4" spans="1:20" x14ac:dyDescent="0.25">
      <c r="A4" s="942" t="s">
        <v>920</v>
      </c>
      <c r="B4" s="937"/>
      <c r="C4" s="338">
        <v>90</v>
      </c>
      <c r="D4" s="339">
        <v>56.627777777777808</v>
      </c>
      <c r="E4" s="339">
        <v>9.1874734918551315</v>
      </c>
      <c r="F4" s="339">
        <v>54.15</v>
      </c>
      <c r="G4" s="339">
        <v>94.4</v>
      </c>
      <c r="H4" s="339">
        <v>41.8</v>
      </c>
      <c r="I4" s="340"/>
      <c r="J4" s="339">
        <v>47.29</v>
      </c>
      <c r="K4" s="339">
        <v>48.94</v>
      </c>
      <c r="L4" s="339">
        <v>49.8</v>
      </c>
      <c r="M4" s="339">
        <v>54.15</v>
      </c>
      <c r="N4" s="339">
        <v>61.375</v>
      </c>
      <c r="O4" s="339">
        <v>63</v>
      </c>
      <c r="P4" s="339">
        <v>75.03</v>
      </c>
      <c r="Q4" s="340"/>
      <c r="R4" s="339">
        <v>54.72966212723977</v>
      </c>
      <c r="S4" s="341">
        <v>58.525893428315847</v>
      </c>
      <c r="T4" s="339"/>
    </row>
    <row r="5" spans="1:20" x14ac:dyDescent="0.25">
      <c r="A5" s="943" t="s">
        <v>921</v>
      </c>
      <c r="B5" s="336" t="s">
        <v>922</v>
      </c>
      <c r="C5" s="328">
        <v>90</v>
      </c>
      <c r="D5" s="329">
        <v>161.11333333333323</v>
      </c>
      <c r="E5" s="329">
        <v>6.6918733206311725</v>
      </c>
      <c r="F5" s="329">
        <v>160.15</v>
      </c>
      <c r="G5" s="329">
        <v>177</v>
      </c>
      <c r="H5" s="329">
        <v>147.1</v>
      </c>
      <c r="I5" s="330"/>
      <c r="J5" s="329">
        <v>150.94499999999999</v>
      </c>
      <c r="K5" s="329">
        <v>154.905</v>
      </c>
      <c r="L5" s="329">
        <v>156.15</v>
      </c>
      <c r="M5" s="329">
        <v>160.15</v>
      </c>
      <c r="N5" s="329">
        <v>166.02500000000001</v>
      </c>
      <c r="O5" s="329">
        <v>167.7</v>
      </c>
      <c r="P5" s="329">
        <v>172.95500000000001</v>
      </c>
      <c r="Q5" s="330"/>
      <c r="R5" s="329">
        <v>159.73080423079284</v>
      </c>
      <c r="S5" s="331">
        <v>162.49586243587362</v>
      </c>
      <c r="T5" s="339"/>
    </row>
    <row r="6" spans="1:20" x14ac:dyDescent="0.25">
      <c r="A6" s="944"/>
      <c r="B6" s="337" t="s">
        <v>923</v>
      </c>
      <c r="C6" s="338">
        <v>90</v>
      </c>
      <c r="D6" s="339">
        <v>85.752222222222244</v>
      </c>
      <c r="E6" s="339">
        <v>3.3102913337204209</v>
      </c>
      <c r="F6" s="339">
        <v>85.65</v>
      </c>
      <c r="G6" s="339">
        <v>95.4</v>
      </c>
      <c r="H6" s="339">
        <v>80</v>
      </c>
      <c r="I6" s="340"/>
      <c r="J6" s="339">
        <v>80.459999999999994</v>
      </c>
      <c r="K6" s="339">
        <v>81.915000000000006</v>
      </c>
      <c r="L6" s="339">
        <v>83.825000000000003</v>
      </c>
      <c r="M6" s="339">
        <v>85.65</v>
      </c>
      <c r="N6" s="339">
        <v>87.3</v>
      </c>
      <c r="O6" s="339">
        <v>88.825000000000003</v>
      </c>
      <c r="P6" s="339">
        <v>91.11</v>
      </c>
      <c r="Q6" s="340"/>
      <c r="R6" s="339">
        <v>85.06832193190354</v>
      </c>
      <c r="S6" s="341">
        <v>86.436122512540948</v>
      </c>
      <c r="T6" s="339"/>
    </row>
    <row r="7" spans="1:20" x14ac:dyDescent="0.25">
      <c r="A7" s="944"/>
      <c r="B7" s="337" t="s">
        <v>924</v>
      </c>
      <c r="C7" s="338">
        <v>39</v>
      </c>
      <c r="D7" s="339">
        <v>164.5564102564102</v>
      </c>
      <c r="E7" s="339">
        <v>8.8834498654229108</v>
      </c>
      <c r="F7" s="339">
        <v>163.5</v>
      </c>
      <c r="G7" s="339">
        <v>180.2</v>
      </c>
      <c r="H7" s="339">
        <v>143.30000000000001</v>
      </c>
      <c r="I7" s="340"/>
      <c r="J7" s="339">
        <v>150.97</v>
      </c>
      <c r="K7" s="339">
        <v>156.61000000000001</v>
      </c>
      <c r="L7" s="339">
        <v>158.5</v>
      </c>
      <c r="M7" s="339">
        <v>163.5</v>
      </c>
      <c r="N7" s="339">
        <v>171.35</v>
      </c>
      <c r="O7" s="339">
        <v>173.52</v>
      </c>
      <c r="P7" s="339">
        <v>178.77</v>
      </c>
      <c r="Q7" s="340"/>
      <c r="R7" s="339">
        <v>161.76838195527986</v>
      </c>
      <c r="S7" s="341">
        <v>167.34443855754054</v>
      </c>
      <c r="T7" s="339"/>
    </row>
    <row r="8" spans="1:20" x14ac:dyDescent="0.25">
      <c r="A8" s="944"/>
      <c r="B8" s="337" t="s">
        <v>925</v>
      </c>
      <c r="C8" s="338">
        <v>90</v>
      </c>
      <c r="D8" s="339">
        <v>30.763333333333325</v>
      </c>
      <c r="E8" s="339">
        <v>1.7791836279662649</v>
      </c>
      <c r="F8" s="339">
        <v>30.85</v>
      </c>
      <c r="G8" s="339">
        <v>34.6</v>
      </c>
      <c r="H8" s="339">
        <v>26.8</v>
      </c>
      <c r="I8" s="340"/>
      <c r="J8" s="339">
        <v>27.7</v>
      </c>
      <c r="K8" s="339">
        <v>28.8</v>
      </c>
      <c r="L8" s="339">
        <v>29.4</v>
      </c>
      <c r="M8" s="339">
        <v>30.85</v>
      </c>
      <c r="N8" s="339">
        <v>32.1</v>
      </c>
      <c r="O8" s="339">
        <v>32.700000000000003</v>
      </c>
      <c r="P8" s="339">
        <v>33.21</v>
      </c>
      <c r="Q8" s="340"/>
      <c r="R8" s="339">
        <v>30.395757166455926</v>
      </c>
      <c r="S8" s="341">
        <v>31.130909500210723</v>
      </c>
      <c r="T8" s="339"/>
    </row>
    <row r="9" spans="1:20" x14ac:dyDescent="0.25">
      <c r="A9" s="944"/>
      <c r="B9" s="337" t="s">
        <v>926</v>
      </c>
      <c r="C9" s="338">
        <v>90</v>
      </c>
      <c r="D9" s="339">
        <v>23.733333333333338</v>
      </c>
      <c r="E9" s="339">
        <v>1.5713016146001126</v>
      </c>
      <c r="F9" s="339">
        <v>23.8</v>
      </c>
      <c r="G9" s="339">
        <v>30</v>
      </c>
      <c r="H9" s="339">
        <v>20.9</v>
      </c>
      <c r="I9" s="340"/>
      <c r="J9" s="339">
        <v>21.234999999999999</v>
      </c>
      <c r="K9" s="339">
        <v>21.8</v>
      </c>
      <c r="L9" s="339">
        <v>22.8</v>
      </c>
      <c r="M9" s="339">
        <v>23.8</v>
      </c>
      <c r="N9" s="339">
        <v>24.824999999999999</v>
      </c>
      <c r="O9" s="339">
        <v>25.1</v>
      </c>
      <c r="P9" s="339">
        <v>25.975000000000001</v>
      </c>
      <c r="Q9" s="340"/>
      <c r="R9" s="339">
        <v>23.408705219953504</v>
      </c>
      <c r="S9" s="341">
        <v>24.057961446713172</v>
      </c>
      <c r="T9" s="339"/>
    </row>
    <row r="10" spans="1:20" x14ac:dyDescent="0.25">
      <c r="A10" s="944"/>
      <c r="B10" s="337" t="s">
        <v>927</v>
      </c>
      <c r="C10" s="338">
        <v>90</v>
      </c>
      <c r="D10" s="339">
        <v>18.355555555555554</v>
      </c>
      <c r="E10" s="339">
        <v>0.97693755750351896</v>
      </c>
      <c r="F10" s="339">
        <v>18.2</v>
      </c>
      <c r="G10" s="339">
        <v>21.2</v>
      </c>
      <c r="H10" s="339">
        <v>16.5</v>
      </c>
      <c r="I10" s="340"/>
      <c r="J10" s="339">
        <v>17.045000000000002</v>
      </c>
      <c r="K10" s="339">
        <v>17.434999999999999</v>
      </c>
      <c r="L10" s="339">
        <v>17.625</v>
      </c>
      <c r="M10" s="339">
        <v>18.2</v>
      </c>
      <c r="N10" s="339">
        <v>18.875</v>
      </c>
      <c r="O10" s="339">
        <v>19.3</v>
      </c>
      <c r="P10" s="339">
        <v>20.11</v>
      </c>
      <c r="Q10" s="340"/>
      <c r="R10" s="339">
        <v>18.153721997163277</v>
      </c>
      <c r="S10" s="341">
        <v>18.557389113947831</v>
      </c>
      <c r="T10" s="339"/>
    </row>
    <row r="11" spans="1:20" x14ac:dyDescent="0.25">
      <c r="A11" s="944"/>
      <c r="B11" s="337" t="s">
        <v>928</v>
      </c>
      <c r="C11" s="338">
        <v>90</v>
      </c>
      <c r="D11" s="339">
        <v>88.64</v>
      </c>
      <c r="E11" s="339">
        <v>5.3241193817394592</v>
      </c>
      <c r="F11" s="339">
        <v>88</v>
      </c>
      <c r="G11" s="339">
        <v>98.4</v>
      </c>
      <c r="H11" s="339">
        <v>71.7</v>
      </c>
      <c r="I11" s="340"/>
      <c r="J11" s="339">
        <v>79.344999999999999</v>
      </c>
      <c r="K11" s="339">
        <v>83.87</v>
      </c>
      <c r="L11" s="339">
        <v>85.2</v>
      </c>
      <c r="M11" s="339">
        <v>88</v>
      </c>
      <c r="N11" s="339">
        <v>92.4</v>
      </c>
      <c r="O11" s="339">
        <v>94.665000000000006</v>
      </c>
      <c r="P11" s="339">
        <v>97.454999999999998</v>
      </c>
      <c r="Q11" s="340"/>
      <c r="R11" s="339">
        <v>87.540046423777824</v>
      </c>
      <c r="S11" s="341">
        <v>89.739953576222177</v>
      </c>
      <c r="T11" s="339"/>
    </row>
    <row r="12" spans="1:20" x14ac:dyDescent="0.25">
      <c r="A12" s="944"/>
      <c r="B12" s="337" t="s">
        <v>929</v>
      </c>
      <c r="C12" s="338">
        <v>90</v>
      </c>
      <c r="D12" s="339">
        <v>83.784444444444432</v>
      </c>
      <c r="E12" s="339">
        <v>5.1370413185134876</v>
      </c>
      <c r="F12" s="339">
        <v>83.95</v>
      </c>
      <c r="G12" s="339">
        <v>95.9</v>
      </c>
      <c r="H12" s="339">
        <v>64.5</v>
      </c>
      <c r="I12" s="340"/>
      <c r="J12" s="339">
        <v>76.805000000000007</v>
      </c>
      <c r="K12" s="339">
        <v>78.8</v>
      </c>
      <c r="L12" s="339">
        <v>80.2</v>
      </c>
      <c r="M12" s="339">
        <v>83.95</v>
      </c>
      <c r="N12" s="339">
        <v>86.275000000000006</v>
      </c>
      <c r="O12" s="339">
        <v>88.83</v>
      </c>
      <c r="P12" s="339">
        <v>92.1</v>
      </c>
      <c r="Q12" s="340"/>
      <c r="R12" s="339">
        <v>82.723140862695303</v>
      </c>
      <c r="S12" s="341">
        <v>84.845748026193561</v>
      </c>
      <c r="T12" s="339"/>
    </row>
    <row r="13" spans="1:20" x14ac:dyDescent="0.25">
      <c r="A13" s="944"/>
      <c r="B13" s="337" t="s">
        <v>930</v>
      </c>
      <c r="C13" s="338">
        <v>90</v>
      </c>
      <c r="D13" s="339">
        <v>42.084444444444422</v>
      </c>
      <c r="E13" s="339">
        <v>2.8889915472016741</v>
      </c>
      <c r="F13" s="339">
        <v>42.4</v>
      </c>
      <c r="G13" s="339">
        <v>49.5</v>
      </c>
      <c r="H13" s="339">
        <v>35.1</v>
      </c>
      <c r="I13" s="340"/>
      <c r="J13" s="339">
        <v>37.344999999999999</v>
      </c>
      <c r="K13" s="339">
        <v>38.884999999999998</v>
      </c>
      <c r="L13" s="339">
        <v>40.174999999999997</v>
      </c>
      <c r="M13" s="339">
        <v>42.4</v>
      </c>
      <c r="N13" s="339">
        <v>44.174999999999997</v>
      </c>
      <c r="O13" s="339">
        <v>44.73</v>
      </c>
      <c r="P13" s="339">
        <v>46.075000000000003</v>
      </c>
      <c r="Q13" s="340"/>
      <c r="R13" s="339">
        <v>41.487583939227513</v>
      </c>
      <c r="S13" s="341">
        <v>42.681304949661332</v>
      </c>
      <c r="T13" s="339"/>
    </row>
    <row r="14" spans="1:20" x14ac:dyDescent="0.25">
      <c r="A14" s="944"/>
      <c r="B14" s="337" t="s">
        <v>931</v>
      </c>
      <c r="C14" s="338">
        <v>89</v>
      </c>
      <c r="D14" s="339">
        <v>42.171910112359541</v>
      </c>
      <c r="E14" s="339">
        <v>2.6360692484716064</v>
      </c>
      <c r="F14" s="339">
        <v>41.6</v>
      </c>
      <c r="G14" s="339">
        <v>49.5</v>
      </c>
      <c r="H14" s="339">
        <v>37.6</v>
      </c>
      <c r="I14" s="340"/>
      <c r="J14" s="339">
        <v>38.46</v>
      </c>
      <c r="K14" s="339">
        <v>39.72</v>
      </c>
      <c r="L14" s="339">
        <v>40.200000000000003</v>
      </c>
      <c r="M14" s="339">
        <v>41.6</v>
      </c>
      <c r="N14" s="339">
        <v>43.6</v>
      </c>
      <c r="O14" s="339">
        <v>45.04</v>
      </c>
      <c r="P14" s="339">
        <v>46.84</v>
      </c>
      <c r="Q14" s="340"/>
      <c r="R14" s="339">
        <v>41.624251858679138</v>
      </c>
      <c r="S14" s="341">
        <v>42.719568366039944</v>
      </c>
      <c r="T14" s="339"/>
    </row>
    <row r="15" spans="1:20" x14ac:dyDescent="0.25">
      <c r="A15" s="944"/>
      <c r="B15" s="337" t="s">
        <v>932</v>
      </c>
      <c r="C15" s="338">
        <v>58</v>
      </c>
      <c r="D15" s="339">
        <v>35.627586206896552</v>
      </c>
      <c r="E15" s="339">
        <v>2.3868641325335838</v>
      </c>
      <c r="F15" s="339">
        <v>35.200000000000003</v>
      </c>
      <c r="G15" s="339">
        <v>41.8</v>
      </c>
      <c r="H15" s="339">
        <v>31</v>
      </c>
      <c r="I15" s="340"/>
      <c r="J15" s="339">
        <v>32.67</v>
      </c>
      <c r="K15" s="339">
        <v>32.954999999999998</v>
      </c>
      <c r="L15" s="339">
        <v>33.674999999999997</v>
      </c>
      <c r="M15" s="339">
        <v>35.200000000000003</v>
      </c>
      <c r="N15" s="339">
        <v>37.700000000000003</v>
      </c>
      <c r="O15" s="339">
        <v>38.545000000000002</v>
      </c>
      <c r="P15" s="339">
        <v>38.799999999999997</v>
      </c>
      <c r="Q15" s="340"/>
      <c r="R15" s="339">
        <v>35.013313064388718</v>
      </c>
      <c r="S15" s="341">
        <v>36.241859349404386</v>
      </c>
      <c r="T15" s="339"/>
    </row>
    <row r="16" spans="1:20" x14ac:dyDescent="0.25">
      <c r="A16" s="945"/>
      <c r="B16" s="342" t="s">
        <v>933</v>
      </c>
      <c r="C16" s="332">
        <v>90</v>
      </c>
      <c r="D16" s="333">
        <v>24.118888888888875</v>
      </c>
      <c r="E16" s="333">
        <v>1.2041962627417166</v>
      </c>
      <c r="F16" s="333">
        <v>24</v>
      </c>
      <c r="G16" s="333">
        <v>28.4</v>
      </c>
      <c r="H16" s="333">
        <v>21.8</v>
      </c>
      <c r="I16" s="334"/>
      <c r="J16" s="333">
        <v>22.245000000000001</v>
      </c>
      <c r="K16" s="333">
        <v>23.234999999999999</v>
      </c>
      <c r="L16" s="333">
        <v>23.425000000000001</v>
      </c>
      <c r="M16" s="333">
        <v>24</v>
      </c>
      <c r="N16" s="333">
        <v>24.5</v>
      </c>
      <c r="O16" s="333">
        <v>25.465</v>
      </c>
      <c r="P16" s="333">
        <v>26.4</v>
      </c>
      <c r="Q16" s="334"/>
      <c r="R16" s="333">
        <v>23.870104086989226</v>
      </c>
      <c r="S16" s="335">
        <v>24.367673690788525</v>
      </c>
      <c r="T16" s="339"/>
    </row>
    <row r="17" spans="1:20" x14ac:dyDescent="0.25">
      <c r="A17" s="943" t="s">
        <v>934</v>
      </c>
      <c r="B17" s="336" t="s">
        <v>935</v>
      </c>
      <c r="C17" s="328">
        <v>90</v>
      </c>
      <c r="D17" s="329">
        <v>35.842222222222212</v>
      </c>
      <c r="E17" s="329">
        <v>1.7836950523982642</v>
      </c>
      <c r="F17" s="329">
        <v>35.35</v>
      </c>
      <c r="G17" s="329">
        <v>42.5</v>
      </c>
      <c r="H17" s="329">
        <v>33.1</v>
      </c>
      <c r="I17" s="330"/>
      <c r="J17" s="329">
        <v>33.69</v>
      </c>
      <c r="K17" s="329">
        <v>34.335000000000001</v>
      </c>
      <c r="L17" s="329">
        <v>34.700000000000003</v>
      </c>
      <c r="M17" s="329">
        <v>35.35</v>
      </c>
      <c r="N17" s="329">
        <v>36.6</v>
      </c>
      <c r="O17" s="329">
        <v>37.365000000000002</v>
      </c>
      <c r="P17" s="329">
        <v>39.094999999999999</v>
      </c>
      <c r="Q17" s="330"/>
      <c r="R17" s="329">
        <v>35.473714003096916</v>
      </c>
      <c r="S17" s="331">
        <v>36.210730441347508</v>
      </c>
      <c r="T17" s="339"/>
    </row>
    <row r="18" spans="1:20" x14ac:dyDescent="0.25">
      <c r="A18" s="944"/>
      <c r="B18" s="337" t="s">
        <v>936</v>
      </c>
      <c r="C18" s="338">
        <v>90</v>
      </c>
      <c r="D18" s="339">
        <v>25.777777777777782</v>
      </c>
      <c r="E18" s="339">
        <v>1.6358880883797424</v>
      </c>
      <c r="F18" s="339">
        <v>25.6</v>
      </c>
      <c r="G18" s="339">
        <v>31.9</v>
      </c>
      <c r="H18" s="339">
        <v>23.3</v>
      </c>
      <c r="I18" s="340"/>
      <c r="J18" s="339">
        <v>23.545000000000002</v>
      </c>
      <c r="K18" s="339">
        <v>24.3</v>
      </c>
      <c r="L18" s="339">
        <v>24.55</v>
      </c>
      <c r="M18" s="339">
        <v>25.6</v>
      </c>
      <c r="N18" s="339">
        <v>26.5</v>
      </c>
      <c r="O18" s="339">
        <v>27.265000000000001</v>
      </c>
      <c r="P18" s="339">
        <v>28.864999999999998</v>
      </c>
      <c r="Q18" s="340"/>
      <c r="R18" s="339">
        <v>25.439806214013807</v>
      </c>
      <c r="S18" s="341">
        <v>26.115749341541758</v>
      </c>
      <c r="T18" s="339"/>
    </row>
    <row r="19" spans="1:20" x14ac:dyDescent="0.25">
      <c r="A19" s="944"/>
      <c r="B19" s="337" t="s">
        <v>937</v>
      </c>
      <c r="C19" s="338">
        <v>90</v>
      </c>
      <c r="D19" s="339">
        <v>17.048888888888886</v>
      </c>
      <c r="E19" s="339">
        <v>1.8958407725088069</v>
      </c>
      <c r="F19" s="339">
        <v>16.850000000000001</v>
      </c>
      <c r="G19" s="339">
        <v>26.9</v>
      </c>
      <c r="H19" s="339">
        <v>13.3</v>
      </c>
      <c r="I19" s="340"/>
      <c r="J19" s="339">
        <v>14.744999999999999</v>
      </c>
      <c r="K19" s="339">
        <v>15.234999999999999</v>
      </c>
      <c r="L19" s="339">
        <v>15.6</v>
      </c>
      <c r="M19" s="339">
        <v>16.850000000000001</v>
      </c>
      <c r="N19" s="339">
        <v>18.074999999999999</v>
      </c>
      <c r="O19" s="339">
        <v>18.765000000000001</v>
      </c>
      <c r="P19" s="339">
        <v>19.73</v>
      </c>
      <c r="Q19" s="340"/>
      <c r="R19" s="339">
        <v>16.657211563842207</v>
      </c>
      <c r="S19" s="341">
        <v>17.440566213935565</v>
      </c>
      <c r="T19" s="339"/>
    </row>
    <row r="20" spans="1:20" x14ac:dyDescent="0.25">
      <c r="A20" s="944"/>
      <c r="B20" s="337" t="s">
        <v>938</v>
      </c>
      <c r="C20" s="338">
        <v>90</v>
      </c>
      <c r="D20" s="339">
        <v>26.766666666666652</v>
      </c>
      <c r="E20" s="339">
        <v>1.5585213389766861</v>
      </c>
      <c r="F20" s="339">
        <v>26.45</v>
      </c>
      <c r="G20" s="339">
        <v>31.3</v>
      </c>
      <c r="H20" s="339">
        <v>23.3</v>
      </c>
      <c r="I20" s="340"/>
      <c r="J20" s="339">
        <v>24.5</v>
      </c>
      <c r="K20" s="339">
        <v>25.14</v>
      </c>
      <c r="L20" s="339">
        <v>25.824999999999999</v>
      </c>
      <c r="M20" s="339">
        <v>26.45</v>
      </c>
      <c r="N20" s="339">
        <v>27.975000000000001</v>
      </c>
      <c r="O20" s="339">
        <v>28.364999999999998</v>
      </c>
      <c r="P20" s="339">
        <v>29.555</v>
      </c>
      <c r="Q20" s="340"/>
      <c r="R20" s="339">
        <v>26.444678935455052</v>
      </c>
      <c r="S20" s="341">
        <v>27.088654397878251</v>
      </c>
      <c r="T20" s="339"/>
    </row>
    <row r="21" spans="1:20" x14ac:dyDescent="0.25">
      <c r="A21" s="944"/>
      <c r="B21" s="337" t="s">
        <v>4</v>
      </c>
      <c r="C21" s="338">
        <v>90</v>
      </c>
      <c r="D21" s="339">
        <v>6.1486666666666654</v>
      </c>
      <c r="E21" s="339">
        <v>0.35798813614141883</v>
      </c>
      <c r="F21" s="339">
        <v>6.1</v>
      </c>
      <c r="G21" s="339">
        <v>7.2</v>
      </c>
      <c r="H21" s="339">
        <v>5.3</v>
      </c>
      <c r="I21" s="340"/>
      <c r="J21" s="339">
        <v>5.6</v>
      </c>
      <c r="K21" s="339">
        <v>5.8</v>
      </c>
      <c r="L21" s="339">
        <v>5.9</v>
      </c>
      <c r="M21" s="339">
        <v>6.1</v>
      </c>
      <c r="N21" s="339">
        <v>6.4</v>
      </c>
      <c r="O21" s="339">
        <v>6.4684999999999997</v>
      </c>
      <c r="P21" s="339">
        <v>6.7</v>
      </c>
      <c r="Q21" s="340"/>
      <c r="R21" s="339">
        <v>6.0747069557059357</v>
      </c>
      <c r="S21" s="341">
        <v>6.2226263776273951</v>
      </c>
      <c r="T21" s="339"/>
    </row>
    <row r="22" spans="1:20" x14ac:dyDescent="0.25">
      <c r="A22" s="945"/>
      <c r="B22" s="342" t="s">
        <v>5</v>
      </c>
      <c r="C22" s="332">
        <v>90</v>
      </c>
      <c r="D22" s="333">
        <v>8.9438888888888837</v>
      </c>
      <c r="E22" s="333">
        <v>0.5500678087811901</v>
      </c>
      <c r="F22" s="333">
        <v>8.8000000000000007</v>
      </c>
      <c r="G22" s="333">
        <v>10.5</v>
      </c>
      <c r="H22" s="333">
        <v>8</v>
      </c>
      <c r="I22" s="334"/>
      <c r="J22" s="333">
        <v>8.1999999999999993</v>
      </c>
      <c r="K22" s="333">
        <v>8.4</v>
      </c>
      <c r="L22" s="333">
        <v>8.5</v>
      </c>
      <c r="M22" s="333">
        <v>8.8000000000000007</v>
      </c>
      <c r="N22" s="333">
        <v>9.375</v>
      </c>
      <c r="O22" s="333">
        <v>9.5</v>
      </c>
      <c r="P22" s="333">
        <v>9.9</v>
      </c>
      <c r="Q22" s="334"/>
      <c r="R22" s="333">
        <v>8.8302458598635098</v>
      </c>
      <c r="S22" s="335">
        <v>9.0575319179142575</v>
      </c>
      <c r="T22" s="339"/>
    </row>
    <row r="23" spans="1:20" x14ac:dyDescent="0.25">
      <c r="A23" s="943" t="s">
        <v>939</v>
      </c>
      <c r="B23" s="336" t="s">
        <v>6</v>
      </c>
      <c r="C23" s="328">
        <v>90</v>
      </c>
      <c r="D23" s="329">
        <v>54.864444444444416</v>
      </c>
      <c r="E23" s="329">
        <v>1.5616406750616363</v>
      </c>
      <c r="F23" s="329">
        <v>54.8</v>
      </c>
      <c r="G23" s="329">
        <v>58.9</v>
      </c>
      <c r="H23" s="329">
        <v>51.2</v>
      </c>
      <c r="I23" s="330"/>
      <c r="J23" s="329">
        <v>52.4</v>
      </c>
      <c r="K23" s="329">
        <v>53.234999999999999</v>
      </c>
      <c r="L23" s="329">
        <v>53.8</v>
      </c>
      <c r="M23" s="329">
        <v>54.8</v>
      </c>
      <c r="N23" s="329">
        <v>55.8</v>
      </c>
      <c r="O23" s="329">
        <v>56.465000000000003</v>
      </c>
      <c r="P23" s="329">
        <v>57.6</v>
      </c>
      <c r="Q23" s="330"/>
      <c r="R23" s="329">
        <v>54.541812263956594</v>
      </c>
      <c r="S23" s="331">
        <v>55.187076624932239</v>
      </c>
      <c r="T23" s="339"/>
    </row>
    <row r="24" spans="1:20" x14ac:dyDescent="0.25">
      <c r="A24" s="944"/>
      <c r="B24" s="337" t="s">
        <v>940</v>
      </c>
      <c r="C24" s="338">
        <v>90</v>
      </c>
      <c r="D24" s="339">
        <v>31.111111111111121</v>
      </c>
      <c r="E24" s="339">
        <v>2.433864289719843</v>
      </c>
      <c r="F24" s="339">
        <v>30.45</v>
      </c>
      <c r="G24" s="339">
        <v>41.1</v>
      </c>
      <c r="H24" s="339">
        <v>27.7</v>
      </c>
      <c r="I24" s="340"/>
      <c r="J24" s="339">
        <v>28.445</v>
      </c>
      <c r="K24" s="339">
        <v>29.335000000000001</v>
      </c>
      <c r="L24" s="339">
        <v>29.8</v>
      </c>
      <c r="M24" s="339">
        <v>30.45</v>
      </c>
      <c r="N24" s="339">
        <v>31.8</v>
      </c>
      <c r="O24" s="339">
        <v>32.799999999999997</v>
      </c>
      <c r="P24" s="339">
        <v>34.32</v>
      </c>
      <c r="Q24" s="340"/>
      <c r="R24" s="339">
        <v>30.608279086213486</v>
      </c>
      <c r="S24" s="341">
        <v>31.613943136008757</v>
      </c>
      <c r="T24" s="339"/>
    </row>
    <row r="25" spans="1:20" x14ac:dyDescent="0.25">
      <c r="A25" s="944"/>
      <c r="B25" s="337" t="s">
        <v>941</v>
      </c>
      <c r="C25" s="338">
        <v>90</v>
      </c>
      <c r="D25" s="339">
        <v>26.378888888888891</v>
      </c>
      <c r="E25" s="339">
        <v>3.0974616082336759</v>
      </c>
      <c r="F25" s="339">
        <v>25.6</v>
      </c>
      <c r="G25" s="339">
        <v>37.4</v>
      </c>
      <c r="H25" s="339">
        <v>20.3</v>
      </c>
      <c r="I25" s="340"/>
      <c r="J25" s="339">
        <v>22.8</v>
      </c>
      <c r="K25" s="339">
        <v>24.035</v>
      </c>
      <c r="L25" s="339">
        <v>24.425000000000001</v>
      </c>
      <c r="M25" s="339">
        <v>25.6</v>
      </c>
      <c r="N25" s="339">
        <v>27.2</v>
      </c>
      <c r="O25" s="339">
        <v>29.6</v>
      </c>
      <c r="P25" s="339">
        <v>32.67</v>
      </c>
      <c r="Q25" s="340"/>
      <c r="R25" s="339">
        <v>25.738958840574607</v>
      </c>
      <c r="S25" s="341">
        <v>27.018818937203175</v>
      </c>
      <c r="T25" s="339"/>
    </row>
    <row r="26" spans="1:20" x14ac:dyDescent="0.25">
      <c r="A26" s="944"/>
      <c r="B26" s="337" t="s">
        <v>942</v>
      </c>
      <c r="C26" s="338">
        <v>90</v>
      </c>
      <c r="D26" s="339">
        <v>27.006666666666657</v>
      </c>
      <c r="E26" s="339">
        <v>2.8453312834115554</v>
      </c>
      <c r="F26" s="339">
        <v>26.35</v>
      </c>
      <c r="G26" s="339">
        <v>38.6</v>
      </c>
      <c r="H26" s="339">
        <v>21.6</v>
      </c>
      <c r="I26" s="340"/>
      <c r="J26" s="339">
        <v>23.835000000000001</v>
      </c>
      <c r="K26" s="339">
        <v>24.9</v>
      </c>
      <c r="L26" s="339">
        <v>25.2</v>
      </c>
      <c r="M26" s="339">
        <v>26.35</v>
      </c>
      <c r="N26" s="339">
        <v>27.475000000000001</v>
      </c>
      <c r="O26" s="339">
        <v>29.6</v>
      </c>
      <c r="P26" s="339">
        <v>32.409999999999997</v>
      </c>
      <c r="Q26" s="340"/>
      <c r="R26" s="339">
        <v>26.418826294142391</v>
      </c>
      <c r="S26" s="341">
        <v>27.594507039190923</v>
      </c>
      <c r="T26" s="339"/>
    </row>
    <row r="27" spans="1:20" x14ac:dyDescent="0.25">
      <c r="A27" s="944"/>
      <c r="B27" s="337" t="s">
        <v>943</v>
      </c>
      <c r="C27" s="338">
        <v>90</v>
      </c>
      <c r="D27" s="339">
        <v>23.147777777777783</v>
      </c>
      <c r="E27" s="339">
        <v>1.8514633008937804</v>
      </c>
      <c r="F27" s="339">
        <v>22.65</v>
      </c>
      <c r="G27" s="339">
        <v>31</v>
      </c>
      <c r="H27" s="339">
        <v>18.5</v>
      </c>
      <c r="I27" s="340"/>
      <c r="J27" s="339">
        <v>21.2</v>
      </c>
      <c r="K27" s="339">
        <v>21.734999999999999</v>
      </c>
      <c r="L27" s="339">
        <v>22.1</v>
      </c>
      <c r="M27" s="339">
        <v>22.65</v>
      </c>
      <c r="N27" s="339">
        <v>23.975000000000001</v>
      </c>
      <c r="O27" s="339">
        <v>24.664999999999999</v>
      </c>
      <c r="P27" s="339">
        <v>26.75</v>
      </c>
      <c r="Q27" s="340"/>
      <c r="R27" s="339">
        <v>22.765268759282243</v>
      </c>
      <c r="S27" s="341">
        <v>23.530286796273323</v>
      </c>
      <c r="T27" s="339"/>
    </row>
    <row r="28" spans="1:20" x14ac:dyDescent="0.25">
      <c r="A28" s="944"/>
      <c r="B28" s="337" t="s">
        <v>944</v>
      </c>
      <c r="C28" s="338">
        <v>90</v>
      </c>
      <c r="D28" s="339">
        <v>14.72</v>
      </c>
      <c r="E28" s="339">
        <v>0.95684406347003004</v>
      </c>
      <c r="F28" s="339">
        <v>14.6</v>
      </c>
      <c r="G28" s="339">
        <v>18.3</v>
      </c>
      <c r="H28" s="339">
        <v>12.9</v>
      </c>
      <c r="I28" s="340"/>
      <c r="J28" s="339">
        <v>13.3</v>
      </c>
      <c r="K28" s="339">
        <v>13.935</v>
      </c>
      <c r="L28" s="339">
        <v>14.2</v>
      </c>
      <c r="M28" s="339">
        <v>14.6</v>
      </c>
      <c r="N28" s="339">
        <v>15.1</v>
      </c>
      <c r="O28" s="339">
        <v>15.4</v>
      </c>
      <c r="P28" s="339">
        <v>16.91</v>
      </c>
      <c r="Q28" s="340"/>
      <c r="R28" s="339">
        <v>14.522317721666683</v>
      </c>
      <c r="S28" s="341">
        <v>14.917682278333315</v>
      </c>
      <c r="T28" s="339"/>
    </row>
    <row r="29" spans="1:20" x14ac:dyDescent="0.25">
      <c r="A29" s="944"/>
      <c r="B29" s="337" t="s">
        <v>945</v>
      </c>
      <c r="C29" s="338">
        <v>90</v>
      </c>
      <c r="D29" s="339">
        <v>84.02222222222224</v>
      </c>
      <c r="E29" s="339">
        <v>5.8365138466933484</v>
      </c>
      <c r="F29" s="339">
        <v>82.55</v>
      </c>
      <c r="G29" s="339">
        <v>106.3</v>
      </c>
      <c r="H29" s="339">
        <v>73.3</v>
      </c>
      <c r="I29" s="340"/>
      <c r="J29" s="339">
        <v>76.515000000000001</v>
      </c>
      <c r="K29" s="339">
        <v>79.34</v>
      </c>
      <c r="L29" s="339">
        <v>80.849999999999994</v>
      </c>
      <c r="M29" s="339">
        <v>82.55</v>
      </c>
      <c r="N29" s="339">
        <v>86.2</v>
      </c>
      <c r="O29" s="339">
        <v>88.03</v>
      </c>
      <c r="P29" s="339">
        <v>96.405000000000001</v>
      </c>
      <c r="Q29" s="340"/>
      <c r="R29" s="339">
        <v>82.816408862672219</v>
      </c>
      <c r="S29" s="341">
        <v>85.228035581772261</v>
      </c>
      <c r="T29" s="339"/>
    </row>
    <row r="30" spans="1:20" x14ac:dyDescent="0.25">
      <c r="A30" s="944"/>
      <c r="B30" s="337" t="s">
        <v>8</v>
      </c>
      <c r="C30" s="338">
        <v>90</v>
      </c>
      <c r="D30" s="339">
        <v>69.616666666666632</v>
      </c>
      <c r="E30" s="339">
        <v>6.5343732452216443</v>
      </c>
      <c r="F30" s="339">
        <v>68.099999999999994</v>
      </c>
      <c r="G30" s="339">
        <v>91.3</v>
      </c>
      <c r="H30" s="339">
        <v>59.5</v>
      </c>
      <c r="I30" s="340"/>
      <c r="J30" s="339">
        <v>62.405000000000001</v>
      </c>
      <c r="K30" s="339">
        <v>63.4</v>
      </c>
      <c r="L30" s="339">
        <v>64.674999999999997</v>
      </c>
      <c r="M30" s="339">
        <v>68.099999999999994</v>
      </c>
      <c r="N30" s="339">
        <v>72.5</v>
      </c>
      <c r="O30" s="339">
        <v>75.665000000000006</v>
      </c>
      <c r="P30" s="339">
        <v>82.515000000000001</v>
      </c>
      <c r="Q30" s="340"/>
      <c r="R30" s="339">
        <v>68.266676799026996</v>
      </c>
      <c r="S30" s="341">
        <v>70.966656534306267</v>
      </c>
      <c r="T30" s="339"/>
    </row>
    <row r="31" spans="1:20" x14ac:dyDescent="0.25">
      <c r="A31" s="944"/>
      <c r="B31" s="337" t="s">
        <v>9</v>
      </c>
      <c r="C31" s="338">
        <v>90</v>
      </c>
      <c r="D31" s="339">
        <v>95.636666666666713</v>
      </c>
      <c r="E31" s="339">
        <v>5.8717462900208437</v>
      </c>
      <c r="F31" s="339">
        <v>94.35</v>
      </c>
      <c r="G31" s="339">
        <v>111.7</v>
      </c>
      <c r="H31" s="339">
        <v>86.5</v>
      </c>
      <c r="I31" s="340"/>
      <c r="J31" s="339">
        <v>87.68</v>
      </c>
      <c r="K31" s="339">
        <v>90</v>
      </c>
      <c r="L31" s="339">
        <v>91.875</v>
      </c>
      <c r="M31" s="339">
        <v>94.35</v>
      </c>
      <c r="N31" s="339">
        <v>97.7</v>
      </c>
      <c r="O31" s="339">
        <v>102.4</v>
      </c>
      <c r="P31" s="339">
        <v>107.69499999999999</v>
      </c>
      <c r="Q31" s="340"/>
      <c r="R31" s="339">
        <v>94.42357434711252</v>
      </c>
      <c r="S31" s="341">
        <v>96.849758986220905</v>
      </c>
      <c r="T31" s="339"/>
    </row>
    <row r="32" spans="1:20" x14ac:dyDescent="0.25">
      <c r="A32" s="944"/>
      <c r="B32" s="337" t="s">
        <v>946</v>
      </c>
      <c r="C32" s="338">
        <v>90</v>
      </c>
      <c r="D32" s="339">
        <v>54.478888888888903</v>
      </c>
      <c r="E32" s="339">
        <v>4.0675889234822558</v>
      </c>
      <c r="F32" s="339">
        <v>53.55</v>
      </c>
      <c r="G32" s="339">
        <v>67.599999999999994</v>
      </c>
      <c r="H32" s="339">
        <v>48.4</v>
      </c>
      <c r="I32" s="340"/>
      <c r="J32" s="339">
        <v>49.734999999999999</v>
      </c>
      <c r="K32" s="339">
        <v>50.5</v>
      </c>
      <c r="L32" s="339">
        <v>51.424999999999997</v>
      </c>
      <c r="M32" s="339">
        <v>53.55</v>
      </c>
      <c r="N32" s="339">
        <v>56.45</v>
      </c>
      <c r="O32" s="339">
        <v>58.895000000000003</v>
      </c>
      <c r="P32" s="339">
        <v>62.1</v>
      </c>
      <c r="Q32" s="340"/>
      <c r="R32" s="339">
        <v>53.638532266095766</v>
      </c>
      <c r="S32" s="341">
        <v>55.319245511682041</v>
      </c>
      <c r="T32" s="339"/>
    </row>
    <row r="33" spans="1:20" x14ac:dyDescent="0.25">
      <c r="A33" s="944"/>
      <c r="B33" s="337" t="s">
        <v>947</v>
      </c>
      <c r="C33" s="338">
        <v>90</v>
      </c>
      <c r="D33" s="339">
        <v>48.672222222222246</v>
      </c>
      <c r="E33" s="339">
        <v>4.1342914499050387</v>
      </c>
      <c r="F33" s="339">
        <v>48.3</v>
      </c>
      <c r="G33" s="339">
        <v>61.3</v>
      </c>
      <c r="H33" s="339">
        <v>41.2</v>
      </c>
      <c r="I33" s="340"/>
      <c r="J33" s="339">
        <v>43.435000000000002</v>
      </c>
      <c r="K33" s="339">
        <v>44.634999999999998</v>
      </c>
      <c r="L33" s="339">
        <v>45.6</v>
      </c>
      <c r="M33" s="339">
        <v>48.3</v>
      </c>
      <c r="N33" s="339">
        <v>50.75</v>
      </c>
      <c r="O33" s="339">
        <v>54.2</v>
      </c>
      <c r="P33" s="339">
        <v>56.21</v>
      </c>
      <c r="Q33" s="340"/>
      <c r="R33" s="339">
        <v>47.818084976339883</v>
      </c>
      <c r="S33" s="341">
        <v>49.526359468104609</v>
      </c>
      <c r="T33" s="339"/>
    </row>
    <row r="34" spans="1:20" x14ac:dyDescent="0.25">
      <c r="A34" s="944"/>
      <c r="B34" s="337" t="s">
        <v>948</v>
      </c>
      <c r="C34" s="338">
        <v>90</v>
      </c>
      <c r="D34" s="339">
        <v>34.323333333333309</v>
      </c>
      <c r="E34" s="339">
        <v>2.36510445881901</v>
      </c>
      <c r="F34" s="339">
        <v>33.950000000000003</v>
      </c>
      <c r="G34" s="339">
        <v>42.9</v>
      </c>
      <c r="H34" s="339">
        <v>29.7</v>
      </c>
      <c r="I34" s="340"/>
      <c r="J34" s="339">
        <v>30.945</v>
      </c>
      <c r="K34" s="339">
        <v>32.1</v>
      </c>
      <c r="L34" s="339">
        <v>32.65</v>
      </c>
      <c r="M34" s="339">
        <v>33.950000000000003</v>
      </c>
      <c r="N34" s="339">
        <v>35.375</v>
      </c>
      <c r="O34" s="339">
        <v>36.6</v>
      </c>
      <c r="P34" s="339">
        <v>39</v>
      </c>
      <c r="Q34" s="340"/>
      <c r="R34" s="339">
        <v>33.834706966963765</v>
      </c>
      <c r="S34" s="341">
        <v>34.811959699702854</v>
      </c>
      <c r="T34" s="339"/>
    </row>
    <row r="35" spans="1:20" x14ac:dyDescent="0.25">
      <c r="A35" s="945"/>
      <c r="B35" s="342" t="s">
        <v>949</v>
      </c>
      <c r="C35" s="332">
        <v>90</v>
      </c>
      <c r="D35" s="333">
        <v>20.943333333333335</v>
      </c>
      <c r="E35" s="333">
        <v>1.3464935736275745</v>
      </c>
      <c r="F35" s="333">
        <v>20.8</v>
      </c>
      <c r="G35" s="333">
        <v>24</v>
      </c>
      <c r="H35" s="333">
        <v>17.399999999999999</v>
      </c>
      <c r="I35" s="334"/>
      <c r="J35" s="333">
        <v>19.100000000000001</v>
      </c>
      <c r="K35" s="333">
        <v>19.535</v>
      </c>
      <c r="L35" s="333">
        <v>19.899999999999999</v>
      </c>
      <c r="M35" s="333">
        <v>20.8</v>
      </c>
      <c r="N35" s="333">
        <v>21.85</v>
      </c>
      <c r="O35" s="333">
        <v>22.565000000000001</v>
      </c>
      <c r="P35" s="333">
        <v>23.21</v>
      </c>
      <c r="Q35" s="334"/>
      <c r="R35" s="333">
        <v>20.665150160590887</v>
      </c>
      <c r="S35" s="335">
        <v>21.221516506075783</v>
      </c>
      <c r="T35" s="339"/>
    </row>
    <row r="36" spans="1:20" x14ac:dyDescent="0.25">
      <c r="A36" s="943" t="s">
        <v>950</v>
      </c>
      <c r="B36" s="336" t="s">
        <v>951</v>
      </c>
      <c r="C36" s="328">
        <v>90</v>
      </c>
      <c r="D36" s="329">
        <v>15.77666666666666</v>
      </c>
      <c r="E36" s="329">
        <v>4.4489122518565551</v>
      </c>
      <c r="F36" s="329">
        <v>16</v>
      </c>
      <c r="G36" s="329">
        <v>27.5</v>
      </c>
      <c r="H36" s="329">
        <v>8.5</v>
      </c>
      <c r="I36" s="330"/>
      <c r="J36" s="329">
        <v>10</v>
      </c>
      <c r="K36" s="329">
        <v>11</v>
      </c>
      <c r="L36" s="329">
        <v>12.35</v>
      </c>
      <c r="M36" s="329">
        <v>16</v>
      </c>
      <c r="N36" s="329">
        <v>17.5</v>
      </c>
      <c r="O36" s="329">
        <v>20.324999999999999</v>
      </c>
      <c r="P36" s="329">
        <v>25.864999999999998</v>
      </c>
      <c r="Q36" s="330"/>
      <c r="R36" s="329">
        <v>14.857529323782831</v>
      </c>
      <c r="S36" s="331">
        <v>16.695804009550489</v>
      </c>
      <c r="T36" s="339"/>
    </row>
    <row r="37" spans="1:20" x14ac:dyDescent="0.25">
      <c r="A37" s="944"/>
      <c r="B37" s="337" t="s">
        <v>952</v>
      </c>
      <c r="C37" s="338">
        <v>90</v>
      </c>
      <c r="D37" s="339">
        <v>10.941111111111107</v>
      </c>
      <c r="E37" s="339">
        <v>3.9512164090456032</v>
      </c>
      <c r="F37" s="339">
        <v>10</v>
      </c>
      <c r="G37" s="339">
        <v>22</v>
      </c>
      <c r="H37" s="339">
        <v>5.3</v>
      </c>
      <c r="I37" s="340"/>
      <c r="J37" s="339">
        <v>5.7249999999999996</v>
      </c>
      <c r="K37" s="339">
        <v>7</v>
      </c>
      <c r="L37" s="339">
        <v>8</v>
      </c>
      <c r="M37" s="339">
        <v>10</v>
      </c>
      <c r="N37" s="339">
        <v>13.5</v>
      </c>
      <c r="O37" s="339">
        <v>15.324999999999999</v>
      </c>
      <c r="P37" s="339">
        <v>19.05</v>
      </c>
      <c r="Q37" s="340"/>
      <c r="R37" s="339">
        <v>10.124796842414611</v>
      </c>
      <c r="S37" s="341">
        <v>11.757425379807604</v>
      </c>
      <c r="T37" s="339"/>
    </row>
    <row r="38" spans="1:20" x14ac:dyDescent="0.25">
      <c r="A38" s="944"/>
      <c r="B38" s="337" t="s">
        <v>953</v>
      </c>
      <c r="C38" s="338">
        <v>88</v>
      </c>
      <c r="D38" s="339">
        <v>6.9045454545454552</v>
      </c>
      <c r="E38" s="339">
        <v>2.9276293454119187</v>
      </c>
      <c r="F38" s="339">
        <v>6.5</v>
      </c>
      <c r="G38" s="339">
        <v>18.5</v>
      </c>
      <c r="H38" s="339">
        <v>2</v>
      </c>
      <c r="I38" s="340"/>
      <c r="J38" s="339">
        <v>3</v>
      </c>
      <c r="K38" s="339">
        <v>4.3099999999999996</v>
      </c>
      <c r="L38" s="339">
        <v>5</v>
      </c>
      <c r="M38" s="339">
        <v>6.5</v>
      </c>
      <c r="N38" s="339">
        <v>8</v>
      </c>
      <c r="O38" s="339">
        <v>9.7850000000000001</v>
      </c>
      <c r="P38" s="339">
        <v>11.5</v>
      </c>
      <c r="Q38" s="340"/>
      <c r="R38" s="339">
        <v>6.2928678478946329</v>
      </c>
      <c r="S38" s="341">
        <v>7.5162230611962775</v>
      </c>
      <c r="T38" s="339"/>
    </row>
    <row r="39" spans="1:20" x14ac:dyDescent="0.25">
      <c r="A39" s="944"/>
      <c r="B39" s="337" t="s">
        <v>954</v>
      </c>
      <c r="C39" s="338">
        <v>90</v>
      </c>
      <c r="D39" s="339">
        <v>17.928888888888885</v>
      </c>
      <c r="E39" s="339">
        <v>7.6688373412982864</v>
      </c>
      <c r="F39" s="339">
        <v>15.75</v>
      </c>
      <c r="G39" s="339">
        <v>51</v>
      </c>
      <c r="H39" s="339">
        <v>5</v>
      </c>
      <c r="I39" s="340"/>
      <c r="J39" s="339">
        <v>9.1349999999999998</v>
      </c>
      <c r="K39" s="339">
        <v>10.935</v>
      </c>
      <c r="L39" s="339">
        <v>12.25</v>
      </c>
      <c r="M39" s="339">
        <v>15.75</v>
      </c>
      <c r="N39" s="339">
        <v>22.5</v>
      </c>
      <c r="O39" s="339">
        <v>25.43</v>
      </c>
      <c r="P39" s="339">
        <v>31.94</v>
      </c>
      <c r="Q39" s="340"/>
      <c r="R39" s="339">
        <v>16.344520760713795</v>
      </c>
      <c r="S39" s="341">
        <v>19.513257017063975</v>
      </c>
      <c r="T39" s="339"/>
    </row>
    <row r="40" spans="1:20" x14ac:dyDescent="0.25">
      <c r="A40" s="944"/>
      <c r="B40" s="337" t="s">
        <v>955</v>
      </c>
      <c r="C40" s="338">
        <v>90</v>
      </c>
      <c r="D40" s="339">
        <v>10.204444444444439</v>
      </c>
      <c r="E40" s="339">
        <v>3.8168435429960299</v>
      </c>
      <c r="F40" s="339">
        <v>10</v>
      </c>
      <c r="G40" s="339">
        <v>22</v>
      </c>
      <c r="H40" s="339">
        <v>4</v>
      </c>
      <c r="I40" s="340"/>
      <c r="J40" s="339">
        <v>5.1349999999999998</v>
      </c>
      <c r="K40" s="339">
        <v>6.37</v>
      </c>
      <c r="L40" s="339">
        <v>7.5</v>
      </c>
      <c r="M40" s="339">
        <v>10</v>
      </c>
      <c r="N40" s="339">
        <v>12.375</v>
      </c>
      <c r="O40" s="339">
        <v>13.5</v>
      </c>
      <c r="P40" s="339">
        <v>17.5</v>
      </c>
      <c r="Q40" s="340"/>
      <c r="R40" s="339">
        <v>9.4158913704096161</v>
      </c>
      <c r="S40" s="341">
        <v>10.992997518479262</v>
      </c>
      <c r="T40" s="339"/>
    </row>
    <row r="41" spans="1:20" x14ac:dyDescent="0.25">
      <c r="A41" s="944"/>
      <c r="B41" s="337" t="s">
        <v>956</v>
      </c>
      <c r="C41" s="338">
        <v>90</v>
      </c>
      <c r="D41" s="339">
        <v>20.581111111111106</v>
      </c>
      <c r="E41" s="339">
        <v>7.7011146784661308</v>
      </c>
      <c r="F41" s="339">
        <v>19.5</v>
      </c>
      <c r="G41" s="339">
        <v>47</v>
      </c>
      <c r="H41" s="339">
        <v>6</v>
      </c>
      <c r="I41" s="340"/>
      <c r="J41" s="339">
        <v>9</v>
      </c>
      <c r="K41" s="339">
        <v>13.975</v>
      </c>
      <c r="L41" s="339">
        <v>15.5</v>
      </c>
      <c r="M41" s="339">
        <v>19.5</v>
      </c>
      <c r="N41" s="339">
        <v>24.95</v>
      </c>
      <c r="O41" s="339">
        <v>26.8</v>
      </c>
      <c r="P41" s="339">
        <v>36.5</v>
      </c>
      <c r="Q41" s="340"/>
      <c r="R41" s="339">
        <v>18.990074542598169</v>
      </c>
      <c r="S41" s="341">
        <v>22.172147679624043</v>
      </c>
      <c r="T41" s="339"/>
    </row>
    <row r="42" spans="1:20" x14ac:dyDescent="0.25">
      <c r="A42" s="944"/>
      <c r="B42" s="337" t="s">
        <v>957</v>
      </c>
      <c r="C42" s="338">
        <v>90</v>
      </c>
      <c r="D42" s="339">
        <v>22.668888888888883</v>
      </c>
      <c r="E42" s="339">
        <v>7.2509688534263281</v>
      </c>
      <c r="F42" s="339">
        <v>20.5</v>
      </c>
      <c r="G42" s="339">
        <v>43.5</v>
      </c>
      <c r="H42" s="339">
        <v>10</v>
      </c>
      <c r="I42" s="340"/>
      <c r="J42" s="339">
        <v>12.77</v>
      </c>
      <c r="K42" s="339">
        <v>16</v>
      </c>
      <c r="L42" s="339">
        <v>17.5</v>
      </c>
      <c r="M42" s="339">
        <v>20.5</v>
      </c>
      <c r="N42" s="339">
        <v>27.25</v>
      </c>
      <c r="O42" s="339">
        <v>31.824999999999999</v>
      </c>
      <c r="P42" s="339">
        <v>36</v>
      </c>
      <c r="Q42" s="340"/>
      <c r="R42" s="339">
        <v>21.170851645630041</v>
      </c>
      <c r="S42" s="341">
        <v>24.166926132147726</v>
      </c>
      <c r="T42" s="339"/>
    </row>
    <row r="43" spans="1:20" x14ac:dyDescent="0.25">
      <c r="A43" s="944"/>
      <c r="B43" s="337" t="s">
        <v>948</v>
      </c>
      <c r="C43" s="338">
        <v>90</v>
      </c>
      <c r="D43" s="339">
        <v>15.742222222222219</v>
      </c>
      <c r="E43" s="339">
        <v>5.5552784450239683</v>
      </c>
      <c r="F43" s="339">
        <v>15.05</v>
      </c>
      <c r="G43" s="339">
        <v>31.5</v>
      </c>
      <c r="H43" s="339">
        <v>7.5</v>
      </c>
      <c r="I43" s="340"/>
      <c r="J43" s="339">
        <v>9.0250000000000004</v>
      </c>
      <c r="K43" s="339">
        <v>10</v>
      </c>
      <c r="L43" s="339">
        <v>11.5</v>
      </c>
      <c r="M43" s="339">
        <v>15.05</v>
      </c>
      <c r="N43" s="339">
        <v>17.5</v>
      </c>
      <c r="O43" s="339">
        <v>21.344999999999999</v>
      </c>
      <c r="P43" s="339">
        <v>29.05</v>
      </c>
      <c r="Q43" s="340"/>
      <c r="R43" s="339">
        <v>14.594511595471072</v>
      </c>
      <c r="S43" s="341">
        <v>16.889932848973366</v>
      </c>
      <c r="T43" s="339"/>
    </row>
    <row r="44" spans="1:20" x14ac:dyDescent="0.25">
      <c r="A44" s="945"/>
      <c r="B44" s="342" t="s">
        <v>958</v>
      </c>
      <c r="C44" s="332">
        <v>90</v>
      </c>
      <c r="D44" s="333">
        <v>95.914444444444442</v>
      </c>
      <c r="E44" s="333">
        <v>24.968634531388556</v>
      </c>
      <c r="F44" s="333">
        <v>91.5</v>
      </c>
      <c r="G44" s="333">
        <v>158</v>
      </c>
      <c r="H44" s="333">
        <v>47.3</v>
      </c>
      <c r="I44" s="334"/>
      <c r="J44" s="333">
        <v>61.945</v>
      </c>
      <c r="K44" s="333">
        <v>69.474999999999994</v>
      </c>
      <c r="L44" s="333">
        <v>76.349999999999994</v>
      </c>
      <c r="M44" s="333">
        <v>91.5</v>
      </c>
      <c r="N44" s="333">
        <v>112.375</v>
      </c>
      <c r="O44" s="333">
        <v>121.58499999999999</v>
      </c>
      <c r="P44" s="333">
        <v>145.22</v>
      </c>
      <c r="Q44" s="334"/>
      <c r="R44" s="333">
        <v>90.75596904654445</v>
      </c>
      <c r="S44" s="335">
        <v>101.07291984234443</v>
      </c>
    </row>
    <row r="45" spans="1:20" x14ac:dyDescent="0.25">
      <c r="A45" s="319"/>
      <c r="B45" s="320"/>
      <c r="C45" s="939" t="s">
        <v>911</v>
      </c>
      <c r="D45" s="939"/>
      <c r="E45" s="939"/>
      <c r="F45" s="939"/>
      <c r="G45" s="939"/>
      <c r="H45" s="939"/>
      <c r="I45" s="321"/>
      <c r="J45" s="940" t="s">
        <v>912</v>
      </c>
      <c r="K45" s="940"/>
      <c r="L45" s="940"/>
      <c r="M45" s="940"/>
      <c r="N45" s="940"/>
      <c r="O45" s="940"/>
      <c r="P45" s="940"/>
      <c r="Q45" s="321"/>
      <c r="R45" s="320"/>
      <c r="S45" s="322"/>
    </row>
    <row r="46" spans="1:20" x14ac:dyDescent="0.25">
      <c r="A46" s="324"/>
      <c r="B46" s="325"/>
      <c r="C46" s="325" t="s">
        <v>684</v>
      </c>
      <c r="D46" s="325" t="s">
        <v>913</v>
      </c>
      <c r="E46" s="325" t="s">
        <v>914</v>
      </c>
      <c r="F46" s="325" t="s">
        <v>915</v>
      </c>
      <c r="G46" s="325" t="s">
        <v>916</v>
      </c>
      <c r="H46" s="325" t="s">
        <v>917</v>
      </c>
      <c r="I46" s="326"/>
      <c r="J46" s="327">
        <v>0.05</v>
      </c>
      <c r="K46" s="327">
        <v>0.15</v>
      </c>
      <c r="L46" s="327">
        <v>0.25</v>
      </c>
      <c r="M46" s="327">
        <v>0.5</v>
      </c>
      <c r="N46" s="327">
        <v>0.75</v>
      </c>
      <c r="O46" s="327">
        <v>0.85</v>
      </c>
      <c r="P46" s="327">
        <v>0.95</v>
      </c>
      <c r="Q46" s="326"/>
      <c r="R46" s="937" t="s">
        <v>918</v>
      </c>
      <c r="S46" s="938"/>
    </row>
    <row r="47" spans="1:20" x14ac:dyDescent="0.25">
      <c r="A47" s="943"/>
      <c r="B47" s="343" t="s">
        <v>959</v>
      </c>
      <c r="C47" s="344">
        <v>61</v>
      </c>
      <c r="D47" s="345">
        <v>5.0372950819672138</v>
      </c>
      <c r="E47" s="345">
        <v>0.51798051264058442</v>
      </c>
      <c r="F47" s="345">
        <v>4.9000000000000004</v>
      </c>
      <c r="G47" s="345">
        <v>6.5</v>
      </c>
      <c r="H47" s="345">
        <v>4.2</v>
      </c>
      <c r="I47" s="346"/>
      <c r="J47" s="345">
        <v>4.3</v>
      </c>
      <c r="K47" s="345">
        <v>4.5</v>
      </c>
      <c r="L47" s="345">
        <v>4.7</v>
      </c>
      <c r="M47" s="345">
        <v>4.9000000000000004</v>
      </c>
      <c r="N47" s="345">
        <v>5.35</v>
      </c>
      <c r="O47" s="345">
        <v>5.6</v>
      </c>
      <c r="P47" s="345">
        <v>6</v>
      </c>
      <c r="Q47" s="346"/>
      <c r="R47" s="345">
        <v>4.9073090774735366</v>
      </c>
      <c r="S47" s="347">
        <v>5.1672810864608909</v>
      </c>
    </row>
    <row r="48" spans="1:20" x14ac:dyDescent="0.25">
      <c r="A48" s="944"/>
      <c r="B48" s="343" t="s">
        <v>960</v>
      </c>
      <c r="C48" s="348">
        <v>61</v>
      </c>
      <c r="D48" s="349">
        <v>6.7413934426229511</v>
      </c>
      <c r="E48" s="349">
        <v>0.69529677785073274</v>
      </c>
      <c r="F48" s="349">
        <v>6.6</v>
      </c>
      <c r="G48" s="349">
        <v>8.5</v>
      </c>
      <c r="H48" s="349">
        <v>5.0999999999999996</v>
      </c>
      <c r="I48" s="350"/>
      <c r="J48" s="349">
        <v>5.7</v>
      </c>
      <c r="K48" s="349">
        <v>6.2</v>
      </c>
      <c r="L48" s="349">
        <v>6.3</v>
      </c>
      <c r="M48" s="349">
        <v>6.6</v>
      </c>
      <c r="N48" s="349">
        <v>7.09</v>
      </c>
      <c r="O48" s="349">
        <v>7.5</v>
      </c>
      <c r="P48" s="349">
        <v>8</v>
      </c>
      <c r="Q48" s="350"/>
      <c r="R48" s="349">
        <v>6.5669103339256623</v>
      </c>
      <c r="S48" s="351">
        <v>6.91587655132024</v>
      </c>
    </row>
    <row r="49" spans="1:19" x14ac:dyDescent="0.25">
      <c r="A49" s="944"/>
      <c r="B49" s="343" t="s">
        <v>979</v>
      </c>
      <c r="C49" s="348">
        <v>61</v>
      </c>
      <c r="D49" s="349">
        <v>7.1940039617336051</v>
      </c>
      <c r="E49" s="349">
        <v>1.3570114988683564</v>
      </c>
      <c r="F49" s="349">
        <v>6.8217187499999996</v>
      </c>
      <c r="G49" s="349">
        <v>11.817292500000001</v>
      </c>
      <c r="H49" s="349">
        <v>5.1098510399999997</v>
      </c>
      <c r="I49" s="350"/>
      <c r="J49" s="349">
        <v>5.6829696000000007</v>
      </c>
      <c r="K49" s="349">
        <v>6.0240691200000001</v>
      </c>
      <c r="L49" s="349">
        <v>6.3434515499999993</v>
      </c>
      <c r="M49" s="349">
        <v>6.8217187499999996</v>
      </c>
      <c r="N49" s="349">
        <v>7.6440000000000001</v>
      </c>
      <c r="O49" s="349">
        <v>9.0038783999999996</v>
      </c>
      <c r="P49" s="349">
        <v>9.7830461999999994</v>
      </c>
      <c r="Q49" s="350"/>
      <c r="R49" s="349">
        <v>6.8534650833679853</v>
      </c>
      <c r="S49" s="351">
        <v>7.5345428400992249</v>
      </c>
    </row>
    <row r="50" spans="1:19" x14ac:dyDescent="0.25">
      <c r="A50" s="945"/>
      <c r="B50" s="343" t="s">
        <v>980</v>
      </c>
      <c r="C50" s="352">
        <v>61</v>
      </c>
      <c r="D50" s="353">
        <v>27.449561326608077</v>
      </c>
      <c r="E50" s="353">
        <v>8.2727686353196077</v>
      </c>
      <c r="F50" s="353">
        <v>25.290715360848377</v>
      </c>
      <c r="G50" s="353">
        <v>56.235022856427371</v>
      </c>
      <c r="H50" s="353">
        <v>15.526519202993269</v>
      </c>
      <c r="I50" s="354"/>
      <c r="J50" s="353">
        <v>17.80190657558429</v>
      </c>
      <c r="K50" s="353">
        <v>21.081468409240124</v>
      </c>
      <c r="L50" s="353">
        <v>22.813437768879286</v>
      </c>
      <c r="M50" s="353">
        <v>25.290715360848377</v>
      </c>
      <c r="N50" s="353">
        <v>28.894999766941634</v>
      </c>
      <c r="O50" s="353">
        <v>35.895506285132555</v>
      </c>
      <c r="P50" s="353">
        <v>43.685342926080757</v>
      </c>
      <c r="Q50" s="354"/>
      <c r="R50" s="353">
        <v>25.373529285317826</v>
      </c>
      <c r="S50" s="355">
        <v>29.525593367898328</v>
      </c>
    </row>
    <row r="51" spans="1:19" x14ac:dyDescent="0.25">
      <c r="A51" s="947" t="s">
        <v>963</v>
      </c>
      <c r="B51" s="948"/>
      <c r="C51" s="352">
        <v>61</v>
      </c>
      <c r="D51" s="367">
        <v>3.7843985930684303</v>
      </c>
      <c r="E51" s="367">
        <v>0.63876197375533239</v>
      </c>
      <c r="F51" s="367">
        <v>3.7892082763943322</v>
      </c>
      <c r="G51" s="367">
        <v>5.3595332015281318</v>
      </c>
      <c r="H51" s="367">
        <v>2.402454049726682</v>
      </c>
      <c r="I51" s="367"/>
      <c r="J51" s="368">
        <v>2.7797616205064761</v>
      </c>
      <c r="K51" s="368">
        <v>3.189067935279128</v>
      </c>
      <c r="L51" s="368">
        <v>3.3547952361677744</v>
      </c>
      <c r="M51" s="368">
        <v>3.7892082763943322</v>
      </c>
      <c r="N51" s="368">
        <v>4.1307740646253341</v>
      </c>
      <c r="O51" s="368">
        <v>4.5188824439722968</v>
      </c>
      <c r="P51" s="368">
        <v>4.8609844887272677</v>
      </c>
      <c r="Q51" s="367"/>
      <c r="R51" s="368">
        <v>3.6241027619228223</v>
      </c>
      <c r="S51" s="369">
        <v>3.9446944242140383</v>
      </c>
    </row>
    <row r="52" spans="1:19" x14ac:dyDescent="0.25">
      <c r="A52" s="947" t="s">
        <v>964</v>
      </c>
      <c r="B52" s="948"/>
      <c r="C52" s="348">
        <v>61</v>
      </c>
      <c r="D52" s="349">
        <v>26.455149535461963</v>
      </c>
      <c r="E52" s="349">
        <v>5.4029812127039198</v>
      </c>
      <c r="F52" s="349">
        <v>24.992037729770129</v>
      </c>
      <c r="G52" s="349">
        <v>42.764646912145778</v>
      </c>
      <c r="H52" s="349">
        <v>19.744371069358539</v>
      </c>
      <c r="I52" s="349"/>
      <c r="J52" s="370">
        <v>20.333917089246022</v>
      </c>
      <c r="K52" s="370">
        <v>22.597603947311256</v>
      </c>
      <c r="L52" s="370">
        <v>23.250150839555413</v>
      </c>
      <c r="M52" s="370">
        <v>24.992037729770129</v>
      </c>
      <c r="N52" s="370">
        <v>26.618857128457318</v>
      </c>
      <c r="O52" s="370">
        <v>33.119110434374626</v>
      </c>
      <c r="P52" s="370">
        <v>35.98363140488037</v>
      </c>
      <c r="Q52" s="349"/>
      <c r="R52" s="370">
        <v>25.099283970918801</v>
      </c>
      <c r="S52" s="371">
        <v>27.811015100005125</v>
      </c>
    </row>
    <row r="53" spans="1:19" x14ac:dyDescent="0.25">
      <c r="A53" s="941" t="s">
        <v>965</v>
      </c>
      <c r="B53" s="939"/>
      <c r="C53" s="338">
        <v>90</v>
      </c>
      <c r="D53" s="349">
        <v>21.751519649930426</v>
      </c>
      <c r="E53" s="349">
        <v>2.6970782698209899</v>
      </c>
      <c r="F53" s="349">
        <v>21.002087535158555</v>
      </c>
      <c r="G53" s="349">
        <v>30.131826741996232</v>
      </c>
      <c r="H53" s="349">
        <v>18.123235081332123</v>
      </c>
      <c r="I53" s="350"/>
      <c r="J53" s="349">
        <v>18.803021392844965</v>
      </c>
      <c r="K53" s="349">
        <v>19.43608147905314</v>
      </c>
      <c r="L53" s="349">
        <v>19.933876098582857</v>
      </c>
      <c r="M53" s="349">
        <v>21.002087535158555</v>
      </c>
      <c r="N53" s="349">
        <v>22.826819969419567</v>
      </c>
      <c r="O53" s="349">
        <v>24.867882236562863</v>
      </c>
      <c r="P53" s="349">
        <v>28.15678659382375</v>
      </c>
      <c r="Q53" s="350"/>
      <c r="R53" s="349">
        <v>21.194308085814168</v>
      </c>
      <c r="S53" s="351">
        <v>22.308731214046684</v>
      </c>
    </row>
    <row r="54" spans="1:19" x14ac:dyDescent="0.25">
      <c r="A54" s="949" t="s">
        <v>966</v>
      </c>
      <c r="B54" s="950"/>
      <c r="C54" s="338">
        <v>90</v>
      </c>
      <c r="D54" s="349">
        <v>25.79358555577905</v>
      </c>
      <c r="E54" s="349">
        <v>4.207998113024197</v>
      </c>
      <c r="F54" s="349">
        <v>25.818323606981323</v>
      </c>
      <c r="G54" s="349">
        <v>34.989744951687271</v>
      </c>
      <c r="H54" s="349">
        <v>16.146959203809956</v>
      </c>
      <c r="I54" s="350"/>
      <c r="J54" s="349">
        <v>19.108665247418038</v>
      </c>
      <c r="K54" s="349">
        <v>21.090223038112974</v>
      </c>
      <c r="L54" s="349">
        <v>22.827708403681129</v>
      </c>
      <c r="M54" s="349">
        <v>25.818323606981323</v>
      </c>
      <c r="N54" s="349">
        <v>28.104000088607194</v>
      </c>
      <c r="O54" s="349">
        <v>30.808398409908342</v>
      </c>
      <c r="P54" s="349">
        <v>32.652152370255763</v>
      </c>
      <c r="Q54" s="350"/>
      <c r="R54" s="349">
        <v>24.924220644647974</v>
      </c>
      <c r="S54" s="351">
        <v>26.662950466910125</v>
      </c>
    </row>
    <row r="55" spans="1:19" x14ac:dyDescent="0.25">
      <c r="A55" s="942" t="s">
        <v>967</v>
      </c>
      <c r="B55" s="937"/>
      <c r="C55" s="332">
        <v>61</v>
      </c>
      <c r="D55" s="362">
        <v>0.52382522307283397</v>
      </c>
      <c r="E55" s="362">
        <v>1.4411059054039922E-2</v>
      </c>
      <c r="F55" s="362">
        <v>0.52380952380952384</v>
      </c>
      <c r="G55" s="362">
        <v>0.55027760641579271</v>
      </c>
      <c r="H55" s="362">
        <v>0.49031121550205514</v>
      </c>
      <c r="I55" s="362"/>
      <c r="J55" s="362">
        <v>0.5</v>
      </c>
      <c r="K55" s="362">
        <v>0.50728862973760935</v>
      </c>
      <c r="L55" s="362">
        <v>0.51460541813898697</v>
      </c>
      <c r="M55" s="362">
        <v>0.52380952380952384</v>
      </c>
      <c r="N55" s="362">
        <v>0.53341902313624678</v>
      </c>
      <c r="O55" s="362">
        <v>0.53636363636363638</v>
      </c>
      <c r="P55" s="362">
        <v>0.54828660436137067</v>
      </c>
      <c r="Q55" s="362"/>
      <c r="R55" s="362">
        <v>0.52020880133254954</v>
      </c>
      <c r="S55" s="363">
        <v>0.52744164481311839</v>
      </c>
    </row>
    <row r="57" spans="1:19" x14ac:dyDescent="0.25">
      <c r="A57" s="951" t="s">
        <v>968</v>
      </c>
      <c r="B57" s="951"/>
      <c r="C57" s="951"/>
      <c r="D57" s="951"/>
      <c r="E57" s="951"/>
    </row>
    <row r="58" spans="1:19" x14ac:dyDescent="0.25">
      <c r="A58" s="946" t="s">
        <v>969</v>
      </c>
      <c r="B58" s="946"/>
      <c r="C58" s="946"/>
      <c r="D58" s="946"/>
      <c r="E58" s="946"/>
      <c r="F58" s="946"/>
      <c r="G58" s="946"/>
      <c r="H58" s="946"/>
      <c r="I58" s="946"/>
      <c r="J58" s="946"/>
      <c r="K58" s="946"/>
      <c r="L58" s="946"/>
      <c r="M58" s="946"/>
      <c r="N58" s="946"/>
      <c r="O58" s="946"/>
      <c r="P58" s="946"/>
      <c r="Q58" s="946"/>
      <c r="R58" s="946"/>
      <c r="S58" s="946"/>
    </row>
    <row r="59" spans="1:19" x14ac:dyDescent="0.25">
      <c r="A59" s="946"/>
      <c r="B59" s="946"/>
      <c r="C59" s="946"/>
      <c r="D59" s="946"/>
      <c r="E59" s="946"/>
      <c r="F59" s="946"/>
      <c r="G59" s="946"/>
      <c r="H59" s="946"/>
      <c r="I59" s="946"/>
      <c r="J59" s="946"/>
      <c r="K59" s="946"/>
      <c r="L59" s="946"/>
      <c r="M59" s="946"/>
      <c r="N59" s="946"/>
      <c r="O59" s="946"/>
      <c r="P59" s="946"/>
      <c r="Q59" s="946"/>
      <c r="R59" s="946"/>
      <c r="S59" s="946"/>
    </row>
    <row r="60" spans="1:19" x14ac:dyDescent="0.25">
      <c r="A60" s="946" t="s">
        <v>970</v>
      </c>
      <c r="B60" s="946"/>
      <c r="C60" s="946"/>
      <c r="D60" s="946"/>
      <c r="E60" s="946"/>
      <c r="F60" s="946"/>
      <c r="G60" s="946"/>
      <c r="H60" s="946"/>
      <c r="I60" s="946"/>
      <c r="J60" s="946"/>
      <c r="K60" s="946"/>
      <c r="L60" s="946"/>
      <c r="M60" s="946"/>
      <c r="N60" s="946"/>
      <c r="O60" s="946"/>
      <c r="P60" s="946"/>
      <c r="Q60" s="946"/>
      <c r="R60" s="946"/>
      <c r="S60" s="946"/>
    </row>
    <row r="61" spans="1:19" x14ac:dyDescent="0.25">
      <c r="A61" s="946"/>
      <c r="B61" s="946"/>
      <c r="C61" s="946"/>
      <c r="D61" s="946"/>
      <c r="E61" s="946"/>
      <c r="F61" s="946"/>
      <c r="G61" s="946"/>
      <c r="H61" s="946"/>
      <c r="I61" s="946"/>
      <c r="J61" s="946"/>
      <c r="K61" s="946"/>
      <c r="L61" s="946"/>
      <c r="M61" s="946"/>
      <c r="N61" s="946"/>
      <c r="O61" s="946"/>
      <c r="P61" s="946"/>
      <c r="Q61" s="946"/>
      <c r="R61" s="946"/>
      <c r="S61" s="946"/>
    </row>
    <row r="62" spans="1:19" x14ac:dyDescent="0.25">
      <c r="A62" s="946" t="s">
        <v>971</v>
      </c>
      <c r="B62" s="946"/>
      <c r="C62" s="946"/>
      <c r="D62" s="946"/>
      <c r="E62" s="946"/>
      <c r="F62" s="946"/>
      <c r="G62" s="946"/>
      <c r="H62" s="946"/>
      <c r="I62" s="946"/>
      <c r="J62" s="946"/>
      <c r="K62" s="946"/>
      <c r="L62" s="946"/>
      <c r="M62" s="946"/>
      <c r="N62" s="946"/>
      <c r="O62" s="946"/>
      <c r="P62" s="946"/>
      <c r="Q62" s="946"/>
      <c r="R62" s="946"/>
      <c r="S62" s="946"/>
    </row>
    <row r="63" spans="1:19" x14ac:dyDescent="0.25">
      <c r="A63" s="946"/>
      <c r="B63" s="946"/>
      <c r="C63" s="946"/>
      <c r="D63" s="946"/>
      <c r="E63" s="946"/>
      <c r="F63" s="946"/>
      <c r="G63" s="946"/>
      <c r="H63" s="946"/>
      <c r="I63" s="946"/>
      <c r="J63" s="946"/>
      <c r="K63" s="946"/>
      <c r="L63" s="946"/>
      <c r="M63" s="946"/>
      <c r="N63" s="946"/>
      <c r="O63" s="946"/>
      <c r="P63" s="946"/>
      <c r="Q63" s="946"/>
      <c r="R63" s="946"/>
      <c r="S63" s="946"/>
    </row>
    <row r="64" spans="1:19" x14ac:dyDescent="0.25">
      <c r="A64" s="946" t="s">
        <v>972</v>
      </c>
      <c r="B64" s="946"/>
      <c r="C64" s="946"/>
      <c r="D64" s="946"/>
      <c r="E64" s="946"/>
      <c r="F64" s="946"/>
      <c r="G64" s="946"/>
      <c r="H64" s="946"/>
      <c r="I64" s="946"/>
      <c r="J64" s="946"/>
      <c r="K64" s="946"/>
      <c r="L64" s="946"/>
      <c r="M64" s="946"/>
      <c r="N64" s="946"/>
      <c r="O64" s="946"/>
      <c r="P64" s="946"/>
      <c r="Q64" s="946"/>
      <c r="R64" s="946"/>
      <c r="S64" s="946"/>
    </row>
    <row r="65" spans="1:19" x14ac:dyDescent="0.25">
      <c r="A65" s="946"/>
      <c r="B65" s="946"/>
      <c r="C65" s="946"/>
      <c r="D65" s="946"/>
      <c r="E65" s="946"/>
      <c r="F65" s="946"/>
      <c r="G65" s="946"/>
      <c r="H65" s="946"/>
      <c r="I65" s="946"/>
      <c r="J65" s="946"/>
      <c r="K65" s="946"/>
      <c r="L65" s="946"/>
      <c r="M65" s="946"/>
      <c r="N65" s="946"/>
      <c r="O65" s="946"/>
      <c r="P65" s="946"/>
      <c r="Q65" s="946"/>
      <c r="R65" s="946"/>
      <c r="S65" s="946"/>
    </row>
    <row r="66" spans="1:19" x14ac:dyDescent="0.25">
      <c r="A66" s="946" t="s">
        <v>973</v>
      </c>
      <c r="B66" s="946"/>
      <c r="C66" s="946"/>
      <c r="D66" s="946"/>
      <c r="E66" s="946"/>
      <c r="F66" s="946"/>
      <c r="G66" s="946"/>
      <c r="H66" s="946"/>
      <c r="I66" s="946"/>
      <c r="J66" s="946"/>
      <c r="K66" s="946"/>
      <c r="L66" s="946"/>
      <c r="M66" s="946"/>
      <c r="N66" s="946"/>
      <c r="O66" s="946"/>
      <c r="P66" s="946"/>
      <c r="Q66" s="946"/>
      <c r="R66" s="946"/>
      <c r="S66" s="946"/>
    </row>
    <row r="67" spans="1:19" x14ac:dyDescent="0.25">
      <c r="A67" s="946"/>
      <c r="B67" s="946"/>
      <c r="C67" s="946"/>
      <c r="D67" s="946"/>
      <c r="E67" s="946"/>
      <c r="F67" s="946"/>
      <c r="G67" s="946"/>
      <c r="H67" s="946"/>
      <c r="I67" s="946"/>
      <c r="J67" s="946"/>
      <c r="K67" s="946"/>
      <c r="L67" s="946"/>
      <c r="M67" s="946"/>
      <c r="N67" s="946"/>
      <c r="O67" s="946"/>
      <c r="P67" s="946"/>
      <c r="Q67" s="946"/>
      <c r="R67" s="946"/>
      <c r="S67" s="946"/>
    </row>
    <row r="68" spans="1:19" x14ac:dyDescent="0.25">
      <c r="A68" s="364" t="s">
        <v>974</v>
      </c>
      <c r="B68" s="365"/>
      <c r="C68" s="365"/>
      <c r="D68" s="365"/>
      <c r="E68" s="365"/>
      <c r="F68" s="365"/>
      <c r="G68" s="365"/>
      <c r="H68" s="365"/>
      <c r="I68" s="365"/>
      <c r="J68" s="365"/>
      <c r="K68" s="365"/>
      <c r="L68" s="365"/>
      <c r="M68" s="365"/>
      <c r="N68" s="365"/>
      <c r="O68" s="365"/>
      <c r="P68" s="365"/>
      <c r="Q68" s="365"/>
      <c r="R68" s="365"/>
      <c r="S68" s="365"/>
    </row>
    <row r="69" spans="1:19" x14ac:dyDescent="0.25">
      <c r="A69" s="366" t="s">
        <v>975</v>
      </c>
      <c r="B69" s="340"/>
      <c r="C69" s="340"/>
      <c r="D69" s="340"/>
      <c r="E69" s="340"/>
      <c r="F69" s="340"/>
      <c r="G69" s="340"/>
      <c r="H69" s="340"/>
      <c r="I69" s="340"/>
      <c r="J69" s="340"/>
      <c r="K69" s="340"/>
      <c r="L69" s="340"/>
      <c r="M69" s="340"/>
      <c r="N69" s="340"/>
      <c r="O69" s="340"/>
      <c r="P69" s="340"/>
      <c r="Q69" s="340"/>
      <c r="R69" s="340"/>
      <c r="S69" s="340"/>
    </row>
    <row r="70" spans="1:19" x14ac:dyDescent="0.25">
      <c r="A70" s="340" t="s">
        <v>976</v>
      </c>
      <c r="B70" s="340"/>
      <c r="C70" s="340"/>
      <c r="D70" s="340"/>
      <c r="E70" s="340"/>
      <c r="F70" s="340"/>
      <c r="G70" s="340"/>
      <c r="H70" s="340"/>
      <c r="I70" s="340"/>
      <c r="J70" s="340"/>
      <c r="K70" s="340"/>
      <c r="L70" s="340"/>
      <c r="M70" s="340"/>
      <c r="N70" s="340"/>
      <c r="O70" s="340"/>
      <c r="P70" s="340"/>
      <c r="Q70" s="340"/>
      <c r="R70" s="340"/>
      <c r="S70" s="340"/>
    </row>
    <row r="71" spans="1:19" x14ac:dyDescent="0.25">
      <c r="A71" s="340" t="s">
        <v>977</v>
      </c>
      <c r="B71" s="340"/>
      <c r="C71" s="340"/>
      <c r="D71" s="340"/>
      <c r="E71" s="340"/>
      <c r="F71" s="340"/>
      <c r="G71" s="340"/>
      <c r="H71" s="340"/>
      <c r="I71" s="340"/>
      <c r="J71" s="340"/>
      <c r="K71" s="340"/>
      <c r="L71" s="340"/>
      <c r="M71" s="340"/>
      <c r="N71" s="340"/>
      <c r="O71" s="340"/>
      <c r="P71" s="340"/>
      <c r="Q71" s="340"/>
      <c r="R71" s="340"/>
      <c r="S71" s="340"/>
    </row>
    <row r="72" spans="1:19" x14ac:dyDescent="0.25">
      <c r="A72" s="340" t="s">
        <v>978</v>
      </c>
      <c r="B72" s="340"/>
      <c r="C72" s="340"/>
      <c r="D72" s="340"/>
      <c r="E72" s="340"/>
      <c r="F72" s="340"/>
      <c r="G72" s="340"/>
      <c r="H72" s="340"/>
      <c r="I72" s="340"/>
      <c r="J72" s="340"/>
      <c r="K72" s="340"/>
      <c r="L72" s="340"/>
      <c r="M72" s="340"/>
      <c r="N72" s="340"/>
      <c r="O72" s="340"/>
      <c r="P72" s="340"/>
      <c r="Q72" s="340"/>
      <c r="R72" s="340"/>
      <c r="S72" s="340"/>
    </row>
  </sheetData>
  <mergeCells count="24">
    <mergeCell ref="A66:S67"/>
    <mergeCell ref="A47:A50"/>
    <mergeCell ref="A51:B51"/>
    <mergeCell ref="A52:B52"/>
    <mergeCell ref="A53:B53"/>
    <mergeCell ref="A54:B54"/>
    <mergeCell ref="A55:B55"/>
    <mergeCell ref="A57:E57"/>
    <mergeCell ref="A58:S59"/>
    <mergeCell ref="A60:S61"/>
    <mergeCell ref="A62:S63"/>
    <mergeCell ref="A64:S65"/>
    <mergeCell ref="R46:S46"/>
    <mergeCell ref="C1:H1"/>
    <mergeCell ref="J1:P1"/>
    <mergeCell ref="R2:S2"/>
    <mergeCell ref="A3:B3"/>
    <mergeCell ref="A4:B4"/>
    <mergeCell ref="A5:A16"/>
    <mergeCell ref="A17:A22"/>
    <mergeCell ref="A23:A35"/>
    <mergeCell ref="A36:A44"/>
    <mergeCell ref="C45:H45"/>
    <mergeCell ref="J45:P45"/>
  </mergeCells>
  <printOptions horizontalCentered="1" verticalCentered="1"/>
  <pageMargins left="0.78740157480314965" right="0.78740157480314965" top="0.98425196850393704" bottom="0.98425196850393704" header="0.45" footer="0"/>
  <pageSetup paperSize="9" orientation="portrait" horizontalDpi="300" verticalDpi="300" r:id="rId1"/>
  <headerFooter alignWithMargins="0">
    <oddHeader>&amp;C&amp;"Arial,Negrita"&amp;12TABLAS NORMATIVAS
ANTROPOMÉTRICAS 
ARGOREF
FEMENINO 20 a 30 años</oddHeader>
    <oddFooter>&amp;CFrancis Holway, MSc.
Buenos Aires (2004)
www.nutrideporte.com.ar</oddFooter>
  </headerFooter>
  <rowBreaks count="1" manualBreakCount="1">
    <brk id="44"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BEA1-45CE-4E00-BF26-58AC73859783}">
  <sheetPr>
    <tabColor rgb="FF00B0F0"/>
  </sheetPr>
  <dimension ref="A1:V157"/>
  <sheetViews>
    <sheetView zoomScale="80" zoomScaleNormal="80" workbookViewId="0">
      <selection activeCell="B5" sqref="B5"/>
    </sheetView>
  </sheetViews>
  <sheetFormatPr baseColWidth="10" defaultRowHeight="13.2" x14ac:dyDescent="0.25"/>
  <cols>
    <col min="1" max="1" width="17.5546875" style="340" bestFit="1" customWidth="1"/>
    <col min="2" max="2" width="7.44140625" style="350" bestFit="1" customWidth="1"/>
    <col min="3" max="5" width="6.6640625" style="350" customWidth="1"/>
    <col min="6" max="8" width="6.6640625" style="323" customWidth="1"/>
    <col min="9" max="9" width="11.44140625" style="420" bestFit="1" customWidth="1"/>
    <col min="10" max="10" width="6.6640625" style="323" customWidth="1"/>
    <col min="11" max="11" width="14.109375" style="340" customWidth="1"/>
    <col min="12" max="12" width="11.6640625" style="323" bestFit="1" customWidth="1"/>
    <col min="13" max="13" width="11.5546875" style="323"/>
    <col min="14" max="14" width="11.6640625" style="323" bestFit="1" customWidth="1"/>
    <col min="15" max="15" width="11.5546875" style="323"/>
    <col min="16" max="16" width="13.5546875" style="323" bestFit="1" customWidth="1"/>
    <col min="17" max="20" width="11.5546875" style="323"/>
    <col min="21" max="21" width="7.33203125" style="323" bestFit="1" customWidth="1"/>
    <col min="22" max="256" width="11.5546875" style="323"/>
    <col min="257" max="257" width="17.5546875" style="323" bestFit="1" customWidth="1"/>
    <col min="258" max="264" width="6.6640625" style="323" customWidth="1"/>
    <col min="265" max="265" width="6.88671875" style="323" customWidth="1"/>
    <col min="266" max="266" width="6.6640625" style="323" customWidth="1"/>
    <col min="267" max="267" width="14.109375" style="323" customWidth="1"/>
    <col min="268" max="268" width="11.6640625" style="323" bestFit="1" customWidth="1"/>
    <col min="269" max="269" width="11.5546875" style="323"/>
    <col min="270" max="270" width="11.6640625" style="323" bestFit="1" customWidth="1"/>
    <col min="271" max="512" width="11.5546875" style="323"/>
    <col min="513" max="513" width="17.5546875" style="323" bestFit="1" customWidth="1"/>
    <col min="514" max="520" width="6.6640625" style="323" customWidth="1"/>
    <col min="521" max="521" width="6.88671875" style="323" customWidth="1"/>
    <col min="522" max="522" width="6.6640625" style="323" customWidth="1"/>
    <col min="523" max="523" width="14.109375" style="323" customWidth="1"/>
    <col min="524" max="524" width="11.6640625" style="323" bestFit="1" customWidth="1"/>
    <col min="525" max="525" width="11.5546875" style="323"/>
    <col min="526" max="526" width="11.6640625" style="323" bestFit="1" customWidth="1"/>
    <col min="527" max="768" width="11.5546875" style="323"/>
    <col min="769" max="769" width="17.5546875" style="323" bestFit="1" customWidth="1"/>
    <col min="770" max="776" width="6.6640625" style="323" customWidth="1"/>
    <col min="777" max="777" width="6.88671875" style="323" customWidth="1"/>
    <col min="778" max="778" width="6.6640625" style="323" customWidth="1"/>
    <col min="779" max="779" width="14.109375" style="323" customWidth="1"/>
    <col min="780" max="780" width="11.6640625" style="323" bestFit="1" customWidth="1"/>
    <col min="781" max="781" width="11.5546875" style="323"/>
    <col min="782" max="782" width="11.6640625" style="323" bestFit="1" customWidth="1"/>
    <col min="783" max="1024" width="11.5546875" style="323"/>
    <col min="1025" max="1025" width="17.5546875" style="323" bestFit="1" customWidth="1"/>
    <col min="1026" max="1032" width="6.6640625" style="323" customWidth="1"/>
    <col min="1033" max="1033" width="6.88671875" style="323" customWidth="1"/>
    <col min="1034" max="1034" width="6.6640625" style="323" customWidth="1"/>
    <col min="1035" max="1035" width="14.109375" style="323" customWidth="1"/>
    <col min="1036" max="1036" width="11.6640625" style="323" bestFit="1" customWidth="1"/>
    <col min="1037" max="1037" width="11.5546875" style="323"/>
    <col min="1038" max="1038" width="11.6640625" style="323" bestFit="1" customWidth="1"/>
    <col min="1039" max="1280" width="11.5546875" style="323"/>
    <col min="1281" max="1281" width="17.5546875" style="323" bestFit="1" customWidth="1"/>
    <col min="1282" max="1288" width="6.6640625" style="323" customWidth="1"/>
    <col min="1289" max="1289" width="6.88671875" style="323" customWidth="1"/>
    <col min="1290" max="1290" width="6.6640625" style="323" customWidth="1"/>
    <col min="1291" max="1291" width="14.109375" style="323" customWidth="1"/>
    <col min="1292" max="1292" width="11.6640625" style="323" bestFit="1" customWidth="1"/>
    <col min="1293" max="1293" width="11.5546875" style="323"/>
    <col min="1294" max="1294" width="11.6640625" style="323" bestFit="1" customWidth="1"/>
    <col min="1295" max="1536" width="11.5546875" style="323"/>
    <col min="1537" max="1537" width="17.5546875" style="323" bestFit="1" customWidth="1"/>
    <col min="1538" max="1544" width="6.6640625" style="323" customWidth="1"/>
    <col min="1545" max="1545" width="6.88671875" style="323" customWidth="1"/>
    <col min="1546" max="1546" width="6.6640625" style="323" customWidth="1"/>
    <col min="1547" max="1547" width="14.109375" style="323" customWidth="1"/>
    <col min="1548" max="1548" width="11.6640625" style="323" bestFit="1" customWidth="1"/>
    <col min="1549" max="1549" width="11.5546875" style="323"/>
    <col min="1550" max="1550" width="11.6640625" style="323" bestFit="1" customWidth="1"/>
    <col min="1551" max="1792" width="11.5546875" style="323"/>
    <col min="1793" max="1793" width="17.5546875" style="323" bestFit="1" customWidth="1"/>
    <col min="1794" max="1800" width="6.6640625" style="323" customWidth="1"/>
    <col min="1801" max="1801" width="6.88671875" style="323" customWidth="1"/>
    <col min="1802" max="1802" width="6.6640625" style="323" customWidth="1"/>
    <col min="1803" max="1803" width="14.109375" style="323" customWidth="1"/>
    <col min="1804" max="1804" width="11.6640625" style="323" bestFit="1" customWidth="1"/>
    <col min="1805" max="1805" width="11.5546875" style="323"/>
    <col min="1806" max="1806" width="11.6640625" style="323" bestFit="1" customWidth="1"/>
    <col min="1807" max="2048" width="11.5546875" style="323"/>
    <col min="2049" max="2049" width="17.5546875" style="323" bestFit="1" customWidth="1"/>
    <col min="2050" max="2056" width="6.6640625" style="323" customWidth="1"/>
    <col min="2057" max="2057" width="6.88671875" style="323" customWidth="1"/>
    <col min="2058" max="2058" width="6.6640625" style="323" customWidth="1"/>
    <col min="2059" max="2059" width="14.109375" style="323" customWidth="1"/>
    <col min="2060" max="2060" width="11.6640625" style="323" bestFit="1" customWidth="1"/>
    <col min="2061" max="2061" width="11.5546875" style="323"/>
    <col min="2062" max="2062" width="11.6640625" style="323" bestFit="1" customWidth="1"/>
    <col min="2063" max="2304" width="11.5546875" style="323"/>
    <col min="2305" max="2305" width="17.5546875" style="323" bestFit="1" customWidth="1"/>
    <col min="2306" max="2312" width="6.6640625" style="323" customWidth="1"/>
    <col min="2313" max="2313" width="6.88671875" style="323" customWidth="1"/>
    <col min="2314" max="2314" width="6.6640625" style="323" customWidth="1"/>
    <col min="2315" max="2315" width="14.109375" style="323" customWidth="1"/>
    <col min="2316" max="2316" width="11.6640625" style="323" bestFit="1" customWidth="1"/>
    <col min="2317" max="2317" width="11.5546875" style="323"/>
    <col min="2318" max="2318" width="11.6640625" style="323" bestFit="1" customWidth="1"/>
    <col min="2319" max="2560" width="11.5546875" style="323"/>
    <col min="2561" max="2561" width="17.5546875" style="323" bestFit="1" customWidth="1"/>
    <col min="2562" max="2568" width="6.6640625" style="323" customWidth="1"/>
    <col min="2569" max="2569" width="6.88671875" style="323" customWidth="1"/>
    <col min="2570" max="2570" width="6.6640625" style="323" customWidth="1"/>
    <col min="2571" max="2571" width="14.109375" style="323" customWidth="1"/>
    <col min="2572" max="2572" width="11.6640625" style="323" bestFit="1" customWidth="1"/>
    <col min="2573" max="2573" width="11.5546875" style="323"/>
    <col min="2574" max="2574" width="11.6640625" style="323" bestFit="1" customWidth="1"/>
    <col min="2575" max="2816" width="11.5546875" style="323"/>
    <col min="2817" max="2817" width="17.5546875" style="323" bestFit="1" customWidth="1"/>
    <col min="2818" max="2824" width="6.6640625" style="323" customWidth="1"/>
    <col min="2825" max="2825" width="6.88671875" style="323" customWidth="1"/>
    <col min="2826" max="2826" width="6.6640625" style="323" customWidth="1"/>
    <col min="2827" max="2827" width="14.109375" style="323" customWidth="1"/>
    <col min="2828" max="2828" width="11.6640625" style="323" bestFit="1" customWidth="1"/>
    <col min="2829" max="2829" width="11.5546875" style="323"/>
    <col min="2830" max="2830" width="11.6640625" style="323" bestFit="1" customWidth="1"/>
    <col min="2831" max="3072" width="11.5546875" style="323"/>
    <col min="3073" max="3073" width="17.5546875" style="323" bestFit="1" customWidth="1"/>
    <col min="3074" max="3080" width="6.6640625" style="323" customWidth="1"/>
    <col min="3081" max="3081" width="6.88671875" style="323" customWidth="1"/>
    <col min="3082" max="3082" width="6.6640625" style="323" customWidth="1"/>
    <col min="3083" max="3083" width="14.109375" style="323" customWidth="1"/>
    <col min="3084" max="3084" width="11.6640625" style="323" bestFit="1" customWidth="1"/>
    <col min="3085" max="3085" width="11.5546875" style="323"/>
    <col min="3086" max="3086" width="11.6640625" style="323" bestFit="1" customWidth="1"/>
    <col min="3087" max="3328" width="11.5546875" style="323"/>
    <col min="3329" max="3329" width="17.5546875" style="323" bestFit="1" customWidth="1"/>
    <col min="3330" max="3336" width="6.6640625" style="323" customWidth="1"/>
    <col min="3337" max="3337" width="6.88671875" style="323" customWidth="1"/>
    <col min="3338" max="3338" width="6.6640625" style="323" customWidth="1"/>
    <col min="3339" max="3339" width="14.109375" style="323" customWidth="1"/>
    <col min="3340" max="3340" width="11.6640625" style="323" bestFit="1" customWidth="1"/>
    <col min="3341" max="3341" width="11.5546875" style="323"/>
    <col min="3342" max="3342" width="11.6640625" style="323" bestFit="1" customWidth="1"/>
    <col min="3343" max="3584" width="11.5546875" style="323"/>
    <col min="3585" max="3585" width="17.5546875" style="323" bestFit="1" customWidth="1"/>
    <col min="3586" max="3592" width="6.6640625" style="323" customWidth="1"/>
    <col min="3593" max="3593" width="6.88671875" style="323" customWidth="1"/>
    <col min="3594" max="3594" width="6.6640625" style="323" customWidth="1"/>
    <col min="3595" max="3595" width="14.109375" style="323" customWidth="1"/>
    <col min="3596" max="3596" width="11.6640625" style="323" bestFit="1" customWidth="1"/>
    <col min="3597" max="3597" width="11.5546875" style="323"/>
    <col min="3598" max="3598" width="11.6640625" style="323" bestFit="1" customWidth="1"/>
    <col min="3599" max="3840" width="11.5546875" style="323"/>
    <col min="3841" max="3841" width="17.5546875" style="323" bestFit="1" customWidth="1"/>
    <col min="3842" max="3848" width="6.6640625" style="323" customWidth="1"/>
    <col min="3849" max="3849" width="6.88671875" style="323" customWidth="1"/>
    <col min="3850" max="3850" width="6.6640625" style="323" customWidth="1"/>
    <col min="3851" max="3851" width="14.109375" style="323" customWidth="1"/>
    <col min="3852" max="3852" width="11.6640625" style="323" bestFit="1" customWidth="1"/>
    <col min="3853" max="3853" width="11.5546875" style="323"/>
    <col min="3854" max="3854" width="11.6640625" style="323" bestFit="1" customWidth="1"/>
    <col min="3855" max="4096" width="11.5546875" style="323"/>
    <col min="4097" max="4097" width="17.5546875" style="323" bestFit="1" customWidth="1"/>
    <col min="4098" max="4104" width="6.6640625" style="323" customWidth="1"/>
    <col min="4105" max="4105" width="6.88671875" style="323" customWidth="1"/>
    <col min="4106" max="4106" width="6.6640625" style="323" customWidth="1"/>
    <col min="4107" max="4107" width="14.109375" style="323" customWidth="1"/>
    <col min="4108" max="4108" width="11.6640625" style="323" bestFit="1" customWidth="1"/>
    <col min="4109" max="4109" width="11.5546875" style="323"/>
    <col min="4110" max="4110" width="11.6640625" style="323" bestFit="1" customWidth="1"/>
    <col min="4111" max="4352" width="11.5546875" style="323"/>
    <col min="4353" max="4353" width="17.5546875" style="323" bestFit="1" customWidth="1"/>
    <col min="4354" max="4360" width="6.6640625" style="323" customWidth="1"/>
    <col min="4361" max="4361" width="6.88671875" style="323" customWidth="1"/>
    <col min="4362" max="4362" width="6.6640625" style="323" customWidth="1"/>
    <col min="4363" max="4363" width="14.109375" style="323" customWidth="1"/>
    <col min="4364" max="4364" width="11.6640625" style="323" bestFit="1" customWidth="1"/>
    <col min="4365" max="4365" width="11.5546875" style="323"/>
    <col min="4366" max="4366" width="11.6640625" style="323" bestFit="1" customWidth="1"/>
    <col min="4367" max="4608" width="11.5546875" style="323"/>
    <col min="4609" max="4609" width="17.5546875" style="323" bestFit="1" customWidth="1"/>
    <col min="4610" max="4616" width="6.6640625" style="323" customWidth="1"/>
    <col min="4617" max="4617" width="6.88671875" style="323" customWidth="1"/>
    <col min="4618" max="4618" width="6.6640625" style="323" customWidth="1"/>
    <col min="4619" max="4619" width="14.109375" style="323" customWidth="1"/>
    <col min="4620" max="4620" width="11.6640625" style="323" bestFit="1" customWidth="1"/>
    <col min="4621" max="4621" width="11.5546875" style="323"/>
    <col min="4622" max="4622" width="11.6640625" style="323" bestFit="1" customWidth="1"/>
    <col min="4623" max="4864" width="11.5546875" style="323"/>
    <col min="4865" max="4865" width="17.5546875" style="323" bestFit="1" customWidth="1"/>
    <col min="4866" max="4872" width="6.6640625" style="323" customWidth="1"/>
    <col min="4873" max="4873" width="6.88671875" style="323" customWidth="1"/>
    <col min="4874" max="4874" width="6.6640625" style="323" customWidth="1"/>
    <col min="4875" max="4875" width="14.109375" style="323" customWidth="1"/>
    <col min="4876" max="4876" width="11.6640625" style="323" bestFit="1" customWidth="1"/>
    <col min="4877" max="4877" width="11.5546875" style="323"/>
    <col min="4878" max="4878" width="11.6640625" style="323" bestFit="1" customWidth="1"/>
    <col min="4879" max="5120" width="11.5546875" style="323"/>
    <col min="5121" max="5121" width="17.5546875" style="323" bestFit="1" customWidth="1"/>
    <col min="5122" max="5128" width="6.6640625" style="323" customWidth="1"/>
    <col min="5129" max="5129" width="6.88671875" style="323" customWidth="1"/>
    <col min="5130" max="5130" width="6.6640625" style="323" customWidth="1"/>
    <col min="5131" max="5131" width="14.109375" style="323" customWidth="1"/>
    <col min="5132" max="5132" width="11.6640625" style="323" bestFit="1" customWidth="1"/>
    <col min="5133" max="5133" width="11.5546875" style="323"/>
    <col min="5134" max="5134" width="11.6640625" style="323" bestFit="1" customWidth="1"/>
    <col min="5135" max="5376" width="11.5546875" style="323"/>
    <col min="5377" max="5377" width="17.5546875" style="323" bestFit="1" customWidth="1"/>
    <col min="5378" max="5384" width="6.6640625" style="323" customWidth="1"/>
    <col min="5385" max="5385" width="6.88671875" style="323" customWidth="1"/>
    <col min="5386" max="5386" width="6.6640625" style="323" customWidth="1"/>
    <col min="5387" max="5387" width="14.109375" style="323" customWidth="1"/>
    <col min="5388" max="5388" width="11.6640625" style="323" bestFit="1" customWidth="1"/>
    <col min="5389" max="5389" width="11.5546875" style="323"/>
    <col min="5390" max="5390" width="11.6640625" style="323" bestFit="1" customWidth="1"/>
    <col min="5391" max="5632" width="11.5546875" style="323"/>
    <col min="5633" max="5633" width="17.5546875" style="323" bestFit="1" customWidth="1"/>
    <col min="5634" max="5640" width="6.6640625" style="323" customWidth="1"/>
    <col min="5641" max="5641" width="6.88671875" style="323" customWidth="1"/>
    <col min="5642" max="5642" width="6.6640625" style="323" customWidth="1"/>
    <col min="5643" max="5643" width="14.109375" style="323" customWidth="1"/>
    <col min="5644" max="5644" width="11.6640625" style="323" bestFit="1" customWidth="1"/>
    <col min="5645" max="5645" width="11.5546875" style="323"/>
    <col min="5646" max="5646" width="11.6640625" style="323" bestFit="1" customWidth="1"/>
    <col min="5647" max="5888" width="11.5546875" style="323"/>
    <col min="5889" max="5889" width="17.5546875" style="323" bestFit="1" customWidth="1"/>
    <col min="5890" max="5896" width="6.6640625" style="323" customWidth="1"/>
    <col min="5897" max="5897" width="6.88671875" style="323" customWidth="1"/>
    <col min="5898" max="5898" width="6.6640625" style="323" customWidth="1"/>
    <col min="5899" max="5899" width="14.109375" style="323" customWidth="1"/>
    <col min="5900" max="5900" width="11.6640625" style="323" bestFit="1" customWidth="1"/>
    <col min="5901" max="5901" width="11.5546875" style="323"/>
    <col min="5902" max="5902" width="11.6640625" style="323" bestFit="1" customWidth="1"/>
    <col min="5903" max="6144" width="11.5546875" style="323"/>
    <col min="6145" max="6145" width="17.5546875" style="323" bestFit="1" customWidth="1"/>
    <col min="6146" max="6152" width="6.6640625" style="323" customWidth="1"/>
    <col min="6153" max="6153" width="6.88671875" style="323" customWidth="1"/>
    <col min="6154" max="6154" width="6.6640625" style="323" customWidth="1"/>
    <col min="6155" max="6155" width="14.109375" style="323" customWidth="1"/>
    <col min="6156" max="6156" width="11.6640625" style="323" bestFit="1" customWidth="1"/>
    <col min="6157" max="6157" width="11.5546875" style="323"/>
    <col min="6158" max="6158" width="11.6640625" style="323" bestFit="1" customWidth="1"/>
    <col min="6159" max="6400" width="11.5546875" style="323"/>
    <col min="6401" max="6401" width="17.5546875" style="323" bestFit="1" customWidth="1"/>
    <col min="6402" max="6408" width="6.6640625" style="323" customWidth="1"/>
    <col min="6409" max="6409" width="6.88671875" style="323" customWidth="1"/>
    <col min="6410" max="6410" width="6.6640625" style="323" customWidth="1"/>
    <col min="6411" max="6411" width="14.109375" style="323" customWidth="1"/>
    <col min="6412" max="6412" width="11.6640625" style="323" bestFit="1" customWidth="1"/>
    <col min="6413" max="6413" width="11.5546875" style="323"/>
    <col min="6414" max="6414" width="11.6640625" style="323" bestFit="1" customWidth="1"/>
    <col min="6415" max="6656" width="11.5546875" style="323"/>
    <col min="6657" max="6657" width="17.5546875" style="323" bestFit="1" customWidth="1"/>
    <col min="6658" max="6664" width="6.6640625" style="323" customWidth="1"/>
    <col min="6665" max="6665" width="6.88671875" style="323" customWidth="1"/>
    <col min="6666" max="6666" width="6.6640625" style="323" customWidth="1"/>
    <col min="6667" max="6667" width="14.109375" style="323" customWidth="1"/>
    <col min="6668" max="6668" width="11.6640625" style="323" bestFit="1" customWidth="1"/>
    <col min="6669" max="6669" width="11.5546875" style="323"/>
    <col min="6670" max="6670" width="11.6640625" style="323" bestFit="1" customWidth="1"/>
    <col min="6671" max="6912" width="11.5546875" style="323"/>
    <col min="6913" max="6913" width="17.5546875" style="323" bestFit="1" customWidth="1"/>
    <col min="6914" max="6920" width="6.6640625" style="323" customWidth="1"/>
    <col min="6921" max="6921" width="6.88671875" style="323" customWidth="1"/>
    <col min="6922" max="6922" width="6.6640625" style="323" customWidth="1"/>
    <col min="6923" max="6923" width="14.109375" style="323" customWidth="1"/>
    <col min="6924" max="6924" width="11.6640625" style="323" bestFit="1" customWidth="1"/>
    <col min="6925" max="6925" width="11.5546875" style="323"/>
    <col min="6926" max="6926" width="11.6640625" style="323" bestFit="1" customWidth="1"/>
    <col min="6927" max="7168" width="11.5546875" style="323"/>
    <col min="7169" max="7169" width="17.5546875" style="323" bestFit="1" customWidth="1"/>
    <col min="7170" max="7176" width="6.6640625" style="323" customWidth="1"/>
    <col min="7177" max="7177" width="6.88671875" style="323" customWidth="1"/>
    <col min="7178" max="7178" width="6.6640625" style="323" customWidth="1"/>
    <col min="7179" max="7179" width="14.109375" style="323" customWidth="1"/>
    <col min="7180" max="7180" width="11.6640625" style="323" bestFit="1" customWidth="1"/>
    <col min="7181" max="7181" width="11.5546875" style="323"/>
    <col min="7182" max="7182" width="11.6640625" style="323" bestFit="1" customWidth="1"/>
    <col min="7183" max="7424" width="11.5546875" style="323"/>
    <col min="7425" max="7425" width="17.5546875" style="323" bestFit="1" customWidth="1"/>
    <col min="7426" max="7432" width="6.6640625" style="323" customWidth="1"/>
    <col min="7433" max="7433" width="6.88671875" style="323" customWidth="1"/>
    <col min="7434" max="7434" width="6.6640625" style="323" customWidth="1"/>
    <col min="7435" max="7435" width="14.109375" style="323" customWidth="1"/>
    <col min="7436" max="7436" width="11.6640625" style="323" bestFit="1" customWidth="1"/>
    <col min="7437" max="7437" width="11.5546875" style="323"/>
    <col min="7438" max="7438" width="11.6640625" style="323" bestFit="1" customWidth="1"/>
    <col min="7439" max="7680" width="11.5546875" style="323"/>
    <col min="7681" max="7681" width="17.5546875" style="323" bestFit="1" customWidth="1"/>
    <col min="7682" max="7688" width="6.6640625" style="323" customWidth="1"/>
    <col min="7689" max="7689" width="6.88671875" style="323" customWidth="1"/>
    <col min="7690" max="7690" width="6.6640625" style="323" customWidth="1"/>
    <col min="7691" max="7691" width="14.109375" style="323" customWidth="1"/>
    <col min="7692" max="7692" width="11.6640625" style="323" bestFit="1" customWidth="1"/>
    <col min="7693" max="7693" width="11.5546875" style="323"/>
    <col min="7694" max="7694" width="11.6640625" style="323" bestFit="1" customWidth="1"/>
    <col min="7695" max="7936" width="11.5546875" style="323"/>
    <col min="7937" max="7937" width="17.5546875" style="323" bestFit="1" customWidth="1"/>
    <col min="7938" max="7944" width="6.6640625" style="323" customWidth="1"/>
    <col min="7945" max="7945" width="6.88671875" style="323" customWidth="1"/>
    <col min="7946" max="7946" width="6.6640625" style="323" customWidth="1"/>
    <col min="7947" max="7947" width="14.109375" style="323" customWidth="1"/>
    <col min="7948" max="7948" width="11.6640625" style="323" bestFit="1" customWidth="1"/>
    <col min="7949" max="7949" width="11.5546875" style="323"/>
    <col min="7950" max="7950" width="11.6640625" style="323" bestFit="1" customWidth="1"/>
    <col min="7951" max="8192" width="11.5546875" style="323"/>
    <col min="8193" max="8193" width="17.5546875" style="323" bestFit="1" customWidth="1"/>
    <col min="8194" max="8200" width="6.6640625" style="323" customWidth="1"/>
    <col min="8201" max="8201" width="6.88671875" style="323" customWidth="1"/>
    <col min="8202" max="8202" width="6.6640625" style="323" customWidth="1"/>
    <col min="8203" max="8203" width="14.109375" style="323" customWidth="1"/>
    <col min="8204" max="8204" width="11.6640625" style="323" bestFit="1" customWidth="1"/>
    <col min="8205" max="8205" width="11.5546875" style="323"/>
    <col min="8206" max="8206" width="11.6640625" style="323" bestFit="1" customWidth="1"/>
    <col min="8207" max="8448" width="11.5546875" style="323"/>
    <col min="8449" max="8449" width="17.5546875" style="323" bestFit="1" customWidth="1"/>
    <col min="8450" max="8456" width="6.6640625" style="323" customWidth="1"/>
    <col min="8457" max="8457" width="6.88671875" style="323" customWidth="1"/>
    <col min="8458" max="8458" width="6.6640625" style="323" customWidth="1"/>
    <col min="8459" max="8459" width="14.109375" style="323" customWidth="1"/>
    <col min="8460" max="8460" width="11.6640625" style="323" bestFit="1" customWidth="1"/>
    <col min="8461" max="8461" width="11.5546875" style="323"/>
    <col min="8462" max="8462" width="11.6640625" style="323" bestFit="1" customWidth="1"/>
    <col min="8463" max="8704" width="11.5546875" style="323"/>
    <col min="8705" max="8705" width="17.5546875" style="323" bestFit="1" customWidth="1"/>
    <col min="8706" max="8712" width="6.6640625" style="323" customWidth="1"/>
    <col min="8713" max="8713" width="6.88671875" style="323" customWidth="1"/>
    <col min="8714" max="8714" width="6.6640625" style="323" customWidth="1"/>
    <col min="8715" max="8715" width="14.109375" style="323" customWidth="1"/>
    <col min="8716" max="8716" width="11.6640625" style="323" bestFit="1" customWidth="1"/>
    <col min="8717" max="8717" width="11.5546875" style="323"/>
    <col min="8718" max="8718" width="11.6640625" style="323" bestFit="1" customWidth="1"/>
    <col min="8719" max="8960" width="11.5546875" style="323"/>
    <col min="8961" max="8961" width="17.5546875" style="323" bestFit="1" customWidth="1"/>
    <col min="8962" max="8968" width="6.6640625" style="323" customWidth="1"/>
    <col min="8969" max="8969" width="6.88671875" style="323" customWidth="1"/>
    <col min="8970" max="8970" width="6.6640625" style="323" customWidth="1"/>
    <col min="8971" max="8971" width="14.109375" style="323" customWidth="1"/>
    <col min="8972" max="8972" width="11.6640625" style="323" bestFit="1" customWidth="1"/>
    <col min="8973" max="8973" width="11.5546875" style="323"/>
    <col min="8974" max="8974" width="11.6640625" style="323" bestFit="1" customWidth="1"/>
    <col min="8975" max="9216" width="11.5546875" style="323"/>
    <col min="9217" max="9217" width="17.5546875" style="323" bestFit="1" customWidth="1"/>
    <col min="9218" max="9224" width="6.6640625" style="323" customWidth="1"/>
    <col min="9225" max="9225" width="6.88671875" style="323" customWidth="1"/>
    <col min="9226" max="9226" width="6.6640625" style="323" customWidth="1"/>
    <col min="9227" max="9227" width="14.109375" style="323" customWidth="1"/>
    <col min="9228" max="9228" width="11.6640625" style="323" bestFit="1" customWidth="1"/>
    <col min="9229" max="9229" width="11.5546875" style="323"/>
    <col min="9230" max="9230" width="11.6640625" style="323" bestFit="1" customWidth="1"/>
    <col min="9231" max="9472" width="11.5546875" style="323"/>
    <col min="9473" max="9473" width="17.5546875" style="323" bestFit="1" customWidth="1"/>
    <col min="9474" max="9480" width="6.6640625" style="323" customWidth="1"/>
    <col min="9481" max="9481" width="6.88671875" style="323" customWidth="1"/>
    <col min="9482" max="9482" width="6.6640625" style="323" customWidth="1"/>
    <col min="9483" max="9483" width="14.109375" style="323" customWidth="1"/>
    <col min="9484" max="9484" width="11.6640625" style="323" bestFit="1" customWidth="1"/>
    <col min="9485" max="9485" width="11.5546875" style="323"/>
    <col min="9486" max="9486" width="11.6640625" style="323" bestFit="1" customWidth="1"/>
    <col min="9487" max="9728" width="11.5546875" style="323"/>
    <col min="9729" max="9729" width="17.5546875" style="323" bestFit="1" customWidth="1"/>
    <col min="9730" max="9736" width="6.6640625" style="323" customWidth="1"/>
    <col min="9737" max="9737" width="6.88671875" style="323" customWidth="1"/>
    <col min="9738" max="9738" width="6.6640625" style="323" customWidth="1"/>
    <col min="9739" max="9739" width="14.109375" style="323" customWidth="1"/>
    <col min="9740" max="9740" width="11.6640625" style="323" bestFit="1" customWidth="1"/>
    <col min="9741" max="9741" width="11.5546875" style="323"/>
    <col min="9742" max="9742" width="11.6640625" style="323" bestFit="1" customWidth="1"/>
    <col min="9743" max="9984" width="11.5546875" style="323"/>
    <col min="9985" max="9985" width="17.5546875" style="323" bestFit="1" customWidth="1"/>
    <col min="9986" max="9992" width="6.6640625" style="323" customWidth="1"/>
    <col min="9993" max="9993" width="6.88671875" style="323" customWidth="1"/>
    <col min="9994" max="9994" width="6.6640625" style="323" customWidth="1"/>
    <col min="9995" max="9995" width="14.109375" style="323" customWidth="1"/>
    <col min="9996" max="9996" width="11.6640625" style="323" bestFit="1" customWidth="1"/>
    <col min="9997" max="9997" width="11.5546875" style="323"/>
    <col min="9998" max="9998" width="11.6640625" style="323" bestFit="1" customWidth="1"/>
    <col min="9999" max="10240" width="11.5546875" style="323"/>
    <col min="10241" max="10241" width="17.5546875" style="323" bestFit="1" customWidth="1"/>
    <col min="10242" max="10248" width="6.6640625" style="323" customWidth="1"/>
    <col min="10249" max="10249" width="6.88671875" style="323" customWidth="1"/>
    <col min="10250" max="10250" width="6.6640625" style="323" customWidth="1"/>
    <col min="10251" max="10251" width="14.109375" style="323" customWidth="1"/>
    <col min="10252" max="10252" width="11.6640625" style="323" bestFit="1" customWidth="1"/>
    <col min="10253" max="10253" width="11.5546875" style="323"/>
    <col min="10254" max="10254" width="11.6640625" style="323" bestFit="1" customWidth="1"/>
    <col min="10255" max="10496" width="11.5546875" style="323"/>
    <col min="10497" max="10497" width="17.5546875" style="323" bestFit="1" customWidth="1"/>
    <col min="10498" max="10504" width="6.6640625" style="323" customWidth="1"/>
    <col min="10505" max="10505" width="6.88671875" style="323" customWidth="1"/>
    <col min="10506" max="10506" width="6.6640625" style="323" customWidth="1"/>
    <col min="10507" max="10507" width="14.109375" style="323" customWidth="1"/>
    <col min="10508" max="10508" width="11.6640625" style="323" bestFit="1" customWidth="1"/>
    <col min="10509" max="10509" width="11.5546875" style="323"/>
    <col min="10510" max="10510" width="11.6640625" style="323" bestFit="1" customWidth="1"/>
    <col min="10511" max="10752" width="11.5546875" style="323"/>
    <col min="10753" max="10753" width="17.5546875" style="323" bestFit="1" customWidth="1"/>
    <col min="10754" max="10760" width="6.6640625" style="323" customWidth="1"/>
    <col min="10761" max="10761" width="6.88671875" style="323" customWidth="1"/>
    <col min="10762" max="10762" width="6.6640625" style="323" customWidth="1"/>
    <col min="10763" max="10763" width="14.109375" style="323" customWidth="1"/>
    <col min="10764" max="10764" width="11.6640625" style="323" bestFit="1" customWidth="1"/>
    <col min="10765" max="10765" width="11.5546875" style="323"/>
    <col min="10766" max="10766" width="11.6640625" style="323" bestFit="1" customWidth="1"/>
    <col min="10767" max="11008" width="11.5546875" style="323"/>
    <col min="11009" max="11009" width="17.5546875" style="323" bestFit="1" customWidth="1"/>
    <col min="11010" max="11016" width="6.6640625" style="323" customWidth="1"/>
    <col min="11017" max="11017" width="6.88671875" style="323" customWidth="1"/>
    <col min="11018" max="11018" width="6.6640625" style="323" customWidth="1"/>
    <col min="11019" max="11019" width="14.109375" style="323" customWidth="1"/>
    <col min="11020" max="11020" width="11.6640625" style="323" bestFit="1" customWidth="1"/>
    <col min="11021" max="11021" width="11.5546875" style="323"/>
    <col min="11022" max="11022" width="11.6640625" style="323" bestFit="1" customWidth="1"/>
    <col min="11023" max="11264" width="11.5546875" style="323"/>
    <col min="11265" max="11265" width="17.5546875" style="323" bestFit="1" customWidth="1"/>
    <col min="11266" max="11272" width="6.6640625" style="323" customWidth="1"/>
    <col min="11273" max="11273" width="6.88671875" style="323" customWidth="1"/>
    <col min="11274" max="11274" width="6.6640625" style="323" customWidth="1"/>
    <col min="11275" max="11275" width="14.109375" style="323" customWidth="1"/>
    <col min="11276" max="11276" width="11.6640625" style="323" bestFit="1" customWidth="1"/>
    <col min="11277" max="11277" width="11.5546875" style="323"/>
    <col min="11278" max="11278" width="11.6640625" style="323" bestFit="1" customWidth="1"/>
    <col min="11279" max="11520" width="11.5546875" style="323"/>
    <col min="11521" max="11521" width="17.5546875" style="323" bestFit="1" customWidth="1"/>
    <col min="11522" max="11528" width="6.6640625" style="323" customWidth="1"/>
    <col min="11529" max="11529" width="6.88671875" style="323" customWidth="1"/>
    <col min="11530" max="11530" width="6.6640625" style="323" customWidth="1"/>
    <col min="11531" max="11531" width="14.109375" style="323" customWidth="1"/>
    <col min="11532" max="11532" width="11.6640625" style="323" bestFit="1" customWidth="1"/>
    <col min="11533" max="11533" width="11.5546875" style="323"/>
    <col min="11534" max="11534" width="11.6640625" style="323" bestFit="1" customWidth="1"/>
    <col min="11535" max="11776" width="11.5546875" style="323"/>
    <col min="11777" max="11777" width="17.5546875" style="323" bestFit="1" customWidth="1"/>
    <col min="11778" max="11784" width="6.6640625" style="323" customWidth="1"/>
    <col min="11785" max="11785" width="6.88671875" style="323" customWidth="1"/>
    <col min="11786" max="11786" width="6.6640625" style="323" customWidth="1"/>
    <col min="11787" max="11787" width="14.109375" style="323" customWidth="1"/>
    <col min="11788" max="11788" width="11.6640625" style="323" bestFit="1" customWidth="1"/>
    <col min="11789" max="11789" width="11.5546875" style="323"/>
    <col min="11790" max="11790" width="11.6640625" style="323" bestFit="1" customWidth="1"/>
    <col min="11791" max="12032" width="11.5546875" style="323"/>
    <col min="12033" max="12033" width="17.5546875" style="323" bestFit="1" customWidth="1"/>
    <col min="12034" max="12040" width="6.6640625" style="323" customWidth="1"/>
    <col min="12041" max="12041" width="6.88671875" style="323" customWidth="1"/>
    <col min="12042" max="12042" width="6.6640625" style="323" customWidth="1"/>
    <col min="12043" max="12043" width="14.109375" style="323" customWidth="1"/>
    <col min="12044" max="12044" width="11.6640625" style="323" bestFit="1" customWidth="1"/>
    <col min="12045" max="12045" width="11.5546875" style="323"/>
    <col min="12046" max="12046" width="11.6640625" style="323" bestFit="1" customWidth="1"/>
    <col min="12047" max="12288" width="11.5546875" style="323"/>
    <col min="12289" max="12289" width="17.5546875" style="323" bestFit="1" customWidth="1"/>
    <col min="12290" max="12296" width="6.6640625" style="323" customWidth="1"/>
    <col min="12297" max="12297" width="6.88671875" style="323" customWidth="1"/>
    <col min="12298" max="12298" width="6.6640625" style="323" customWidth="1"/>
    <col min="12299" max="12299" width="14.109375" style="323" customWidth="1"/>
    <col min="12300" max="12300" width="11.6640625" style="323" bestFit="1" customWidth="1"/>
    <col min="12301" max="12301" width="11.5546875" style="323"/>
    <col min="12302" max="12302" width="11.6640625" style="323" bestFit="1" customWidth="1"/>
    <col min="12303" max="12544" width="11.5546875" style="323"/>
    <col min="12545" max="12545" width="17.5546875" style="323" bestFit="1" customWidth="1"/>
    <col min="12546" max="12552" width="6.6640625" style="323" customWidth="1"/>
    <col min="12553" max="12553" width="6.88671875" style="323" customWidth="1"/>
    <col min="12554" max="12554" width="6.6640625" style="323" customWidth="1"/>
    <col min="12555" max="12555" width="14.109375" style="323" customWidth="1"/>
    <col min="12556" max="12556" width="11.6640625" style="323" bestFit="1" customWidth="1"/>
    <col min="12557" max="12557" width="11.5546875" style="323"/>
    <col min="12558" max="12558" width="11.6640625" style="323" bestFit="1" customWidth="1"/>
    <col min="12559" max="12800" width="11.5546875" style="323"/>
    <col min="12801" max="12801" width="17.5546875" style="323" bestFit="1" customWidth="1"/>
    <col min="12802" max="12808" width="6.6640625" style="323" customWidth="1"/>
    <col min="12809" max="12809" width="6.88671875" style="323" customWidth="1"/>
    <col min="12810" max="12810" width="6.6640625" style="323" customWidth="1"/>
    <col min="12811" max="12811" width="14.109375" style="323" customWidth="1"/>
    <col min="12812" max="12812" width="11.6640625" style="323" bestFit="1" customWidth="1"/>
    <col min="12813" max="12813" width="11.5546875" style="323"/>
    <col min="12814" max="12814" width="11.6640625" style="323" bestFit="1" customWidth="1"/>
    <col min="12815" max="13056" width="11.5546875" style="323"/>
    <col min="13057" max="13057" width="17.5546875" style="323" bestFit="1" customWidth="1"/>
    <col min="13058" max="13064" width="6.6640625" style="323" customWidth="1"/>
    <col min="13065" max="13065" width="6.88671875" style="323" customWidth="1"/>
    <col min="13066" max="13066" width="6.6640625" style="323" customWidth="1"/>
    <col min="13067" max="13067" width="14.109375" style="323" customWidth="1"/>
    <col min="13068" max="13068" width="11.6640625" style="323" bestFit="1" customWidth="1"/>
    <col min="13069" max="13069" width="11.5546875" style="323"/>
    <col min="13070" max="13070" width="11.6640625" style="323" bestFit="1" customWidth="1"/>
    <col min="13071" max="13312" width="11.5546875" style="323"/>
    <col min="13313" max="13313" width="17.5546875" style="323" bestFit="1" customWidth="1"/>
    <col min="13314" max="13320" width="6.6640625" style="323" customWidth="1"/>
    <col min="13321" max="13321" width="6.88671875" style="323" customWidth="1"/>
    <col min="13322" max="13322" width="6.6640625" style="323" customWidth="1"/>
    <col min="13323" max="13323" width="14.109375" style="323" customWidth="1"/>
    <col min="13324" max="13324" width="11.6640625" style="323" bestFit="1" customWidth="1"/>
    <col min="13325" max="13325" width="11.5546875" style="323"/>
    <col min="13326" max="13326" width="11.6640625" style="323" bestFit="1" customWidth="1"/>
    <col min="13327" max="13568" width="11.5546875" style="323"/>
    <col min="13569" max="13569" width="17.5546875" style="323" bestFit="1" customWidth="1"/>
    <col min="13570" max="13576" width="6.6640625" style="323" customWidth="1"/>
    <col min="13577" max="13577" width="6.88671875" style="323" customWidth="1"/>
    <col min="13578" max="13578" width="6.6640625" style="323" customWidth="1"/>
    <col min="13579" max="13579" width="14.109375" style="323" customWidth="1"/>
    <col min="13580" max="13580" width="11.6640625" style="323" bestFit="1" customWidth="1"/>
    <col min="13581" max="13581" width="11.5546875" style="323"/>
    <col min="13582" max="13582" width="11.6640625" style="323" bestFit="1" customWidth="1"/>
    <col min="13583" max="13824" width="11.5546875" style="323"/>
    <col min="13825" max="13825" width="17.5546875" style="323" bestFit="1" customWidth="1"/>
    <col min="13826" max="13832" width="6.6640625" style="323" customWidth="1"/>
    <col min="13833" max="13833" width="6.88671875" style="323" customWidth="1"/>
    <col min="13834" max="13834" width="6.6640625" style="323" customWidth="1"/>
    <col min="13835" max="13835" width="14.109375" style="323" customWidth="1"/>
    <col min="13836" max="13836" width="11.6640625" style="323" bestFit="1" customWidth="1"/>
    <col min="13837" max="13837" width="11.5546875" style="323"/>
    <col min="13838" max="13838" width="11.6640625" style="323" bestFit="1" customWidth="1"/>
    <col min="13839" max="14080" width="11.5546875" style="323"/>
    <col min="14081" max="14081" width="17.5546875" style="323" bestFit="1" customWidth="1"/>
    <col min="14082" max="14088" width="6.6640625" style="323" customWidth="1"/>
    <col min="14089" max="14089" width="6.88671875" style="323" customWidth="1"/>
    <col min="14090" max="14090" width="6.6640625" style="323" customWidth="1"/>
    <col min="14091" max="14091" width="14.109375" style="323" customWidth="1"/>
    <col min="14092" max="14092" width="11.6640625" style="323" bestFit="1" customWidth="1"/>
    <col min="14093" max="14093" width="11.5546875" style="323"/>
    <col min="14094" max="14094" width="11.6640625" style="323" bestFit="1" customWidth="1"/>
    <col min="14095" max="14336" width="11.5546875" style="323"/>
    <col min="14337" max="14337" width="17.5546875" style="323" bestFit="1" customWidth="1"/>
    <col min="14338" max="14344" width="6.6640625" style="323" customWidth="1"/>
    <col min="14345" max="14345" width="6.88671875" style="323" customWidth="1"/>
    <col min="14346" max="14346" width="6.6640625" style="323" customWidth="1"/>
    <col min="14347" max="14347" width="14.109375" style="323" customWidth="1"/>
    <col min="14348" max="14348" width="11.6640625" style="323" bestFit="1" customWidth="1"/>
    <col min="14349" max="14349" width="11.5546875" style="323"/>
    <col min="14350" max="14350" width="11.6640625" style="323" bestFit="1" customWidth="1"/>
    <col min="14351" max="14592" width="11.5546875" style="323"/>
    <col min="14593" max="14593" width="17.5546875" style="323" bestFit="1" customWidth="1"/>
    <col min="14594" max="14600" width="6.6640625" style="323" customWidth="1"/>
    <col min="14601" max="14601" width="6.88671875" style="323" customWidth="1"/>
    <col min="14602" max="14602" width="6.6640625" style="323" customWidth="1"/>
    <col min="14603" max="14603" width="14.109375" style="323" customWidth="1"/>
    <col min="14604" max="14604" width="11.6640625" style="323" bestFit="1" customWidth="1"/>
    <col min="14605" max="14605" width="11.5546875" style="323"/>
    <col min="14606" max="14606" width="11.6640625" style="323" bestFit="1" customWidth="1"/>
    <col min="14607" max="14848" width="11.5546875" style="323"/>
    <col min="14849" max="14849" width="17.5546875" style="323" bestFit="1" customWidth="1"/>
    <col min="14850" max="14856" width="6.6640625" style="323" customWidth="1"/>
    <col min="14857" max="14857" width="6.88671875" style="323" customWidth="1"/>
    <col min="14858" max="14858" width="6.6640625" style="323" customWidth="1"/>
    <col min="14859" max="14859" width="14.109375" style="323" customWidth="1"/>
    <col min="14860" max="14860" width="11.6640625" style="323" bestFit="1" customWidth="1"/>
    <col min="14861" max="14861" width="11.5546875" style="323"/>
    <col min="14862" max="14862" width="11.6640625" style="323" bestFit="1" customWidth="1"/>
    <col min="14863" max="15104" width="11.5546875" style="323"/>
    <col min="15105" max="15105" width="17.5546875" style="323" bestFit="1" customWidth="1"/>
    <col min="15106" max="15112" width="6.6640625" style="323" customWidth="1"/>
    <col min="15113" max="15113" width="6.88671875" style="323" customWidth="1"/>
    <col min="15114" max="15114" width="6.6640625" style="323" customWidth="1"/>
    <col min="15115" max="15115" width="14.109375" style="323" customWidth="1"/>
    <col min="15116" max="15116" width="11.6640625" style="323" bestFit="1" customWidth="1"/>
    <col min="15117" max="15117" width="11.5546875" style="323"/>
    <col min="15118" max="15118" width="11.6640625" style="323" bestFit="1" customWidth="1"/>
    <col min="15119" max="15360" width="11.5546875" style="323"/>
    <col min="15361" max="15361" width="17.5546875" style="323" bestFit="1" customWidth="1"/>
    <col min="15362" max="15368" width="6.6640625" style="323" customWidth="1"/>
    <col min="15369" max="15369" width="6.88671875" style="323" customWidth="1"/>
    <col min="15370" max="15370" width="6.6640625" style="323" customWidth="1"/>
    <col min="15371" max="15371" width="14.109375" style="323" customWidth="1"/>
    <col min="15372" max="15372" width="11.6640625" style="323" bestFit="1" customWidth="1"/>
    <col min="15373" max="15373" width="11.5546875" style="323"/>
    <col min="15374" max="15374" width="11.6640625" style="323" bestFit="1" customWidth="1"/>
    <col min="15375" max="15616" width="11.5546875" style="323"/>
    <col min="15617" max="15617" width="17.5546875" style="323" bestFit="1" customWidth="1"/>
    <col min="15618" max="15624" width="6.6640625" style="323" customWidth="1"/>
    <col min="15625" max="15625" width="6.88671875" style="323" customWidth="1"/>
    <col min="15626" max="15626" width="6.6640625" style="323" customWidth="1"/>
    <col min="15627" max="15627" width="14.109375" style="323" customWidth="1"/>
    <col min="15628" max="15628" width="11.6640625" style="323" bestFit="1" customWidth="1"/>
    <col min="15629" max="15629" width="11.5546875" style="323"/>
    <col min="15630" max="15630" width="11.6640625" style="323" bestFit="1" customWidth="1"/>
    <col min="15631" max="15872" width="11.5546875" style="323"/>
    <col min="15873" max="15873" width="17.5546875" style="323" bestFit="1" customWidth="1"/>
    <col min="15874" max="15880" width="6.6640625" style="323" customWidth="1"/>
    <col min="15881" max="15881" width="6.88671875" style="323" customWidth="1"/>
    <col min="15882" max="15882" width="6.6640625" style="323" customWidth="1"/>
    <col min="15883" max="15883" width="14.109375" style="323" customWidth="1"/>
    <col min="15884" max="15884" width="11.6640625" style="323" bestFit="1" customWidth="1"/>
    <col min="15885" max="15885" width="11.5546875" style="323"/>
    <col min="15886" max="15886" width="11.6640625" style="323" bestFit="1" customWidth="1"/>
    <col min="15887" max="16128" width="11.5546875" style="323"/>
    <col min="16129" max="16129" width="17.5546875" style="323" bestFit="1" customWidth="1"/>
    <col min="16130" max="16136" width="6.6640625" style="323" customWidth="1"/>
    <col min="16137" max="16137" width="6.88671875" style="323" customWidth="1"/>
    <col min="16138" max="16138" width="6.6640625" style="323" customWidth="1"/>
    <col min="16139" max="16139" width="14.109375" style="323" customWidth="1"/>
    <col min="16140" max="16140" width="11.6640625" style="323" bestFit="1" customWidth="1"/>
    <col min="16141" max="16141" width="11.5546875" style="323"/>
    <col min="16142" max="16142" width="11.6640625" style="323" bestFit="1" customWidth="1"/>
    <col min="16143" max="16384" width="11.5546875" style="323"/>
  </cols>
  <sheetData>
    <row r="1" spans="1:17" x14ac:dyDescent="0.25">
      <c r="A1" s="372" t="s">
        <v>981</v>
      </c>
      <c r="B1" s="373"/>
      <c r="C1" s="373"/>
      <c r="D1" s="373"/>
      <c r="E1" s="373"/>
      <c r="F1" s="374"/>
      <c r="G1" s="374"/>
      <c r="H1" s="374"/>
      <c r="I1" s="418"/>
      <c r="J1" s="374"/>
      <c r="K1" s="957" t="s">
        <v>982</v>
      </c>
      <c r="L1" s="957"/>
      <c r="M1" s="957"/>
      <c r="N1" s="957"/>
      <c r="O1" s="957"/>
      <c r="P1" s="957"/>
      <c r="Q1" s="957"/>
    </row>
    <row r="2" spans="1:17" x14ac:dyDescent="0.25">
      <c r="A2" s="340" t="s">
        <v>983</v>
      </c>
      <c r="B2" s="956"/>
      <c r="C2" s="956"/>
      <c r="D2" s="956"/>
      <c r="E2" s="956"/>
      <c r="F2" s="956"/>
      <c r="G2" s="956"/>
      <c r="H2" s="956"/>
      <c r="I2" s="956"/>
      <c r="J2" s="956"/>
    </row>
    <row r="3" spans="1:17" x14ac:dyDescent="0.25">
      <c r="A3" s="340" t="s">
        <v>135</v>
      </c>
      <c r="B3" s="956"/>
      <c r="C3" s="956"/>
      <c r="D3" s="956"/>
      <c r="E3" s="956"/>
      <c r="F3" s="956"/>
      <c r="G3" s="956"/>
      <c r="H3" s="956"/>
      <c r="I3" s="956"/>
      <c r="J3" s="956"/>
      <c r="K3" s="375" t="s">
        <v>984</v>
      </c>
      <c r="L3" s="376"/>
      <c r="M3" s="376"/>
      <c r="N3" s="958" t="s">
        <v>985</v>
      </c>
      <c r="O3" s="958"/>
      <c r="P3" s="958"/>
      <c r="Q3" s="376"/>
    </row>
    <row r="4" spans="1:17" ht="13.8" thickBot="1" x14ac:dyDescent="0.3">
      <c r="A4" s="340" t="s">
        <v>220</v>
      </c>
      <c r="B4" s="956"/>
      <c r="C4" s="956"/>
      <c r="D4" s="956"/>
      <c r="E4" s="956"/>
      <c r="F4" s="956"/>
      <c r="G4" s="956"/>
      <c r="H4" s="956"/>
      <c r="I4" s="956"/>
      <c r="J4" s="956"/>
      <c r="K4" s="340" t="s">
        <v>986</v>
      </c>
      <c r="N4" s="354" t="s">
        <v>987</v>
      </c>
      <c r="O4" s="354" t="s">
        <v>988</v>
      </c>
      <c r="P4" s="413" t="s">
        <v>989</v>
      </c>
    </row>
    <row r="5" spans="1:17" ht="13.8" thickBot="1" x14ac:dyDescent="0.3">
      <c r="A5" s="340" t="s">
        <v>1057</v>
      </c>
      <c r="B5" s="406">
        <v>2</v>
      </c>
      <c r="D5" s="402"/>
      <c r="E5" s="403"/>
      <c r="F5" s="404"/>
      <c r="G5" s="404"/>
      <c r="H5" s="404"/>
      <c r="I5" s="419"/>
      <c r="K5" s="340" t="s">
        <v>990</v>
      </c>
      <c r="L5" s="434">
        <f>IF(B5=1,(495/(1.1765-(0.0744*LOG(SUM(E27+E28+E29+E30)))))-450,((495/(1.1567-(0.0717*LOG(SUM(E27+E28+E29+E30)))))-450))%</f>
        <v>0.40411320956523011</v>
      </c>
      <c r="N5" s="377">
        <f>IF(B5=1,(L5-[3]ARGOREF_MASC!D54)/[3]ARGOREF_MASC!E54,(L5-[3]ARGOREF_FEM!D54)/[3]ARGOREF_FEM!E54)</f>
        <v>-6.0336225597703406</v>
      </c>
      <c r="O5" s="378">
        <f>NORMSDIST(N5)</f>
        <v>8.0162145329020861E-10</v>
      </c>
      <c r="P5" s="414" t="str">
        <f>IF(O5&lt;5%,"MUY BAJO",IF(O5&lt;15%,"BAJO",IF(O5&lt;85%,"NORMAL",IF(O5&lt;95%,"ELEVADO","MUY ELEVADO"))))</f>
        <v>MUY BAJO</v>
      </c>
    </row>
    <row r="6" spans="1:17" x14ac:dyDescent="0.25">
      <c r="A6" s="340" t="s">
        <v>991</v>
      </c>
      <c r="B6" s="408">
        <f>'FICHA INICIAL'!H9</f>
        <v>33027</v>
      </c>
      <c r="D6" s="402"/>
      <c r="E6" s="403"/>
      <c r="F6" s="404"/>
      <c r="G6" s="404"/>
      <c r="H6" s="404"/>
      <c r="I6" s="419"/>
      <c r="K6" s="340" t="s">
        <v>992</v>
      </c>
      <c r="L6" s="349">
        <f>E10*L5</f>
        <v>39.037336044001229</v>
      </c>
    </row>
    <row r="7" spans="1:17" x14ac:dyDescent="0.25">
      <c r="A7" s="340" t="s">
        <v>993</v>
      </c>
      <c r="B7" s="408">
        <f>'FICHA INICIAL'!A4</f>
        <v>44511</v>
      </c>
      <c r="K7" s="340" t="s">
        <v>994</v>
      </c>
      <c r="L7" s="349">
        <f>E10-L6</f>
        <v>57.562663955998765</v>
      </c>
    </row>
    <row r="8" spans="1:17" x14ac:dyDescent="0.25">
      <c r="A8" s="340" t="s">
        <v>995</v>
      </c>
      <c r="B8" s="409">
        <f>(B7-B6)/365.25</f>
        <v>31.441478439425051</v>
      </c>
      <c r="C8" s="350" t="s">
        <v>996</v>
      </c>
      <c r="K8" s="334"/>
      <c r="L8" s="379"/>
      <c r="M8" s="379"/>
      <c r="N8" s="379"/>
      <c r="O8" s="379"/>
      <c r="P8" s="379"/>
      <c r="Q8" s="379"/>
    </row>
    <row r="9" spans="1:17" x14ac:dyDescent="0.25">
      <c r="A9" s="372" t="s">
        <v>997</v>
      </c>
      <c r="B9" s="373" t="s">
        <v>998</v>
      </c>
      <c r="C9" s="373" t="s">
        <v>999</v>
      </c>
      <c r="D9" s="373" t="s">
        <v>1000</v>
      </c>
      <c r="E9" s="373" t="s">
        <v>1001</v>
      </c>
      <c r="F9" s="374"/>
      <c r="G9" s="373" t="s">
        <v>1002</v>
      </c>
      <c r="H9" s="373" t="s">
        <v>1003</v>
      </c>
      <c r="I9" s="421" t="s">
        <v>989</v>
      </c>
      <c r="J9" s="373"/>
      <c r="K9" s="375" t="s">
        <v>389</v>
      </c>
      <c r="L9" s="376"/>
      <c r="M9" s="376"/>
      <c r="N9" s="376"/>
      <c r="O9" s="376"/>
      <c r="P9" s="376"/>
      <c r="Q9" s="376"/>
    </row>
    <row r="10" spans="1:17" ht="13.8" thickBot="1" x14ac:dyDescent="0.3">
      <c r="A10" s="340" t="s">
        <v>1004</v>
      </c>
      <c r="B10" s="380">
        <v>96.6</v>
      </c>
      <c r="C10" s="380">
        <v>96.6</v>
      </c>
      <c r="D10" s="380"/>
      <c r="E10" s="349">
        <f>MEDIAN(B10:D10)</f>
        <v>96.6</v>
      </c>
      <c r="F10" s="381">
        <f>IF($B$5=1,(E10*([3]ARGOREF_MASC!$D$5/$E$11)),(E10*([3]ARGOREF_FEM!$D$5/$E$11)))</f>
        <v>103.75698666666659</v>
      </c>
      <c r="G10" s="377">
        <f>IF($B$5=1,(F10-[3]ARGOREF_MASC!D4)/[3]ARGOREF_MASC!E4,(F10-[3]ARGOREF_FEM!D4)/[3]ARGOREF_FEM!E4)</f>
        <v>5.129724611523474</v>
      </c>
      <c r="H10" s="382">
        <f>NORMSDIST(G10)</f>
        <v>0.99999985491682064</v>
      </c>
      <c r="I10" s="422" t="str">
        <f>IF(H10&lt;5%,"MUY BAJO",IF(H10&lt;15%,"BAJO",IF(H10&lt;85%,"NORMAL",IF(H10&lt;95%,"ELEVADO","MUY ELEVADO"))))</f>
        <v>MUY ELEVADO</v>
      </c>
      <c r="K10" s="340" t="s">
        <v>1005</v>
      </c>
    </row>
    <row r="11" spans="1:17" ht="13.8" thickBot="1" x14ac:dyDescent="0.3">
      <c r="A11" s="340" t="s">
        <v>1006</v>
      </c>
      <c r="B11" s="380">
        <v>150</v>
      </c>
      <c r="C11" s="380"/>
      <c r="D11" s="380"/>
      <c r="E11" s="349">
        <f t="shared" ref="E11:E34" si="0">MEDIAN(B11:D11)</f>
        <v>150</v>
      </c>
      <c r="F11" s="381">
        <f>IF($B$5=1,(E11*([3]ARGOREF_MASC!$D$5/$E$11)),(E11*([3]ARGOREF_FEM!$D$5/$E$11)))</f>
        <v>161.11333333333323</v>
      </c>
      <c r="G11" s="377">
        <f>IF($B$5=1,(E11-[3]ARGOREF_MASC!D5)/[3]ARGOREF_MASC!E5,(E11-[3]ARGOREF_FEM!D5)/[3]ARGOREF_FEM!E5)</f>
        <v>-1.6607208177522745</v>
      </c>
      <c r="H11" s="382">
        <f t="shared" ref="H11:H34" si="1">NORMSDIST(G11)</f>
        <v>4.8384765193564681E-2</v>
      </c>
      <c r="I11" s="422" t="str">
        <f t="shared" ref="I11:I34" si="2">IF(H11&lt;5%,"MUY BAJO",IF(H11&lt;15%,"BAJO",IF(H11&lt;85%,"NORMAL",IF(H11&lt;95%,"ELEVADO","MUY ELEVADO"))))</f>
        <v>MUY BAJO</v>
      </c>
      <c r="K11" s="340" t="s">
        <v>1007</v>
      </c>
      <c r="L11" s="349">
        <f>(E11*(0.0553*(E19-E33*0.3141)^2+0.0987*(E16)^2+0.0331*(E20-E34*0.3141)^2)-2445)*0.001</f>
        <v>33.969479550600155</v>
      </c>
      <c r="N11" s="377">
        <f>IF(B5=1,(L11-[3]ARGOREF_MASC!D50)/[3]ARGOREF_MASC!E50,(L11-[3]ARGOREF_FEM!D50)/[3]ARGOREF_FEM!E50)</f>
        <v>0.78811804262916996</v>
      </c>
      <c r="O11" s="378">
        <f>NORMSDIST(N11)</f>
        <v>0.78468616878109732</v>
      </c>
      <c r="P11" s="415" t="str">
        <f>IF(O11&lt;5%,"MUY BAJO",IF(O11&lt;15%,"BAJO",IF(O11&lt;85%,"NORMAL",IF(O11&lt;95%,"ELEVADO","MUY ELEVADO"))))</f>
        <v>NORMAL</v>
      </c>
    </row>
    <row r="12" spans="1:17" x14ac:dyDescent="0.25">
      <c r="A12" s="340" t="s">
        <v>1008</v>
      </c>
      <c r="B12" s="380">
        <v>79</v>
      </c>
      <c r="C12" s="380"/>
      <c r="D12" s="380"/>
      <c r="E12" s="349">
        <f t="shared" si="0"/>
        <v>79</v>
      </c>
      <c r="F12" s="381">
        <f>IF($B$5=1,(E12*([3]ARGOREF_MASC!$D$5/$E$11)),(E12*([3]ARGOREF_FEM!$D$5/$E$11)))</f>
        <v>84.853022222222165</v>
      </c>
      <c r="G12" s="377">
        <f>IF($B$5=1,(F12-[3]ARGOREF_MASC!D6)/[3]ARGOREF_MASC!E6,(F12-[3]ARGOREF_FEM!D6)/[3]ARGOREF_FEM!E6)</f>
        <v>-0.27163772289174076</v>
      </c>
      <c r="H12" s="382">
        <f t="shared" si="1"/>
        <v>0.39295029549883043</v>
      </c>
      <c r="I12" s="422" t="str">
        <f t="shared" si="2"/>
        <v>NORMAL</v>
      </c>
      <c r="K12" s="340" t="s">
        <v>1009</v>
      </c>
      <c r="L12" s="378">
        <f>(L11/E10)</f>
        <v>0.35165092702484635</v>
      </c>
    </row>
    <row r="13" spans="1:17" x14ac:dyDescent="0.25">
      <c r="A13" s="372" t="s">
        <v>939</v>
      </c>
      <c r="B13" s="383"/>
      <c r="C13" s="383"/>
      <c r="D13" s="383"/>
      <c r="E13" s="383"/>
      <c r="F13" s="384"/>
      <c r="G13" s="385"/>
      <c r="H13" s="386"/>
      <c r="I13" s="423"/>
      <c r="J13" s="374"/>
    </row>
    <row r="14" spans="1:17" ht="13.8" thickBot="1" x14ac:dyDescent="0.3">
      <c r="A14" s="340" t="s">
        <v>7</v>
      </c>
      <c r="B14" s="380">
        <v>38</v>
      </c>
      <c r="C14" s="380"/>
      <c r="D14" s="380"/>
      <c r="E14" s="349">
        <f t="shared" si="0"/>
        <v>38</v>
      </c>
      <c r="F14" s="381">
        <f>IF($B$5=1,(E14*([3]ARGOREF_MASC!$D$5/E11)),(E14*([3]ARGOREF_FEM!$D$5/$E$11)))</f>
        <v>40.815377777777755</v>
      </c>
      <c r="G14" s="377">
        <f>IF($B$5=1,(F14-[3]ARGOREF_MASC!D25)/[3]ARGOREF_MASC!E25,(F14-[3]ARGOREF_FEM!D25)/[3]ARGOREF_FEM!E25)</f>
        <v>4.6607482883770937</v>
      </c>
      <c r="H14" s="382">
        <f t="shared" si="1"/>
        <v>0.99999842469080191</v>
      </c>
      <c r="I14" s="422" t="str">
        <f t="shared" si="2"/>
        <v>MUY ELEVADO</v>
      </c>
      <c r="K14" s="340" t="s">
        <v>1010</v>
      </c>
    </row>
    <row r="15" spans="1:17" ht="13.8" thickBot="1" x14ac:dyDescent="0.3">
      <c r="A15" s="340" t="s">
        <v>1011</v>
      </c>
      <c r="B15" s="380">
        <v>38</v>
      </c>
      <c r="C15" s="380"/>
      <c r="D15" s="380"/>
      <c r="E15" s="349">
        <f t="shared" si="0"/>
        <v>38</v>
      </c>
      <c r="F15" s="381">
        <f>IF($B$5=1,(E15*([3]ARGOREF_MASC!$D$5/$E$11)),(E15*([3]ARGOREF_FEM!$D$5/$E$11)))</f>
        <v>40.815377777777755</v>
      </c>
      <c r="G15" s="377">
        <f>IF($B$5=1,(F15-[3]ARGOREF_MASC!D26)/[3]ARGOREF_MASC!E26,(F15-[3]ARGOREF_FEM!D26)/[3]ARGOREF_FEM!E26)</f>
        <v>4.8531119000506813</v>
      </c>
      <c r="H15" s="382">
        <f t="shared" si="1"/>
        <v>0.99999939230467338</v>
      </c>
      <c r="I15" s="422" t="str">
        <f t="shared" si="2"/>
        <v>MUY ELEVADO</v>
      </c>
      <c r="K15" s="340" t="s">
        <v>1007</v>
      </c>
      <c r="L15" s="349">
        <f>(E11*0.01)*(0.00744*(E14-(E27*0.314))^2+0.00088*(E19-(E33*0.314))^2+0.00441*(E20-(E34*0.314))^2)+(2.4*B5)-(0.048*B8)+7.8</f>
        <v>31.488346324347599</v>
      </c>
      <c r="N15" s="377">
        <f>IF(B5=1,(L15-[3]ARGOREF_MASC!D52)/[3]ARGOREF_MASC!E52,(L15-[3]ARGOREF_FEM!D52)/[3]ARGOREF_FEM!E52)</f>
        <v>0.93155918755578548</v>
      </c>
      <c r="O15" s="378">
        <f>NORMSDIST(N15)</f>
        <v>0.82421780840929326</v>
      </c>
      <c r="P15" s="415" t="str">
        <f>IF(O15&lt;5%,"MUY BAJO",IF(O15&lt;15%,"BAJO",IF(O15&lt;85%,"NORMAL",IF(O15&lt;95%,"ELEVADO","MUY ELEVADO"))))</f>
        <v>NORMAL</v>
      </c>
    </row>
    <row r="16" spans="1:17" x14ac:dyDescent="0.25">
      <c r="A16" s="340" t="s">
        <v>1012</v>
      </c>
      <c r="B16" s="380">
        <v>26.3</v>
      </c>
      <c r="C16" s="380"/>
      <c r="D16" s="380"/>
      <c r="E16" s="349">
        <f t="shared" si="0"/>
        <v>26.3</v>
      </c>
      <c r="F16" s="381">
        <f>IF($B$5=1,(E16*([3]ARGOREF_MASC!$D$5/$E$11)),(E16*([3]ARGOREF_FEM!$D$5/$E$11)))</f>
        <v>28.248537777777759</v>
      </c>
      <c r="G16" s="377">
        <f>IF($B$5=1,(F16-[3]ARGOREF_MASC!D27)/[3]ARGOREF_MASC!E27,(F16-[3]ARGOREF_FEM!D27)/[3]ARGOREF_FEM!E27)</f>
        <v>2.7549884448358344</v>
      </c>
      <c r="H16" s="382">
        <f t="shared" si="1"/>
        <v>0.99706528958350282</v>
      </c>
      <c r="I16" s="422" t="str">
        <f t="shared" si="2"/>
        <v>MUY ELEVADO</v>
      </c>
      <c r="K16" s="340" t="s">
        <v>1009</v>
      </c>
      <c r="L16" s="378">
        <f>(L15/E10)</f>
        <v>0.32596631805742859</v>
      </c>
    </row>
    <row r="17" spans="1:17" x14ac:dyDescent="0.25">
      <c r="A17" s="340" t="s">
        <v>1013</v>
      </c>
      <c r="B17" s="380">
        <v>111.5</v>
      </c>
      <c r="C17" s="380"/>
      <c r="D17" s="380"/>
      <c r="E17" s="349">
        <f t="shared" si="0"/>
        <v>111.5</v>
      </c>
      <c r="F17" s="381">
        <f>IF($B$5=1,(E17*([3]ARGOREF_MASC!$D$5/$E$11)),(E17*([3]ARGOREF_FEM!$D$5/$E$11)))</f>
        <v>119.76091111111103</v>
      </c>
      <c r="G17" s="377">
        <f>IF($B$5=1,(F17-[3]ARGOREF_MASC!D30)/[3]ARGOREF_MASC!E30,(F17-[3]ARGOREF_FEM!D30)/[3]ARGOREF_FEM!E30)</f>
        <v>7.6739179968198332</v>
      </c>
      <c r="H17" s="382">
        <f t="shared" si="1"/>
        <v>0.99999999999999167</v>
      </c>
      <c r="I17" s="422" t="str">
        <f t="shared" si="2"/>
        <v>MUY ELEVADO</v>
      </c>
      <c r="L17" s="378"/>
      <c r="Q17" s="379"/>
    </row>
    <row r="18" spans="1:17" ht="14.4" x14ac:dyDescent="0.3">
      <c r="A18" s="340" t="s">
        <v>1014</v>
      </c>
      <c r="B18" s="380">
        <v>129</v>
      </c>
      <c r="C18" s="380"/>
      <c r="D18" s="380"/>
      <c r="E18" s="349">
        <v>93</v>
      </c>
      <c r="F18" s="381">
        <f>IF($B$5=1,(E18*([3]ARGOREF_MASC!$D$5/$E$11)),(E18*([3]ARGOREF_FEM!$D$5/$E$11)))</f>
        <v>99.890266666666605</v>
      </c>
      <c r="G18" s="377">
        <f>IF($B$5=1,(F18-[3]ARGOREF_MASC!D31)/[3]ARGOREF_MASC!E31,(F18-[3]ARGOREF_FEM!D31)/[3]ARGOREF_FEM!E31)</f>
        <v>0.72441822073085393</v>
      </c>
      <c r="H18" s="382">
        <f t="shared" si="1"/>
        <v>0.76559549151221706</v>
      </c>
      <c r="I18" s="422" t="str">
        <f t="shared" si="2"/>
        <v>NORMAL</v>
      </c>
      <c r="K18" s="426" t="s">
        <v>1015</v>
      </c>
      <c r="L18" s="427"/>
      <c r="M18" s="427"/>
      <c r="N18" s="427"/>
      <c r="O18" s="427"/>
      <c r="P18" s="427"/>
      <c r="Q18" s="376"/>
    </row>
    <row r="19" spans="1:17" ht="15" thickBot="1" x14ac:dyDescent="0.35">
      <c r="A19" s="340" t="s">
        <v>1016</v>
      </c>
      <c r="B19" s="380">
        <v>64</v>
      </c>
      <c r="C19" s="380"/>
      <c r="D19" s="380"/>
      <c r="E19" s="349">
        <f t="shared" si="0"/>
        <v>64</v>
      </c>
      <c r="F19" s="381">
        <f>IF($B$5=1,(E19*([3]ARGOREF_MASC!$D$5/$E$11)),(E19*([3]ARGOREF_FEM!$D$5/$E$11)))</f>
        <v>68.741688888888845</v>
      </c>
      <c r="G19" s="377">
        <f>IF($B$5=1,(F19-[3]ARGOREF_MASC!D33)/[3]ARGOREF_MASC!E33,(F19-[3]ARGOREF_FEM!D33)/[3]ARGOREF_FEM!E33)</f>
        <v>4.8543908695957025</v>
      </c>
      <c r="H19" s="382">
        <f t="shared" si="1"/>
        <v>0.99999939621326461</v>
      </c>
      <c r="I19" s="422" t="str">
        <f t="shared" si="2"/>
        <v>MUY ELEVADO</v>
      </c>
      <c r="K19" s="428" t="s">
        <v>1017</v>
      </c>
      <c r="L19"/>
      <c r="M19"/>
      <c r="N19"/>
      <c r="O19"/>
      <c r="P19"/>
    </row>
    <row r="20" spans="1:17" ht="15" thickBot="1" x14ac:dyDescent="0.35">
      <c r="A20" s="340" t="s">
        <v>1018</v>
      </c>
      <c r="B20" s="380">
        <v>45</v>
      </c>
      <c r="C20" s="380"/>
      <c r="D20" s="380"/>
      <c r="E20" s="349">
        <f t="shared" si="0"/>
        <v>45</v>
      </c>
      <c r="F20" s="381">
        <f>IF($B$5=1,(E20*([3]ARGOREF_MASC!$D$5/$E$11)),(E20*([3]ARGOREF_FEM!$D$5/$E$11)))</f>
        <v>48.333999999999968</v>
      </c>
      <c r="G20" s="377">
        <f>IF($B$5=1,(F20-[3]ARGOREF_MASC!D34)/[3]ARGOREF_MASC!E34,(F20-[3]ARGOREF_FEM!D34)/[3]ARGOREF_FEM!E34)</f>
        <v>5.9239103010539909</v>
      </c>
      <c r="H20" s="382">
        <f t="shared" si="1"/>
        <v>0.99999999842812515</v>
      </c>
      <c r="I20" s="422" t="str">
        <f t="shared" si="2"/>
        <v>MUY ELEVADO</v>
      </c>
      <c r="K20" s="428" t="s">
        <v>1019</v>
      </c>
      <c r="L20" s="429">
        <f>0.6*E11*(E22+E23+E24+E25)^2*0.0001</f>
        <v>7.88544</v>
      </c>
      <c r="M20"/>
      <c r="N20" s="430">
        <f>IF(B5=1,(L20-ARGOREF_MASC!D49)/ARGOREF_MASC!E49,(L20-ARGOREF_FEM!D49)/ARGOREF_FEM!E49)</f>
        <v>0.50952850351157641</v>
      </c>
      <c r="O20" s="378">
        <f>NORMSDIST(N20)</f>
        <v>0.69480908785871209</v>
      </c>
      <c r="P20" s="431" t="str">
        <f>IF(O20&lt;5%,"MUY BAJO",IF(O20&lt;15%,"BAJO",IF(O20&lt;85%,"NORMAL",IF(O20&lt;95%,"ELEVADO","MUY ELEVADO"))))</f>
        <v>NORMAL</v>
      </c>
    </row>
    <row r="21" spans="1:17" ht="14.4" x14ac:dyDescent="0.3">
      <c r="A21" s="372" t="s">
        <v>934</v>
      </c>
      <c r="B21" s="383"/>
      <c r="C21" s="383"/>
      <c r="D21" s="383"/>
      <c r="E21" s="383"/>
      <c r="F21" s="384"/>
      <c r="G21" s="385"/>
      <c r="H21" s="386"/>
      <c r="I21" s="423"/>
      <c r="J21" s="374"/>
      <c r="K21" s="428" t="s">
        <v>1020</v>
      </c>
      <c r="L21" s="378">
        <f>L20/E10</f>
        <v>8.1629813664596276E-2</v>
      </c>
      <c r="M21"/>
      <c r="N21"/>
      <c r="O21"/>
      <c r="P21"/>
    </row>
    <row r="22" spans="1:17" x14ac:dyDescent="0.25">
      <c r="A22" s="340" t="s">
        <v>4</v>
      </c>
      <c r="B22" s="380">
        <v>5.6</v>
      </c>
      <c r="C22" s="380"/>
      <c r="D22" s="380"/>
      <c r="E22" s="349">
        <f t="shared" si="0"/>
        <v>5.6</v>
      </c>
      <c r="F22" s="381">
        <f>IF($B$5=1,(E22*([3]ARGOREF_MASC!$D$5/$E$11)),(E22*([3]ARGOREF_FEM!$D$5/$E$11)))</f>
        <v>6.0148977777777732</v>
      </c>
      <c r="G22" s="377">
        <f>IF($B$5=1,(F22-[3]ARGOREF_MASC!D21)/[3]ARGOREF_MASC!E21,(F22-[3]ARGOREF_FEM!D21)/[3]ARGOREF_FEM!E21)</f>
        <v>-0.37366849731592333</v>
      </c>
      <c r="H22" s="382">
        <f t="shared" si="1"/>
        <v>0.35432548286863486</v>
      </c>
      <c r="I22" s="422" t="str">
        <f t="shared" si="2"/>
        <v>NORMAL</v>
      </c>
      <c r="K22" s="411"/>
      <c r="L22" s="410"/>
      <c r="M22" s="410"/>
      <c r="N22" s="410"/>
      <c r="O22" s="410"/>
      <c r="P22" s="410"/>
      <c r="Q22" s="379"/>
    </row>
    <row r="23" spans="1:17" x14ac:dyDescent="0.25">
      <c r="A23" s="340" t="s">
        <v>1022</v>
      </c>
      <c r="B23" s="380"/>
      <c r="C23" s="380"/>
      <c r="D23" s="380"/>
      <c r="E23" s="380">
        <v>5.6</v>
      </c>
      <c r="F23" s="381"/>
      <c r="G23" s="377">
        <f>IF($B$5=1,(F23-[3]ARGOREF_MASC!D22)/[3]ARGOREF_MASC!E22,(F23-[3]ARGOREF_FEM!D22)/[3]ARGOREF_FEM!E22)</f>
        <v>-16.259611535360083</v>
      </c>
      <c r="H23" s="382">
        <f t="shared" si="1"/>
        <v>9.5472371123330604E-60</v>
      </c>
      <c r="I23" s="422" t="str">
        <f t="shared" si="2"/>
        <v>MUY BAJO</v>
      </c>
      <c r="K23" s="375" t="s">
        <v>1021</v>
      </c>
      <c r="L23" s="376"/>
      <c r="M23" s="376"/>
      <c r="N23" s="376"/>
      <c r="O23" s="376"/>
      <c r="P23" s="376"/>
    </row>
    <row r="24" spans="1:17" ht="13.8" thickBot="1" x14ac:dyDescent="0.3">
      <c r="A24" s="340" t="s">
        <v>1024</v>
      </c>
      <c r="B24" s="380"/>
      <c r="C24" s="380"/>
      <c r="D24" s="380"/>
      <c r="E24" s="380">
        <v>8.1</v>
      </c>
      <c r="F24" s="381"/>
      <c r="G24" s="377">
        <f>IF($B$5=1,(F24-[3]ARGOREF_MASC!D23)/[3]ARGOREF_MASC!E23,(F24-[3]ARGOREF_FEM!D23)/[3]ARGOREF_FEM!E23)</f>
        <v>-35.132566230243057</v>
      </c>
      <c r="H24" s="382">
        <f t="shared" si="1"/>
        <v>1.0730387295540596E-270</v>
      </c>
      <c r="I24" s="422" t="str">
        <f t="shared" si="2"/>
        <v>MUY BAJO</v>
      </c>
      <c r="K24" s="340" t="s">
        <v>1023</v>
      </c>
    </row>
    <row r="25" spans="1:17" ht="13.8" thickBot="1" x14ac:dyDescent="0.3">
      <c r="A25" s="340" t="s">
        <v>5</v>
      </c>
      <c r="B25" s="380">
        <v>10.3</v>
      </c>
      <c r="C25" s="380"/>
      <c r="D25" s="380"/>
      <c r="E25" s="349">
        <f t="shared" si="0"/>
        <v>10.3</v>
      </c>
      <c r="F25" s="381">
        <f>IF($B$5=1,(E25*([3]ARGOREF_MASC!$D$5/$E$11)),(E25*([3]ARGOREF_FEM!$D$5/$E$11)))</f>
        <v>11.06311555555555</v>
      </c>
      <c r="G25" s="377">
        <f>IF($B$5=1,(F25-[3]ARGOREF_MASC!D22)/[3]ARGOREF_MASC!E22,(F25-[3]ARGOREF_FEM!D22)/[3]ARGOREF_FEM!E22)</f>
        <v>3.8526644039801776</v>
      </c>
      <c r="H25" s="382">
        <f t="shared" si="1"/>
        <v>0.99994158026152924</v>
      </c>
      <c r="I25" s="422" t="str">
        <f t="shared" si="2"/>
        <v>MUY ELEVADO</v>
      </c>
      <c r="L25" s="377">
        <f>(E10/(E11/100)^2)</f>
        <v>42.93333333333333</v>
      </c>
      <c r="N25" s="377">
        <f>IF(B5=1,(L25-[3]ARGOREF_MASC!D53)/[3]ARGOREF_MASC!E53,(L25-[3]ARGOREF_FEM!D53)/[3]ARGOREF_FEM!E53)</f>
        <v>7.8536147506052094</v>
      </c>
      <c r="O25" s="378">
        <f>NORMSDIST(N25)</f>
        <v>0.999999999999998</v>
      </c>
      <c r="P25" s="416" t="str">
        <f>IF(O25&lt;5%,"MUY BAJO",IF(O25&lt;15%,"BAJO",IF(O25&lt;85%,"NORMAL",IF(O25&lt;95%,"ELEVADO","MUY ELEVADO"))))</f>
        <v>MUY ELEVADO</v>
      </c>
    </row>
    <row r="26" spans="1:17" x14ac:dyDescent="0.25">
      <c r="A26" s="372" t="s">
        <v>682</v>
      </c>
      <c r="B26" s="383"/>
      <c r="C26" s="383"/>
      <c r="D26" s="383"/>
      <c r="E26" s="383"/>
      <c r="F26" s="384"/>
      <c r="G26" s="385"/>
      <c r="H26" s="386"/>
      <c r="I26" s="423"/>
      <c r="J26" s="374"/>
      <c r="K26" s="340" t="s">
        <v>1025</v>
      </c>
    </row>
    <row r="27" spans="1:17" x14ac:dyDescent="0.25">
      <c r="A27" s="340" t="s">
        <v>1026</v>
      </c>
      <c r="B27" s="380">
        <v>30</v>
      </c>
      <c r="C27" s="380"/>
      <c r="D27" s="380"/>
      <c r="E27" s="349">
        <f t="shared" si="0"/>
        <v>30</v>
      </c>
      <c r="F27" s="387">
        <f>IF($B$5=1,(E27*([3]ARGOREF_MASC!$D$5/$E$11)),(E27*([3]ARGOREF_FEM!$D$5/$E$11)))</f>
        <v>32.222666666666647</v>
      </c>
      <c r="G27" s="388">
        <f>IF($B$5=1,(F27-[3]ARGOREF_MASC!D36)/[3]ARGOREF_MASC!E36,(F27-[3]ARGOREF_FEM!D36)/[3]ARGOREF_FEM!E36)</f>
        <v>3.6966339340896153</v>
      </c>
      <c r="H27" s="389">
        <f t="shared" si="1"/>
        <v>0.99989076148985911</v>
      </c>
      <c r="I27" s="424" t="str">
        <f t="shared" si="2"/>
        <v>MUY ELEVADO</v>
      </c>
      <c r="J27" s="376"/>
      <c r="L27" s="377">
        <f>E17/E18</f>
        <v>1.1989247311827957</v>
      </c>
      <c r="O27" s="378"/>
    </row>
    <row r="28" spans="1:17" ht="13.8" thickBot="1" x14ac:dyDescent="0.3">
      <c r="A28" s="340" t="s">
        <v>10</v>
      </c>
      <c r="B28" s="380">
        <v>36</v>
      </c>
      <c r="C28" s="380"/>
      <c r="D28" s="380"/>
      <c r="E28" s="349">
        <f t="shared" si="0"/>
        <v>36</v>
      </c>
      <c r="F28" s="381">
        <f>IF($B$5=1,(E28*([3]ARGOREF_MASC!$D$5/$E$11)),(E28*([3]ARGOREF_FEM!$D$5/$E$11)))</f>
        <v>38.667199999999973</v>
      </c>
      <c r="G28" s="377">
        <f>IF($B$5=1,(F28-[3]ARGOREF_MASC!D37)/[3]ARGOREF_MASC!E37,(F28-[3]ARGOREF_FEM!D37)/[3]ARGOREF_FEM!E37)</f>
        <v>7.0171020816311014</v>
      </c>
      <c r="H28" s="378">
        <f t="shared" si="1"/>
        <v>0.99999999999886746</v>
      </c>
      <c r="I28" s="422" t="str">
        <f t="shared" si="2"/>
        <v>MUY ELEVADO</v>
      </c>
      <c r="K28" s="390" t="s">
        <v>1027</v>
      </c>
    </row>
    <row r="29" spans="1:17" ht="13.8" thickBot="1" x14ac:dyDescent="0.3">
      <c r="A29" s="340" t="s">
        <v>1028</v>
      </c>
      <c r="B29" s="380">
        <v>15</v>
      </c>
      <c r="C29" s="380"/>
      <c r="D29" s="380"/>
      <c r="E29" s="349">
        <f t="shared" si="0"/>
        <v>15</v>
      </c>
      <c r="F29" s="381">
        <f>IF($B$5=1,(E29*([3]ARGOREF_MASC!$D$5/$E$11)),(E29*([3]ARGOREF_FEM!$D$5/$E$11)))</f>
        <v>16.111333333333324</v>
      </c>
      <c r="G29" s="377">
        <f>IF($B$5=1,(F29-[3]ARGOREF_MASC!D38)/[3]ARGOREF_MASC!E38,(F29-[3]ARGOREF_FEM!D38)/[3]ARGOREF_FEM!E38)</f>
        <v>3.1447928656735296</v>
      </c>
      <c r="H29" s="378">
        <f t="shared" si="1"/>
        <v>0.99916897769107704</v>
      </c>
      <c r="I29" s="422" t="str">
        <f t="shared" si="2"/>
        <v>MUY ELEVADO</v>
      </c>
      <c r="L29" s="349">
        <f>(E27+E28+E31+E32+E33+E34)</f>
        <v>204</v>
      </c>
      <c r="N29" s="377">
        <f>IF(B5=1,(L29-[3]ARGOREF_MASC!D44)/[3]ARGOREF_MASC!E44,(L29-[3]ARGOREF_FEM!D44)/[3]ARGOREF_FEM!E44)</f>
        <v>4.3288532826926964</v>
      </c>
      <c r="O29" s="378">
        <f>NORMSDIST(N29)</f>
        <v>0.99999250561288677</v>
      </c>
      <c r="P29" s="417" t="str">
        <f>IF(O29&lt;5%,"MUY BAJO",IF(O29&lt;15%,"BAJO",IF(O29&lt;85%,"NORMAL",IF(O29&lt;95%,"ELEVADO","MUY ELEVADO"))))</f>
        <v>MUY ELEVADO</v>
      </c>
    </row>
    <row r="30" spans="1:17" x14ac:dyDescent="0.25">
      <c r="A30" s="340" t="s">
        <v>1029</v>
      </c>
      <c r="B30" s="380">
        <v>32.5</v>
      </c>
      <c r="C30" s="380"/>
      <c r="D30" s="380"/>
      <c r="E30" s="349">
        <f t="shared" si="0"/>
        <v>32.5</v>
      </c>
      <c r="F30" s="381">
        <f>IF($B$5=1,(E30*([3]ARGOREF_MASC!$D$5/$E$11)),(E30*([3]ARGOREF_FEM!$D$5/$E$11)))</f>
        <v>34.90788888888887</v>
      </c>
      <c r="G30" s="377">
        <f>IF($B$5=1,(F30-[3]ARGOREF_MASC!D39)/[3]ARGOREF_MASC!E39,(F30-[3]ARGOREF_FEM!D39)/[3]ARGOREF_FEM!E39)</f>
        <v>2.214025313663198</v>
      </c>
      <c r="H30" s="378">
        <f t="shared" si="1"/>
        <v>0.98658648117854031</v>
      </c>
      <c r="I30" s="422" t="str">
        <f t="shared" si="2"/>
        <v>MUY ELEVADO</v>
      </c>
      <c r="K30" s="334"/>
      <c r="L30" s="379"/>
      <c r="M30" s="379"/>
      <c r="N30" s="379"/>
      <c r="O30" s="379"/>
      <c r="P30" s="379"/>
    </row>
    <row r="31" spans="1:17" x14ac:dyDescent="0.25">
      <c r="A31" s="340" t="s">
        <v>12</v>
      </c>
      <c r="B31" s="380">
        <v>32</v>
      </c>
      <c r="C31" s="380"/>
      <c r="D31" s="380"/>
      <c r="E31" s="349">
        <f t="shared" si="0"/>
        <v>32</v>
      </c>
      <c r="F31" s="381">
        <f>IF($B$5=1,(E31*([3]ARGOREF_MASC!$D$5/$E$11)),(E31*([3]ARGOREF_FEM!$D$5/$E$11)))</f>
        <v>34.370844444444423</v>
      </c>
      <c r="G31" s="377">
        <f>IF($B$5=1,(F31-[3]ARGOREF_MASC!D40)/[3]ARGOREF_MASC!E40,(F31-[3]ARGOREF_FEM!D40)/[3]ARGOREF_FEM!E40)</f>
        <v>6.3315144379825892</v>
      </c>
      <c r="H31" s="378">
        <f t="shared" si="1"/>
        <v>0.99999999987861676</v>
      </c>
      <c r="I31" s="422" t="str">
        <f t="shared" si="2"/>
        <v>MUY ELEVADO</v>
      </c>
      <c r="K31" s="366" t="s">
        <v>1033</v>
      </c>
    </row>
    <row r="32" spans="1:17" x14ac:dyDescent="0.25">
      <c r="A32" s="340" t="s">
        <v>13</v>
      </c>
      <c r="B32" s="380">
        <v>27</v>
      </c>
      <c r="C32" s="380"/>
      <c r="D32" s="380"/>
      <c r="E32" s="349">
        <f t="shared" si="0"/>
        <v>27</v>
      </c>
      <c r="F32" s="381">
        <f>IF($B$5=1,(E32*([3]ARGOREF_MASC!$D$5/$E$11)),(E32*([3]ARGOREF_FEM!$D$5/$E$11)))</f>
        <v>29.000399999999981</v>
      </c>
      <c r="G32" s="377">
        <f>IF($B$5=1,(F32-[3]ARGOREF_MASC!D41)/[3]ARGOREF_MASC!E41,(F32-[3]ARGOREF_FEM!D41)/[3]ARGOREF_FEM!E41)</f>
        <v>1.0932558779355546</v>
      </c>
      <c r="H32" s="378">
        <f t="shared" si="1"/>
        <v>0.86285926534220903</v>
      </c>
      <c r="I32" s="422" t="str">
        <f t="shared" si="2"/>
        <v>ELEVADO</v>
      </c>
      <c r="K32" s="340" t="s">
        <v>1035</v>
      </c>
      <c r="L32" s="394">
        <f>ARGOREF_FEM!J54</f>
        <v>19.108665247418038</v>
      </c>
      <c r="M32" s="340" t="s">
        <v>1036</v>
      </c>
      <c r="N32" s="395">
        <f>REQUERIMIENTOS!I10*L32%</f>
        <v>9.2438168134384764</v>
      </c>
      <c r="O32" s="340" t="s">
        <v>1037</v>
      </c>
      <c r="P32" s="395">
        <f>L32-N32</f>
        <v>9.8648484339795619</v>
      </c>
      <c r="Q32" s="379"/>
    </row>
    <row r="33" spans="1:21" x14ac:dyDescent="0.25">
      <c r="A33" s="340" t="s">
        <v>1031</v>
      </c>
      <c r="B33" s="380">
        <v>47</v>
      </c>
      <c r="C33" s="380"/>
      <c r="D33" s="380"/>
      <c r="E33" s="349">
        <f t="shared" si="0"/>
        <v>47</v>
      </c>
      <c r="F33" s="381">
        <f>IF($B$5=1,(E33*([3]ARGOREF_MASC!$D$5/$E$11)),(E33*([3]ARGOREF_FEM!$D$5/$E$11)))</f>
        <v>50.482177777777743</v>
      </c>
      <c r="G33" s="377">
        <f>IF($B$5=1,(F33-[3]ARGOREF_MASC!D42)/[3]ARGOREF_MASC!E42,(F33-[3]ARGOREF_FEM!D42)/[3]ARGOREF_FEM!E42)</f>
        <v>3.8358031114347071</v>
      </c>
      <c r="H33" s="378">
        <f t="shared" si="1"/>
        <v>0.99993742267820229</v>
      </c>
      <c r="I33" s="422" t="str">
        <f t="shared" si="2"/>
        <v>MUY ELEVADO</v>
      </c>
      <c r="K33" s="334"/>
      <c r="L33" s="379"/>
      <c r="M33" s="379"/>
      <c r="N33" s="379"/>
      <c r="O33" s="379"/>
      <c r="P33" s="379"/>
    </row>
    <row r="34" spans="1:21" x14ac:dyDescent="0.25">
      <c r="A34" s="334" t="s">
        <v>1032</v>
      </c>
      <c r="B34" s="391">
        <v>32</v>
      </c>
      <c r="C34" s="391"/>
      <c r="D34" s="391"/>
      <c r="E34" s="349">
        <f t="shared" si="0"/>
        <v>32</v>
      </c>
      <c r="F34" s="392">
        <f>IF($B$5=1,(E34*([3]ARGOREF_MASC!$D$5/$E$11)),(E34*([3]ARGOREF_FEM!$D$5/$E$11)))</f>
        <v>34.370844444444423</v>
      </c>
      <c r="G34" s="393">
        <f>IF($B$5=1,(F34-[3]ARGOREF_MASC!D43)/[3]ARGOREF_MASC!E43,(F34-[3]ARGOREF_FEM!D43)/[3]ARGOREF_FEM!E43)</f>
        <v>3.353319263215047</v>
      </c>
      <c r="H34" s="362">
        <f t="shared" si="1"/>
        <v>0.99960075728042719</v>
      </c>
      <c r="I34" s="425" t="str">
        <f t="shared" si="2"/>
        <v>MUY ELEVADO</v>
      </c>
      <c r="J34" s="379"/>
      <c r="K34" s="366" t="s">
        <v>1040</v>
      </c>
    </row>
    <row r="35" spans="1:21" x14ac:dyDescent="0.25">
      <c r="K35" s="340" t="s">
        <v>1042</v>
      </c>
      <c r="M35" s="340" t="s">
        <v>1043</v>
      </c>
      <c r="O35" s="340" t="s">
        <v>1044</v>
      </c>
    </row>
    <row r="36" spans="1:21" x14ac:dyDescent="0.25">
      <c r="A36" s="366" t="s">
        <v>1034</v>
      </c>
      <c r="L36" s="396">
        <f>ARGOREF_FEM!N51</f>
        <v>4.1307740646253341</v>
      </c>
      <c r="N36" s="395">
        <f>L11/L36</f>
        <v>8.2235142903370644</v>
      </c>
      <c r="P36" s="395">
        <f>REQUERIMIENTOS!I10/'ANTROPOMETRIA INICIAL'!N36</f>
        <v>5.882521546395612</v>
      </c>
      <c r="Q36" s="376"/>
    </row>
    <row r="37" spans="1:21" x14ac:dyDescent="0.25">
      <c r="A37" s="340" t="s">
        <v>1038</v>
      </c>
      <c r="K37" s="334"/>
      <c r="L37" s="379"/>
      <c r="M37" s="379"/>
      <c r="N37" s="379"/>
      <c r="O37" s="379"/>
      <c r="P37" s="379"/>
    </row>
    <row r="38" spans="1:21" x14ac:dyDescent="0.25">
      <c r="A38" s="340" t="s">
        <v>1039</v>
      </c>
      <c r="K38" s="366" t="s">
        <v>1048</v>
      </c>
      <c r="Q38" s="405"/>
    </row>
    <row r="39" spans="1:21" x14ac:dyDescent="0.25">
      <c r="A39" s="340" t="s">
        <v>1041</v>
      </c>
      <c r="K39" s="340" t="s">
        <v>1050</v>
      </c>
      <c r="O39" s="433">
        <f>REQUERIMIENTOS!I10</f>
        <v>48.375</v>
      </c>
    </row>
    <row r="40" spans="1:21" x14ac:dyDescent="0.25">
      <c r="A40" s="340" t="s">
        <v>1045</v>
      </c>
    </row>
    <row r="41" spans="1:21" x14ac:dyDescent="0.25">
      <c r="A41" s="340" t="s">
        <v>1046</v>
      </c>
      <c r="K41" s="375"/>
      <c r="L41" s="376"/>
      <c r="M41" s="376"/>
      <c r="N41" s="376"/>
      <c r="O41" s="376"/>
      <c r="P41" s="376"/>
      <c r="Q41" s="410"/>
    </row>
    <row r="42" spans="1:21" ht="14.4" x14ac:dyDescent="0.3">
      <c r="A42" s="340" t="s">
        <v>1047</v>
      </c>
      <c r="K42" s="411"/>
      <c r="L42" s="410"/>
      <c r="M42" s="410"/>
      <c r="N42" s="411"/>
      <c r="O42" s="410"/>
      <c r="P42" s="410"/>
      <c r="Q42" s="11"/>
      <c r="R42" s="410"/>
    </row>
    <row r="43" spans="1:21" ht="14.4" x14ac:dyDescent="0.3">
      <c r="A43" s="340" t="s">
        <v>1049</v>
      </c>
      <c r="K43" s="411"/>
      <c r="L43" s="432"/>
      <c r="M43" s="411"/>
      <c r="N43" s="432"/>
      <c r="O43" s="410"/>
      <c r="P43" s="412"/>
      <c r="Q43" s="11"/>
      <c r="R43" s="410"/>
    </row>
    <row r="44" spans="1:21" ht="14.4" x14ac:dyDescent="0.3">
      <c r="A44" s="340" t="s">
        <v>1051</v>
      </c>
      <c r="K44" s="411"/>
      <c r="L44" s="410"/>
      <c r="M44" s="410"/>
      <c r="N44" s="410"/>
      <c r="O44" s="410"/>
      <c r="P44" s="410"/>
      <c r="Q44" s="11"/>
      <c r="R44" s="410"/>
    </row>
    <row r="45" spans="1:21" ht="14.4" x14ac:dyDescent="0.3">
      <c r="A45" s="340" t="s">
        <v>1052</v>
      </c>
      <c r="K45" s="411"/>
      <c r="L45" s="432"/>
      <c r="M45" s="411"/>
      <c r="N45" s="410"/>
      <c r="O45" s="410"/>
      <c r="P45" s="410"/>
      <c r="Q45" s="11"/>
      <c r="R45" s="410"/>
    </row>
    <row r="46" spans="1:21" ht="15.6" customHeight="1" x14ac:dyDescent="0.3">
      <c r="A46" s="340" t="s">
        <v>1053</v>
      </c>
      <c r="K46" s="435" t="s">
        <v>1061</v>
      </c>
      <c r="L46" s="435" t="s">
        <v>1059</v>
      </c>
      <c r="M46" s="435" t="s">
        <v>1060</v>
      </c>
      <c r="N46" s="435" t="s">
        <v>390</v>
      </c>
      <c r="O46" s="435" t="s">
        <v>391</v>
      </c>
      <c r="P46" s="435" t="s">
        <v>1062</v>
      </c>
      <c r="Q46" s="11"/>
      <c r="R46" s="410"/>
    </row>
    <row r="47" spans="1:21" ht="15.6" customHeight="1" x14ac:dyDescent="0.25">
      <c r="A47" s="340" t="s">
        <v>1054</v>
      </c>
      <c r="K47" s="436">
        <f>100%-(M47+L47)</f>
        <v>0.24423586340992354</v>
      </c>
      <c r="L47" s="436">
        <f>L5</f>
        <v>0.40411320956523011</v>
      </c>
      <c r="M47" s="437">
        <f>L12</f>
        <v>0.35165092702484635</v>
      </c>
      <c r="N47" s="438">
        <f>L6</f>
        <v>39.037336044001229</v>
      </c>
      <c r="O47" s="438">
        <f>L11</f>
        <v>33.969479550600155</v>
      </c>
      <c r="P47" s="438">
        <f>E10-(O47+N47)</f>
        <v>23.593184405398603</v>
      </c>
      <c r="Q47" s="410" t="s">
        <v>1063</v>
      </c>
      <c r="R47" s="410"/>
    </row>
    <row r="48" spans="1:21" ht="15.6" customHeight="1" x14ac:dyDescent="0.25">
      <c r="A48" s="340" t="s">
        <v>1055</v>
      </c>
      <c r="K48" s="410"/>
      <c r="L48" s="410"/>
      <c r="M48" s="410"/>
      <c r="N48" s="410"/>
      <c r="O48" s="410"/>
      <c r="P48" s="410"/>
      <c r="Q48" s="410" t="s">
        <v>1064</v>
      </c>
      <c r="R48" s="410"/>
      <c r="S48" s="410"/>
      <c r="T48" s="410"/>
      <c r="U48" s="410"/>
    </row>
    <row r="49" spans="1:22" x14ac:dyDescent="0.25">
      <c r="A49" s="340" t="s">
        <v>1056</v>
      </c>
      <c r="K49" s="323"/>
      <c r="T49" s="410"/>
      <c r="U49" s="410"/>
      <c r="V49" s="410"/>
    </row>
    <row r="50" spans="1:22" x14ac:dyDescent="0.25">
      <c r="K50" s="410"/>
      <c r="L50" s="410"/>
      <c r="M50" s="410"/>
      <c r="N50" s="410"/>
      <c r="O50" s="410"/>
      <c r="P50" s="410"/>
      <c r="Q50" s="410"/>
      <c r="R50" s="410"/>
      <c r="S50" s="410"/>
      <c r="V50" s="410"/>
    </row>
    <row r="51" spans="1:22" x14ac:dyDescent="0.25">
      <c r="K51" s="323"/>
      <c r="T51" s="410"/>
      <c r="U51" s="410"/>
      <c r="V51" s="410"/>
    </row>
    <row r="52" spans="1:22" x14ac:dyDescent="0.25">
      <c r="K52" s="410"/>
      <c r="L52" s="410"/>
      <c r="M52" s="410"/>
      <c r="N52" s="410"/>
      <c r="O52" s="410"/>
      <c r="P52" s="410"/>
      <c r="Q52" s="410"/>
      <c r="R52" s="410"/>
      <c r="S52" s="410"/>
      <c r="T52" s="410"/>
      <c r="U52" s="410"/>
      <c r="V52" s="410"/>
    </row>
    <row r="53" spans="1:22" x14ac:dyDescent="0.25">
      <c r="K53" s="323"/>
      <c r="Q53" s="440">
        <f>B7</f>
        <v>44511</v>
      </c>
      <c r="R53" s="440"/>
    </row>
    <row r="54" spans="1:22" x14ac:dyDescent="0.25">
      <c r="K54" s="410"/>
      <c r="L54" s="410"/>
      <c r="M54" s="410"/>
      <c r="N54" s="410"/>
      <c r="O54" s="410"/>
      <c r="P54" s="435" t="s">
        <v>390</v>
      </c>
      <c r="Q54" s="438">
        <f>L6</f>
        <v>39.037336044001229</v>
      </c>
      <c r="R54" s="438"/>
    </row>
    <row r="55" spans="1:22" ht="13.2" customHeight="1" x14ac:dyDescent="0.25">
      <c r="K55" s="323"/>
      <c r="P55" s="435" t="s">
        <v>391</v>
      </c>
      <c r="Q55" s="438">
        <f>L11</f>
        <v>33.969479550600155</v>
      </c>
      <c r="R55" s="438"/>
    </row>
    <row r="56" spans="1:22" ht="13.2" customHeight="1" x14ac:dyDescent="0.25">
      <c r="K56" s="410"/>
      <c r="L56" s="410"/>
      <c r="M56" s="410"/>
      <c r="N56" s="410"/>
      <c r="O56" s="410"/>
      <c r="P56" s="435" t="s">
        <v>1062</v>
      </c>
      <c r="Q56" s="438"/>
      <c r="R56" s="438"/>
      <c r="S56" s="410"/>
    </row>
    <row r="57" spans="1:22" ht="13.8" customHeight="1" x14ac:dyDescent="0.25">
      <c r="K57" s="323"/>
      <c r="Q57" s="439"/>
      <c r="R57" s="439"/>
    </row>
    <row r="58" spans="1:22" x14ac:dyDescent="0.25">
      <c r="K58" s="410"/>
      <c r="L58" s="410"/>
      <c r="M58" s="410"/>
      <c r="N58" s="410"/>
      <c r="O58" s="410"/>
      <c r="P58" s="410"/>
      <c r="Q58" s="410"/>
      <c r="R58" s="410"/>
      <c r="S58" s="410"/>
    </row>
    <row r="59" spans="1:22" x14ac:dyDescent="0.25">
      <c r="K59" s="410"/>
      <c r="L59" s="410"/>
      <c r="M59" s="410"/>
      <c r="N59" s="410"/>
      <c r="O59" s="410"/>
      <c r="P59" s="410"/>
      <c r="Q59" s="410"/>
      <c r="R59" s="410"/>
      <c r="S59" s="410"/>
    </row>
    <row r="60" spans="1:22" x14ac:dyDescent="0.25">
      <c r="K60" s="323"/>
    </row>
    <row r="61" spans="1:22" ht="14.4" customHeight="1" x14ac:dyDescent="0.25">
      <c r="K61" s="323"/>
    </row>
    <row r="62" spans="1:22" x14ac:dyDescent="0.25">
      <c r="K62" s="323"/>
    </row>
    <row r="63" spans="1:22" x14ac:dyDescent="0.25">
      <c r="K63" s="323"/>
    </row>
    <row r="64" spans="1:22" x14ac:dyDescent="0.25">
      <c r="K64" s="323"/>
    </row>
    <row r="65" spans="11:12" x14ac:dyDescent="0.25">
      <c r="K65" s="323"/>
    </row>
    <row r="66" spans="11:12" x14ac:dyDescent="0.25">
      <c r="K66" s="323"/>
    </row>
    <row r="67" spans="11:12" x14ac:dyDescent="0.25">
      <c r="K67" s="323"/>
    </row>
    <row r="68" spans="11:12" x14ac:dyDescent="0.25">
      <c r="K68" s="323"/>
    </row>
    <row r="69" spans="11:12" x14ac:dyDescent="0.25">
      <c r="K69" s="323"/>
    </row>
    <row r="70" spans="11:12" x14ac:dyDescent="0.25">
      <c r="K70" s="323"/>
    </row>
    <row r="71" spans="11:12" x14ac:dyDescent="0.25">
      <c r="K71" s="323"/>
    </row>
    <row r="72" spans="11:12" x14ac:dyDescent="0.25">
      <c r="K72" s="323"/>
    </row>
    <row r="73" spans="11:12" x14ac:dyDescent="0.25">
      <c r="K73" s="323"/>
    </row>
    <row r="74" spans="11:12" x14ac:dyDescent="0.25">
      <c r="K74" s="323"/>
    </row>
    <row r="75" spans="11:12" x14ac:dyDescent="0.25">
      <c r="K75" s="323"/>
    </row>
    <row r="76" spans="11:12" x14ac:dyDescent="0.25">
      <c r="K76" s="323"/>
      <c r="L76" s="444" t="s">
        <v>1067</v>
      </c>
    </row>
    <row r="77" spans="11:12" x14ac:dyDescent="0.25">
      <c r="K77" s="471">
        <f>Q53</f>
        <v>44511</v>
      </c>
      <c r="L77" s="442">
        <f>E10</f>
        <v>96.6</v>
      </c>
    </row>
    <row r="78" spans="11:12" x14ac:dyDescent="0.25">
      <c r="K78" s="441" t="s">
        <v>1065</v>
      </c>
      <c r="L78" s="442">
        <f>O39</f>
        <v>48.375</v>
      </c>
    </row>
    <row r="79" spans="11:12" x14ac:dyDescent="0.25">
      <c r="K79" s="443" t="s">
        <v>1066</v>
      </c>
      <c r="L79" s="443">
        <v>65</v>
      </c>
    </row>
    <row r="80" spans="11:12" x14ac:dyDescent="0.25">
      <c r="K80" s="443"/>
      <c r="L80" s="443"/>
    </row>
    <row r="81" spans="10:11" x14ac:dyDescent="0.25">
      <c r="K81" s="323"/>
    </row>
    <row r="82" spans="10:11" x14ac:dyDescent="0.25">
      <c r="K82" s="323"/>
    </row>
    <row r="91" spans="10:11" x14ac:dyDescent="0.25">
      <c r="K91" s="340" t="s">
        <v>1068</v>
      </c>
    </row>
    <row r="92" spans="10:11" x14ac:dyDescent="0.25">
      <c r="J92" s="472">
        <f>K77</f>
        <v>44511</v>
      </c>
      <c r="K92" s="339">
        <f>L29</f>
        <v>204</v>
      </c>
    </row>
    <row r="93" spans="10:11" x14ac:dyDescent="0.25">
      <c r="J93" s="443"/>
      <c r="K93" s="445"/>
    </row>
    <row r="102" spans="1:2" x14ac:dyDescent="0.25">
      <c r="A102" s="372" t="s">
        <v>682</v>
      </c>
    </row>
    <row r="103" spans="1:2" x14ac:dyDescent="0.25">
      <c r="A103" s="340" t="s">
        <v>1026</v>
      </c>
      <c r="B103" s="349">
        <f>E27</f>
        <v>30</v>
      </c>
    </row>
    <row r="104" spans="1:2" x14ac:dyDescent="0.25">
      <c r="A104" s="340" t="s">
        <v>10</v>
      </c>
      <c r="B104" s="349">
        <f t="shared" ref="B104:B110" si="3">E28</f>
        <v>36</v>
      </c>
    </row>
    <row r="105" spans="1:2" x14ac:dyDescent="0.25">
      <c r="A105" s="340" t="s">
        <v>1028</v>
      </c>
      <c r="B105" s="349">
        <f t="shared" si="3"/>
        <v>15</v>
      </c>
    </row>
    <row r="106" spans="1:2" x14ac:dyDescent="0.25">
      <c r="A106" s="340" t="s">
        <v>1029</v>
      </c>
      <c r="B106" s="349">
        <f t="shared" si="3"/>
        <v>32.5</v>
      </c>
    </row>
    <row r="107" spans="1:2" x14ac:dyDescent="0.25">
      <c r="A107" s="340" t="s">
        <v>12</v>
      </c>
      <c r="B107" s="349">
        <f t="shared" si="3"/>
        <v>32</v>
      </c>
    </row>
    <row r="108" spans="1:2" x14ac:dyDescent="0.25">
      <c r="A108" s="340" t="s">
        <v>13</v>
      </c>
      <c r="B108" s="349">
        <f t="shared" si="3"/>
        <v>27</v>
      </c>
    </row>
    <row r="109" spans="1:2" x14ac:dyDescent="0.25">
      <c r="A109" s="340" t="s">
        <v>1031</v>
      </c>
      <c r="B109" s="349">
        <f t="shared" si="3"/>
        <v>47</v>
      </c>
    </row>
    <row r="110" spans="1:2" x14ac:dyDescent="0.25">
      <c r="A110" s="334" t="s">
        <v>1032</v>
      </c>
      <c r="B110" s="349">
        <f t="shared" si="3"/>
        <v>32</v>
      </c>
    </row>
    <row r="143" spans="11:13" ht="13.8" thickBot="1" x14ac:dyDescent="0.3"/>
    <row r="144" spans="11:13" ht="15" thickBot="1" x14ac:dyDescent="0.3">
      <c r="K144" s="555" t="s">
        <v>1073</v>
      </c>
      <c r="L144" s="556"/>
      <c r="M144" s="557"/>
    </row>
    <row r="145" spans="11:13" ht="15" thickBot="1" x14ac:dyDescent="0.3">
      <c r="K145" s="952" t="s">
        <v>1083</v>
      </c>
      <c r="L145" s="953"/>
      <c r="M145" s="954"/>
    </row>
    <row r="146" spans="11:13" ht="15" thickBot="1" x14ac:dyDescent="0.35">
      <c r="K146" s="27"/>
      <c r="L146" s="27"/>
      <c r="M146" s="27"/>
    </row>
    <row r="147" spans="11:13" ht="15" thickBot="1" x14ac:dyDescent="0.35">
      <c r="K147" s="768" t="s">
        <v>148</v>
      </c>
      <c r="L147" s="769"/>
      <c r="M147" s="770"/>
    </row>
    <row r="148" spans="11:13" ht="14.4" x14ac:dyDescent="0.3">
      <c r="K148" s="704" t="s">
        <v>149</v>
      </c>
      <c r="L148" s="449" t="s">
        <v>150</v>
      </c>
      <c r="M148" s="450" t="s">
        <v>151</v>
      </c>
    </row>
    <row r="149" spans="11:13" ht="15" thickBot="1" x14ac:dyDescent="0.35">
      <c r="K149" s="714"/>
      <c r="L149" s="451">
        <f>M151-K151</f>
        <v>-8.1885488000000013</v>
      </c>
      <c r="M149" s="452">
        <f>2*L151-(M151+K151)</f>
        <v>9.9212511999999951</v>
      </c>
    </row>
    <row r="150" spans="11:13" ht="15" thickBot="1" x14ac:dyDescent="0.35">
      <c r="K150" s="453" t="s">
        <v>152</v>
      </c>
      <c r="L150" s="454" t="s">
        <v>153</v>
      </c>
      <c r="M150" s="52" t="s">
        <v>154</v>
      </c>
    </row>
    <row r="151" spans="11:13" ht="15" thickBot="1" x14ac:dyDescent="0.3">
      <c r="K151" s="455">
        <f>(((-0.7182+(0.1451*K153)))-((0.00068*(K153)^2))+((0.0000014*(K153)^3)))</f>
        <v>8.2885488000000009</v>
      </c>
      <c r="L151" s="456">
        <f>((0.858*E22)+(0.601*E25)+(0.188*(E15-(E27/10)))+(0.161*(E20-(E34/10)))-(E11*0.131)+4.5)</f>
        <v>9.1548999999999978</v>
      </c>
      <c r="M151" s="457">
        <f>IF(M153&lt;=38.25,0.1,IF(M153&lt;40.75,0.463*M153-17.63,0.732*M153-28.58))</f>
        <v>0.1</v>
      </c>
    </row>
    <row r="152" spans="11:13" ht="15" thickBot="1" x14ac:dyDescent="0.35">
      <c r="K152" s="458" t="s">
        <v>1074</v>
      </c>
      <c r="L152" s="459" t="s">
        <v>1075</v>
      </c>
      <c r="M152" s="45" t="s">
        <v>1076</v>
      </c>
    </row>
    <row r="153" spans="11:13" ht="15" thickBot="1" x14ac:dyDescent="0.3">
      <c r="K153" s="460">
        <f>SUM(E28+E27+E31)</f>
        <v>98</v>
      </c>
      <c r="L153" s="461">
        <f>L29</f>
        <v>204</v>
      </c>
      <c r="M153" s="460">
        <f>E11/(E10)^0.333</f>
        <v>32.741145963517859</v>
      </c>
    </row>
    <row r="154" spans="11:13" ht="13.8" thickBot="1" x14ac:dyDescent="0.3">
      <c r="K154" s="955" t="s">
        <v>161</v>
      </c>
      <c r="L154" s="955"/>
      <c r="M154" s="955"/>
    </row>
    <row r="155" spans="11:13" x14ac:dyDescent="0.25">
      <c r="K155" s="462">
        <f>IMPRIMIR!AE27</f>
        <v>3.8</v>
      </c>
      <c r="L155" s="463">
        <f>IMPRIMIR!AG27</f>
        <v>5.2</v>
      </c>
      <c r="M155" s="464">
        <f>IMPRIMIR!AH27</f>
        <v>1.6</v>
      </c>
    </row>
    <row r="156" spans="11:13" x14ac:dyDescent="0.25">
      <c r="K156" s="465"/>
      <c r="L156" s="469" t="s">
        <v>150</v>
      </c>
      <c r="M156" s="470" t="s">
        <v>151</v>
      </c>
    </row>
    <row r="157" spans="11:13" ht="13.8" thickBot="1" x14ac:dyDescent="0.3">
      <c r="K157" s="466"/>
      <c r="L157" s="467">
        <f>M155-K155</f>
        <v>-2.1999999999999997</v>
      </c>
      <c r="M157" s="468">
        <f>2*L155-(M155+L157)</f>
        <v>11</v>
      </c>
    </row>
  </sheetData>
  <mergeCells count="10">
    <mergeCell ref="B2:J2"/>
    <mergeCell ref="B3:J3"/>
    <mergeCell ref="B4:J4"/>
    <mergeCell ref="K1:Q1"/>
    <mergeCell ref="N3:P3"/>
    <mergeCell ref="K145:M145"/>
    <mergeCell ref="K147:M147"/>
    <mergeCell ref="K148:K149"/>
    <mergeCell ref="K154:M154"/>
    <mergeCell ref="K144:M144"/>
  </mergeCells>
  <pageMargins left="0.78740157480314965" right="0.78740157480314965" top="0.98425196850393704" bottom="0.98425196850393704" header="0.19685039370078741" footer="0.39370078740157483"/>
  <pageSetup paperSize="9" orientation="portrait" horizontalDpi="300" verticalDpi="300" r:id="rId1"/>
  <headerFooter alignWithMargins="0">
    <oddHeader>&amp;C&amp;"Arial,Negrita"&amp;12SOFTWARE DE COMPOSICIÓN CORPORAL 
Y DEL CÁLCULO DEL PESO IDEAL 
CON MODELOS DE DOS COMPONENTES</oddHeader>
    <oddFooter>&amp;C&amp;"Arial,Negrita"Curso de Cineantropometría
Francis Holway
fholway@hotmail.com</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FUNDAMENTOS CALCULOS</vt:lpstr>
      <vt:lpstr>FICHA INICIAL</vt:lpstr>
      <vt:lpstr>COSTO ENERG. POR ACTV. FAOMS</vt:lpstr>
      <vt:lpstr>REFERENCIAS</vt:lpstr>
      <vt:lpstr>CONTROL</vt:lpstr>
      <vt:lpstr>REQUERIMIENTOS</vt:lpstr>
      <vt:lpstr>ARGOREF_MASC</vt:lpstr>
      <vt:lpstr>ARGOREF_FEM</vt:lpstr>
      <vt:lpstr>ANTROPOMETRIA INICIAL</vt:lpstr>
      <vt:lpstr>ANTROPOMETRIA FINAL</vt:lpstr>
      <vt:lpstr>IMPRIMIR</vt:lpstr>
      <vt:lpstr>SOMATOTIPO</vt:lpstr>
      <vt:lpstr>ACTIVIDAD</vt:lpstr>
      <vt:lpstr>IMPRIMIR!Área_de_impresión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 Lippke Vega</dc:creator>
  <cp:lastModifiedBy>Hernan Lippke Vega</cp:lastModifiedBy>
  <cp:lastPrinted>2021-11-12T20:45:02Z</cp:lastPrinted>
  <dcterms:created xsi:type="dcterms:W3CDTF">2019-01-21T19:37:43Z</dcterms:created>
  <dcterms:modified xsi:type="dcterms:W3CDTF">2021-12-29T03:48:06Z</dcterms:modified>
</cp:coreProperties>
</file>