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80_politische_Bildung\daten\"/>
    </mc:Choice>
  </mc:AlternateContent>
  <xr:revisionPtr revIDLastSave="0" documentId="13_ncr:1_{B2913BBB-91D9-4967-A688-1F891CAF4600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Finanzen_in_Mrd" sheetId="2" r:id="rId1"/>
    <sheet name="Haushalt (aus Quellen)" sheetId="1" r:id="rId2"/>
  </sheets>
  <definedNames>
    <definedName name="_GoBack" localSheetId="1">'Haushalt (aus Quellen)'!#REF!</definedName>
    <definedName name="_xlnm.Print_Area" localSheetId="1">'Haushalt (aus Quellen)'!$B$2:$M$107</definedName>
    <definedName name="jahr">'Haushalt (aus Quellen)'!#REF!</definedName>
    <definedName name="jahre">'Haushalt (aus Quellen)'!#REF!</definedName>
    <definedName name="zeit">'Haushalt (aus Quellen)'!$B$7:$B$117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8" i="2" l="1"/>
  <c r="N76" i="2"/>
  <c r="N77" i="2"/>
  <c r="F78" i="2"/>
  <c r="L78" i="2"/>
  <c r="K78" i="2"/>
  <c r="J78" i="2"/>
  <c r="M78" i="2" s="1"/>
  <c r="D77" i="2"/>
  <c r="D78" i="2"/>
  <c r="E77" i="2"/>
  <c r="E78" i="2"/>
  <c r="E75" i="2"/>
  <c r="E74" i="2"/>
  <c r="E73" i="2"/>
  <c r="D75" i="2"/>
  <c r="E71" i="2"/>
  <c r="E70" i="2"/>
  <c r="E69" i="2"/>
  <c r="E68" i="2"/>
  <c r="D71" i="2"/>
  <c r="D70" i="2"/>
  <c r="D69" i="2"/>
  <c r="D68" i="2"/>
  <c r="E66" i="2"/>
  <c r="E65" i="2"/>
  <c r="E64" i="2"/>
  <c r="E63" i="2"/>
  <c r="D66" i="2"/>
  <c r="D65" i="2"/>
  <c r="D64" i="2"/>
  <c r="D63" i="2"/>
  <c r="E61" i="2"/>
  <c r="E60" i="2"/>
  <c r="E59" i="2"/>
  <c r="E58" i="2"/>
  <c r="D61" i="2"/>
  <c r="D60" i="2"/>
  <c r="D59" i="2"/>
  <c r="D58" i="2"/>
  <c r="E56" i="2"/>
  <c r="E55" i="2"/>
  <c r="E54" i="2"/>
  <c r="E53" i="2"/>
  <c r="D56" i="2"/>
  <c r="D55" i="2"/>
  <c r="D54" i="2"/>
  <c r="D53" i="2"/>
  <c r="E51" i="2"/>
  <c r="E50" i="2"/>
  <c r="E49" i="2"/>
  <c r="E48" i="2"/>
  <c r="D51" i="2"/>
  <c r="D50" i="2"/>
  <c r="D49" i="2"/>
  <c r="D74" i="2"/>
  <c r="D73" i="2"/>
  <c r="D76" i="2"/>
  <c r="D48" i="2"/>
  <c r="E46" i="2"/>
  <c r="E45" i="2"/>
  <c r="E44" i="2"/>
  <c r="E43" i="2"/>
  <c r="E42" i="2"/>
  <c r="E41" i="2"/>
  <c r="E40" i="2"/>
  <c r="E39" i="2"/>
  <c r="E38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8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E16" i="2"/>
  <c r="E15" i="2"/>
  <c r="E14" i="2"/>
  <c r="E13" i="2"/>
  <c r="E12" i="2"/>
  <c r="E11" i="2"/>
  <c r="E10" i="2"/>
  <c r="E9" i="2"/>
  <c r="E8" i="2"/>
  <c r="D15" i="2"/>
  <c r="D14" i="2"/>
  <c r="D13" i="2"/>
  <c r="D12" i="2"/>
  <c r="D11" i="2"/>
  <c r="D10" i="2"/>
  <c r="D9" i="2"/>
  <c r="D8" i="2"/>
  <c r="D16" i="2"/>
  <c r="R73" i="2"/>
  <c r="Q73" i="2"/>
  <c r="P46" i="2"/>
  <c r="P44" i="2"/>
  <c r="Q44" i="2"/>
  <c r="P73" i="2"/>
  <c r="P61" i="2"/>
  <c r="O58" i="2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E76" i="2"/>
  <c r="E72" i="2"/>
  <c r="D72" i="2"/>
  <c r="E67" i="2"/>
  <c r="D67" i="2"/>
  <c r="E62" i="2"/>
  <c r="D62" i="2"/>
  <c r="E57" i="2"/>
  <c r="D57" i="2"/>
  <c r="E52" i="2"/>
  <c r="D52" i="2"/>
  <c r="E47" i="2"/>
  <c r="D47" i="2"/>
  <c r="E37" i="2"/>
  <c r="D37" i="2"/>
  <c r="E27" i="2"/>
  <c r="D27" i="2"/>
  <c r="E17" i="2"/>
  <c r="D17" i="2"/>
  <c r="E7" i="2"/>
  <c r="D7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M53" i="2" s="1"/>
  <c r="J52" i="2"/>
  <c r="J51" i="2"/>
  <c r="J50" i="2"/>
  <c r="J49" i="2"/>
  <c r="J48" i="2"/>
  <c r="M48" i="2" s="1"/>
  <c r="J47" i="2"/>
  <c r="M47" i="2" s="1"/>
  <c r="J42" i="2"/>
  <c r="J40" i="2" s="1"/>
  <c r="M40" i="2" s="1"/>
  <c r="J37" i="2"/>
  <c r="M37" i="2" s="1"/>
  <c r="J32" i="2"/>
  <c r="J35" i="2" s="1"/>
  <c r="M35" i="2" s="1"/>
  <c r="J27" i="2"/>
  <c r="J22" i="2"/>
  <c r="M22" i="2" s="1"/>
  <c r="J17" i="2"/>
  <c r="J12" i="2"/>
  <c r="J15" i="2" s="1"/>
  <c r="M15" i="2" s="1"/>
  <c r="J7" i="2"/>
  <c r="M7" i="2" s="1"/>
  <c r="F77" i="2"/>
  <c r="F76" i="2"/>
  <c r="G77" i="2" s="1"/>
  <c r="F75" i="2"/>
  <c r="F74" i="2"/>
  <c r="F73" i="2"/>
  <c r="F72" i="2"/>
  <c r="G72" i="2" s="1"/>
  <c r="F71" i="2"/>
  <c r="F70" i="2"/>
  <c r="G71" i="2" s="1"/>
  <c r="F69" i="2"/>
  <c r="F68" i="2"/>
  <c r="F67" i="2"/>
  <c r="F66" i="2"/>
  <c r="F65" i="2"/>
  <c r="F64" i="2"/>
  <c r="G64" i="2" s="1"/>
  <c r="F63" i="2"/>
  <c r="F62" i="2"/>
  <c r="G63" i="2" s="1"/>
  <c r="F61" i="2"/>
  <c r="F60" i="2"/>
  <c r="G61" i="2" s="1"/>
  <c r="F59" i="2"/>
  <c r="F58" i="2"/>
  <c r="F57" i="2"/>
  <c r="G58" i="2" s="1"/>
  <c r="F56" i="2"/>
  <c r="F55" i="2"/>
  <c r="F54" i="2"/>
  <c r="G54" i="2" s="1"/>
  <c r="F53" i="2"/>
  <c r="F52" i="2"/>
  <c r="F51" i="2"/>
  <c r="F50" i="2"/>
  <c r="F49" i="2"/>
  <c r="F48" i="2"/>
  <c r="F47" i="2"/>
  <c r="F46" i="2"/>
  <c r="G46" i="2" s="1"/>
  <c r="F45" i="2"/>
  <c r="F44" i="2"/>
  <c r="F43" i="2"/>
  <c r="F42" i="2"/>
  <c r="F41" i="2"/>
  <c r="F40" i="2"/>
  <c r="F39" i="2"/>
  <c r="F38" i="2"/>
  <c r="G39" i="2" s="1"/>
  <c r="F37" i="2"/>
  <c r="F36" i="2"/>
  <c r="F35" i="2"/>
  <c r="G35" i="2" s="1"/>
  <c r="F34" i="2"/>
  <c r="F33" i="2"/>
  <c r="G34" i="2" s="1"/>
  <c r="F32" i="2"/>
  <c r="F31" i="2"/>
  <c r="F30" i="2"/>
  <c r="F29" i="2"/>
  <c r="F28" i="2"/>
  <c r="F27" i="2"/>
  <c r="F26" i="2"/>
  <c r="F25" i="2"/>
  <c r="G26" i="2" s="1"/>
  <c r="F24" i="2"/>
  <c r="F23" i="2"/>
  <c r="F22" i="2"/>
  <c r="F21" i="2"/>
  <c r="F20" i="2"/>
  <c r="F19" i="2"/>
  <c r="F18" i="2"/>
  <c r="F17" i="2"/>
  <c r="F16" i="2"/>
  <c r="F15" i="2"/>
  <c r="F14" i="2"/>
  <c r="G14" i="2" s="1"/>
  <c r="F13" i="2"/>
  <c r="F12" i="2"/>
  <c r="F11" i="2"/>
  <c r="F10" i="2"/>
  <c r="F9" i="2"/>
  <c r="F8" i="2"/>
  <c r="F7" i="2"/>
  <c r="G7" i="2" s="1"/>
  <c r="G48" i="2"/>
  <c r="J43" i="2"/>
  <c r="M43" i="2" s="1"/>
  <c r="J29" i="2"/>
  <c r="M29" i="2" s="1"/>
  <c r="M27" i="2"/>
  <c r="J25" i="2"/>
  <c r="M25" i="2" s="1"/>
  <c r="J24" i="2"/>
  <c r="M24" i="2" s="1"/>
  <c r="J9" i="2"/>
  <c r="M9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F7" i="1"/>
  <c r="F8" i="1"/>
  <c r="F9" i="1"/>
  <c r="G10" i="1" s="1"/>
  <c r="F10" i="1"/>
  <c r="F11" i="1"/>
  <c r="F12" i="1"/>
  <c r="F13" i="1"/>
  <c r="F14" i="1"/>
  <c r="G14" i="1" s="1"/>
  <c r="F15" i="1"/>
  <c r="G15" i="1" s="1"/>
  <c r="F16" i="1"/>
  <c r="F17" i="1"/>
  <c r="G18" i="1" s="1"/>
  <c r="F18" i="1"/>
  <c r="F19" i="1"/>
  <c r="F20" i="1"/>
  <c r="F21" i="1"/>
  <c r="F22" i="1"/>
  <c r="F23" i="1"/>
  <c r="G23" i="1" s="1"/>
  <c r="F24" i="1"/>
  <c r="F25" i="1"/>
  <c r="G26" i="1" s="1"/>
  <c r="F26" i="1"/>
  <c r="F27" i="1"/>
  <c r="F28" i="1"/>
  <c r="F29" i="1"/>
  <c r="F30" i="1"/>
  <c r="G30" i="1" s="1"/>
  <c r="F31" i="1"/>
  <c r="G31" i="1" s="1"/>
  <c r="F32" i="1"/>
  <c r="F33" i="1"/>
  <c r="G34" i="1" s="1"/>
  <c r="F34" i="1"/>
  <c r="F35" i="1"/>
  <c r="F36" i="1"/>
  <c r="F37" i="1"/>
  <c r="F38" i="1"/>
  <c r="G38" i="1" s="1"/>
  <c r="F39" i="1"/>
  <c r="G39" i="1" s="1"/>
  <c r="F40" i="1"/>
  <c r="F41" i="1"/>
  <c r="G42" i="1" s="1"/>
  <c r="F42" i="1"/>
  <c r="F43" i="1"/>
  <c r="F44" i="1"/>
  <c r="F45" i="1"/>
  <c r="F46" i="1"/>
  <c r="G46" i="1" s="1"/>
  <c r="F47" i="1"/>
  <c r="F48" i="1"/>
  <c r="F49" i="1"/>
  <c r="F50" i="1"/>
  <c r="F51" i="1"/>
  <c r="F52" i="1"/>
  <c r="F53" i="1"/>
  <c r="G53" i="1" s="1"/>
  <c r="F54" i="1"/>
  <c r="G54" i="1" s="1"/>
  <c r="F55" i="1"/>
  <c r="G55" i="1" s="1"/>
  <c r="F56" i="1"/>
  <c r="F57" i="1"/>
  <c r="F58" i="1"/>
  <c r="F59" i="1"/>
  <c r="F60" i="1"/>
  <c r="F61" i="1"/>
  <c r="F62" i="1"/>
  <c r="F63" i="1"/>
  <c r="G63" i="1" s="1"/>
  <c r="F64" i="1"/>
  <c r="F65" i="1"/>
  <c r="F66" i="1"/>
  <c r="F67" i="1"/>
  <c r="F68" i="1"/>
  <c r="F69" i="1"/>
  <c r="F70" i="1"/>
  <c r="F71" i="1"/>
  <c r="G72" i="1" s="1"/>
  <c r="F72" i="1"/>
  <c r="F73" i="1"/>
  <c r="F74" i="1"/>
  <c r="F75" i="1"/>
  <c r="F76" i="1"/>
  <c r="F77" i="1"/>
  <c r="F78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52" i="1"/>
  <c r="J46" i="1"/>
  <c r="M46" i="1" s="1"/>
  <c r="J45" i="1"/>
  <c r="M45" i="1" s="1"/>
  <c r="J44" i="1"/>
  <c r="M44" i="1" s="1"/>
  <c r="J43" i="1"/>
  <c r="J41" i="1"/>
  <c r="M41" i="1" s="1"/>
  <c r="J40" i="1"/>
  <c r="M40" i="1" s="1"/>
  <c r="J39" i="1"/>
  <c r="M39" i="1" s="1"/>
  <c r="J38" i="1"/>
  <c r="M38" i="1" s="1"/>
  <c r="J36" i="1"/>
  <c r="M36" i="1" s="1"/>
  <c r="J35" i="1"/>
  <c r="M35" i="1" s="1"/>
  <c r="J34" i="1"/>
  <c r="M34" i="1" s="1"/>
  <c r="J33" i="1"/>
  <c r="M33" i="1" s="1"/>
  <c r="J31" i="1"/>
  <c r="M31" i="1" s="1"/>
  <c r="J30" i="1"/>
  <c r="M30" i="1" s="1"/>
  <c r="J29" i="1"/>
  <c r="M29" i="1" s="1"/>
  <c r="J28" i="1"/>
  <c r="M28" i="1" s="1"/>
  <c r="J26" i="1"/>
  <c r="M26" i="1" s="1"/>
  <c r="J25" i="1"/>
  <c r="J24" i="1"/>
  <c r="M24" i="1" s="1"/>
  <c r="J23" i="1"/>
  <c r="M23" i="1" s="1"/>
  <c r="J21" i="1"/>
  <c r="M21" i="1" s="1"/>
  <c r="J20" i="1"/>
  <c r="M20" i="1" s="1"/>
  <c r="J19" i="1"/>
  <c r="M19" i="1" s="1"/>
  <c r="J18" i="1"/>
  <c r="M18" i="1" s="1"/>
  <c r="J16" i="1"/>
  <c r="M16" i="1" s="1"/>
  <c r="J15" i="1"/>
  <c r="M15" i="1" s="1"/>
  <c r="J14" i="1"/>
  <c r="M14" i="1" s="1"/>
  <c r="J13" i="1"/>
  <c r="J11" i="1"/>
  <c r="M11" i="1" s="1"/>
  <c r="J10" i="1"/>
  <c r="M10" i="1" s="1"/>
  <c r="J9" i="1"/>
  <c r="M9" i="1" s="1"/>
  <c r="J8" i="1"/>
  <c r="M8" i="1" s="1"/>
  <c r="M37" i="1"/>
  <c r="M42" i="1"/>
  <c r="M43" i="1"/>
  <c r="M12" i="1"/>
  <c r="M13" i="1"/>
  <c r="M17" i="1"/>
  <c r="M22" i="1"/>
  <c r="M25" i="1"/>
  <c r="M27" i="1"/>
  <c r="M32" i="1"/>
  <c r="M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47" i="1"/>
  <c r="M48" i="1"/>
  <c r="M4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C5" i="1"/>
  <c r="D5" i="1" s="1"/>
  <c r="E5" i="1" s="1"/>
  <c r="F5" i="1" s="1"/>
  <c r="G5" i="1" s="1"/>
  <c r="H5" i="1" s="1"/>
  <c r="G62" i="1"/>
  <c r="G61" i="1"/>
  <c r="G59" i="1"/>
  <c r="G58" i="1"/>
  <c r="G51" i="1"/>
  <c r="G50" i="1"/>
  <c r="G47" i="1"/>
  <c r="G45" i="1"/>
  <c r="G43" i="1"/>
  <c r="G37" i="1"/>
  <c r="G35" i="1"/>
  <c r="G27" i="1"/>
  <c r="G22" i="1"/>
  <c r="G19" i="1"/>
  <c r="G11" i="1"/>
  <c r="G66" i="1"/>
  <c r="G74" i="1"/>
  <c r="J31" i="2" l="1"/>
  <c r="M31" i="2" s="1"/>
  <c r="M42" i="2"/>
  <c r="G76" i="2"/>
  <c r="J30" i="2"/>
  <c r="M30" i="2" s="1"/>
  <c r="M57" i="2"/>
  <c r="J34" i="2"/>
  <c r="M34" i="2" s="1"/>
  <c r="M72" i="2"/>
  <c r="M60" i="2"/>
  <c r="J38" i="2"/>
  <c r="M38" i="2" s="1"/>
  <c r="G41" i="2"/>
  <c r="G66" i="2"/>
  <c r="G19" i="2"/>
  <c r="G42" i="2"/>
  <c r="M62" i="2"/>
  <c r="J11" i="2"/>
  <c r="M11" i="2" s="1"/>
  <c r="J14" i="2"/>
  <c r="M14" i="2" s="1"/>
  <c r="M76" i="2"/>
  <c r="M17" i="2"/>
  <c r="G20" i="2"/>
  <c r="G44" i="2"/>
  <c r="M54" i="2"/>
  <c r="M63" i="2"/>
  <c r="M71" i="2"/>
  <c r="J16" i="2"/>
  <c r="M16" i="2" s="1"/>
  <c r="M77" i="2"/>
  <c r="J23" i="2"/>
  <c r="M23" i="2" s="1"/>
  <c r="J33" i="2"/>
  <c r="M33" i="2" s="1"/>
  <c r="J28" i="2"/>
  <c r="M28" i="2" s="1"/>
  <c r="M52" i="2"/>
  <c r="G25" i="2"/>
  <c r="G47" i="2"/>
  <c r="G16" i="2"/>
  <c r="G24" i="2"/>
  <c r="G31" i="2"/>
  <c r="J41" i="2"/>
  <c r="M41" i="2" s="1"/>
  <c r="M58" i="2"/>
  <c r="J8" i="2"/>
  <c r="M8" i="2" s="1"/>
  <c r="M75" i="2"/>
  <c r="M73" i="2"/>
  <c r="M70" i="2"/>
  <c r="M69" i="2"/>
  <c r="M67" i="2"/>
  <c r="M65" i="2"/>
  <c r="M64" i="2"/>
  <c r="M61" i="2"/>
  <c r="M55" i="2"/>
  <c r="M74" i="2"/>
  <c r="M68" i="2"/>
  <c r="M66" i="2"/>
  <c r="M59" i="2"/>
  <c r="M56" i="2"/>
  <c r="M51" i="2"/>
  <c r="M50" i="2"/>
  <c r="M49" i="2"/>
  <c r="J44" i="2"/>
  <c r="M44" i="2" s="1"/>
  <c r="J45" i="2"/>
  <c r="M45" i="2" s="1"/>
  <c r="J39" i="2"/>
  <c r="M39" i="2" s="1"/>
  <c r="J46" i="2"/>
  <c r="M46" i="2" s="1"/>
  <c r="J36" i="2"/>
  <c r="M36" i="2" s="1"/>
  <c r="M32" i="2"/>
  <c r="J18" i="2"/>
  <c r="M18" i="2" s="1"/>
  <c r="J26" i="2"/>
  <c r="M26" i="2" s="1"/>
  <c r="J20" i="2"/>
  <c r="M20" i="2" s="1"/>
  <c r="J19" i="2"/>
  <c r="M19" i="2" s="1"/>
  <c r="J13" i="2"/>
  <c r="M13" i="2" s="1"/>
  <c r="J21" i="2"/>
  <c r="M21" i="2" s="1"/>
  <c r="M12" i="2"/>
  <c r="J10" i="2"/>
  <c r="M10" i="2" s="1"/>
  <c r="G78" i="2"/>
  <c r="G75" i="2"/>
  <c r="G74" i="2"/>
  <c r="G73" i="2"/>
  <c r="G70" i="2"/>
  <c r="G69" i="2"/>
  <c r="G67" i="2"/>
  <c r="G62" i="2"/>
  <c r="G59" i="2"/>
  <c r="G56" i="2"/>
  <c r="G55" i="2"/>
  <c r="G53" i="2"/>
  <c r="G51" i="2"/>
  <c r="G50" i="2"/>
  <c r="G49" i="2"/>
  <c r="G45" i="2"/>
  <c r="G40" i="2"/>
  <c r="G37" i="2"/>
  <c r="G36" i="2"/>
  <c r="G32" i="2"/>
  <c r="G30" i="2"/>
  <c r="G29" i="2"/>
  <c r="G27" i="2"/>
  <c r="G22" i="2"/>
  <c r="G21" i="2"/>
  <c r="G17" i="2"/>
  <c r="G15" i="2"/>
  <c r="G12" i="2"/>
  <c r="G10" i="2"/>
  <c r="G11" i="2"/>
  <c r="G9" i="2"/>
  <c r="G8" i="2"/>
  <c r="G13" i="2"/>
  <c r="G18" i="2"/>
  <c r="G23" i="2"/>
  <c r="G28" i="2"/>
  <c r="G33" i="2"/>
  <c r="G38" i="2"/>
  <c r="G43" i="2"/>
  <c r="G52" i="2"/>
  <c r="G60" i="2"/>
  <c r="G68" i="2"/>
  <c r="G57" i="2"/>
  <c r="G65" i="2"/>
  <c r="G16" i="1"/>
  <c r="G56" i="1"/>
  <c r="G69" i="1"/>
  <c r="G20" i="1"/>
  <c r="G32" i="1"/>
  <c r="G77" i="1"/>
  <c r="G12" i="1"/>
  <c r="G28" i="1"/>
  <c r="G75" i="1"/>
  <c r="G67" i="1"/>
  <c r="G13" i="1"/>
  <c r="G21" i="1"/>
  <c r="G29" i="1"/>
  <c r="G8" i="1"/>
  <c r="G40" i="1"/>
  <c r="G24" i="1"/>
  <c r="G64" i="1"/>
  <c r="G71" i="1"/>
  <c r="G9" i="1"/>
  <c r="G17" i="1"/>
  <c r="G25" i="1"/>
  <c r="G33" i="1"/>
  <c r="G41" i="1"/>
  <c r="G49" i="1"/>
  <c r="G57" i="1"/>
  <c r="G78" i="1"/>
  <c r="G48" i="1"/>
  <c r="G70" i="1"/>
  <c r="I5" i="1"/>
  <c r="J5" i="1" s="1"/>
  <c r="G73" i="1"/>
  <c r="G65" i="1"/>
  <c r="G76" i="1"/>
  <c r="G68" i="1"/>
  <c r="G60" i="1"/>
  <c r="G52" i="1"/>
  <c r="G44" i="1"/>
  <c r="G36" i="1"/>
  <c r="K5" i="1"/>
  <c r="L5" i="1" s="1"/>
  <c r="M5" i="1" s="1"/>
  <c r="N5" i="1" s="1"/>
  <c r="O5" i="1" s="1"/>
</calcChain>
</file>

<file path=xl/sharedStrings.xml><?xml version="1.0" encoding="utf-8"?>
<sst xmlns="http://schemas.openxmlformats.org/spreadsheetml/2006/main" count="130" uniqueCount="77">
  <si>
    <t>Jahr</t>
  </si>
  <si>
    <t>Quellen:</t>
  </si>
  <si>
    <t>jahre</t>
  </si>
  <si>
    <t>einwohner</t>
  </si>
  <si>
    <t>einwohner_west</t>
  </si>
  <si>
    <t>einwohner_ost</t>
  </si>
  <si>
    <t>schulden</t>
  </si>
  <si>
    <t>Staatsverschuldung,
Bund, Länder, Gemeinden</t>
  </si>
  <si>
    <t>ME</t>
  </si>
  <si>
    <t>Mrd. €</t>
  </si>
  <si>
    <t>BIP</t>
  </si>
  <si>
    <t>Einwoher (ab 2020 Prognosewerte)</t>
  </si>
  <si>
    <t>Deutschland Bevölkerung 2022 | Bevölkerungsuhr (countrymeters.info)</t>
  </si>
  <si>
    <t>Bevölkerungsentwicklung | bpb.de</t>
  </si>
  <si>
    <t xml:space="preserve"> k</t>
  </si>
  <si>
    <t>Mill.</t>
  </si>
  <si>
    <t>k</t>
  </si>
  <si>
    <t>Schulden von Bund, Ländern und Gemeinden bis 2020 | Statista</t>
  </si>
  <si>
    <t>Mill. €</t>
  </si>
  <si>
    <t>Brutoinlandsprodukt,
 Deutschland</t>
  </si>
  <si>
    <t>gesamt</t>
  </si>
  <si>
    <t>west</t>
  </si>
  <si>
    <t>ost</t>
  </si>
  <si>
    <t>in Mill. €</t>
  </si>
  <si>
    <t>i</t>
  </si>
  <si>
    <t>BZR</t>
  </si>
  <si>
    <t>BZR_west</t>
  </si>
  <si>
    <t>BZR_ost</t>
  </si>
  <si>
    <t xml:space="preserve">1) https://de.statista.com/statistik/daten/studie/7031/umfrage/bundeszuschuesse-an-die-rentenversicherung-seit-1950/
2) https://www.bundesamtsozialesicherung.de/fileadmin/redaktion/Rentenversicherung/20210830_Bundeszuschuesse.pdf
</t>
  </si>
  <si>
    <t>west (1)</t>
  </si>
  <si>
    <t>ost (1)</t>
  </si>
  <si>
    <t xml:space="preserve">1) https://de.statista.com/statistik/daten/studie/4878/umfrage/bruttoinlandsprodukt-von-deutschland-seit-dem-jahr-1950/
</t>
  </si>
  <si>
    <t xml:space="preserve"> 1) https://www.deutschlandinzahlen.de/tab/bundeslaender/oeffentliche-haushalte/schulden/schulden-je-einwohner  
2) https://de.statista.com/statistik/daten/studie/154798/umfrage/deutsche-staatsverschuldung-seit-2003/
https://de.statista.com/statistik/daten/studie/4778/umfrage/schulden-der-haushalte-bund-laender-und-gemeinden/</t>
  </si>
  <si>
    <t>1) https://de.statista.com/statistik/daten/studie/1358/umfrage/entwicklung-der-gesamtbevoelkerung-deutschlands/ 
2) 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</t>
  </si>
  <si>
    <t>gesamt (1) (2)</t>
  </si>
  <si>
    <t>f(MwSt-Anhebung)</t>
  </si>
  <si>
    <r>
      <t xml:space="preserve">Bundeszuschüsse zur
 ges. Rentenversicherung BZR
</t>
    </r>
    <r>
      <rPr>
        <sz val="10"/>
        <color theme="0" tint="-0.499984740745262"/>
        <rFont val="Arial"/>
        <family val="2"/>
      </rPr>
      <t>(graue Werte interpoliert)</t>
    </r>
  </si>
  <si>
    <t>Nominale Steuereinnahmen</t>
  </si>
  <si>
    <t>nStr</t>
  </si>
  <si>
    <t>1) Steuereinnahmen in Deutschland - Statistik zur Verteilung nach Steuerarten (tagesgeldvergleich.net)</t>
  </si>
  <si>
    <t>f(MwSt)</t>
  </si>
  <si>
    <t>Neuschulden</t>
  </si>
  <si>
    <t>neuschulden</t>
  </si>
  <si>
    <t>Kumulation</t>
  </si>
  <si>
    <t>insgesamt</t>
  </si>
  <si>
    <t>Mrd.</t>
  </si>
  <si>
    <r>
      <t xml:space="preserve">öffentliche Bildungsausgaben
</t>
    </r>
    <r>
      <rPr>
        <sz val="8"/>
        <rFont val="Arial"/>
        <family val="2"/>
      </rPr>
      <t>Schulen, Hochschulen, Weiterb.Fördermaßnahmen, Einricht.</t>
    </r>
  </si>
  <si>
    <t>%  des BIP</t>
  </si>
  <si>
    <t>1)
https://www.deutschlandinzahlen.de/tab/deutschland/bildung/bildungsausgaben/oeffentliche-bildungsausgaben-in-prozent-des-bip
2) https://www.destatis.de/DE/Themen/Gesellschaft-Umwelt/Bildung-Forschung-Kultur/Bildungsfinanzen-Ausbildungsfoerderung/Tabellen/ausgaben-oeffentliche-haushalte.html</t>
  </si>
  <si>
    <t>B</t>
  </si>
  <si>
    <t>B_%</t>
  </si>
  <si>
    <t>j</t>
  </si>
  <si>
    <t>Mill --&gt; Mrd</t>
  </si>
  <si>
    <t>in Mrd. €</t>
  </si>
  <si>
    <t>Mill.&lt;-&gt;Mrd.
k &lt;-&gt; Mill.</t>
  </si>
  <si>
    <r>
      <t xml:space="preserve">Staatsverschuldung,
</t>
    </r>
    <r>
      <rPr>
        <sz val="10"/>
        <rFont val="Arial"/>
        <family val="2"/>
      </rPr>
      <t>Bund, Länder, Gemeinden</t>
    </r>
  </si>
  <si>
    <r>
      <t xml:space="preserve">öffentliche Bildungsausgaben
</t>
    </r>
    <r>
      <rPr>
        <sz val="8"/>
        <rFont val="Arial"/>
        <family val="2"/>
      </rPr>
      <t>Schulen, Hochschulen, Weiterb.Fördermaßnahmen, Einrichtungen</t>
    </r>
  </si>
  <si>
    <t>K</t>
  </si>
  <si>
    <t>N</t>
  </si>
  <si>
    <t>1)
Die Kosten und Erträge der Wiedervereinigung Deutschlands | bpb.de</t>
  </si>
  <si>
    <t xml:space="preserve">Kosten und Nutzen
</t>
  </si>
  <si>
    <t xml:space="preserve">Kosten der Einheit ab 1990
</t>
  </si>
  <si>
    <t>Nutzen der
Einheit ab 1990</t>
  </si>
  <si>
    <t>Schulden</t>
  </si>
  <si>
    <t>Teilungsbedingte</t>
  </si>
  <si>
    <t>Kosten bis 1990</t>
  </si>
  <si>
    <t>DDR 1990</t>
  </si>
  <si>
    <t>BRD 1990</t>
  </si>
  <si>
    <t>Geopolitik 2016</t>
  </si>
  <si>
    <t>Bilanz: 2016</t>
  </si>
  <si>
    <t>D</t>
  </si>
  <si>
    <t xml:space="preserve">davon in Valuta </t>
  </si>
  <si>
    <r>
      <t xml:space="preserve">Einwoher
</t>
    </r>
    <r>
      <rPr>
        <b/>
        <sz val="10"/>
        <color rgb="FF0070C0"/>
        <rFont val="Arial"/>
        <family val="2"/>
      </rPr>
      <t xml:space="preserve"> (ab 2020 blaue Prognosewerte)</t>
    </r>
    <r>
      <rPr>
        <b/>
        <sz val="10"/>
        <rFont val="Arial"/>
        <family val="2"/>
      </rPr>
      <t xml:space="preserve">
</t>
    </r>
    <r>
      <rPr>
        <b/>
        <sz val="10"/>
        <color theme="0" tint="-0.34998626667073579"/>
        <rFont val="Arial"/>
        <family val="2"/>
      </rPr>
      <t>(grau Werte interpoliert)</t>
    </r>
  </si>
  <si>
    <t>1) https://www.deutschlandinzahlen.de/tab/bundeslaender/oeffentliche-haushalte/schulden/schulden-je-einwohner  
2) https://de.statista.com/statistik/daten/studie/154798/umfrage/deutsche-staatsverschuldung-seit-2003/
3) https://de.statista.com/statistik/daten/studie/4778/umfrage/schulden-der-haushalte-bund-laender-und-gemeinden/
4) https://www.handelsblatt.com/politik/deutschland/staatsverschuldung-und-schuldenuhr-so-hoch-ist-die-staatsverschuldung-in-deutschland-2021/26273814.html</t>
  </si>
  <si>
    <t>1) Steuereinnahmen in Deutschland - Statistik zur Verteilung nach Steuerarten (tagesgeldvergleich.net)
2) https://www.bundesfinanzministerium.de/Content/DE/Standardartikel/Themen/Steuern/Steuerschaetzungen_und_Steuereinnahmen/2022-01-28-steuereinnahmen-4-vierteljahr-kalenderjahr_2021.pdf?__blob=publicationFile&amp;v=3</t>
  </si>
  <si>
    <t>Vermögen</t>
  </si>
  <si>
    <t>1) Einkommen und Vermögen – wachsende Ungleichheiten | bpb.de
2) https://www.empirica-institut.de/fileadmin/Redaktion/Publikationen_Referenzen/PDFs/_Vermoegensbildung_LBS_Teil_3_Wohnflaechen_und_Vermoegen.pdf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</si>
</sst>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\ [$€-407]_-;\-* #,##0\ [$€-407]_-;_-* &quot;-&quot;??\ [$€-407]_-;_-@_-"/>
    <numFmt numFmtId="167" formatCode="0_ ;[Red]\-0\ "/>
    <numFmt numFmtId="168" formatCode="0.0000"/>
    <numFmt numFmtId="169" formatCode="0.000"/>
    <numFmt numFmtId="170" formatCode="_-* #,##0.000_-;\-* #,##0.000_-;_-* &quot;-&quot;??_-;_-@_-"/>
    <numFmt numFmtId="171" formatCode="0.000_ ;[Red]\-0.000\ "/>
    <numFmt numFmtId="172" formatCode="0.000%"/>
  </numFmts>
  <fonts count="33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1"/>
      <color indexed="8"/>
      <name val="Calibri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  <font>
      <u/>
      <sz val="10"/>
      <color indexed="12"/>
      <name val="Arial"/>
      <family val="2"/>
    </font>
    <font>
      <sz val="10"/>
      <name val="Arial"/>
    </font>
    <font>
      <sz val="10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b/>
      <sz val="10"/>
      <color rgb="FF00A44A"/>
      <name val="Arial"/>
      <family val="2"/>
    </font>
    <font>
      <sz val="10"/>
      <color rgb="FF00A44A"/>
      <name val="Arial"/>
      <family val="2"/>
    </font>
    <font>
      <sz val="11"/>
      <color rgb="FF00A44A"/>
      <name val="Calibri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sz val="11"/>
      <color indexed="8"/>
      <name val="Calibri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Fill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Alignment="1" applyProtection="1"/>
    <xf numFmtId="164" fontId="0" fillId="3" borderId="0" xfId="0" applyNumberFormat="1" applyFill="1"/>
    <xf numFmtId="0" fontId="0" fillId="3" borderId="0" xfId="0" applyFill="1"/>
    <xf numFmtId="0" fontId="6" fillId="6" borderId="1" xfId="0" applyFont="1" applyFill="1" applyBorder="1"/>
    <xf numFmtId="164" fontId="0" fillId="6" borderId="0" xfId="0" applyNumberFormat="1" applyFill="1"/>
    <xf numFmtId="0" fontId="3" fillId="6" borderId="1" xfId="0" applyFont="1" applyFill="1" applyBorder="1"/>
    <xf numFmtId="0" fontId="0" fillId="6" borderId="1" xfId="0" applyFill="1" applyBorder="1"/>
    <xf numFmtId="0" fontId="4" fillId="6" borderId="1" xfId="2" applyFill="1" applyBorder="1" applyProtection="1"/>
    <xf numFmtId="164" fontId="5" fillId="6" borderId="0" xfId="0" applyNumberFormat="1" applyFont="1" applyFill="1" applyAlignment="1">
      <alignment horizontal="right" vertical="center"/>
    </xf>
    <xf numFmtId="0" fontId="0" fillId="6" borderId="0" xfId="0" applyFill="1"/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/>
    <xf numFmtId="165" fontId="0" fillId="0" borderId="0" xfId="3" applyNumberFormat="1" applyFont="1"/>
    <xf numFmtId="165" fontId="1" fillId="9" borderId="1" xfId="3" applyNumberFormat="1" applyFont="1" applyFill="1" applyBorder="1" applyAlignment="1">
      <alignment wrapText="1"/>
    </xf>
    <xf numFmtId="166" fontId="1" fillId="9" borderId="1" xfId="3" applyNumberFormat="1" applyFont="1" applyFill="1" applyBorder="1" applyAlignment="1">
      <alignment wrapText="1"/>
    </xf>
    <xf numFmtId="165" fontId="1" fillId="9" borderId="1" xfId="3" applyNumberFormat="1" applyFont="1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6" fillId="6" borderId="2" xfId="0" applyFont="1" applyFill="1" applyBorder="1"/>
    <xf numFmtId="0" fontId="3" fillId="6" borderId="2" xfId="0" applyFont="1" applyFill="1" applyBorder="1"/>
    <xf numFmtId="0" fontId="0" fillId="6" borderId="2" xfId="0" applyFill="1" applyBorder="1"/>
    <xf numFmtId="0" fontId="4" fillId="6" borderId="2" xfId="2" applyFill="1" applyBorder="1" applyProtection="1"/>
    <xf numFmtId="165" fontId="0" fillId="2" borderId="1" xfId="0" applyNumberFormat="1" applyFill="1" applyBorder="1"/>
    <xf numFmtId="0" fontId="3" fillId="5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right" wrapText="1"/>
    </xf>
    <xf numFmtId="164" fontId="3" fillId="6" borderId="4" xfId="0" applyNumberFormat="1" applyFont="1" applyFill="1" applyBorder="1" applyAlignment="1">
      <alignment horizontal="right"/>
    </xf>
    <xf numFmtId="164" fontId="0" fillId="6" borderId="4" xfId="0" applyNumberFormat="1" applyFill="1" applyBorder="1"/>
    <xf numFmtId="164" fontId="3" fillId="6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10" borderId="1" xfId="0" applyFill="1" applyBorder="1"/>
    <xf numFmtId="0" fontId="3" fillId="11" borderId="1" xfId="0" applyFont="1" applyFill="1" applyBorder="1"/>
    <xf numFmtId="0" fontId="0" fillId="0" borderId="0" xfId="0" applyAlignment="1">
      <alignment horizontal="right"/>
    </xf>
    <xf numFmtId="0" fontId="1" fillId="11" borderId="1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64" fontId="5" fillId="6" borderId="1" xfId="0" applyNumberFormat="1" applyFont="1" applyFill="1" applyBorder="1" applyAlignment="1">
      <alignment horizontal="right" vertical="center"/>
    </xf>
    <xf numFmtId="164" fontId="0" fillId="6" borderId="1" xfId="0" applyNumberFormat="1" applyFill="1" applyBorder="1"/>
    <xf numFmtId="0" fontId="1" fillId="11" borderId="1" xfId="0" applyFont="1" applyFill="1" applyBorder="1" applyAlignment="1">
      <alignment horizontal="center" wrapText="1"/>
    </xf>
    <xf numFmtId="165" fontId="0" fillId="10" borderId="1" xfId="3" applyNumberFormat="1" applyFont="1" applyFill="1" applyBorder="1"/>
    <xf numFmtId="165" fontId="11" fillId="10" borderId="1" xfId="3" applyNumberFormat="1" applyFont="1" applyFill="1" applyBorder="1"/>
    <xf numFmtId="2" fontId="0" fillId="12" borderId="1" xfId="0" applyNumberFormat="1" applyFill="1" applyBorder="1"/>
    <xf numFmtId="2" fontId="4" fillId="12" borderId="1" xfId="2" applyNumberFormat="1" applyFill="1" applyBorder="1" applyProtection="1"/>
    <xf numFmtId="165" fontId="3" fillId="11" borderId="4" xfId="3" applyNumberFormat="1" applyFont="1" applyFill="1" applyBorder="1"/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/>
    <xf numFmtId="164" fontId="0" fillId="2" borderId="0" xfId="0" applyNumberFormat="1" applyFill="1" applyBorder="1"/>
    <xf numFmtId="0" fontId="1" fillId="9" borderId="1" xfId="0" applyFont="1" applyFill="1" applyBorder="1" applyAlignment="1">
      <alignment horizontal="center" wrapText="1"/>
    </xf>
    <xf numFmtId="167" fontId="0" fillId="2" borderId="1" xfId="0" applyNumberFormat="1" applyFill="1" applyBorder="1"/>
    <xf numFmtId="0" fontId="1" fillId="13" borderId="1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right" wrapText="1"/>
    </xf>
    <xf numFmtId="49" fontId="7" fillId="0" borderId="0" xfId="1" applyNumberFormat="1" applyFont="1" applyAlignment="1" applyProtection="1">
      <alignment horizontal="center" textRotation="90" wrapText="1"/>
    </xf>
    <xf numFmtId="0" fontId="0" fillId="0" borderId="0" xfId="0" applyAlignment="1">
      <alignment horizontal="center" textRotation="90"/>
    </xf>
    <xf numFmtId="0" fontId="7" fillId="0" borderId="5" xfId="3" applyNumberFormat="1" applyFont="1" applyBorder="1" applyAlignment="1" applyProtection="1">
      <alignment horizontal="center" textRotation="90" wrapText="1"/>
    </xf>
    <xf numFmtId="0" fontId="7" fillId="0" borderId="0" xfId="3" applyNumberFormat="1" applyFont="1" applyBorder="1" applyAlignment="1" applyProtection="1">
      <alignment horizontal="center" textRotation="90"/>
    </xf>
    <xf numFmtId="0" fontId="2" fillId="0" borderId="0" xfId="1" applyAlignment="1" applyProtection="1">
      <alignment horizontal="center" textRotation="90" wrapText="1"/>
    </xf>
    <xf numFmtId="165" fontId="1" fillId="11" borderId="4" xfId="3" applyNumberFormat="1" applyFont="1" applyFill="1" applyBorder="1" applyAlignment="1">
      <alignment wrapText="1"/>
    </xf>
    <xf numFmtId="0" fontId="1" fillId="11" borderId="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0" xfId="0" applyAlignment="1">
      <alignment horizontal="center" textRotation="90"/>
    </xf>
    <xf numFmtId="168" fontId="0" fillId="0" borderId="0" xfId="0" applyNumberFormat="1"/>
    <xf numFmtId="0" fontId="1" fillId="11" borderId="2" xfId="0" applyFont="1" applyFill="1" applyBorder="1"/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165" fontId="0" fillId="10" borderId="2" xfId="0" applyNumberFormat="1" applyFill="1" applyBorder="1"/>
    <xf numFmtId="0" fontId="1" fillId="0" borderId="1" xfId="0" applyFont="1" applyBorder="1" applyAlignment="1">
      <alignment horizontal="center"/>
    </xf>
    <xf numFmtId="168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168" fontId="0" fillId="14" borderId="1" xfId="0" applyNumberFormat="1" applyFill="1" applyBorder="1"/>
    <xf numFmtId="169" fontId="0" fillId="14" borderId="1" xfId="0" applyNumberFormat="1" applyFill="1" applyBorder="1"/>
    <xf numFmtId="168" fontId="4" fillId="14" borderId="1" xfId="2" applyNumberFormat="1" applyFill="1" applyBorder="1" applyProtection="1"/>
    <xf numFmtId="169" fontId="5" fillId="14" borderId="1" xfId="0" applyNumberFormat="1" applyFont="1" applyFill="1" applyBorder="1"/>
    <xf numFmtId="168" fontId="1" fillId="15" borderId="1" xfId="0" applyNumberFormat="1" applyFont="1" applyFill="1" applyBorder="1"/>
    <xf numFmtId="169" fontId="1" fillId="15" borderId="1" xfId="0" applyNumberFormat="1" applyFont="1" applyFill="1" applyBorder="1"/>
    <xf numFmtId="1" fontId="1" fillId="15" borderId="1" xfId="0" applyNumberFormat="1" applyFont="1" applyFill="1" applyBorder="1" applyAlignment="1">
      <alignment horizontal="center"/>
    </xf>
    <xf numFmtId="0" fontId="1" fillId="13" borderId="0" xfId="0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13" fillId="7" borderId="0" xfId="0" applyFont="1" applyFill="1" applyAlignment="1">
      <alignment wrapText="1"/>
    </xf>
    <xf numFmtId="0" fontId="13" fillId="7" borderId="0" xfId="0" applyFont="1" applyFill="1"/>
    <xf numFmtId="0" fontId="13" fillId="7" borderId="3" xfId="0" applyFont="1" applyFill="1" applyBorder="1" applyAlignment="1">
      <alignment horizontal="center" wrapText="1"/>
    </xf>
    <xf numFmtId="169" fontId="14" fillId="8" borderId="1" xfId="0" applyNumberFormat="1" applyFont="1" applyFill="1" applyBorder="1"/>
    <xf numFmtId="169" fontId="15" fillId="8" borderId="1" xfId="2" applyNumberFormat="1" applyFont="1" applyFill="1" applyBorder="1" applyProtection="1"/>
    <xf numFmtId="165" fontId="16" fillId="4" borderId="1" xfId="3" applyNumberFormat="1" applyFont="1" applyFill="1" applyBorder="1"/>
    <xf numFmtId="165" fontId="17" fillId="4" borderId="1" xfId="3" applyNumberFormat="1" applyFont="1" applyFill="1" applyBorder="1" applyProtection="1"/>
    <xf numFmtId="0" fontId="0" fillId="12" borderId="7" xfId="0" applyFill="1" applyBorder="1" applyAlignment="1">
      <alignment horizontal="right"/>
    </xf>
    <xf numFmtId="164" fontId="5" fillId="6" borderId="7" xfId="0" applyNumberFormat="1" applyFont="1" applyFill="1" applyBorder="1" applyAlignment="1">
      <alignment horizontal="right" vertical="center"/>
    </xf>
    <xf numFmtId="0" fontId="0" fillId="6" borderId="7" xfId="0" applyFill="1" applyBorder="1"/>
    <xf numFmtId="164" fontId="0" fillId="6" borderId="7" xfId="0" applyNumberFormat="1" applyFill="1" applyBorder="1"/>
    <xf numFmtId="165" fontId="10" fillId="4" borderId="7" xfId="3" applyNumberFormat="1" applyFont="1" applyFill="1" applyBorder="1"/>
    <xf numFmtId="167" fontId="9" fillId="2" borderId="7" xfId="0" applyNumberFormat="1" applyFont="1" applyFill="1" applyBorder="1"/>
    <xf numFmtId="169" fontId="14" fillId="8" borderId="7" xfId="0" applyNumberFormat="1" applyFont="1" applyFill="1" applyBorder="1"/>
    <xf numFmtId="2" fontId="0" fillId="12" borderId="7" xfId="0" applyNumberFormat="1" applyFill="1" applyBorder="1"/>
    <xf numFmtId="165" fontId="0" fillId="10" borderId="7" xfId="3" applyNumberFormat="1" applyFont="1" applyFill="1" applyBorder="1"/>
    <xf numFmtId="0" fontId="0" fillId="10" borderId="7" xfId="0" applyFill="1" applyBorder="1"/>
    <xf numFmtId="0" fontId="0" fillId="10" borderId="8" xfId="0" applyFill="1" applyBorder="1"/>
    <xf numFmtId="168" fontId="0" fillId="14" borderId="7" xfId="0" applyNumberFormat="1" applyFill="1" applyBorder="1"/>
    <xf numFmtId="169" fontId="5" fillId="14" borderId="7" xfId="0" applyNumberFormat="1" applyFont="1" applyFill="1" applyBorder="1"/>
    <xf numFmtId="0" fontId="0" fillId="12" borderId="9" xfId="0" applyFill="1" applyBorder="1" applyAlignment="1">
      <alignment horizontal="right"/>
    </xf>
    <xf numFmtId="165" fontId="0" fillId="0" borderId="1" xfId="3" applyNumberFormat="1" applyFont="1" applyBorder="1"/>
    <xf numFmtId="170" fontId="16" fillId="4" borderId="1" xfId="3" applyNumberFormat="1" applyFont="1" applyFill="1" applyBorder="1"/>
    <xf numFmtId="171" fontId="0" fillId="2" borderId="1" xfId="0" applyNumberFormat="1" applyFill="1" applyBorder="1"/>
    <xf numFmtId="170" fontId="1" fillId="9" borderId="1" xfId="3" applyNumberFormat="1" applyFont="1" applyFill="1" applyBorder="1" applyAlignment="1">
      <alignment wrapText="1"/>
    </xf>
    <xf numFmtId="170" fontId="1" fillId="9" borderId="1" xfId="3" applyNumberFormat="1" applyFont="1" applyFill="1" applyBorder="1"/>
    <xf numFmtId="170" fontId="17" fillId="4" borderId="1" xfId="3" applyNumberFormat="1" applyFont="1" applyFill="1" applyBorder="1" applyProtection="1"/>
    <xf numFmtId="170" fontId="0" fillId="0" borderId="1" xfId="3" applyNumberFormat="1" applyFont="1" applyBorder="1"/>
    <xf numFmtId="170" fontId="0" fillId="0" borderId="0" xfId="3" applyNumberFormat="1" applyFont="1"/>
    <xf numFmtId="170" fontId="2" fillId="0" borderId="0" xfId="1" applyNumberFormat="1" applyAlignment="1" applyProtection="1"/>
    <xf numFmtId="171" fontId="7" fillId="0" borderId="0" xfId="3" applyNumberFormat="1" applyFont="1" applyBorder="1" applyAlignment="1" applyProtection="1">
      <alignment horizontal="center" textRotation="90"/>
    </xf>
    <xf numFmtId="171" fontId="1" fillId="9" borderId="1" xfId="0" applyNumberFormat="1" applyFont="1" applyFill="1" applyBorder="1" applyAlignment="1">
      <alignment wrapText="1"/>
    </xf>
    <xf numFmtId="171" fontId="1" fillId="9" borderId="1" xfId="0" applyNumberFormat="1" applyFont="1" applyFill="1" applyBorder="1"/>
    <xf numFmtId="171" fontId="0" fillId="2" borderId="0" xfId="0" applyNumberFormat="1" applyFill="1" applyBorder="1"/>
    <xf numFmtId="171" fontId="0" fillId="3" borderId="0" xfId="0" applyNumberFormat="1" applyFill="1"/>
    <xf numFmtId="49" fontId="7" fillId="0" borderId="5" xfId="3" applyNumberFormat="1" applyFont="1" applyBorder="1" applyAlignment="1" applyProtection="1">
      <alignment horizontal="center" textRotation="90" wrapText="1"/>
    </xf>
    <xf numFmtId="0" fontId="18" fillId="0" borderId="0" xfId="0" applyFont="1" applyAlignment="1">
      <alignment horizontal="center" textRotation="90"/>
    </xf>
    <xf numFmtId="164" fontId="6" fillId="6" borderId="2" xfId="0" applyNumberFormat="1" applyFont="1" applyFill="1" applyBorder="1"/>
    <xf numFmtId="164" fontId="3" fillId="6" borderId="1" xfId="0" applyNumberFormat="1" applyFont="1" applyFill="1" applyBorder="1"/>
    <xf numFmtId="164" fontId="0" fillId="6" borderId="2" xfId="0" applyNumberFormat="1" applyFill="1" applyBorder="1"/>
    <xf numFmtId="164" fontId="4" fillId="6" borderId="1" xfId="2" applyNumberFormat="1" applyFill="1" applyBorder="1" applyProtection="1"/>
    <xf numFmtId="164" fontId="4" fillId="6" borderId="2" xfId="2" applyNumberFormat="1" applyFill="1" applyBorder="1" applyProtection="1"/>
    <xf numFmtId="169" fontId="22" fillId="14" borderId="1" xfId="0" applyNumberFormat="1" applyFont="1" applyFill="1" applyBorder="1"/>
    <xf numFmtId="169" fontId="23" fillId="14" borderId="1" xfId="0" applyNumberFormat="1" applyFont="1" applyFill="1" applyBorder="1"/>
    <xf numFmtId="172" fontId="0" fillId="14" borderId="1" xfId="4" applyNumberFormat="1" applyFont="1" applyFill="1" applyBorder="1"/>
    <xf numFmtId="172" fontId="21" fillId="14" borderId="1" xfId="4" applyNumberFormat="1" applyFont="1" applyFill="1" applyBorder="1" applyProtection="1"/>
    <xf numFmtId="172" fontId="4" fillId="14" borderId="1" xfId="4" applyNumberFormat="1" applyFont="1" applyFill="1" applyBorder="1" applyProtection="1"/>
    <xf numFmtId="167" fontId="1" fillId="9" borderId="4" xfId="0" applyNumberFormat="1" applyFont="1" applyFill="1" applyBorder="1" applyAlignment="1">
      <alignment horizontal="center" wrapText="1"/>
    </xf>
    <xf numFmtId="167" fontId="1" fillId="9" borderId="1" xfId="0" applyNumberFormat="1" applyFont="1" applyFill="1" applyBorder="1" applyAlignment="1">
      <alignment horizontal="center" wrapText="1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/>
    </xf>
    <xf numFmtId="0" fontId="2" fillId="0" borderId="0" xfId="1" applyAlignment="1" applyProtection="1">
      <alignment textRotation="90" wrapText="1"/>
    </xf>
    <xf numFmtId="0" fontId="0" fillId="17" borderId="1" xfId="0" applyFill="1" applyBorder="1"/>
    <xf numFmtId="0" fontId="0" fillId="5" borderId="1" xfId="0" applyFill="1" applyBorder="1"/>
    <xf numFmtId="0" fontId="1" fillId="16" borderId="1" xfId="0" applyFont="1" applyFill="1" applyBorder="1" applyAlignment="1">
      <alignment vertical="top" wrapText="1"/>
    </xf>
    <xf numFmtId="0" fontId="0" fillId="5" borderId="0" xfId="0" applyFill="1"/>
    <xf numFmtId="0" fontId="16" fillId="5" borderId="1" xfId="0" applyFont="1" applyFill="1" applyBorder="1"/>
    <xf numFmtId="0" fontId="24" fillId="5" borderId="2" xfId="0" applyFont="1" applyFill="1" applyBorder="1"/>
    <xf numFmtId="0" fontId="24" fillId="5" borderId="0" xfId="0" applyFont="1" applyFill="1"/>
    <xf numFmtId="0" fontId="3" fillId="17" borderId="1" xfId="0" applyFont="1" applyFill="1" applyBorder="1"/>
    <xf numFmtId="0" fontId="3" fillId="17" borderId="0" xfId="0" applyFont="1" applyFill="1"/>
    <xf numFmtId="0" fontId="25" fillId="5" borderId="2" xfId="0" applyFont="1" applyFill="1" applyBorder="1"/>
    <xf numFmtId="0" fontId="9" fillId="0" borderId="1" xfId="0" applyFont="1" applyBorder="1"/>
    <xf numFmtId="0" fontId="0" fillId="17" borderId="9" xfId="0" applyFill="1" applyBorder="1"/>
    <xf numFmtId="0" fontId="0" fillId="17" borderId="10" xfId="0" applyFill="1" applyBorder="1"/>
    <xf numFmtId="0" fontId="0" fillId="17" borderId="2" xfId="0" applyFill="1" applyBorder="1"/>
    <xf numFmtId="0" fontId="3" fillId="17" borderId="2" xfId="0" applyFont="1" applyFill="1" applyBorder="1" applyAlignment="1">
      <alignment wrapText="1"/>
    </xf>
    <xf numFmtId="0" fontId="16" fillId="17" borderId="2" xfId="0" applyFont="1" applyFill="1" applyBorder="1"/>
    <xf numFmtId="0" fontId="3" fillId="17" borderId="2" xfId="0" applyFont="1" applyFill="1" applyBorder="1"/>
    <xf numFmtId="0" fontId="3" fillId="5" borderId="1" xfId="0" applyFont="1" applyFill="1" applyBorder="1"/>
    <xf numFmtId="0" fontId="25" fillId="5" borderId="1" xfId="0" applyFont="1" applyFill="1" applyBorder="1"/>
    <xf numFmtId="4" fontId="26" fillId="5" borderId="1" xfId="0" applyNumberFormat="1" applyFont="1" applyFill="1" applyBorder="1"/>
    <xf numFmtId="164" fontId="11" fillId="6" borderId="1" xfId="0" applyNumberFormat="1" applyFont="1" applyFill="1" applyBorder="1"/>
    <xf numFmtId="164" fontId="27" fillId="6" borderId="1" xfId="0" applyNumberFormat="1" applyFont="1" applyFill="1" applyBorder="1"/>
    <xf numFmtId="164" fontId="29" fillId="6" borderId="1" xfId="2" applyNumberFormat="1" applyFont="1" applyFill="1" applyBorder="1" applyProtection="1"/>
    <xf numFmtId="164" fontId="29" fillId="6" borderId="2" xfId="2" applyNumberFormat="1" applyFont="1" applyFill="1" applyBorder="1" applyProtection="1"/>
    <xf numFmtId="169" fontId="11" fillId="10" borderId="1" xfId="3" applyNumberFormat="1" applyFont="1" applyFill="1" applyBorder="1"/>
    <xf numFmtId="169" fontId="3" fillId="10" borderId="1" xfId="3" applyNumberFormat="1" applyFont="1" applyFill="1" applyBorder="1"/>
    <xf numFmtId="169" fontId="0" fillId="10" borderId="1" xfId="0" applyNumberFormat="1" applyFill="1" applyBorder="1"/>
    <xf numFmtId="169" fontId="0" fillId="10" borderId="2" xfId="0" applyNumberFormat="1" applyFill="1" applyBorder="1"/>
    <xf numFmtId="169" fontId="0" fillId="10" borderId="1" xfId="3" applyNumberFormat="1" applyFont="1" applyFill="1" applyBorder="1"/>
    <xf numFmtId="0" fontId="1" fillId="12" borderId="7" xfId="0" applyFont="1" applyFill="1" applyBorder="1" applyAlignment="1">
      <alignment horizontal="right"/>
    </xf>
    <xf numFmtId="164" fontId="20" fillId="6" borderId="7" xfId="0" applyNumberFormat="1" applyFont="1" applyFill="1" applyBorder="1" applyAlignment="1">
      <alignment horizontal="right" vertical="center"/>
    </xf>
    <xf numFmtId="164" fontId="30" fillId="6" borderId="1" xfId="2" applyNumberFormat="1" applyFont="1" applyFill="1" applyBorder="1" applyProtection="1"/>
    <xf numFmtId="164" fontId="30" fillId="6" borderId="2" xfId="2" applyNumberFormat="1" applyFont="1" applyFill="1" applyBorder="1" applyProtection="1"/>
    <xf numFmtId="170" fontId="31" fillId="4" borderId="1" xfId="3" applyNumberFormat="1" applyFont="1" applyFill="1" applyBorder="1"/>
    <xf numFmtId="171" fontId="32" fillId="2" borderId="7" xfId="0" applyNumberFormat="1" applyFont="1" applyFill="1" applyBorder="1"/>
    <xf numFmtId="169" fontId="13" fillId="8" borderId="7" xfId="0" applyNumberFormat="1" applyFont="1" applyFill="1" applyBorder="1"/>
    <xf numFmtId="169" fontId="28" fillId="10" borderId="1" xfId="3" applyNumberFormat="1" applyFont="1" applyFill="1" applyBorder="1"/>
    <xf numFmtId="169" fontId="28" fillId="10" borderId="1" xfId="0" applyNumberFormat="1" applyFont="1" applyFill="1" applyBorder="1"/>
    <xf numFmtId="169" fontId="28" fillId="10" borderId="2" xfId="0" applyNumberFormat="1" applyFont="1" applyFill="1" applyBorder="1"/>
    <xf numFmtId="169" fontId="23" fillId="14" borderId="7" xfId="0" applyNumberFormat="1" applyFont="1" applyFill="1" applyBorder="1"/>
    <xf numFmtId="0" fontId="1" fillId="0" borderId="1" xfId="0" applyFont="1" applyBorder="1"/>
    <xf numFmtId="2" fontId="27" fillId="12" borderId="1" xfId="0" applyNumberFormat="1" applyFont="1" applyFill="1" applyBorder="1"/>
    <xf numFmtId="0" fontId="1" fillId="16" borderId="6" xfId="0" applyFont="1" applyFill="1" applyBorder="1" applyAlignment="1">
      <alignment horizontal="center" wrapText="1"/>
    </xf>
    <xf numFmtId="0" fontId="1" fillId="16" borderId="0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/>
    </xf>
    <xf numFmtId="168" fontId="1" fillId="15" borderId="2" xfId="0" applyNumberFormat="1" applyFont="1" applyFill="1" applyBorder="1" applyAlignment="1">
      <alignment horizontal="center"/>
    </xf>
    <xf numFmtId="168" fontId="1" fillId="15" borderId="4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9" fillId="0" borderId="0" xfId="0" applyFont="1" applyAlignment="1">
      <alignment horizontal="center" vertical="center" textRotation="90" wrapText="1"/>
    </xf>
    <xf numFmtId="0" fontId="19" fillId="0" borderId="0" xfId="0" applyFont="1" applyAlignment="1">
      <alignment horizontal="center" vertical="center" textRotation="90"/>
    </xf>
    <xf numFmtId="170" fontId="1" fillId="9" borderId="2" xfId="3" applyNumberFormat="1" applyFont="1" applyFill="1" applyBorder="1" applyAlignment="1">
      <alignment horizontal="center" wrapText="1"/>
    </xf>
    <xf numFmtId="170" fontId="1" fillId="9" borderId="4" xfId="3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7" fillId="0" borderId="5" xfId="1" applyFont="1" applyBorder="1" applyAlignment="1" applyProtection="1">
      <alignment horizontal="center" textRotation="90" wrapText="1"/>
    </xf>
    <xf numFmtId="0" fontId="2" fillId="0" borderId="5" xfId="1" applyBorder="1" applyAlignment="1" applyProtection="1">
      <alignment horizontal="center" textRotation="90" wrapText="1"/>
    </xf>
    <xf numFmtId="0" fontId="7" fillId="0" borderId="0" xfId="1" applyFont="1" applyAlignment="1" applyProtection="1">
      <alignment horizontal="center" textRotation="90" wrapText="1"/>
    </xf>
    <xf numFmtId="0" fontId="0" fillId="0" borderId="0" xfId="0" applyAlignment="1">
      <alignment horizontal="center" textRotation="90"/>
    </xf>
    <xf numFmtId="168" fontId="7" fillId="0" borderId="5" xfId="1" applyNumberFormat="1" applyFont="1" applyBorder="1" applyAlignment="1" applyProtection="1">
      <alignment horizontal="center" textRotation="90" wrapText="1"/>
    </xf>
    <xf numFmtId="168" fontId="0" fillId="0" borderId="5" xfId="0" applyNumberFormat="1" applyBorder="1" applyAlignment="1">
      <alignment horizontal="center" textRotation="90"/>
    </xf>
    <xf numFmtId="165" fontId="1" fillId="9" borderId="6" xfId="3" applyNumberFormat="1" applyFont="1" applyFill="1" applyBorder="1" applyAlignment="1">
      <alignment horizontal="center" wrapText="1"/>
    </xf>
    <xf numFmtId="165" fontId="1" fillId="9" borderId="0" xfId="3" applyNumberFormat="1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 wrapText="1"/>
    </xf>
    <xf numFmtId="168" fontId="1" fillId="15" borderId="2" xfId="0" applyNumberFormat="1" applyFont="1" applyFill="1" applyBorder="1" applyAlignment="1">
      <alignment horizontal="center" vertical="top" wrapText="1"/>
    </xf>
    <xf numFmtId="168" fontId="1" fillId="15" borderId="4" xfId="0" applyNumberFormat="1" applyFont="1" applyFill="1" applyBorder="1" applyAlignment="1">
      <alignment horizontal="center" vertical="top" wrapText="1"/>
    </xf>
    <xf numFmtId="172" fontId="29" fillId="14" borderId="1" xfId="4" applyNumberFormat="1" applyFont="1" applyFill="1" applyBorder="1" applyProtection="1"/>
    <xf numFmtId="0" fontId="1" fillId="0" borderId="0" xfId="0" applyFont="1" applyAlignment="1">
      <alignment horizontal="center"/>
    </xf>
    <xf numFmtId="0" fontId="7" fillId="0" borderId="0" xfId="1" applyFont="1" applyAlignment="1" applyProtection="1">
      <alignment textRotation="90" wrapText="1"/>
    </xf>
  </cellXfs>
  <cellStyles count="5">
    <cellStyle name="Komma" xfId="3" builtinId="3"/>
    <cellStyle name="Link" xfId="1" builtinId="8"/>
    <cellStyle name="Prozent" xfId="4" builtinId="5"/>
    <cellStyle name="Standard" xfId="0" builtinId="0"/>
    <cellStyle name="Standard 2" xfId="2" xr:uid="{00000000-0005-0000-0000-000002000000}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gesgeldvergleich.net/statistiken/steuereinnahmen.html" TargetMode="External"/><Relationship Id="rId3" Type="http://schemas.openxmlformats.org/officeDocument/2006/relationships/hyperlink" Target="https://de.statista.com/statistik/daten/studie/1358/umfrage/entwicklung-der-gesamtbevoelkerung-deutschlands/https: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TargetMode="External"/><Relationship Id="rId7" Type="http://schemas.openxmlformats.org/officeDocument/2006/relationships/hyperlink" Target="https://de.statista.com/statistik/daten/studie/7031/umfrage/bundeszuschuesse-an-die-rentenversicherung-seit-1950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.statista.com/statistik/daten/studie/4878/umfrage/bruttoinlandsprodukt-von-deutschland-seit-dem-jahr-1950/" TargetMode="External"/><Relationship Id="rId1" Type="http://schemas.openxmlformats.org/officeDocument/2006/relationships/hyperlink" Target="https://www.deutschlandinzahlen.de/tab/bundeslaender/oeffentliche-haushalte/schulden/schulden-je-einwohner" TargetMode="External"/><Relationship Id="rId6" Type="http://schemas.openxmlformats.org/officeDocument/2006/relationships/hyperlink" Target="https://de.statista.com/statistik/daten/studie/4778/umfrage/schulden-der-haushalte-bund-laender-und-gemeinden/" TargetMode="External"/><Relationship Id="rId11" Type="http://schemas.openxmlformats.org/officeDocument/2006/relationships/hyperlink" Target="https://www.bpb.de/themen/deutsche-einheit/lange-wege-der-deutschen-einheit/47436/einkommen-und-vermoegen-wachsende-ungleichheiten/" TargetMode="External"/><Relationship Id="rId5" Type="http://schemas.openxmlformats.org/officeDocument/2006/relationships/hyperlink" Target="https://www.bpb.de/kurz-knapp/zahlen-und-fakten/soziale-situation-in-deutschland/61532/bevoelkerungsentwicklung/" TargetMode="External"/><Relationship Id="rId10" Type="http://schemas.openxmlformats.org/officeDocument/2006/relationships/hyperlink" Target="https://www.bpb.de/themen/deutsche-einheit/lange-wege-der-deutschen-einheit/47534/die-kosten-und-ertraege-der-wiedervereinigung-deutschlands/" TargetMode="External"/><Relationship Id="rId4" Type="http://schemas.openxmlformats.org/officeDocument/2006/relationships/hyperlink" Target="https://countrymeters.info/de/Germany" TargetMode="External"/><Relationship Id="rId9" Type="http://schemas.openxmlformats.org/officeDocument/2006/relationships/hyperlink" Target="https://www.deutschlandinzahlen.de/tab/deutschland/bildung/bildungsausgaben/oeffentliche-bildungsausgaben-in-prozent-des-bi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gesgeldvergleich.net/statistiken/steuereinnahmen.html" TargetMode="External"/><Relationship Id="rId3" Type="http://schemas.openxmlformats.org/officeDocument/2006/relationships/hyperlink" Target="https://de.statista.com/statistik/daten/studie/1358/umfrage/entwicklung-der-gesamtbevoelkerung-deutschlands/https: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TargetMode="External"/><Relationship Id="rId7" Type="http://schemas.openxmlformats.org/officeDocument/2006/relationships/hyperlink" Target="https://de.statista.com/statistik/daten/studie/7031/umfrage/bundeszuschuesse-an-die-rentenversicherung-seit-1950/" TargetMode="External"/><Relationship Id="rId2" Type="http://schemas.openxmlformats.org/officeDocument/2006/relationships/hyperlink" Target="https://de.statista.com/statistik/daten/studie/4878/umfrage/bruttoinlandsprodukt-von-deutschland-seit-dem-jahr-1950/" TargetMode="External"/><Relationship Id="rId1" Type="http://schemas.openxmlformats.org/officeDocument/2006/relationships/hyperlink" Target="https://www.deutschlandinzahlen.de/tab/bundeslaender/oeffentliche-haushalte/schulden/schulden-je-einwohner" TargetMode="External"/><Relationship Id="rId6" Type="http://schemas.openxmlformats.org/officeDocument/2006/relationships/hyperlink" Target="https://de.statista.com/statistik/daten/studie/4778/umfrage/schulden-der-haushalte-bund-laender-und-gemeinden/" TargetMode="External"/><Relationship Id="rId5" Type="http://schemas.openxmlformats.org/officeDocument/2006/relationships/hyperlink" Target="https://www.bpb.de/kurz-knapp/zahlen-und-fakten/soziale-situation-in-deutschland/61532/bevoelkerungsentwicklung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countrymeters.info/de/Germany" TargetMode="External"/><Relationship Id="rId9" Type="http://schemas.openxmlformats.org/officeDocument/2006/relationships/hyperlink" Target="https://www.deutschlandinzahlen.de/tab/deutschland/bildung/bildungsausgaben/oeffentliche-bildungsausgaben-in-prozent-des-b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AE49-7C1C-49E2-8E41-796F07A5B938}">
  <dimension ref="A1:T130"/>
  <sheetViews>
    <sheetView tabSelected="1" zoomScaleNormal="100" workbookViewId="0">
      <selection activeCell="X1" sqref="X1"/>
    </sheetView>
  </sheetViews>
  <sheetFormatPr baseColWidth="10" defaultRowHeight="12.5" x14ac:dyDescent="0.25"/>
  <cols>
    <col min="1" max="1" width="5.81640625" style="33" customWidth="1"/>
    <col min="2" max="2" width="7.453125" style="36" customWidth="1"/>
    <col min="3" max="3" width="10.453125" customWidth="1"/>
    <col min="4" max="4" width="13" customWidth="1"/>
    <col min="5" max="5" width="15.36328125" customWidth="1"/>
    <col min="6" max="6" width="15.36328125" style="116" customWidth="1"/>
    <col min="7" max="7" width="12.7265625" style="122" bestFit="1" customWidth="1"/>
    <col min="8" max="9" width="12.36328125" customWidth="1"/>
    <col min="10" max="10" width="11.26953125" style="15" bestFit="1" customWidth="1"/>
    <col min="11" max="12" width="11.1796875" bestFit="1" customWidth="1"/>
    <col min="13" max="13" width="12.6328125" customWidth="1"/>
    <col min="14" max="14" width="10.90625" style="66"/>
    <col min="15" max="15" width="10.90625" style="76"/>
    <col min="17" max="17" width="15" customWidth="1"/>
    <col min="18" max="18" width="17" customWidth="1"/>
  </cols>
  <sheetData>
    <row r="1" spans="1:20" s="65" customFormat="1" ht="306.5" customHeight="1" x14ac:dyDescent="0.25">
      <c r="A1" s="124">
        <v>1000</v>
      </c>
      <c r="B1" s="65" t="s">
        <v>1</v>
      </c>
      <c r="C1" s="195" t="s">
        <v>33</v>
      </c>
      <c r="D1" s="196"/>
      <c r="E1" s="196"/>
      <c r="F1" s="123" t="s">
        <v>73</v>
      </c>
      <c r="G1" s="118"/>
      <c r="H1" s="61" t="s">
        <v>31</v>
      </c>
      <c r="I1" s="57" t="s">
        <v>74</v>
      </c>
      <c r="J1" s="197" t="s">
        <v>28</v>
      </c>
      <c r="K1" s="198"/>
      <c r="L1" s="198"/>
      <c r="M1" s="198"/>
      <c r="N1" s="199" t="s">
        <v>48</v>
      </c>
      <c r="O1" s="200"/>
      <c r="P1" s="139" t="s">
        <v>59</v>
      </c>
      <c r="S1" s="210" t="s">
        <v>76</v>
      </c>
    </row>
    <row r="2" spans="1:20" s="1" customFormat="1" ht="55" customHeight="1" x14ac:dyDescent="0.3">
      <c r="A2" s="188" t="s">
        <v>54</v>
      </c>
      <c r="B2" s="84" t="s">
        <v>0</v>
      </c>
      <c r="C2" s="192" t="s">
        <v>72</v>
      </c>
      <c r="D2" s="193"/>
      <c r="E2" s="194"/>
      <c r="F2" s="201" t="s">
        <v>55</v>
      </c>
      <c r="G2" s="202"/>
      <c r="H2" s="88" t="s">
        <v>19</v>
      </c>
      <c r="I2" s="56" t="s">
        <v>37</v>
      </c>
      <c r="J2" s="203" t="s">
        <v>36</v>
      </c>
      <c r="K2" s="204"/>
      <c r="L2" s="204"/>
      <c r="M2" s="205"/>
      <c r="N2" s="206" t="s">
        <v>56</v>
      </c>
      <c r="O2" s="207"/>
      <c r="P2" s="182" t="s">
        <v>60</v>
      </c>
      <c r="Q2" s="183"/>
      <c r="R2" s="183"/>
      <c r="S2" s="209" t="s">
        <v>75</v>
      </c>
      <c r="T2" s="209"/>
    </row>
    <row r="3" spans="1:20" s="1" customFormat="1" ht="52" x14ac:dyDescent="0.3">
      <c r="A3" s="189"/>
      <c r="B3" s="84"/>
      <c r="C3" s="13" t="s">
        <v>20</v>
      </c>
      <c r="D3" s="26" t="s">
        <v>21</v>
      </c>
      <c r="E3" s="26" t="s">
        <v>22</v>
      </c>
      <c r="F3" s="112" t="s">
        <v>43</v>
      </c>
      <c r="G3" s="119" t="s">
        <v>41</v>
      </c>
      <c r="H3" s="88"/>
      <c r="I3" s="49" t="s">
        <v>20</v>
      </c>
      <c r="J3" s="48" t="s">
        <v>29</v>
      </c>
      <c r="K3" s="35" t="s">
        <v>30</v>
      </c>
      <c r="L3" s="35" t="s">
        <v>40</v>
      </c>
      <c r="M3" s="67" t="s">
        <v>34</v>
      </c>
      <c r="N3" s="185" t="s">
        <v>44</v>
      </c>
      <c r="O3" s="186"/>
      <c r="P3" s="142" t="s">
        <v>61</v>
      </c>
      <c r="Q3" s="142" t="s">
        <v>62</v>
      </c>
      <c r="R3" s="137" t="s">
        <v>69</v>
      </c>
    </row>
    <row r="4" spans="1:20" s="1" customFormat="1" ht="13" x14ac:dyDescent="0.3">
      <c r="A4" s="189"/>
      <c r="B4" s="84" t="s">
        <v>8</v>
      </c>
      <c r="C4" s="192" t="s">
        <v>15</v>
      </c>
      <c r="D4" s="193"/>
      <c r="E4" s="194"/>
      <c r="F4" s="190" t="s">
        <v>9</v>
      </c>
      <c r="G4" s="191"/>
      <c r="H4" s="89" t="s">
        <v>9</v>
      </c>
      <c r="I4" s="50" t="s">
        <v>9</v>
      </c>
      <c r="J4" s="187" t="s">
        <v>53</v>
      </c>
      <c r="K4" s="187"/>
      <c r="L4" s="187"/>
      <c r="M4" s="187"/>
      <c r="N4" s="81" t="s">
        <v>47</v>
      </c>
      <c r="O4" s="82" t="s">
        <v>45</v>
      </c>
      <c r="P4" s="184" t="s">
        <v>53</v>
      </c>
      <c r="Q4" s="184"/>
      <c r="R4" s="184"/>
    </row>
    <row r="5" spans="1:20" s="27" customFormat="1" ht="13" x14ac:dyDescent="0.3">
      <c r="A5" s="27" t="s">
        <v>51</v>
      </c>
      <c r="B5" s="85">
        <v>1</v>
      </c>
      <c r="C5" s="64">
        <f>B5+1</f>
        <v>2</v>
      </c>
      <c r="D5" s="64">
        <f t="shared" ref="D5:M5" si="0">C5+1</f>
        <v>3</v>
      </c>
      <c r="E5" s="64">
        <f t="shared" si="0"/>
        <v>4</v>
      </c>
      <c r="F5" s="135">
        <f t="shared" si="0"/>
        <v>5</v>
      </c>
      <c r="G5" s="136">
        <f>F5+1</f>
        <v>6</v>
      </c>
      <c r="H5" s="90">
        <f>G5+1</f>
        <v>7</v>
      </c>
      <c r="I5" s="54">
        <f t="shared" si="0"/>
        <v>8</v>
      </c>
      <c r="J5" s="55">
        <f t="shared" si="0"/>
        <v>9</v>
      </c>
      <c r="K5" s="63">
        <f t="shared" si="0"/>
        <v>10</v>
      </c>
      <c r="L5" s="63">
        <f t="shared" si="0"/>
        <v>11</v>
      </c>
      <c r="M5" s="68">
        <f t="shared" si="0"/>
        <v>12</v>
      </c>
      <c r="N5" s="83">
        <f>M5+1</f>
        <v>13</v>
      </c>
      <c r="O5" s="83">
        <f>N5+1</f>
        <v>14</v>
      </c>
      <c r="P5" s="138">
        <v>15</v>
      </c>
      <c r="Q5" s="138">
        <v>16</v>
      </c>
      <c r="R5" s="138">
        <v>17</v>
      </c>
    </row>
    <row r="6" spans="1:20" s="1" customFormat="1" ht="15" customHeight="1" x14ac:dyDescent="0.3">
      <c r="A6" s="71" t="s">
        <v>24</v>
      </c>
      <c r="B6" s="86" t="s">
        <v>2</v>
      </c>
      <c r="C6" s="29" t="s">
        <v>3</v>
      </c>
      <c r="D6" s="14" t="s">
        <v>4</v>
      </c>
      <c r="E6" s="14" t="s">
        <v>5</v>
      </c>
      <c r="F6" s="113" t="s">
        <v>6</v>
      </c>
      <c r="G6" s="120" t="s">
        <v>42</v>
      </c>
      <c r="H6" s="89" t="s">
        <v>10</v>
      </c>
      <c r="I6" s="50" t="s">
        <v>38</v>
      </c>
      <c r="J6" s="62" t="s">
        <v>26</v>
      </c>
      <c r="K6" s="37" t="s">
        <v>27</v>
      </c>
      <c r="L6" s="37" t="s">
        <v>35</v>
      </c>
      <c r="M6" s="69" t="s">
        <v>25</v>
      </c>
      <c r="N6" s="81" t="s">
        <v>50</v>
      </c>
      <c r="O6" s="82" t="s">
        <v>49</v>
      </c>
      <c r="P6" s="138" t="s">
        <v>57</v>
      </c>
      <c r="Q6" s="138" t="s">
        <v>58</v>
      </c>
      <c r="R6" s="137" t="s">
        <v>70</v>
      </c>
    </row>
    <row r="7" spans="1:20" ht="13" x14ac:dyDescent="0.3">
      <c r="A7" s="71">
        <v>1</v>
      </c>
      <c r="B7" s="87">
        <v>1950</v>
      </c>
      <c r="C7" s="30">
        <v>68.7</v>
      </c>
      <c r="D7" s="126">
        <f>51000/$A$1</f>
        <v>51</v>
      </c>
      <c r="E7" s="125">
        <f>18400/$A$1</f>
        <v>18.399999999999999</v>
      </c>
      <c r="F7" s="110">
        <f>(3428+6040+106)/$A$1</f>
        <v>9.5739999999999998</v>
      </c>
      <c r="G7" s="111">
        <f>F7</f>
        <v>9.5739999999999998</v>
      </c>
      <c r="H7" s="91">
        <v>49.69</v>
      </c>
      <c r="I7" s="46">
        <v>9.61</v>
      </c>
      <c r="J7" s="165">
        <f>341/$A$1</f>
        <v>0.34100000000000003</v>
      </c>
      <c r="K7" s="166">
        <v>0</v>
      </c>
      <c r="L7" s="166">
        <v>0</v>
      </c>
      <c r="M7" s="167">
        <f t="shared" ref="M7:M46" si="1">J7+K7+L7</f>
        <v>0.34100000000000003</v>
      </c>
      <c r="N7" s="132"/>
      <c r="O7" s="78"/>
      <c r="P7" s="151"/>
      <c r="Q7" s="152"/>
      <c r="R7" s="140"/>
    </row>
    <row r="8" spans="1:20" ht="13" x14ac:dyDescent="0.3">
      <c r="A8" s="71">
        <f>A7+1</f>
        <v>2</v>
      </c>
      <c r="B8" s="87">
        <v>1951</v>
      </c>
      <c r="C8" s="30">
        <v>69.099999999999994</v>
      </c>
      <c r="D8" s="160">
        <f>D7+(D17-D7)/10*1</f>
        <v>51.5</v>
      </c>
      <c r="E8" s="160">
        <f>E7+(E17-E7)/10*1</f>
        <v>18.279999999999998</v>
      </c>
      <c r="F8" s="110">
        <f>(3694+6589+465)/$A$1</f>
        <v>10.747999999999999</v>
      </c>
      <c r="G8" s="111">
        <f t="shared" ref="G8:G71" si="2">F8-F7</f>
        <v>1.1739999999999995</v>
      </c>
      <c r="H8" s="91">
        <v>61</v>
      </c>
      <c r="I8" s="46">
        <v>12.88</v>
      </c>
      <c r="J8" s="164">
        <f>J7+(J12-J7)/5</f>
        <v>0.5262</v>
      </c>
      <c r="K8" s="166">
        <v>0</v>
      </c>
      <c r="L8" s="166">
        <v>0</v>
      </c>
      <c r="M8" s="167">
        <f t="shared" si="1"/>
        <v>0.5262</v>
      </c>
      <c r="N8" s="132"/>
      <c r="O8" s="78"/>
      <c r="P8" s="140"/>
      <c r="Q8" s="153"/>
      <c r="R8" s="140"/>
    </row>
    <row r="9" spans="1:20" ht="13" x14ac:dyDescent="0.3">
      <c r="A9" s="71">
        <f t="shared" ref="A9:A72" si="3">A8+1</f>
        <v>3</v>
      </c>
      <c r="B9" s="87">
        <v>1952</v>
      </c>
      <c r="C9" s="30">
        <v>69.400000000000006</v>
      </c>
      <c r="D9" s="160">
        <f>D7+(D17-D7)/10*2</f>
        <v>52</v>
      </c>
      <c r="E9" s="160">
        <f>E7+(E17-E7)/10*2</f>
        <v>18.16</v>
      </c>
      <c r="F9" s="110">
        <f>(4442+7198+636)/$A$1</f>
        <v>12.276</v>
      </c>
      <c r="G9" s="111">
        <f t="shared" si="2"/>
        <v>1.5280000000000005</v>
      </c>
      <c r="H9" s="91">
        <v>69.75</v>
      </c>
      <c r="I9" s="46">
        <v>15.96</v>
      </c>
      <c r="J9" s="164">
        <f>J7+(J12-J7)*2/5</f>
        <v>0.71140000000000003</v>
      </c>
      <c r="K9" s="166">
        <v>0</v>
      </c>
      <c r="L9" s="166">
        <v>0</v>
      </c>
      <c r="M9" s="167">
        <f t="shared" si="1"/>
        <v>0.71140000000000003</v>
      </c>
      <c r="N9" s="132"/>
      <c r="O9" s="78"/>
      <c r="P9" s="140"/>
      <c r="Q9" s="153"/>
      <c r="R9" s="140"/>
    </row>
    <row r="10" spans="1:20" ht="13" x14ac:dyDescent="0.3">
      <c r="A10" s="71">
        <f t="shared" si="3"/>
        <v>4</v>
      </c>
      <c r="B10" s="87">
        <v>1953</v>
      </c>
      <c r="C10" s="30">
        <v>69.8</v>
      </c>
      <c r="D10" s="160">
        <f>D7+(D17-D7)/10*3</f>
        <v>52.5</v>
      </c>
      <c r="E10" s="160">
        <f>E7+(E17-E7)/10*3</f>
        <v>18.04</v>
      </c>
      <c r="F10" s="110">
        <f>(5544+8261+969)/$A$1</f>
        <v>14.773999999999999</v>
      </c>
      <c r="G10" s="111">
        <f t="shared" si="2"/>
        <v>2.4979999999999993</v>
      </c>
      <c r="H10" s="91">
        <v>74.92</v>
      </c>
      <c r="I10" s="46">
        <v>17.55</v>
      </c>
      <c r="J10" s="164">
        <f>J7+(J12-J7)*3/5</f>
        <v>0.89659999999999984</v>
      </c>
      <c r="K10" s="166">
        <v>0</v>
      </c>
      <c r="L10" s="166">
        <v>0</v>
      </c>
      <c r="M10" s="167">
        <f t="shared" si="1"/>
        <v>0.89659999999999984</v>
      </c>
      <c r="N10" s="132"/>
      <c r="O10" s="78"/>
      <c r="P10" s="140"/>
      <c r="Q10" s="153"/>
      <c r="R10" s="140"/>
    </row>
    <row r="11" spans="1:20" ht="13" x14ac:dyDescent="0.3">
      <c r="A11" s="71">
        <f t="shared" si="3"/>
        <v>5</v>
      </c>
      <c r="B11" s="87">
        <v>1954</v>
      </c>
      <c r="C11" s="30">
        <v>70.099999999999994</v>
      </c>
      <c r="D11" s="160">
        <f>D7+(D17-D7)/10*4</f>
        <v>53</v>
      </c>
      <c r="E11" s="160">
        <f>E7+(E17-E7)/10*4</f>
        <v>17.919999999999998</v>
      </c>
      <c r="F11" s="110">
        <f>(9213+7738+1362)/$A$1</f>
        <v>18.312999999999999</v>
      </c>
      <c r="G11" s="111">
        <f t="shared" si="2"/>
        <v>3.5389999999999997</v>
      </c>
      <c r="H11" s="91">
        <v>80.41</v>
      </c>
      <c r="I11" s="46">
        <v>18.350000000000001</v>
      </c>
      <c r="J11" s="164">
        <f>J7+(J12-J7)*4/5</f>
        <v>1.0817999999999999</v>
      </c>
      <c r="K11" s="166">
        <v>0</v>
      </c>
      <c r="L11" s="166">
        <v>0</v>
      </c>
      <c r="M11" s="167">
        <f t="shared" si="1"/>
        <v>1.0817999999999999</v>
      </c>
      <c r="N11" s="132"/>
      <c r="O11" s="78"/>
      <c r="P11" s="140"/>
      <c r="Q11" s="153"/>
      <c r="R11" s="140"/>
    </row>
    <row r="12" spans="1:20" ht="13" x14ac:dyDescent="0.3">
      <c r="A12" s="71">
        <f t="shared" si="3"/>
        <v>6</v>
      </c>
      <c r="B12" s="87">
        <v>1955</v>
      </c>
      <c r="C12" s="30">
        <v>70.5</v>
      </c>
      <c r="D12" s="160">
        <f>D7+(D17-D7)/10*5</f>
        <v>53.5</v>
      </c>
      <c r="E12" s="160">
        <f>E7+(E17-E7)/10*5</f>
        <v>17.799999999999997</v>
      </c>
      <c r="F12" s="110">
        <f>(11542+7799+2016)/$A$1</f>
        <v>21.356999999999999</v>
      </c>
      <c r="G12" s="111">
        <f t="shared" si="2"/>
        <v>3.0440000000000005</v>
      </c>
      <c r="H12" s="91">
        <v>91.89</v>
      </c>
      <c r="I12" s="46">
        <v>20.32</v>
      </c>
      <c r="J12" s="168">
        <f>1267/$A$1</f>
        <v>1.2669999999999999</v>
      </c>
      <c r="K12" s="166">
        <v>0</v>
      </c>
      <c r="L12" s="166">
        <v>0</v>
      </c>
      <c r="M12" s="167">
        <f t="shared" si="1"/>
        <v>1.2669999999999999</v>
      </c>
      <c r="N12" s="132"/>
      <c r="O12" s="78"/>
      <c r="P12" s="140"/>
      <c r="Q12" s="153"/>
      <c r="R12" s="140"/>
    </row>
    <row r="13" spans="1:20" ht="13" x14ac:dyDescent="0.3">
      <c r="A13" s="71">
        <f t="shared" si="3"/>
        <v>7</v>
      </c>
      <c r="B13" s="87">
        <v>1956</v>
      </c>
      <c r="C13" s="30">
        <v>70.900000000000006</v>
      </c>
      <c r="D13" s="160">
        <f>D7+(D17-D7)/10*6</f>
        <v>54</v>
      </c>
      <c r="E13" s="160">
        <f>E7+(E17-E7)/10*6</f>
        <v>17.68</v>
      </c>
      <c r="F13" s="110">
        <f>(11642+8090+2626)/$A$1</f>
        <v>22.358000000000001</v>
      </c>
      <c r="G13" s="111">
        <f t="shared" si="2"/>
        <v>1.0010000000000012</v>
      </c>
      <c r="H13" s="91">
        <v>101.58</v>
      </c>
      <c r="I13" s="46">
        <v>22.77</v>
      </c>
      <c r="J13" s="164">
        <f>J12+(J17-J12)/5</f>
        <v>1.4327999999999999</v>
      </c>
      <c r="K13" s="166">
        <v>0</v>
      </c>
      <c r="L13" s="166">
        <v>0</v>
      </c>
      <c r="M13" s="167">
        <f t="shared" si="1"/>
        <v>1.4327999999999999</v>
      </c>
      <c r="N13" s="132"/>
      <c r="O13" s="78"/>
      <c r="P13" s="140"/>
      <c r="Q13" s="153"/>
      <c r="R13" s="140"/>
    </row>
    <row r="14" spans="1:20" ht="13" x14ac:dyDescent="0.3">
      <c r="A14" s="71">
        <f t="shared" si="3"/>
        <v>8</v>
      </c>
      <c r="B14" s="87">
        <v>1957</v>
      </c>
      <c r="C14" s="30">
        <v>71.400000000000006</v>
      </c>
      <c r="D14" s="160">
        <f>D17+(D17-D7)/10*7</f>
        <v>59.5</v>
      </c>
      <c r="E14" s="160">
        <f>E17+(E17-E7)/10*7</f>
        <v>16.36</v>
      </c>
      <c r="F14" s="110">
        <f>(11650+8358+3151)/$A$1</f>
        <v>23.158999999999999</v>
      </c>
      <c r="G14" s="111">
        <f t="shared" si="2"/>
        <v>0.80099999999999838</v>
      </c>
      <c r="H14" s="91">
        <v>110.72</v>
      </c>
      <c r="I14" s="46">
        <v>24.51</v>
      </c>
      <c r="J14" s="164">
        <f>J12+(J17-J12)*2/5</f>
        <v>1.5986</v>
      </c>
      <c r="K14" s="166">
        <v>0</v>
      </c>
      <c r="L14" s="166">
        <v>0</v>
      </c>
      <c r="M14" s="167">
        <f t="shared" si="1"/>
        <v>1.5986</v>
      </c>
      <c r="N14" s="132"/>
      <c r="O14" s="78"/>
      <c r="P14" s="140"/>
      <c r="Q14" s="153"/>
      <c r="R14" s="140"/>
    </row>
    <row r="15" spans="1:20" ht="13" x14ac:dyDescent="0.3">
      <c r="A15" s="71">
        <f t="shared" si="3"/>
        <v>9</v>
      </c>
      <c r="B15" s="87">
        <v>1958</v>
      </c>
      <c r="C15" s="30">
        <v>71.900000000000006</v>
      </c>
      <c r="D15" s="160">
        <f>D7+(D17-D7)/10*8</f>
        <v>55</v>
      </c>
      <c r="E15" s="160">
        <f>E7+(E17-E7)/10*8</f>
        <v>17.439999999999998</v>
      </c>
      <c r="F15" s="110">
        <f>(12480+7517+3995)/$A$1</f>
        <v>23.992000000000001</v>
      </c>
      <c r="G15" s="111">
        <f t="shared" si="2"/>
        <v>0.83300000000000196</v>
      </c>
      <c r="H15" s="91">
        <v>118.95</v>
      </c>
      <c r="I15" s="46">
        <v>25.66</v>
      </c>
      <c r="J15" s="164">
        <f>J12+(J17-J12)*3/5</f>
        <v>1.7644</v>
      </c>
      <c r="K15" s="166">
        <v>0</v>
      </c>
      <c r="L15" s="166">
        <v>0</v>
      </c>
      <c r="M15" s="167">
        <f t="shared" si="1"/>
        <v>1.7644</v>
      </c>
      <c r="N15" s="132"/>
      <c r="O15" s="78"/>
      <c r="P15" s="140"/>
      <c r="Q15" s="153"/>
      <c r="R15" s="140"/>
    </row>
    <row r="16" spans="1:20" ht="13" x14ac:dyDescent="0.3">
      <c r="A16" s="71">
        <f t="shared" si="3"/>
        <v>10</v>
      </c>
      <c r="B16" s="87">
        <v>1959</v>
      </c>
      <c r="C16" s="30">
        <v>72.400000000000006</v>
      </c>
      <c r="D16" s="160">
        <f>D7+(D17-D7)/10*8</f>
        <v>55</v>
      </c>
      <c r="E16" s="160">
        <f>E7+(E17-E7)/10*8</f>
        <v>17.439999999999998</v>
      </c>
      <c r="F16" s="110">
        <f>(13069+7786+4608)/$A$1</f>
        <v>25.463000000000001</v>
      </c>
      <c r="G16" s="111">
        <f t="shared" si="2"/>
        <v>1.4710000000000001</v>
      </c>
      <c r="H16" s="91">
        <v>130.31</v>
      </c>
      <c r="I16" s="46">
        <v>28.96</v>
      </c>
      <c r="J16" s="164">
        <f>J12+(J17-J12)*4/5</f>
        <v>1.9302000000000001</v>
      </c>
      <c r="K16" s="166">
        <v>0</v>
      </c>
      <c r="L16" s="166">
        <v>0</v>
      </c>
      <c r="M16" s="167">
        <f t="shared" si="1"/>
        <v>1.9302000000000001</v>
      </c>
      <c r="N16" s="132"/>
      <c r="O16" s="78"/>
      <c r="P16" s="140"/>
      <c r="Q16" s="153"/>
      <c r="R16" s="140"/>
    </row>
    <row r="17" spans="1:18" ht="13" x14ac:dyDescent="0.3">
      <c r="A17" s="71">
        <f t="shared" si="3"/>
        <v>11</v>
      </c>
      <c r="B17" s="87">
        <v>1960</v>
      </c>
      <c r="C17" s="30">
        <v>73</v>
      </c>
      <c r="D17" s="161">
        <f>56000/$A$1</f>
        <v>56</v>
      </c>
      <c r="E17" s="125">
        <f>17200/$A$1</f>
        <v>17.2</v>
      </c>
      <c r="F17" s="110">
        <f>(15312+7783+5904)/$A$1</f>
        <v>28.998999999999999</v>
      </c>
      <c r="G17" s="111">
        <f t="shared" si="2"/>
        <v>3.5359999999999978</v>
      </c>
      <c r="H17" s="91">
        <v>154.77000000000001</v>
      </c>
      <c r="I17" s="46">
        <v>34.07</v>
      </c>
      <c r="J17" s="168">
        <f>2096/$A$1</f>
        <v>2.0960000000000001</v>
      </c>
      <c r="K17" s="166">
        <v>0</v>
      </c>
      <c r="L17" s="166">
        <v>0</v>
      </c>
      <c r="M17" s="167">
        <f t="shared" si="1"/>
        <v>2.0960000000000001</v>
      </c>
      <c r="N17" s="132"/>
      <c r="O17" s="78"/>
      <c r="P17" s="140"/>
      <c r="Q17" s="153"/>
      <c r="R17" s="140"/>
    </row>
    <row r="18" spans="1:18" ht="13" x14ac:dyDescent="0.3">
      <c r="A18" s="71">
        <f t="shared" si="3"/>
        <v>12</v>
      </c>
      <c r="B18" s="87">
        <v>1961</v>
      </c>
      <c r="C18" s="31">
        <v>73.7</v>
      </c>
      <c r="D18" s="160">
        <f>D17+(D27-D17)/10*1</f>
        <v>56.5</v>
      </c>
      <c r="E18" s="160">
        <f>E17+(E27-E17)/10*1</f>
        <v>17.189999999999998</v>
      </c>
      <c r="F18" s="110">
        <f>(18004+7476+6736)/$A$1</f>
        <v>32.216000000000001</v>
      </c>
      <c r="G18" s="111">
        <f t="shared" si="2"/>
        <v>3.2170000000000023</v>
      </c>
      <c r="H18" s="91">
        <v>169.6</v>
      </c>
      <c r="I18" s="46">
        <v>39.22</v>
      </c>
      <c r="J18" s="164">
        <f>J17+(J22-J17)/5</f>
        <v>2.2784</v>
      </c>
      <c r="K18" s="166">
        <v>0</v>
      </c>
      <c r="L18" s="166">
        <v>0</v>
      </c>
      <c r="M18" s="167">
        <f t="shared" si="1"/>
        <v>2.2784</v>
      </c>
      <c r="N18" s="132"/>
      <c r="O18" s="78"/>
      <c r="P18" s="140"/>
      <c r="Q18" s="153"/>
      <c r="R18" s="140"/>
    </row>
    <row r="19" spans="1:18" ht="13" x14ac:dyDescent="0.3">
      <c r="A19" s="71">
        <f t="shared" si="3"/>
        <v>13</v>
      </c>
      <c r="B19" s="87">
        <v>1962</v>
      </c>
      <c r="C19" s="31">
        <v>74.400000000000006</v>
      </c>
      <c r="D19" s="160">
        <f>D17+(D27-D17)/10*2</f>
        <v>57</v>
      </c>
      <c r="E19" s="160">
        <f>E17+(E27-E17)/10*2</f>
        <v>17.18</v>
      </c>
      <c r="F19" s="110">
        <f>(17984+7253+7872)/$A$1</f>
        <v>33.109000000000002</v>
      </c>
      <c r="G19" s="111">
        <f t="shared" si="2"/>
        <v>0.89300000000000068</v>
      </c>
      <c r="H19" s="91">
        <v>184.46</v>
      </c>
      <c r="I19" s="46">
        <v>43.19</v>
      </c>
      <c r="J19" s="164">
        <f>J17+(J22-J17)*2/5</f>
        <v>2.4607999999999999</v>
      </c>
      <c r="K19" s="166">
        <v>0</v>
      </c>
      <c r="L19" s="166">
        <v>0</v>
      </c>
      <c r="M19" s="167">
        <f t="shared" si="1"/>
        <v>2.4607999999999999</v>
      </c>
      <c r="N19" s="132"/>
      <c r="O19" s="78"/>
      <c r="P19" s="140"/>
      <c r="Q19" s="153"/>
      <c r="R19" s="140"/>
    </row>
    <row r="20" spans="1:18" ht="13" x14ac:dyDescent="0.3">
      <c r="A20" s="71">
        <f t="shared" si="3"/>
        <v>14</v>
      </c>
      <c r="B20" s="87">
        <v>1963</v>
      </c>
      <c r="C20" s="31">
        <v>75</v>
      </c>
      <c r="D20" s="160">
        <f>D17+(D27-D17)/10*3</f>
        <v>57.5</v>
      </c>
      <c r="E20" s="160">
        <f>E17+(E27-E17)/10*3</f>
        <v>17.170000000000002</v>
      </c>
      <c r="F20" s="110">
        <f>(20023+7037+8966)/$A$1</f>
        <v>36.026000000000003</v>
      </c>
      <c r="G20" s="111">
        <f t="shared" si="2"/>
        <v>2.9170000000000016</v>
      </c>
      <c r="H20" s="91">
        <v>195.5</v>
      </c>
      <c r="I20" s="46">
        <v>45.88</v>
      </c>
      <c r="J20" s="164">
        <f>J17+(J22-J17)*3/5</f>
        <v>2.6432000000000002</v>
      </c>
      <c r="K20" s="166">
        <v>0</v>
      </c>
      <c r="L20" s="166">
        <v>0</v>
      </c>
      <c r="M20" s="167">
        <f t="shared" si="1"/>
        <v>2.6432000000000002</v>
      </c>
      <c r="N20" s="132"/>
      <c r="O20" s="78"/>
      <c r="P20" s="140"/>
      <c r="Q20" s="153"/>
      <c r="R20" s="140"/>
    </row>
    <row r="21" spans="1:18" ht="13" x14ac:dyDescent="0.3">
      <c r="A21" s="71">
        <f t="shared" si="3"/>
        <v>15</v>
      </c>
      <c r="B21" s="87">
        <v>1964</v>
      </c>
      <c r="C21" s="31">
        <v>75.599999999999994</v>
      </c>
      <c r="D21" s="160">
        <f>D17+(D27-D17)/10*4</f>
        <v>58</v>
      </c>
      <c r="E21" s="160">
        <f>E17+(E27-E17)/10*4</f>
        <v>17.16</v>
      </c>
      <c r="F21" s="110">
        <f>(21331+7678+10789)/$A$1</f>
        <v>39.798000000000002</v>
      </c>
      <c r="G21" s="111">
        <f t="shared" si="2"/>
        <v>3.7719999999999985</v>
      </c>
      <c r="H21" s="91">
        <v>214.83</v>
      </c>
      <c r="I21" s="46">
        <v>50.15</v>
      </c>
      <c r="J21" s="164">
        <f>J17+(J22-J17)*4/5</f>
        <v>2.8256000000000001</v>
      </c>
      <c r="K21" s="166">
        <v>0</v>
      </c>
      <c r="L21" s="166">
        <v>0</v>
      </c>
      <c r="M21" s="167">
        <f t="shared" si="1"/>
        <v>2.8256000000000001</v>
      </c>
      <c r="N21" s="132"/>
      <c r="O21" s="78"/>
      <c r="P21" s="140"/>
      <c r="Q21" s="153"/>
      <c r="R21" s="140"/>
    </row>
    <row r="22" spans="1:18" ht="13" x14ac:dyDescent="0.3">
      <c r="A22" s="71">
        <f t="shared" si="3"/>
        <v>16</v>
      </c>
      <c r="B22" s="87">
        <v>1965</v>
      </c>
      <c r="C22" s="31">
        <v>76.3</v>
      </c>
      <c r="D22" s="160">
        <f>D17+(D27-D17)/10*5</f>
        <v>58.5</v>
      </c>
      <c r="E22" s="160">
        <f>E17+(E27-E17)/10*5</f>
        <v>17.149999999999999</v>
      </c>
      <c r="F22" s="110">
        <f>(22596+8977+13124)/$A$1</f>
        <v>44.697000000000003</v>
      </c>
      <c r="G22" s="111">
        <f t="shared" si="2"/>
        <v>4.8990000000000009</v>
      </c>
      <c r="H22" s="91">
        <v>234.77</v>
      </c>
      <c r="I22" s="46">
        <v>53.41</v>
      </c>
      <c r="J22" s="168">
        <f>3008/$A$1</f>
        <v>3.008</v>
      </c>
      <c r="K22" s="166">
        <v>0</v>
      </c>
      <c r="L22" s="166">
        <v>0</v>
      </c>
      <c r="M22" s="167">
        <f t="shared" si="1"/>
        <v>3.008</v>
      </c>
      <c r="N22" s="132"/>
      <c r="O22" s="78"/>
      <c r="P22" s="140"/>
      <c r="Q22" s="153"/>
      <c r="R22" s="140"/>
    </row>
    <row r="23" spans="1:18" ht="13" x14ac:dyDescent="0.3">
      <c r="A23" s="71">
        <f t="shared" si="3"/>
        <v>17</v>
      </c>
      <c r="B23" s="87">
        <v>1966</v>
      </c>
      <c r="C23" s="31">
        <v>76.900000000000006</v>
      </c>
      <c r="D23" s="160">
        <f>D17+(D27-D17)/10*6</f>
        <v>59</v>
      </c>
      <c r="E23" s="160">
        <f>E17+(E27-E17)/10*6</f>
        <v>17.14</v>
      </c>
      <c r="F23" s="110">
        <f>(24897+10431+14966)/$A$1</f>
        <v>50.293999999999997</v>
      </c>
      <c r="G23" s="111">
        <f t="shared" si="2"/>
        <v>5.5969999999999942</v>
      </c>
      <c r="H23" s="91">
        <v>249.63</v>
      </c>
      <c r="I23" s="46">
        <v>56.83</v>
      </c>
      <c r="J23" s="164">
        <f>J22+(J27-J22)/5</f>
        <v>3.1383999999999999</v>
      </c>
      <c r="K23" s="166">
        <v>0</v>
      </c>
      <c r="L23" s="166">
        <v>0</v>
      </c>
      <c r="M23" s="167">
        <f t="shared" si="1"/>
        <v>3.1383999999999999</v>
      </c>
      <c r="N23" s="132"/>
      <c r="O23" s="78"/>
      <c r="P23" s="140"/>
      <c r="Q23" s="153"/>
      <c r="R23" s="140"/>
    </row>
    <row r="24" spans="1:18" ht="13" x14ac:dyDescent="0.3">
      <c r="A24" s="71">
        <f t="shared" si="3"/>
        <v>18</v>
      </c>
      <c r="B24" s="87">
        <v>1967</v>
      </c>
      <c r="C24" s="31">
        <v>77</v>
      </c>
      <c r="D24" s="160">
        <f>D27+(D27-D17)/10*7</f>
        <v>64.5</v>
      </c>
      <c r="E24" s="160">
        <f>E27+(E27-E17)/10*7</f>
        <v>17.03</v>
      </c>
      <c r="F24" s="110">
        <f>(29327+12447+16244)/$A$1</f>
        <v>58.018000000000001</v>
      </c>
      <c r="G24" s="111">
        <f t="shared" si="2"/>
        <v>7.7240000000000038</v>
      </c>
      <c r="H24" s="91">
        <v>252.76</v>
      </c>
      <c r="I24" s="46">
        <v>57.96</v>
      </c>
      <c r="J24" s="164">
        <f>J22+(J27-J22)*2/5</f>
        <v>3.2688000000000001</v>
      </c>
      <c r="K24" s="166">
        <v>0</v>
      </c>
      <c r="L24" s="166">
        <v>0</v>
      </c>
      <c r="M24" s="167">
        <f t="shared" si="1"/>
        <v>3.2688000000000001</v>
      </c>
      <c r="N24" s="132"/>
      <c r="O24" s="78"/>
      <c r="P24" s="140"/>
      <c r="Q24" s="153"/>
      <c r="R24" s="140"/>
    </row>
    <row r="25" spans="1:18" ht="13" x14ac:dyDescent="0.3">
      <c r="A25" s="71">
        <f t="shared" si="3"/>
        <v>19</v>
      </c>
      <c r="B25" s="87">
        <v>1968</v>
      </c>
      <c r="C25" s="31">
        <v>77.599999999999994</v>
      </c>
      <c r="D25" s="160">
        <f>D17+(D27-D17)/10*8</f>
        <v>60</v>
      </c>
      <c r="E25" s="160">
        <f>E17+(E27-E17)/10*8</f>
        <v>17.12</v>
      </c>
      <c r="F25" s="110">
        <f>(31569+13466+17367)/$A$1</f>
        <v>62.402000000000001</v>
      </c>
      <c r="G25" s="111">
        <f t="shared" si="2"/>
        <v>4.3840000000000003</v>
      </c>
      <c r="H25" s="91">
        <v>272.66000000000003</v>
      </c>
      <c r="I25" s="46">
        <v>61.55</v>
      </c>
      <c r="J25" s="164">
        <f>J22+(J27-J22)*3/5</f>
        <v>3.3992</v>
      </c>
      <c r="K25" s="166">
        <v>0</v>
      </c>
      <c r="L25" s="166">
        <v>0</v>
      </c>
      <c r="M25" s="167">
        <f t="shared" si="1"/>
        <v>3.3992</v>
      </c>
      <c r="N25" s="132"/>
      <c r="O25" s="78"/>
      <c r="P25" s="140"/>
      <c r="Q25" s="153"/>
      <c r="R25" s="140"/>
    </row>
    <row r="26" spans="1:18" ht="13" x14ac:dyDescent="0.3">
      <c r="A26" s="71">
        <f t="shared" si="3"/>
        <v>20</v>
      </c>
      <c r="B26" s="87">
        <v>1969</v>
      </c>
      <c r="C26" s="31">
        <v>78.3</v>
      </c>
      <c r="D26" s="160">
        <f>D17+(D27-D17)/10*8</f>
        <v>60</v>
      </c>
      <c r="E26" s="160">
        <f>E17+(E27-E17)/10*8</f>
        <v>17.12</v>
      </c>
      <c r="F26" s="110">
        <f>(31125+13227+18630)/$A$1</f>
        <v>62.981999999999999</v>
      </c>
      <c r="G26" s="111">
        <f t="shared" si="2"/>
        <v>0.57999999999999829</v>
      </c>
      <c r="H26" s="91">
        <v>305.22000000000003</v>
      </c>
      <c r="I26" s="46">
        <v>75.12</v>
      </c>
      <c r="J26" s="164">
        <f>J22+(J27-J22)*4/5</f>
        <v>3.5296000000000003</v>
      </c>
      <c r="K26" s="166">
        <v>0</v>
      </c>
      <c r="L26" s="166">
        <v>0</v>
      </c>
      <c r="M26" s="167">
        <f t="shared" si="1"/>
        <v>3.5296000000000003</v>
      </c>
      <c r="N26" s="132"/>
      <c r="O26" s="78"/>
      <c r="P26" s="140"/>
      <c r="Q26" s="153"/>
      <c r="R26" s="140"/>
    </row>
    <row r="27" spans="1:18" ht="14.5" x14ac:dyDescent="0.35">
      <c r="A27" s="71">
        <f t="shared" si="3"/>
        <v>21</v>
      </c>
      <c r="B27" s="87">
        <v>1970</v>
      </c>
      <c r="C27" s="31">
        <v>78.099999999999994</v>
      </c>
      <c r="D27" s="128">
        <f>61000/$A$1</f>
        <v>61</v>
      </c>
      <c r="E27" s="127">
        <f>17100/$A$1</f>
        <v>17.100000000000001</v>
      </c>
      <c r="F27" s="110">
        <f>(29553+14178+20480)/$A$1</f>
        <v>64.210999999999999</v>
      </c>
      <c r="G27" s="111">
        <f t="shared" si="2"/>
        <v>1.2289999999999992</v>
      </c>
      <c r="H27" s="91">
        <v>360.6</v>
      </c>
      <c r="I27" s="46">
        <v>78.06</v>
      </c>
      <c r="J27" s="168">
        <f>3660/$A$1</f>
        <v>3.66</v>
      </c>
      <c r="K27" s="166">
        <v>0</v>
      </c>
      <c r="L27" s="166">
        <v>0</v>
      </c>
      <c r="M27" s="167">
        <f t="shared" si="1"/>
        <v>3.66</v>
      </c>
      <c r="N27" s="132"/>
      <c r="O27" s="78"/>
      <c r="P27" s="140"/>
      <c r="Q27" s="153"/>
      <c r="R27" s="140"/>
    </row>
    <row r="28" spans="1:18" ht="13" x14ac:dyDescent="0.3">
      <c r="A28" s="71">
        <f t="shared" si="3"/>
        <v>22</v>
      </c>
      <c r="B28" s="87">
        <v>1971</v>
      </c>
      <c r="C28" s="31">
        <v>78.599999999999994</v>
      </c>
      <c r="D28" s="160">
        <f>D27+(D37-D27)/10*1</f>
        <v>61.07</v>
      </c>
      <c r="E28" s="160">
        <f>E27+(E37-E27)/10*1</f>
        <v>17.060000000000002</v>
      </c>
      <c r="F28" s="110">
        <f>(30426+16861+24373)/$A$1</f>
        <v>71.66</v>
      </c>
      <c r="G28" s="111">
        <f t="shared" si="2"/>
        <v>7.4489999999999981</v>
      </c>
      <c r="H28" s="91">
        <v>400.24</v>
      </c>
      <c r="I28" s="46">
        <v>87.42</v>
      </c>
      <c r="J28" s="164">
        <f>J27+(J32-J27)/5</f>
        <v>4.2942</v>
      </c>
      <c r="K28" s="166">
        <v>0</v>
      </c>
      <c r="L28" s="166">
        <v>0</v>
      </c>
      <c r="M28" s="167">
        <f t="shared" si="1"/>
        <v>4.2942</v>
      </c>
      <c r="N28" s="132"/>
      <c r="O28" s="78"/>
      <c r="P28" s="140"/>
      <c r="Q28" s="153"/>
      <c r="R28" s="140"/>
    </row>
    <row r="29" spans="1:18" ht="13" x14ac:dyDescent="0.3">
      <c r="A29" s="71">
        <f t="shared" si="3"/>
        <v>23</v>
      </c>
      <c r="B29" s="87">
        <v>1972</v>
      </c>
      <c r="C29" s="31">
        <v>78.8</v>
      </c>
      <c r="D29" s="160">
        <f>D27+(D37-D27)/10*2</f>
        <v>61.14</v>
      </c>
      <c r="E29" s="160">
        <f>E27+(E37-E27)/10*2</f>
        <v>17.02</v>
      </c>
      <c r="F29" s="110">
        <f>(32029+18876+28487)/$A$1</f>
        <v>79.391999999999996</v>
      </c>
      <c r="G29" s="111">
        <f t="shared" si="2"/>
        <v>7.7319999999999993</v>
      </c>
      <c r="H29" s="91">
        <v>436.37</v>
      </c>
      <c r="I29" s="46">
        <v>100.02</v>
      </c>
      <c r="J29" s="164">
        <f>J27+(J32-J27)*2/5</f>
        <v>4.9283999999999999</v>
      </c>
      <c r="K29" s="166">
        <v>0</v>
      </c>
      <c r="L29" s="166">
        <v>0</v>
      </c>
      <c r="M29" s="167">
        <f t="shared" si="1"/>
        <v>4.9283999999999999</v>
      </c>
      <c r="N29" s="132"/>
      <c r="O29" s="78"/>
      <c r="P29" s="140"/>
      <c r="Q29" s="153"/>
      <c r="R29" s="140"/>
    </row>
    <row r="30" spans="1:18" ht="13" x14ac:dyDescent="0.3">
      <c r="A30" s="71">
        <f t="shared" si="3"/>
        <v>24</v>
      </c>
      <c r="B30" s="87">
        <v>1973</v>
      </c>
      <c r="C30" s="31">
        <v>79.099999999999994</v>
      </c>
      <c r="D30" s="160">
        <f>D27+(D37-D27)/10*3</f>
        <v>61.21</v>
      </c>
      <c r="E30" s="160">
        <f>E27+(E37-E27)/10*3</f>
        <v>16.98</v>
      </c>
      <c r="F30" s="110">
        <f>(34217+20119+32085)/$A$1</f>
        <v>86.421000000000006</v>
      </c>
      <c r="G30" s="111">
        <f t="shared" si="2"/>
        <v>7.0290000000000106</v>
      </c>
      <c r="H30" s="91">
        <v>486.02</v>
      </c>
      <c r="I30" s="46">
        <v>114.45</v>
      </c>
      <c r="J30" s="164">
        <f>J27+(J32-J27)*3/5</f>
        <v>5.5626000000000007</v>
      </c>
      <c r="K30" s="166">
        <v>0</v>
      </c>
      <c r="L30" s="166">
        <v>0</v>
      </c>
      <c r="M30" s="167">
        <f t="shared" si="1"/>
        <v>5.5626000000000007</v>
      </c>
      <c r="N30" s="132"/>
      <c r="O30" s="78"/>
      <c r="P30" s="140"/>
      <c r="Q30" s="153"/>
      <c r="R30" s="140"/>
    </row>
    <row r="31" spans="1:18" ht="13" x14ac:dyDescent="0.3">
      <c r="A31" s="71">
        <f t="shared" si="3"/>
        <v>25</v>
      </c>
      <c r="B31" s="87">
        <v>1974</v>
      </c>
      <c r="C31" s="31">
        <v>78.900000000000006</v>
      </c>
      <c r="D31" s="160">
        <f>D27+(D37-D27)/10*4</f>
        <v>61.28</v>
      </c>
      <c r="E31" s="160">
        <f>E27+(E37-E27)/10*4</f>
        <v>16.940000000000001</v>
      </c>
      <c r="F31" s="110">
        <f>(39444+24126+33798)/$A$1</f>
        <v>97.367999999999995</v>
      </c>
      <c r="G31" s="111">
        <f t="shared" si="2"/>
        <v>10.946999999999989</v>
      </c>
      <c r="H31" s="91">
        <v>526.02</v>
      </c>
      <c r="I31" s="46">
        <v>122.23</v>
      </c>
      <c r="J31" s="164">
        <f>J27+(J32-J27)*4/5</f>
        <v>6.1968000000000005</v>
      </c>
      <c r="K31" s="166">
        <v>0</v>
      </c>
      <c r="L31" s="166">
        <v>0</v>
      </c>
      <c r="M31" s="167">
        <f t="shared" si="1"/>
        <v>6.1968000000000005</v>
      </c>
      <c r="N31" s="132"/>
      <c r="O31" s="78"/>
      <c r="P31" s="140"/>
      <c r="Q31" s="153"/>
      <c r="R31" s="140"/>
    </row>
    <row r="32" spans="1:18" ht="13" x14ac:dyDescent="0.3">
      <c r="A32" s="71">
        <f t="shared" si="3"/>
        <v>26</v>
      </c>
      <c r="B32" s="87">
        <v>1975</v>
      </c>
      <c r="C32" s="31">
        <v>78.5</v>
      </c>
      <c r="D32" s="160">
        <f>D27+(D37-D27)/10*5</f>
        <v>61.35</v>
      </c>
      <c r="E32" s="160">
        <f>E27+(E37-E27)/10*5</f>
        <v>16.899999999999999</v>
      </c>
      <c r="F32" s="110">
        <f>(58066+34047+37895)/$A$1</f>
        <v>130.00800000000001</v>
      </c>
      <c r="G32" s="111">
        <f t="shared" si="2"/>
        <v>32.640000000000015</v>
      </c>
      <c r="H32" s="91">
        <v>551.01</v>
      </c>
      <c r="I32" s="46">
        <v>123.13</v>
      </c>
      <c r="J32" s="168">
        <f>6831/$A$1</f>
        <v>6.8310000000000004</v>
      </c>
      <c r="K32" s="166">
        <v>0</v>
      </c>
      <c r="L32" s="166">
        <v>0</v>
      </c>
      <c r="M32" s="167">
        <f t="shared" si="1"/>
        <v>6.8310000000000004</v>
      </c>
      <c r="N32" s="132"/>
      <c r="O32" s="78"/>
      <c r="P32" s="140"/>
      <c r="Q32" s="153"/>
      <c r="R32" s="140"/>
    </row>
    <row r="33" spans="1:18" ht="13" x14ac:dyDescent="0.3">
      <c r="A33" s="71">
        <f t="shared" si="3"/>
        <v>27</v>
      </c>
      <c r="B33" s="87">
        <v>1976</v>
      </c>
      <c r="C33" s="31">
        <v>78.2</v>
      </c>
      <c r="D33" s="160">
        <f>D27+(D37-D27)/10*6</f>
        <v>61.42</v>
      </c>
      <c r="E33" s="160">
        <f>E27+(E37-E27)/10*6</f>
        <v>16.86</v>
      </c>
      <c r="F33" s="110">
        <f>(68286+41964+40653)/$A$1</f>
        <v>150.90299999999999</v>
      </c>
      <c r="G33" s="111">
        <f t="shared" si="2"/>
        <v>20.894999999999982</v>
      </c>
      <c r="H33" s="91">
        <v>597.4</v>
      </c>
      <c r="I33" s="46">
        <v>136.38999999999999</v>
      </c>
      <c r="J33" s="164">
        <f>J32+(J37-J32)/5</f>
        <v>7.6252000000000004</v>
      </c>
      <c r="K33" s="166">
        <v>0</v>
      </c>
      <c r="L33" s="166">
        <v>0</v>
      </c>
      <c r="M33" s="167">
        <f t="shared" si="1"/>
        <v>7.6252000000000004</v>
      </c>
      <c r="N33" s="132"/>
      <c r="O33" s="78"/>
      <c r="P33" s="140"/>
      <c r="Q33" s="153"/>
      <c r="R33" s="140"/>
    </row>
    <row r="34" spans="1:18" ht="13" x14ac:dyDescent="0.3">
      <c r="A34" s="71">
        <f t="shared" si="3"/>
        <v>28</v>
      </c>
      <c r="B34" s="87">
        <v>1977</v>
      </c>
      <c r="C34" s="31">
        <v>78.099999999999994</v>
      </c>
      <c r="D34" s="160">
        <f>D37+(D37-D27)/10*7</f>
        <v>62.190000000000005</v>
      </c>
      <c r="E34" s="160">
        <f>E37+(E37-E27)/10*7</f>
        <v>16.419999999999998</v>
      </c>
      <c r="F34" s="110">
        <f>(78805+45853+42461)/$A$1</f>
        <v>167.119</v>
      </c>
      <c r="G34" s="111">
        <f t="shared" si="2"/>
        <v>16.216000000000008</v>
      </c>
      <c r="H34" s="91">
        <v>636.54</v>
      </c>
      <c r="I34" s="46">
        <v>152.41999999999999</v>
      </c>
      <c r="J34" s="164">
        <f>J32+(J37-J32)*2/5</f>
        <v>8.4193999999999996</v>
      </c>
      <c r="K34" s="166">
        <v>0</v>
      </c>
      <c r="L34" s="166">
        <v>0</v>
      </c>
      <c r="M34" s="167">
        <f t="shared" si="1"/>
        <v>8.4193999999999996</v>
      </c>
      <c r="N34" s="132"/>
      <c r="O34" s="78"/>
      <c r="P34" s="140"/>
      <c r="Q34" s="153"/>
      <c r="R34" s="140"/>
    </row>
    <row r="35" spans="1:18" ht="13" x14ac:dyDescent="0.3">
      <c r="A35" s="71">
        <f t="shared" si="3"/>
        <v>29</v>
      </c>
      <c r="B35" s="87">
        <v>1978</v>
      </c>
      <c r="C35" s="31">
        <v>78.099999999999994</v>
      </c>
      <c r="D35" s="160">
        <f>D27+(D37-D27)/10*8</f>
        <v>61.56</v>
      </c>
      <c r="E35" s="160">
        <f>E27+(E37-E27)/10*8</f>
        <v>16.78</v>
      </c>
      <c r="F35" s="110">
        <f>(92367+52099+44113)/$A$1</f>
        <v>188.57900000000001</v>
      </c>
      <c r="G35" s="111">
        <f t="shared" si="2"/>
        <v>21.460000000000008</v>
      </c>
      <c r="H35" s="91">
        <v>678.94</v>
      </c>
      <c r="I35" s="46">
        <v>162.69999999999999</v>
      </c>
      <c r="J35" s="164">
        <f>J32+(J37-J32)*3/5</f>
        <v>9.2135999999999996</v>
      </c>
      <c r="K35" s="166">
        <v>0</v>
      </c>
      <c r="L35" s="166">
        <v>0</v>
      </c>
      <c r="M35" s="167">
        <f t="shared" si="1"/>
        <v>9.2135999999999996</v>
      </c>
      <c r="N35" s="132"/>
      <c r="O35" s="78"/>
      <c r="P35" s="140"/>
      <c r="Q35" s="153"/>
      <c r="R35" s="140"/>
    </row>
    <row r="36" spans="1:18" ht="13" x14ac:dyDescent="0.3">
      <c r="A36" s="71">
        <f t="shared" si="3"/>
        <v>30</v>
      </c>
      <c r="B36" s="87">
        <v>1979</v>
      </c>
      <c r="C36" s="31">
        <v>78.2</v>
      </c>
      <c r="D36" s="160">
        <f>D27+(D37-D27)/10*8</f>
        <v>61.56</v>
      </c>
      <c r="E36" s="160">
        <f>E27+(E37-E27)/10*8</f>
        <v>16.78</v>
      </c>
      <c r="F36" s="110">
        <f>(105589+59362+45999)/$A$1</f>
        <v>210.95</v>
      </c>
      <c r="G36" s="111">
        <f t="shared" si="2"/>
        <v>22.370999999999981</v>
      </c>
      <c r="H36" s="91">
        <v>737.37</v>
      </c>
      <c r="I36" s="46">
        <v>175.15</v>
      </c>
      <c r="J36" s="164">
        <f>J32+(J37-J32)*4/5</f>
        <v>10.0078</v>
      </c>
      <c r="K36" s="166">
        <v>0</v>
      </c>
      <c r="L36" s="166">
        <v>0</v>
      </c>
      <c r="M36" s="167">
        <f t="shared" si="1"/>
        <v>10.0078</v>
      </c>
      <c r="N36" s="132"/>
      <c r="O36" s="78"/>
      <c r="P36" s="140"/>
      <c r="Q36" s="153"/>
      <c r="R36" s="140"/>
    </row>
    <row r="37" spans="1:18" ht="14.5" x14ac:dyDescent="0.35">
      <c r="A37" s="71">
        <f t="shared" si="3"/>
        <v>31</v>
      </c>
      <c r="B37" s="87">
        <v>1980</v>
      </c>
      <c r="C37" s="31">
        <v>78.400000000000006</v>
      </c>
      <c r="D37" s="128">
        <f>61700/$A$1</f>
        <v>61.7</v>
      </c>
      <c r="E37" s="127">
        <f>16700/$A$1</f>
        <v>16.7</v>
      </c>
      <c r="F37" s="110">
        <f>(119951+70415+48531)/$A$1</f>
        <v>238.89699999999999</v>
      </c>
      <c r="G37" s="111">
        <f t="shared" si="2"/>
        <v>27.947000000000003</v>
      </c>
      <c r="H37" s="91">
        <v>788.52</v>
      </c>
      <c r="I37" s="46">
        <v>186.58</v>
      </c>
      <c r="J37" s="168">
        <f>10802/$A$1</f>
        <v>10.802</v>
      </c>
      <c r="K37" s="166">
        <v>0</v>
      </c>
      <c r="L37" s="166">
        <v>0</v>
      </c>
      <c r="M37" s="167">
        <f t="shared" si="1"/>
        <v>10.802</v>
      </c>
      <c r="N37" s="132"/>
      <c r="O37" s="78"/>
      <c r="P37" s="140"/>
      <c r="Q37" s="153"/>
      <c r="R37" s="140"/>
    </row>
    <row r="38" spans="1:18" ht="13" x14ac:dyDescent="0.3">
      <c r="A38" s="71">
        <f t="shared" si="3"/>
        <v>32</v>
      </c>
      <c r="B38" s="87">
        <v>1981</v>
      </c>
      <c r="C38" s="31">
        <v>78.400000000000006</v>
      </c>
      <c r="D38" s="160">
        <f>D37+(D47-D37)/10*1</f>
        <v>61.900000000000006</v>
      </c>
      <c r="E38" s="160">
        <f>E37+(E47-E37)/10*1</f>
        <v>16.63</v>
      </c>
      <c r="F38" s="110">
        <f>(141588+84297+52336)/$A$1</f>
        <v>278.221</v>
      </c>
      <c r="G38" s="111">
        <f t="shared" si="2"/>
        <v>39.324000000000012</v>
      </c>
      <c r="H38" s="91">
        <v>825.75</v>
      </c>
      <c r="I38" s="46">
        <v>189.34</v>
      </c>
      <c r="J38" s="164">
        <f>J37+(J42-J37)/5</f>
        <v>11.212199999999999</v>
      </c>
      <c r="K38" s="166">
        <v>0</v>
      </c>
      <c r="L38" s="166">
        <v>0</v>
      </c>
      <c r="M38" s="167">
        <f t="shared" si="1"/>
        <v>11.212199999999999</v>
      </c>
      <c r="N38" s="132"/>
      <c r="O38" s="78"/>
      <c r="P38" s="140"/>
      <c r="Q38" s="153"/>
      <c r="R38" s="140"/>
    </row>
    <row r="39" spans="1:18" ht="13" x14ac:dyDescent="0.3">
      <c r="A39" s="71">
        <f t="shared" si="3"/>
        <v>33</v>
      </c>
      <c r="B39" s="87">
        <v>1982</v>
      </c>
      <c r="C39" s="31">
        <v>78.2</v>
      </c>
      <c r="D39" s="160">
        <f>D37+(D47-D37)/10*2</f>
        <v>62.1</v>
      </c>
      <c r="E39" s="160">
        <f>E37+(E47-E37)/10*2</f>
        <v>16.559999999999999</v>
      </c>
      <c r="F39" s="110">
        <f>(160394+97317+56022)/$A$1</f>
        <v>313.733</v>
      </c>
      <c r="G39" s="111">
        <f t="shared" si="2"/>
        <v>35.512</v>
      </c>
      <c r="H39" s="91">
        <v>860.21</v>
      </c>
      <c r="I39" s="46">
        <v>193.63</v>
      </c>
      <c r="J39" s="164">
        <f>J37+(J42-J37)*2/5</f>
        <v>11.622399999999999</v>
      </c>
      <c r="K39" s="166">
        <v>0</v>
      </c>
      <c r="L39" s="166">
        <v>0</v>
      </c>
      <c r="M39" s="167">
        <f t="shared" si="1"/>
        <v>11.622399999999999</v>
      </c>
      <c r="N39" s="132"/>
      <c r="O39" s="78"/>
      <c r="P39" s="140"/>
      <c r="Q39" s="154" t="s">
        <v>64</v>
      </c>
      <c r="R39" s="140"/>
    </row>
    <row r="40" spans="1:18" ht="13" x14ac:dyDescent="0.3">
      <c r="A40" s="71">
        <f t="shared" si="3"/>
        <v>34</v>
      </c>
      <c r="B40" s="87">
        <v>1983</v>
      </c>
      <c r="C40" s="31">
        <v>78</v>
      </c>
      <c r="D40" s="160">
        <f>D37+(D47-D37)/10*3</f>
        <v>62.300000000000004</v>
      </c>
      <c r="E40" s="160">
        <f>E37+(E47-E37)/10*3</f>
        <v>16.489999999999998</v>
      </c>
      <c r="F40" s="110">
        <f>(177635+108289+57356)/$A$1</f>
        <v>343.28</v>
      </c>
      <c r="G40" s="111">
        <f t="shared" si="2"/>
        <v>29.546999999999969</v>
      </c>
      <c r="H40" s="91">
        <v>898.27</v>
      </c>
      <c r="I40" s="46">
        <v>202.77</v>
      </c>
      <c r="J40" s="164">
        <f>J37+(J42-J37)*3/5</f>
        <v>12.0326</v>
      </c>
      <c r="K40" s="166">
        <v>0</v>
      </c>
      <c r="L40" s="166">
        <v>0</v>
      </c>
      <c r="M40" s="167">
        <f t="shared" si="1"/>
        <v>12.0326</v>
      </c>
      <c r="N40" s="132"/>
      <c r="O40" s="78"/>
      <c r="P40" s="140"/>
      <c r="Q40" s="148" t="s">
        <v>65</v>
      </c>
      <c r="R40" s="140"/>
    </row>
    <row r="41" spans="1:18" ht="13" x14ac:dyDescent="0.3">
      <c r="A41" s="71">
        <f t="shared" si="3"/>
        <v>35</v>
      </c>
      <c r="B41" s="87">
        <v>1984</v>
      </c>
      <c r="C41" s="31">
        <v>77.7</v>
      </c>
      <c r="D41" s="160">
        <f>D37+(D47-D37)/10*4</f>
        <v>62.5</v>
      </c>
      <c r="E41" s="160">
        <f>E37+(E47-E37)/10*4</f>
        <v>16.419999999999998</v>
      </c>
      <c r="F41" s="110">
        <f>(192153+117832+57697)/$A$1</f>
        <v>367.68200000000002</v>
      </c>
      <c r="G41" s="111">
        <f t="shared" si="2"/>
        <v>24.402000000000044</v>
      </c>
      <c r="H41" s="91">
        <v>942</v>
      </c>
      <c r="I41" s="46">
        <v>212.03</v>
      </c>
      <c r="J41" s="164">
        <f>J37+(J42-J37)*4/5</f>
        <v>12.4428</v>
      </c>
      <c r="K41" s="166">
        <v>0</v>
      </c>
      <c r="L41" s="166">
        <v>0</v>
      </c>
      <c r="M41" s="167">
        <f t="shared" si="1"/>
        <v>12.4428</v>
      </c>
      <c r="N41" s="132"/>
      <c r="O41" s="78"/>
      <c r="P41" s="140"/>
      <c r="Q41" s="155">
        <v>-498.51</v>
      </c>
      <c r="R41" s="140"/>
    </row>
    <row r="42" spans="1:18" ht="13" x14ac:dyDescent="0.3">
      <c r="A42" s="71">
        <f t="shared" si="3"/>
        <v>36</v>
      </c>
      <c r="B42" s="87">
        <v>1985</v>
      </c>
      <c r="C42" s="31">
        <v>77.7</v>
      </c>
      <c r="D42" s="160">
        <f>D37+(D47-D37)/10*5</f>
        <v>62.7</v>
      </c>
      <c r="E42" s="160">
        <f>E37+(E47-E37)/10*5</f>
        <v>16.350000000000001</v>
      </c>
      <c r="F42" s="110">
        <f>(204027+126393+58016)/$A$1</f>
        <v>388.43599999999998</v>
      </c>
      <c r="G42" s="111">
        <f t="shared" si="2"/>
        <v>20.753999999999962</v>
      </c>
      <c r="H42" s="91">
        <v>984.41</v>
      </c>
      <c r="I42" s="46">
        <v>223.54</v>
      </c>
      <c r="J42" s="168">
        <f>12853/$A$1</f>
        <v>12.853</v>
      </c>
      <c r="K42" s="166">
        <v>0</v>
      </c>
      <c r="L42" s="166">
        <v>0</v>
      </c>
      <c r="M42" s="167">
        <f t="shared" si="1"/>
        <v>12.853</v>
      </c>
      <c r="N42" s="132"/>
      <c r="O42" s="78"/>
      <c r="P42" s="147" t="s">
        <v>63</v>
      </c>
      <c r="Q42" s="156" t="s">
        <v>63</v>
      </c>
      <c r="R42" s="140"/>
    </row>
    <row r="43" spans="1:18" ht="13" x14ac:dyDescent="0.3">
      <c r="A43" s="71">
        <f t="shared" si="3"/>
        <v>37</v>
      </c>
      <c r="B43" s="87">
        <v>1986</v>
      </c>
      <c r="C43" s="31">
        <v>77.8</v>
      </c>
      <c r="D43" s="160">
        <f>D37+(D47-D37)/10*6</f>
        <v>62.900000000000006</v>
      </c>
      <c r="E43" s="160">
        <f>E37+(E47-E37)/10*6</f>
        <v>16.28</v>
      </c>
      <c r="F43" s="110">
        <f>(215666+135075+58559)/$A$1</f>
        <v>409.3</v>
      </c>
      <c r="G43" s="111">
        <f t="shared" si="2"/>
        <v>20.864000000000033</v>
      </c>
      <c r="H43" s="91">
        <v>1037.1300000000001</v>
      </c>
      <c r="I43" s="46">
        <v>231.33</v>
      </c>
      <c r="J43" s="164">
        <f>J42+(J47-J42)/5</f>
        <v>13.3192</v>
      </c>
      <c r="K43" s="166">
        <v>0</v>
      </c>
      <c r="L43" s="166">
        <v>0</v>
      </c>
      <c r="M43" s="167">
        <f t="shared" si="1"/>
        <v>13.3192</v>
      </c>
      <c r="N43" s="132"/>
      <c r="O43" s="78"/>
      <c r="P43" s="147" t="s">
        <v>66</v>
      </c>
      <c r="Q43" s="156" t="s">
        <v>67</v>
      </c>
      <c r="R43" s="140"/>
    </row>
    <row r="44" spans="1:18" ht="13" x14ac:dyDescent="0.3">
      <c r="A44" s="71">
        <f t="shared" si="3"/>
        <v>38</v>
      </c>
      <c r="B44" s="87">
        <v>1987</v>
      </c>
      <c r="C44" s="31">
        <v>77.900000000000006</v>
      </c>
      <c r="D44" s="160">
        <f>D47+(D47-D37)/10*7</f>
        <v>65.100000000000009</v>
      </c>
      <c r="E44" s="160">
        <f>E47+(E47-E37)/10*7</f>
        <v>15.51</v>
      </c>
      <c r="F44" s="110">
        <f>(228234+145482+60073)/$A$1</f>
        <v>433.78899999999999</v>
      </c>
      <c r="G44" s="111">
        <f t="shared" si="2"/>
        <v>24.488999999999976</v>
      </c>
      <c r="H44" s="91">
        <v>1065.1300000000001</v>
      </c>
      <c r="I44" s="46">
        <v>239.62</v>
      </c>
      <c r="J44" s="164">
        <f>J42+(J47-J42)*2/5</f>
        <v>13.785399999999999</v>
      </c>
      <c r="K44" s="166">
        <v>0</v>
      </c>
      <c r="L44" s="166">
        <v>0</v>
      </c>
      <c r="M44" s="167">
        <f t="shared" si="1"/>
        <v>13.785399999999999</v>
      </c>
      <c r="N44" s="132"/>
      <c r="O44" s="78"/>
      <c r="P44" s="140">
        <f>86.3/2</f>
        <v>43.15</v>
      </c>
      <c r="Q44" s="140">
        <f>929/2</f>
        <v>464.5</v>
      </c>
      <c r="R44" s="140"/>
    </row>
    <row r="45" spans="1:18" ht="13" x14ac:dyDescent="0.3">
      <c r="A45" s="71">
        <f t="shared" si="3"/>
        <v>39</v>
      </c>
      <c r="B45" s="87">
        <v>1988</v>
      </c>
      <c r="C45" s="31">
        <v>78.400000000000006</v>
      </c>
      <c r="D45" s="160">
        <f>D37+(D47-D37)/10*8</f>
        <v>63.300000000000004</v>
      </c>
      <c r="E45" s="160">
        <f>E37+(E47-E37)/10*8</f>
        <v>16.14</v>
      </c>
      <c r="F45" s="110">
        <f>(246001+154665+60859)/$A$1</f>
        <v>461.52499999999998</v>
      </c>
      <c r="G45" s="111">
        <f t="shared" si="2"/>
        <v>27.73599999999999</v>
      </c>
      <c r="H45" s="91">
        <v>1123.29</v>
      </c>
      <c r="I45" s="46">
        <v>249.56</v>
      </c>
      <c r="J45" s="164">
        <f>J42+(J47-J42)*3/5</f>
        <v>14.2516</v>
      </c>
      <c r="K45" s="166">
        <v>0</v>
      </c>
      <c r="L45" s="166">
        <v>0</v>
      </c>
      <c r="M45" s="167">
        <f t="shared" si="1"/>
        <v>14.2516</v>
      </c>
      <c r="N45" s="132"/>
      <c r="O45" s="78"/>
      <c r="P45" s="147" t="s">
        <v>71</v>
      </c>
      <c r="Q45" s="140"/>
      <c r="R45" s="140"/>
    </row>
    <row r="46" spans="1:18" ht="13" x14ac:dyDescent="0.3">
      <c r="A46" s="71">
        <f t="shared" si="3"/>
        <v>40</v>
      </c>
      <c r="B46" s="87">
        <v>1989</v>
      </c>
      <c r="C46" s="31">
        <v>79.099999999999994</v>
      </c>
      <c r="D46" s="160">
        <f>D37+(D47-D37)/10*8</f>
        <v>63.300000000000004</v>
      </c>
      <c r="E46" s="160">
        <f>E37+(E47-E37)/10*8</f>
        <v>16.14</v>
      </c>
      <c r="F46" s="110">
        <f>(254420+158375+61909)/$A$1</f>
        <v>474.70400000000001</v>
      </c>
      <c r="G46" s="111">
        <f t="shared" si="2"/>
        <v>13.17900000000003</v>
      </c>
      <c r="H46" s="91">
        <v>1200.6600000000001</v>
      </c>
      <c r="I46" s="46">
        <v>273.81</v>
      </c>
      <c r="J46" s="164">
        <f>J42+(J47-J42)*4/5</f>
        <v>14.717799999999999</v>
      </c>
      <c r="K46" s="166">
        <v>0</v>
      </c>
      <c r="L46" s="166">
        <v>0</v>
      </c>
      <c r="M46" s="167">
        <f t="shared" si="1"/>
        <v>14.717799999999999</v>
      </c>
      <c r="N46" s="132"/>
      <c r="O46" s="78"/>
      <c r="P46" s="140">
        <f>19.9/2</f>
        <v>9.9499999999999993</v>
      </c>
      <c r="Q46" s="153"/>
      <c r="R46" s="140"/>
    </row>
    <row r="47" spans="1:18" ht="14.5" x14ac:dyDescent="0.35">
      <c r="A47" s="71">
        <f t="shared" si="3"/>
        <v>41</v>
      </c>
      <c r="B47" s="87">
        <v>1990</v>
      </c>
      <c r="C47" s="31">
        <v>79.8</v>
      </c>
      <c r="D47" s="128">
        <f>63700/$A$1</f>
        <v>63.7</v>
      </c>
      <c r="E47" s="127">
        <f>16000/$A$1</f>
        <v>16</v>
      </c>
      <c r="F47" s="110">
        <f>(306315+168002+64017)/$A$1</f>
        <v>538.33399999999995</v>
      </c>
      <c r="G47" s="111">
        <f t="shared" si="2"/>
        <v>63.629999999999939</v>
      </c>
      <c r="H47" s="91">
        <v>1306.68</v>
      </c>
      <c r="I47" s="46">
        <v>281.04000000000002</v>
      </c>
      <c r="J47" s="168">
        <f>15184/$A$1</f>
        <v>15.183999999999999</v>
      </c>
      <c r="K47" s="166">
        <v>0</v>
      </c>
      <c r="L47" s="166">
        <v>0</v>
      </c>
      <c r="M47" s="167">
        <f>J47+K47+L47</f>
        <v>15.183999999999999</v>
      </c>
      <c r="N47" s="132"/>
      <c r="O47" s="78"/>
      <c r="P47" s="141"/>
      <c r="Q47" s="143"/>
      <c r="R47" s="74"/>
    </row>
    <row r="48" spans="1:18" ht="13" x14ac:dyDescent="0.3">
      <c r="A48" s="71">
        <f t="shared" si="3"/>
        <v>42</v>
      </c>
      <c r="B48" s="87">
        <v>1991</v>
      </c>
      <c r="C48" s="31">
        <v>80.3</v>
      </c>
      <c r="D48" s="160">
        <f>D47+(D52-D47)/5*1</f>
        <v>64.22</v>
      </c>
      <c r="E48" s="160">
        <f>E47+(E52-E47)/5*1</f>
        <v>15.9</v>
      </c>
      <c r="F48" s="110">
        <f>(347834+180059+71618)/$A$1</f>
        <v>599.51099999999997</v>
      </c>
      <c r="G48" s="111">
        <f t="shared" si="2"/>
        <v>61.177000000000021</v>
      </c>
      <c r="H48" s="91">
        <v>1585.8</v>
      </c>
      <c r="I48" s="46">
        <v>338.43</v>
      </c>
      <c r="J48" s="168">
        <f>19624/$A$1</f>
        <v>19.623999999999999</v>
      </c>
      <c r="K48" s="166">
        <v>0</v>
      </c>
      <c r="L48" s="166">
        <v>0</v>
      </c>
      <c r="M48" s="167">
        <f>J48+K48+L48</f>
        <v>19.623999999999999</v>
      </c>
      <c r="N48" s="132"/>
      <c r="O48" s="78"/>
      <c r="P48" s="141"/>
      <c r="Q48" s="145"/>
      <c r="R48" s="74"/>
    </row>
    <row r="49" spans="1:18" ht="13" x14ac:dyDescent="0.3">
      <c r="A49" s="71">
        <f t="shared" si="3"/>
        <v>43</v>
      </c>
      <c r="B49" s="87">
        <v>1992</v>
      </c>
      <c r="C49" s="31">
        <v>81</v>
      </c>
      <c r="D49" s="160">
        <f>D47+(D52-D47)/5*2</f>
        <v>64.739999999999995</v>
      </c>
      <c r="E49" s="160">
        <f>E47+(E52-E47)/5*2</f>
        <v>15.8</v>
      </c>
      <c r="F49" s="110">
        <f>(409788+199164+77404)/$A$1</f>
        <v>686.35599999999999</v>
      </c>
      <c r="G49" s="111">
        <f t="shared" si="2"/>
        <v>86.845000000000027</v>
      </c>
      <c r="H49" s="91">
        <v>1702.06</v>
      </c>
      <c r="I49" s="46">
        <v>374.13</v>
      </c>
      <c r="J49" s="168">
        <f>19790/$A$1</f>
        <v>19.79</v>
      </c>
      <c r="K49" s="166">
        <f>3957/$A$1</f>
        <v>3.9569999999999999</v>
      </c>
      <c r="L49" s="166">
        <v>0</v>
      </c>
      <c r="M49" s="167">
        <f>J49+K49+L49</f>
        <v>23.747</v>
      </c>
      <c r="N49" s="132"/>
      <c r="O49" s="78"/>
      <c r="P49" s="141"/>
      <c r="Q49" s="145"/>
      <c r="R49" s="74"/>
    </row>
    <row r="50" spans="1:18" ht="13" x14ac:dyDescent="0.3">
      <c r="A50" s="71">
        <f t="shared" si="3"/>
        <v>44</v>
      </c>
      <c r="B50" s="87">
        <v>1993</v>
      </c>
      <c r="C50" s="31">
        <v>81.3</v>
      </c>
      <c r="D50" s="160">
        <f>D47+(D52-D47)/5*3</f>
        <v>65.260000000000005</v>
      </c>
      <c r="E50" s="160">
        <f>E47+(E52-E47)/5*3</f>
        <v>15.7</v>
      </c>
      <c r="F50" s="110">
        <f>(461358+221792+86749)/$A$1</f>
        <v>769.899</v>
      </c>
      <c r="G50" s="111">
        <f t="shared" si="2"/>
        <v>83.543000000000006</v>
      </c>
      <c r="H50" s="91">
        <v>1750.89</v>
      </c>
      <c r="I50" s="46">
        <v>383.02</v>
      </c>
      <c r="J50" s="168">
        <f>20768/$A$1</f>
        <v>20.768000000000001</v>
      </c>
      <c r="K50" s="166">
        <f>4597/$A$1</f>
        <v>4.5970000000000004</v>
      </c>
      <c r="L50" s="166">
        <v>0</v>
      </c>
      <c r="M50" s="167">
        <f t="shared" ref="M50:M77" si="4">J50+K50+L50</f>
        <v>25.365000000000002</v>
      </c>
      <c r="N50" s="132"/>
      <c r="O50" s="78"/>
      <c r="P50" s="141"/>
      <c r="Q50" s="145"/>
      <c r="R50" s="74"/>
    </row>
    <row r="51" spans="1:18" ht="13" x14ac:dyDescent="0.3">
      <c r="A51" s="71">
        <f t="shared" si="3"/>
        <v>45</v>
      </c>
      <c r="B51" s="87">
        <v>1994</v>
      </c>
      <c r="C51" s="31">
        <v>81.5</v>
      </c>
      <c r="D51" s="160">
        <f>D47+(D52-D47)/5*4</f>
        <v>65.78</v>
      </c>
      <c r="E51" s="160">
        <f>E47+(E52-E47)/5*4</f>
        <v>15.6</v>
      </c>
      <c r="F51" s="110">
        <f>(513151+240732+94174)/$A$1</f>
        <v>848.05700000000002</v>
      </c>
      <c r="G51" s="111">
        <f t="shared" si="2"/>
        <v>78.158000000000015</v>
      </c>
      <c r="H51" s="91">
        <v>1829.55</v>
      </c>
      <c r="I51" s="46">
        <v>401.96</v>
      </c>
      <c r="J51" s="168">
        <f>23990/$A$1</f>
        <v>23.99</v>
      </c>
      <c r="K51" s="166">
        <f>5878/$A$1</f>
        <v>5.8780000000000001</v>
      </c>
      <c r="L51" s="166">
        <v>0</v>
      </c>
      <c r="M51" s="167">
        <f t="shared" si="4"/>
        <v>29.867999999999999</v>
      </c>
      <c r="N51" s="132"/>
      <c r="O51" s="78"/>
      <c r="P51" s="141"/>
      <c r="Q51" s="145"/>
      <c r="R51" s="74"/>
    </row>
    <row r="52" spans="1:18" ht="14.5" x14ac:dyDescent="0.35">
      <c r="A52" s="71">
        <f t="shared" si="3"/>
        <v>46</v>
      </c>
      <c r="B52" s="87">
        <v>1995</v>
      </c>
      <c r="C52" s="31">
        <v>81.8</v>
      </c>
      <c r="D52" s="128">
        <f>66300/$A$1</f>
        <v>66.3</v>
      </c>
      <c r="E52" s="129">
        <f>15500/$A$1</f>
        <v>15.5</v>
      </c>
      <c r="F52" s="110">
        <f>(658339+261722+98705)/$A$1</f>
        <v>1018.766</v>
      </c>
      <c r="G52" s="111">
        <f t="shared" si="2"/>
        <v>170.70899999999995</v>
      </c>
      <c r="H52" s="91">
        <v>1894.61</v>
      </c>
      <c r="I52" s="46">
        <v>416.34</v>
      </c>
      <c r="J52" s="168">
        <f>23914/$A$1</f>
        <v>23.914000000000001</v>
      </c>
      <c r="K52" s="166">
        <f>6531/$A$1</f>
        <v>6.5309999999999997</v>
      </c>
      <c r="L52" s="166">
        <v>0</v>
      </c>
      <c r="M52" s="167">
        <f t="shared" si="4"/>
        <v>30.445</v>
      </c>
      <c r="N52" s="133">
        <f>4.0084025098019/100</f>
        <v>4.0084025098018998E-2</v>
      </c>
      <c r="O52" s="78">
        <f t="shared" ref="O52:O75" si="5">N52*H52</f>
        <v>75.943594790957775</v>
      </c>
      <c r="P52" s="141"/>
      <c r="Q52" s="145"/>
      <c r="R52" s="74"/>
    </row>
    <row r="53" spans="1:18" ht="14.5" x14ac:dyDescent="0.35">
      <c r="A53" s="71">
        <f t="shared" si="3"/>
        <v>47</v>
      </c>
      <c r="B53" s="87">
        <v>1996</v>
      </c>
      <c r="C53" s="31">
        <v>82</v>
      </c>
      <c r="D53" s="160">
        <f>D52+(D57-D52)/5*1</f>
        <v>66.459999999999994</v>
      </c>
      <c r="E53" s="160">
        <f>E52+(E57-E52)/5*1</f>
        <v>15.42</v>
      </c>
      <c r="F53" s="110">
        <f>(696329+286010+100632)/$A$1</f>
        <v>1082.971</v>
      </c>
      <c r="G53" s="111">
        <f t="shared" si="2"/>
        <v>64.205000000000041</v>
      </c>
      <c r="H53" s="91">
        <v>1921.38</v>
      </c>
      <c r="I53" s="46">
        <v>408.97</v>
      </c>
      <c r="J53" s="168">
        <f>25179/$A$1</f>
        <v>25.178999999999998</v>
      </c>
      <c r="K53" s="166">
        <f>7152/$A$1</f>
        <v>7.1520000000000001</v>
      </c>
      <c r="L53" s="166">
        <v>0</v>
      </c>
      <c r="M53" s="167">
        <f t="shared" si="4"/>
        <v>32.330999999999996</v>
      </c>
      <c r="N53" s="134">
        <f>4.0195512286627/100</f>
        <v>4.0195512286627003E-2</v>
      </c>
      <c r="O53" s="78">
        <f t="shared" si="5"/>
        <v>77.23085339727939</v>
      </c>
      <c r="P53" s="141"/>
      <c r="Q53" s="145"/>
      <c r="R53" s="74"/>
    </row>
    <row r="54" spans="1:18" ht="14.5" x14ac:dyDescent="0.35">
      <c r="A54" s="71">
        <f t="shared" si="3"/>
        <v>48</v>
      </c>
      <c r="B54" s="87">
        <v>1997</v>
      </c>
      <c r="C54" s="31">
        <v>82.1</v>
      </c>
      <c r="D54" s="160">
        <f>D52+(D57-D52)/5*2</f>
        <v>66.61999999999999</v>
      </c>
      <c r="E54" s="160">
        <f>E52+(E57-E52)/5*2</f>
        <v>15.34</v>
      </c>
      <c r="F54" s="110">
        <f>(726790+304354+101298)/$A$1</f>
        <v>1132.442</v>
      </c>
      <c r="G54" s="111">
        <f t="shared" si="2"/>
        <v>49.471000000000004</v>
      </c>
      <c r="H54" s="91">
        <v>1961.15</v>
      </c>
      <c r="I54" s="46">
        <v>407.5</v>
      </c>
      <c r="J54" s="168">
        <f>27447/$A$1</f>
        <v>27.446999999999999</v>
      </c>
      <c r="K54" s="166">
        <f>7776/$A$1</f>
        <v>7.7759999999999998</v>
      </c>
      <c r="L54" s="166">
        <v>0</v>
      </c>
      <c r="M54" s="167">
        <f t="shared" si="4"/>
        <v>35.222999999999999</v>
      </c>
      <c r="N54" s="134">
        <f>3.940021728183/100</f>
        <v>3.9400217281829998E-2</v>
      </c>
      <c r="O54" s="78">
        <f t="shared" si="5"/>
        <v>77.269736122260909</v>
      </c>
      <c r="P54" s="141"/>
      <c r="Q54" s="145"/>
      <c r="R54" s="74"/>
    </row>
    <row r="55" spans="1:18" ht="14.5" x14ac:dyDescent="0.35">
      <c r="A55" s="71">
        <f t="shared" si="3"/>
        <v>49</v>
      </c>
      <c r="B55" s="87">
        <v>1998</v>
      </c>
      <c r="C55" s="31">
        <v>82</v>
      </c>
      <c r="D55" s="160">
        <f>D52+(D57-D52)/5*3</f>
        <v>66.78</v>
      </c>
      <c r="E55" s="160">
        <f>E52+(E57-E52)/5*3</f>
        <v>15.26</v>
      </c>
      <c r="F55" s="110">
        <f>(745285+318773+101356)/$A$1</f>
        <v>1165.414</v>
      </c>
      <c r="G55" s="111">
        <f t="shared" si="2"/>
        <v>32.97199999999998</v>
      </c>
      <c r="H55" s="91">
        <v>2014.42</v>
      </c>
      <c r="I55" s="46">
        <v>425.84</v>
      </c>
      <c r="J55" s="168">
        <f>28961/$A$1</f>
        <v>28.960999999999999</v>
      </c>
      <c r="K55" s="166">
        <f>8214/$A$1</f>
        <v>8.2140000000000004</v>
      </c>
      <c r="L55" s="166">
        <f>4908/$A$1</f>
        <v>4.9080000000000004</v>
      </c>
      <c r="M55" s="167">
        <f t="shared" si="4"/>
        <v>42.082999999999998</v>
      </c>
      <c r="N55" s="134">
        <f>3.8375675846452/100</f>
        <v>3.8375675846452004E-2</v>
      </c>
      <c r="O55" s="78">
        <f t="shared" si="5"/>
        <v>77.304728938609841</v>
      </c>
      <c r="P55" s="141"/>
      <c r="Q55" s="145"/>
      <c r="R55" s="74"/>
    </row>
    <row r="56" spans="1:18" ht="14.5" x14ac:dyDescent="0.35">
      <c r="A56" s="71">
        <f t="shared" si="3"/>
        <v>50</v>
      </c>
      <c r="B56" s="87">
        <v>1999</v>
      </c>
      <c r="C56" s="31">
        <v>82.2</v>
      </c>
      <c r="D56" s="160">
        <f>D52+(D57-D52)/5*4</f>
        <v>66.94</v>
      </c>
      <c r="E56" s="160">
        <f>E52+(E57-E52)/5*4</f>
        <v>15.18</v>
      </c>
      <c r="F56" s="110">
        <f>(770330+327330+101922)/$A$1</f>
        <v>1199.5820000000001</v>
      </c>
      <c r="G56" s="111">
        <f t="shared" si="2"/>
        <v>34.16800000000012</v>
      </c>
      <c r="H56" s="91">
        <v>2059.48</v>
      </c>
      <c r="I56" s="46">
        <v>453</v>
      </c>
      <c r="J56" s="168">
        <f>27173/$A$1</f>
        <v>27.172999999999998</v>
      </c>
      <c r="K56" s="166">
        <f>7384/$A$1</f>
        <v>7.3840000000000003</v>
      </c>
      <c r="L56" s="166">
        <f>7976/$A$1</f>
        <v>7.976</v>
      </c>
      <c r="M56" s="167">
        <f t="shared" si="4"/>
        <v>42.533000000000001</v>
      </c>
      <c r="N56" s="134">
        <f>3.8250336546955/100</f>
        <v>3.8250336546954998E-2</v>
      </c>
      <c r="O56" s="78">
        <f t="shared" si="5"/>
        <v>78.77580311172288</v>
      </c>
      <c r="P56" s="141"/>
      <c r="Q56" s="145"/>
      <c r="R56" s="74"/>
    </row>
    <row r="57" spans="1:18" ht="14.5" x14ac:dyDescent="0.35">
      <c r="A57" s="71">
        <f t="shared" si="3"/>
        <v>51</v>
      </c>
      <c r="B57" s="87">
        <v>2000</v>
      </c>
      <c r="C57" s="31">
        <v>82.3</v>
      </c>
      <c r="D57" s="42">
        <f>67100/$A$1</f>
        <v>67.099999999999994</v>
      </c>
      <c r="E57" s="127">
        <f>15100/$A$1</f>
        <v>15.1</v>
      </c>
      <c r="F57" s="110">
        <f>(774834+338073+98011)/$A$1</f>
        <v>1210.9179999999999</v>
      </c>
      <c r="G57" s="111">
        <f t="shared" si="2"/>
        <v>11.335999999999785</v>
      </c>
      <c r="H57" s="91">
        <v>2109.09</v>
      </c>
      <c r="I57" s="46">
        <v>467.18</v>
      </c>
      <c r="J57" s="168">
        <f>26200/$A$1</f>
        <v>26.2</v>
      </c>
      <c r="K57" s="166">
        <f>7141/$A$1</f>
        <v>7.141</v>
      </c>
      <c r="L57" s="166">
        <f>9078/$A$1</f>
        <v>9.0779999999999994</v>
      </c>
      <c r="M57" s="167">
        <f t="shared" si="4"/>
        <v>42.418999999999997</v>
      </c>
      <c r="N57" s="134">
        <f>3.7581912578411/100</f>
        <v>3.7581912578411002E-2</v>
      </c>
      <c r="O57" s="78">
        <f t="shared" si="5"/>
        <v>79.263636000000858</v>
      </c>
      <c r="P57" s="141"/>
      <c r="Q57" s="145"/>
      <c r="R57" s="74"/>
    </row>
    <row r="58" spans="1:18" ht="14.5" x14ac:dyDescent="0.35">
      <c r="A58" s="71">
        <f t="shared" si="3"/>
        <v>52</v>
      </c>
      <c r="B58" s="87">
        <v>2001</v>
      </c>
      <c r="C58" s="31">
        <v>82.4</v>
      </c>
      <c r="D58" s="160">
        <f>D57+(D62-D57)/5*1</f>
        <v>66.819999999999993</v>
      </c>
      <c r="E58" s="160">
        <f>E57+(E62-E57)/5*1</f>
        <v>15.42</v>
      </c>
      <c r="F58" s="110">
        <f>(760161+364497+98844)/$A$1</f>
        <v>1223.502</v>
      </c>
      <c r="G58" s="111">
        <f t="shared" si="2"/>
        <v>12.58400000000006</v>
      </c>
      <c r="H58" s="91">
        <v>2172.54</v>
      </c>
      <c r="I58" s="46">
        <v>446.17</v>
      </c>
      <c r="J58" s="168">
        <f>26617/$A$1</f>
        <v>26.617000000000001</v>
      </c>
      <c r="K58" s="166">
        <f>7212/$A$1</f>
        <v>7.2119999999999997</v>
      </c>
      <c r="L58" s="166">
        <f>12177/$A$1</f>
        <v>12.177</v>
      </c>
      <c r="M58" s="167">
        <f t="shared" si="4"/>
        <v>46.006</v>
      </c>
      <c r="N58" s="134">
        <f>3.754872729616/100</f>
        <v>3.7548727296159996E-2</v>
      </c>
      <c r="O58" s="78">
        <f t="shared" si="5"/>
        <v>81.576111999999441</v>
      </c>
      <c r="P58" s="144"/>
      <c r="Q58" s="145"/>
      <c r="R58" s="74"/>
    </row>
    <row r="59" spans="1:18" ht="14.5" x14ac:dyDescent="0.35">
      <c r="A59" s="71">
        <f t="shared" si="3"/>
        <v>53</v>
      </c>
      <c r="B59" s="87">
        <v>2002</v>
      </c>
      <c r="C59" s="31">
        <v>82.5</v>
      </c>
      <c r="D59" s="160">
        <f>D57+(D62-D57)/5*2</f>
        <v>66.539999999999992</v>
      </c>
      <c r="E59" s="160">
        <f>E57+(E62-E57)/5*2</f>
        <v>15.74</v>
      </c>
      <c r="F59" s="114">
        <f>(784615+392122+100534)/$A$1</f>
        <v>1277.271</v>
      </c>
      <c r="G59" s="111">
        <f t="shared" si="2"/>
        <v>53.769000000000005</v>
      </c>
      <c r="H59" s="92">
        <v>2198.12</v>
      </c>
      <c r="I59" s="47">
        <v>441.63</v>
      </c>
      <c r="J59" s="168">
        <f>27381/$A$1</f>
        <v>27.381</v>
      </c>
      <c r="K59" s="166">
        <f>7405/$A$1</f>
        <v>7.4050000000000002</v>
      </c>
      <c r="L59" s="166">
        <f>14479/$A$1</f>
        <v>14.478999999999999</v>
      </c>
      <c r="M59" s="167">
        <f t="shared" si="4"/>
        <v>49.265000000000001</v>
      </c>
      <c r="N59" s="134">
        <f>3.8628122213528/100</f>
        <v>3.8628122213528002E-2</v>
      </c>
      <c r="O59" s="78">
        <f t="shared" si="5"/>
        <v>84.909248000000161</v>
      </c>
      <c r="P59" s="144"/>
      <c r="Q59" s="145"/>
      <c r="R59" s="74"/>
    </row>
    <row r="60" spans="1:18" ht="14.5" x14ac:dyDescent="0.35">
      <c r="A60" s="71">
        <f t="shared" si="3"/>
        <v>54</v>
      </c>
      <c r="B60" s="87">
        <v>2003</v>
      </c>
      <c r="C60" s="31">
        <v>82.5</v>
      </c>
      <c r="D60" s="160">
        <f>D57+(D62-D57)/5*3</f>
        <v>66.260000000000005</v>
      </c>
      <c r="E60" s="160">
        <f>E57+(E62-E57)/5*3</f>
        <v>16.059999999999999</v>
      </c>
      <c r="F60" s="114">
        <f>(826527+423666+107531)/$A$1</f>
        <v>1357.7239999999999</v>
      </c>
      <c r="G60" s="111">
        <f t="shared" si="2"/>
        <v>80.452999999999975</v>
      </c>
      <c r="H60" s="91">
        <v>2211.5700000000002</v>
      </c>
      <c r="I60" s="46">
        <v>442.17</v>
      </c>
      <c r="J60" s="168">
        <f>28793/$A$1</f>
        <v>28.792999999999999</v>
      </c>
      <c r="K60" s="166">
        <f>7796/$A$1</f>
        <v>7.7960000000000003</v>
      </c>
      <c r="L60" s="166">
        <f>17280/$A$1</f>
        <v>17.28</v>
      </c>
      <c r="M60" s="167">
        <f t="shared" si="4"/>
        <v>53.869</v>
      </c>
      <c r="N60" s="134">
        <f>3.8735310209489/100</f>
        <v>3.8735310209488998E-2</v>
      </c>
      <c r="O60" s="78">
        <f t="shared" si="5"/>
        <v>85.665849999999594</v>
      </c>
      <c r="P60" s="144"/>
      <c r="Q60" s="145"/>
      <c r="R60" s="74"/>
    </row>
    <row r="61" spans="1:18" ht="14.5" x14ac:dyDescent="0.35">
      <c r="A61" s="71">
        <f t="shared" si="3"/>
        <v>55</v>
      </c>
      <c r="B61" s="87">
        <v>2004</v>
      </c>
      <c r="C61" s="31">
        <v>82.5</v>
      </c>
      <c r="D61" s="160">
        <f>D57+(D62-D57)/5*4</f>
        <v>65.98</v>
      </c>
      <c r="E61" s="160">
        <f>E57+(E62-E57)/5*4</f>
        <v>16.38</v>
      </c>
      <c r="F61" s="114">
        <f>(869332+448621+111796)/$A$1</f>
        <v>1429.749</v>
      </c>
      <c r="G61" s="111">
        <f t="shared" si="2"/>
        <v>72.025000000000091</v>
      </c>
      <c r="H61" s="91">
        <v>2262.52</v>
      </c>
      <c r="I61" s="46">
        <v>442.76</v>
      </c>
      <c r="J61" s="168">
        <f>29196/$A$1</f>
        <v>29.196000000000002</v>
      </c>
      <c r="K61" s="166">
        <f>7905/$A$1</f>
        <v>7.9050000000000002</v>
      </c>
      <c r="L61" s="166">
        <f>17264/$A$1</f>
        <v>17.263999999999999</v>
      </c>
      <c r="M61" s="167">
        <f t="shared" si="4"/>
        <v>54.364999999999995</v>
      </c>
      <c r="N61" s="134">
        <f>3.7905713098669/100</f>
        <v>3.7905713098668997E-2</v>
      </c>
      <c r="O61" s="78">
        <f t="shared" si="5"/>
        <v>85.762434000000582</v>
      </c>
      <c r="P61" s="144">
        <f>94.5</f>
        <v>94.5</v>
      </c>
      <c r="Q61" s="145"/>
      <c r="R61" s="74"/>
    </row>
    <row r="62" spans="1:18" ht="14.5" x14ac:dyDescent="0.35">
      <c r="A62" s="71">
        <f t="shared" si="3"/>
        <v>56</v>
      </c>
      <c r="B62" s="87">
        <v>2005</v>
      </c>
      <c r="C62" s="31">
        <v>82.4</v>
      </c>
      <c r="D62" s="128">
        <f>65700/$A$1</f>
        <v>65.7</v>
      </c>
      <c r="E62" s="129">
        <f>16700/$A$1</f>
        <v>16.7</v>
      </c>
      <c r="F62" s="114">
        <f>(903282+471339+115232)/$A$1</f>
        <v>1489.8530000000001</v>
      </c>
      <c r="G62" s="111">
        <f t="shared" si="2"/>
        <v>60.104000000000042</v>
      </c>
      <c r="H62" s="91">
        <v>2288.31</v>
      </c>
      <c r="I62" s="46">
        <v>452.08</v>
      </c>
      <c r="J62" s="168">
        <f>29515/$A$1</f>
        <v>29.515000000000001</v>
      </c>
      <c r="K62" s="166">
        <f>7973/$A$1</f>
        <v>7.9729999999999999</v>
      </c>
      <c r="L62" s="166">
        <f>17324/$A$1</f>
        <v>17.324000000000002</v>
      </c>
      <c r="M62" s="167">
        <f t="shared" si="4"/>
        <v>54.811999999999998</v>
      </c>
      <c r="N62" s="134">
        <f>3.7895287788805/100</f>
        <v>3.7895287788805E-2</v>
      </c>
      <c r="O62" s="78">
        <f t="shared" si="5"/>
        <v>86.716166000000371</v>
      </c>
      <c r="P62" s="144"/>
      <c r="Q62" s="145"/>
      <c r="R62" s="74"/>
    </row>
    <row r="63" spans="1:18" ht="14.5" x14ac:dyDescent="0.35">
      <c r="A63" s="71">
        <f t="shared" si="3"/>
        <v>57</v>
      </c>
      <c r="B63" s="87">
        <v>2006</v>
      </c>
      <c r="C63" s="31">
        <v>82.3</v>
      </c>
      <c r="D63" s="160">
        <f>D62+(D67-D62)/5*1</f>
        <v>65.64</v>
      </c>
      <c r="E63" s="160">
        <f>E62+(E67-E62)/5*1</f>
        <v>16.62</v>
      </c>
      <c r="F63" s="114">
        <f>(950338+482783+112243)/$A$1</f>
        <v>1545.364</v>
      </c>
      <c r="G63" s="111">
        <f t="shared" si="2"/>
        <v>55.510999999999967</v>
      </c>
      <c r="H63" s="91">
        <v>2385.08</v>
      </c>
      <c r="I63" s="46">
        <v>488.44</v>
      </c>
      <c r="J63" s="168">
        <f>29469/$A$1</f>
        <v>29.469000000000001</v>
      </c>
      <c r="K63" s="166">
        <f>7977/$A$1</f>
        <v>7.9770000000000003</v>
      </c>
      <c r="L63" s="166">
        <f>17463/$A$1</f>
        <v>17.463000000000001</v>
      </c>
      <c r="M63" s="167">
        <f t="shared" si="4"/>
        <v>54.908999999999999</v>
      </c>
      <c r="N63" s="134">
        <f>3.7394229962936/100</f>
        <v>3.7394229962935996E-2</v>
      </c>
      <c r="O63" s="78">
        <f t="shared" si="5"/>
        <v>89.188229999999379</v>
      </c>
      <c r="P63" s="144"/>
      <c r="Q63" s="145"/>
      <c r="R63" s="74"/>
    </row>
    <row r="64" spans="1:18" ht="14.5" x14ac:dyDescent="0.35">
      <c r="A64" s="71">
        <f t="shared" si="3"/>
        <v>58</v>
      </c>
      <c r="B64" s="87">
        <v>2007</v>
      </c>
      <c r="C64" s="31">
        <v>82.2</v>
      </c>
      <c r="D64" s="160">
        <f>D62+(D67-D62)/5*2</f>
        <v>65.58</v>
      </c>
      <c r="E64" s="160">
        <f>E62+(E67-E62)/5*2</f>
        <v>16.54</v>
      </c>
      <c r="F64" s="114">
        <f>(957270+484475+110627)/$A$1</f>
        <v>1552.3720000000001</v>
      </c>
      <c r="G64" s="111">
        <f t="shared" si="2"/>
        <v>7.0080000000000382</v>
      </c>
      <c r="H64" s="91">
        <v>2499.5500000000002</v>
      </c>
      <c r="I64" s="46">
        <v>538.24</v>
      </c>
      <c r="J64" s="168">
        <f>29992/$A$1</f>
        <v>29.992000000000001</v>
      </c>
      <c r="K64" s="166">
        <f>8087/$A$1</f>
        <v>8.0869999999999997</v>
      </c>
      <c r="L64" s="166">
        <f>17864/$A$1</f>
        <v>17.864000000000001</v>
      </c>
      <c r="M64" s="167">
        <f t="shared" si="4"/>
        <v>55.942999999999998</v>
      </c>
      <c r="N64" s="134">
        <f>3.6951591686504/100</f>
        <v>3.6951591686503998E-2</v>
      </c>
      <c r="O64" s="78">
        <f t="shared" si="5"/>
        <v>92.36235100000107</v>
      </c>
      <c r="P64" s="144"/>
      <c r="Q64" s="145"/>
      <c r="R64" s="74"/>
    </row>
    <row r="65" spans="1:18" ht="14.5" x14ac:dyDescent="0.35">
      <c r="A65" s="71">
        <f t="shared" si="3"/>
        <v>59</v>
      </c>
      <c r="B65" s="87">
        <v>2008</v>
      </c>
      <c r="C65" s="31">
        <v>82</v>
      </c>
      <c r="D65" s="160">
        <f>D62+(D67-D62)/5*3</f>
        <v>65.52000000000001</v>
      </c>
      <c r="E65" s="160">
        <f>E62+(E67-E62)/5*3</f>
        <v>16.46</v>
      </c>
      <c r="F65" s="114">
        <f>(985750+483268+108864)/$A$1</f>
        <v>1577.8820000000001</v>
      </c>
      <c r="G65" s="111">
        <f t="shared" si="2"/>
        <v>25.509999999999991</v>
      </c>
      <c r="H65" s="91">
        <v>2546.4899999999998</v>
      </c>
      <c r="I65" s="46">
        <v>561.17999999999995</v>
      </c>
      <c r="J65" s="168">
        <f>30158/$A$1</f>
        <v>30.158000000000001</v>
      </c>
      <c r="K65" s="166">
        <f>8083/$A$1</f>
        <v>8.0830000000000002</v>
      </c>
      <c r="L65" s="166">
        <f>18190/$A$1</f>
        <v>18.190000000000001</v>
      </c>
      <c r="M65" s="167">
        <f t="shared" si="4"/>
        <v>56.430999999999997</v>
      </c>
      <c r="N65" s="134">
        <f>3.6802357362487/100</f>
        <v>3.6802357362487E-2</v>
      </c>
      <c r="O65" s="78">
        <f t="shared" si="5"/>
        <v>93.716834999999506</v>
      </c>
      <c r="P65" s="144"/>
      <c r="Q65" s="145"/>
      <c r="R65" s="74"/>
    </row>
    <row r="66" spans="1:18" ht="14.5" x14ac:dyDescent="0.35">
      <c r="A66" s="71">
        <f t="shared" si="3"/>
        <v>60</v>
      </c>
      <c r="B66" s="87">
        <v>2009</v>
      </c>
      <c r="C66" s="31">
        <v>81.900000000000006</v>
      </c>
      <c r="D66" s="160">
        <f>D62+(D67-D62)/5*4</f>
        <v>65.460000000000008</v>
      </c>
      <c r="E66" s="160">
        <f>E62+(E67-E62)/5*4</f>
        <v>16.38</v>
      </c>
      <c r="F66" s="114">
        <f>(1053814+526745+113810)/$A$1</f>
        <v>1694.3689999999999</v>
      </c>
      <c r="G66" s="111">
        <f t="shared" si="2"/>
        <v>116.48699999999985</v>
      </c>
      <c r="H66" s="91">
        <v>2445.73</v>
      </c>
      <c r="I66" s="46">
        <v>524</v>
      </c>
      <c r="J66" s="168">
        <f>30491/$A$1</f>
        <v>30.491</v>
      </c>
      <c r="K66" s="166">
        <f>8162/$A$1</f>
        <v>8.1620000000000008</v>
      </c>
      <c r="L66" s="166">
        <f>18680/$A$1</f>
        <v>18.68</v>
      </c>
      <c r="M66" s="167">
        <f t="shared" si="4"/>
        <v>57.332999999999998</v>
      </c>
      <c r="N66" s="134">
        <f>4.0856899984872/100</f>
        <v>4.0856899984871999E-2</v>
      </c>
      <c r="O66" s="78">
        <f t="shared" si="5"/>
        <v>99.924946000001</v>
      </c>
      <c r="P66" s="144"/>
      <c r="Q66" s="145"/>
      <c r="R66" s="74"/>
    </row>
    <row r="67" spans="1:18" ht="14.5" x14ac:dyDescent="0.35">
      <c r="A67" s="71">
        <f t="shared" si="3"/>
        <v>61</v>
      </c>
      <c r="B67" s="87">
        <v>2010</v>
      </c>
      <c r="C67" s="31">
        <v>81.8</v>
      </c>
      <c r="D67" s="128">
        <f>65400/$A$1</f>
        <v>65.400000000000006</v>
      </c>
      <c r="E67" s="129">
        <f>16300/$A$1</f>
        <v>16.3</v>
      </c>
      <c r="F67" s="114">
        <f>(1287460+600110+123569)/$A$1</f>
        <v>2011.1389999999999</v>
      </c>
      <c r="G67" s="111">
        <f t="shared" si="2"/>
        <v>316.77</v>
      </c>
      <c r="H67" s="91">
        <v>2564.4</v>
      </c>
      <c r="I67" s="46">
        <v>530.59</v>
      </c>
      <c r="J67" s="168">
        <f>31472/$A$1</f>
        <v>31.472000000000001</v>
      </c>
      <c r="K67" s="166">
        <f>8413/$A$1</f>
        <v>8.4130000000000003</v>
      </c>
      <c r="L67" s="166">
        <f>19095/$A$1</f>
        <v>19.094999999999999</v>
      </c>
      <c r="M67" s="167">
        <f t="shared" si="4"/>
        <v>58.980000000000004</v>
      </c>
      <c r="N67" s="134">
        <f>4.142048198409/100</f>
        <v>4.1420481984090006E-2</v>
      </c>
      <c r="O67" s="78">
        <f t="shared" si="5"/>
        <v>106.21868400000041</v>
      </c>
      <c r="P67" s="144"/>
      <c r="Q67" s="145"/>
      <c r="R67" s="74"/>
    </row>
    <row r="68" spans="1:18" ht="14.5" x14ac:dyDescent="0.35">
      <c r="A68" s="71">
        <f t="shared" si="3"/>
        <v>62</v>
      </c>
      <c r="B68" s="87">
        <v>2011</v>
      </c>
      <c r="C68" s="31">
        <v>80.3</v>
      </c>
      <c r="D68" s="160">
        <f>D67+(D72-D67)/5*1</f>
        <v>65.540000000000006</v>
      </c>
      <c r="E68" s="160">
        <f>E67+(E72-E67)/5*1</f>
        <v>16.260000000000002</v>
      </c>
      <c r="F68" s="114">
        <f>(1279583+615399+129633)/$A$1</f>
        <v>2024.615</v>
      </c>
      <c r="G68" s="111">
        <f t="shared" si="2"/>
        <v>13.476000000000113</v>
      </c>
      <c r="H68" s="91">
        <v>2693.56</v>
      </c>
      <c r="I68" s="46">
        <v>573.35</v>
      </c>
      <c r="J68" s="168">
        <f>31348/$A$1</f>
        <v>31.347999999999999</v>
      </c>
      <c r="K68" s="166">
        <f>8293/$A$1</f>
        <v>8.2929999999999993</v>
      </c>
      <c r="L68" s="166">
        <f>19241/$A$1</f>
        <v>19.241</v>
      </c>
      <c r="M68" s="167">
        <f t="shared" si="4"/>
        <v>58.881999999999998</v>
      </c>
      <c r="N68" s="134">
        <f>4.08300018554/100</f>
        <v>4.0830001855400005E-2</v>
      </c>
      <c r="O68" s="78">
        <f t="shared" si="5"/>
        <v>109.97805979763123</v>
      </c>
      <c r="P68" s="144">
        <v>1500</v>
      </c>
      <c r="Q68" s="145"/>
      <c r="R68" s="74"/>
    </row>
    <row r="69" spans="1:18" ht="14.5" x14ac:dyDescent="0.35">
      <c r="A69" s="71">
        <f t="shared" si="3"/>
        <v>63</v>
      </c>
      <c r="B69" s="87">
        <v>2012</v>
      </c>
      <c r="C69" s="31">
        <v>80.5</v>
      </c>
      <c r="D69" s="160">
        <f>D67+(D72-D67)/5*2</f>
        <v>65.680000000000007</v>
      </c>
      <c r="E69" s="160">
        <f>E67+(E72-E67)/5*2</f>
        <v>16.220000000000002</v>
      </c>
      <c r="F69" s="114">
        <f>(1287517+644929+135178)/$A$1</f>
        <v>2067.6239999999998</v>
      </c>
      <c r="G69" s="111">
        <f t="shared" si="2"/>
        <v>43.008999999999787</v>
      </c>
      <c r="H69" s="91">
        <v>2745.31</v>
      </c>
      <c r="I69" s="46">
        <v>600.04999999999995</v>
      </c>
      <c r="J69" s="168">
        <f>31570/$A$1</f>
        <v>31.57</v>
      </c>
      <c r="K69" s="166">
        <f>8325/$A$1</f>
        <v>8.3249999999999993</v>
      </c>
      <c r="L69" s="166">
        <f>20123/$A$1</f>
        <v>20.123000000000001</v>
      </c>
      <c r="M69" s="167">
        <f t="shared" si="4"/>
        <v>60.018000000000001</v>
      </c>
      <c r="N69" s="134">
        <f>4.0856286926453/100</f>
        <v>4.0856286926453003E-2</v>
      </c>
      <c r="O69" s="78">
        <f t="shared" si="5"/>
        <v>112.16317306206069</v>
      </c>
      <c r="P69" s="144"/>
      <c r="Q69" s="146"/>
      <c r="R69" s="74"/>
    </row>
    <row r="70" spans="1:18" ht="14.5" x14ac:dyDescent="0.35">
      <c r="A70" s="71">
        <f t="shared" si="3"/>
        <v>64</v>
      </c>
      <c r="B70" s="87">
        <v>2013</v>
      </c>
      <c r="C70" s="31">
        <v>80.8</v>
      </c>
      <c r="D70" s="160">
        <f>D67+(D72-D67)/5*3</f>
        <v>65.819999999999993</v>
      </c>
      <c r="E70" s="160">
        <f>E67+(E72-E67)/5*3</f>
        <v>16.18</v>
      </c>
      <c r="F70" s="114">
        <f>(1282683+624915+135116)/$A$1</f>
        <v>2042.7139999999999</v>
      </c>
      <c r="G70" s="111">
        <f t="shared" si="2"/>
        <v>-24.909999999999854</v>
      </c>
      <c r="H70" s="91">
        <v>2811.35</v>
      </c>
      <c r="I70" s="46">
        <v>619.71</v>
      </c>
      <c r="J70" s="168">
        <f>30494/$A$1</f>
        <v>30.494</v>
      </c>
      <c r="K70" s="166">
        <f>8369/$A$1</f>
        <v>8.3689999999999998</v>
      </c>
      <c r="L70" s="166">
        <f>20990/$A$1</f>
        <v>20.99</v>
      </c>
      <c r="M70" s="167">
        <f t="shared" si="4"/>
        <v>59.852999999999994</v>
      </c>
      <c r="N70" s="134">
        <f>4.1599616659231/100</f>
        <v>4.1599616659230995E-2</v>
      </c>
      <c r="O70" s="78">
        <f t="shared" si="5"/>
        <v>116.95108229492905</v>
      </c>
      <c r="P70" s="144"/>
      <c r="Q70" s="145"/>
      <c r="R70" s="157" t="s">
        <v>68</v>
      </c>
    </row>
    <row r="71" spans="1:18" ht="14.5" x14ac:dyDescent="0.35">
      <c r="A71" s="71">
        <f t="shared" si="3"/>
        <v>65</v>
      </c>
      <c r="B71" s="87">
        <v>2014</v>
      </c>
      <c r="C71" s="31">
        <v>81.2</v>
      </c>
      <c r="D71" s="160">
        <f>D67+(D72-D67)/5*4</f>
        <v>65.959999999999994</v>
      </c>
      <c r="E71" s="160">
        <f>E67+(E72-E67)/5*4</f>
        <v>16.14</v>
      </c>
      <c r="F71" s="114">
        <f>(1289854+614055+139448)/$A$1</f>
        <v>2043.357</v>
      </c>
      <c r="G71" s="111">
        <f t="shared" si="2"/>
        <v>0.6430000000000291</v>
      </c>
      <c r="H71" s="91">
        <v>2927.43</v>
      </c>
      <c r="I71" s="46">
        <v>643.62</v>
      </c>
      <c r="J71" s="168">
        <f>31138/$A$1</f>
        <v>31.138000000000002</v>
      </c>
      <c r="K71" s="166">
        <f>8675/$A$1</f>
        <v>8.6750000000000007</v>
      </c>
      <c r="L71" s="166">
        <f>21522/$A$1</f>
        <v>21.521999999999998</v>
      </c>
      <c r="M71" s="167">
        <f t="shared" si="4"/>
        <v>61.335000000000001</v>
      </c>
      <c r="N71" s="134">
        <f>4.1537407474816/100</f>
        <v>4.1537407474816004E-2</v>
      </c>
      <c r="O71" s="78">
        <f t="shared" si="5"/>
        <v>121.59785276400061</v>
      </c>
      <c r="P71" s="144"/>
      <c r="Q71" s="145">
        <v>1300</v>
      </c>
      <c r="R71" s="157">
        <v>-862</v>
      </c>
    </row>
    <row r="72" spans="1:18" ht="14.5" x14ac:dyDescent="0.35">
      <c r="A72" s="71">
        <f t="shared" si="3"/>
        <v>66</v>
      </c>
      <c r="B72" s="87">
        <v>2015</v>
      </c>
      <c r="C72" s="31">
        <v>82.2</v>
      </c>
      <c r="D72" s="128">
        <f>66100/$A$1</f>
        <v>66.099999999999994</v>
      </c>
      <c r="E72" s="129">
        <f>16100/$A$1</f>
        <v>16.100000000000001</v>
      </c>
      <c r="F72" s="114">
        <f>(1262769+613202+144245)/$A$1</f>
        <v>2020.2159999999999</v>
      </c>
      <c r="G72" s="111">
        <f t="shared" ref="G72:G78" si="6">F72-F71</f>
        <v>-23.141000000000076</v>
      </c>
      <c r="H72" s="91">
        <v>3026.18</v>
      </c>
      <c r="I72" s="46">
        <v>673.26</v>
      </c>
      <c r="J72" s="168">
        <f>31472/$A$1</f>
        <v>31.472000000000001</v>
      </c>
      <c r="K72" s="166">
        <f>8757/$A$1</f>
        <v>8.7569999999999997</v>
      </c>
      <c r="L72" s="166">
        <f>22203/$A$1</f>
        <v>22.202999999999999</v>
      </c>
      <c r="M72" s="167">
        <f t="shared" si="4"/>
        <v>62.432000000000002</v>
      </c>
      <c r="N72" s="134">
        <f>4.092796736445/100</f>
        <v>4.0927967364450001E-2</v>
      </c>
      <c r="O72" s="78">
        <f t="shared" si="5"/>
        <v>123.85539627895129</v>
      </c>
      <c r="P72" s="144"/>
      <c r="Q72" s="145"/>
      <c r="R72" s="158" t="s">
        <v>69</v>
      </c>
    </row>
    <row r="73" spans="1:18" ht="14.5" x14ac:dyDescent="0.35">
      <c r="A73" s="71">
        <f t="shared" ref="A73:A117" si="7">A72+1</f>
        <v>67</v>
      </c>
      <c r="B73" s="87">
        <v>2016</v>
      </c>
      <c r="C73" s="31">
        <v>82.5</v>
      </c>
      <c r="D73" s="160">
        <f>D72+(D76-D72)/4*1</f>
        <v>66.324999999999989</v>
      </c>
      <c r="E73" s="160">
        <f>E72+(E76-E72)/4*1</f>
        <v>16.125</v>
      </c>
      <c r="F73" s="114">
        <f>(1257065+608731+143079)/$A$1</f>
        <v>2008.875</v>
      </c>
      <c r="G73" s="111">
        <f t="shared" si="6"/>
        <v>-11.340999999999894</v>
      </c>
      <c r="H73" s="91">
        <v>3134.74</v>
      </c>
      <c r="I73" s="46">
        <v>705.79</v>
      </c>
      <c r="J73" s="168">
        <f>32312/$A$1</f>
        <v>32.311999999999998</v>
      </c>
      <c r="K73" s="166">
        <f>9050/$A$1</f>
        <v>9.0500000000000007</v>
      </c>
      <c r="L73" s="166">
        <f>23107/$A$1</f>
        <v>23.106999999999999</v>
      </c>
      <c r="M73" s="167">
        <f t="shared" si="4"/>
        <v>64.468999999999994</v>
      </c>
      <c r="N73" s="134">
        <f>4.1202800607511/100</f>
        <v>4.1202800607511005E-2</v>
      </c>
      <c r="O73" s="78">
        <f t="shared" si="5"/>
        <v>129.16006717638905</v>
      </c>
      <c r="P73" s="144">
        <f>1720+187.5</f>
        <v>1907.5</v>
      </c>
      <c r="Q73" s="149">
        <f>1400-Q41-R71</f>
        <v>2760.51</v>
      </c>
      <c r="R73" s="159">
        <f>Q73-P73</f>
        <v>853.01000000000022</v>
      </c>
    </row>
    <row r="74" spans="1:18" ht="14.5" x14ac:dyDescent="0.35">
      <c r="A74" s="71">
        <f t="shared" si="7"/>
        <v>68</v>
      </c>
      <c r="B74" s="87">
        <v>2017</v>
      </c>
      <c r="C74" s="31">
        <v>82.8</v>
      </c>
      <c r="D74" s="160">
        <f>D72+(D76-D72)/4*2</f>
        <v>66.55</v>
      </c>
      <c r="E74" s="160">
        <f>E72+(E76-E72)/4*2</f>
        <v>16.149999999999999</v>
      </c>
      <c r="F74" s="114">
        <f>(1242547+586394+139725)/$A$1</f>
        <v>1968.6659999999999</v>
      </c>
      <c r="G74" s="111">
        <f t="shared" si="6"/>
        <v>-40.20900000000006</v>
      </c>
      <c r="H74" s="91">
        <v>3267.16</v>
      </c>
      <c r="I74" s="46">
        <v>734.51</v>
      </c>
      <c r="J74" s="168">
        <f>34396/$A$1</f>
        <v>34.396000000000001</v>
      </c>
      <c r="K74" s="166">
        <f>9395/$A$1</f>
        <v>9.3949999999999996</v>
      </c>
      <c r="L74" s="166">
        <f>24001/$A$1</f>
        <v>24.001000000000001</v>
      </c>
      <c r="M74" s="167">
        <f t="shared" si="4"/>
        <v>67.792000000000002</v>
      </c>
      <c r="N74" s="134">
        <f>4.1342033637173/100</f>
        <v>4.1342033637173002E-2</v>
      </c>
      <c r="O74" s="78">
        <f t="shared" si="5"/>
        <v>135.07103861802614</v>
      </c>
      <c r="P74" s="141"/>
      <c r="Q74" s="145"/>
      <c r="R74" s="150" t="s">
        <v>68</v>
      </c>
    </row>
    <row r="75" spans="1:18" ht="14.5" x14ac:dyDescent="0.35">
      <c r="A75" s="71">
        <f t="shared" si="7"/>
        <v>69</v>
      </c>
      <c r="B75" s="87">
        <v>2018</v>
      </c>
      <c r="C75" s="31">
        <v>83</v>
      </c>
      <c r="D75" s="160">
        <f>D72+(D76-D72)/4*3</f>
        <v>66.775000000000006</v>
      </c>
      <c r="E75" s="160">
        <f>E72+(E76-E72)/4*3</f>
        <v>16.175000000000001</v>
      </c>
      <c r="F75" s="114">
        <f>(1213302+570525+131813)/$A$1</f>
        <v>1915.64</v>
      </c>
      <c r="G75" s="111">
        <f t="shared" si="6"/>
        <v>-53.02599999999984</v>
      </c>
      <c r="H75" s="91">
        <v>3367.87</v>
      </c>
      <c r="I75" s="46">
        <v>776.26</v>
      </c>
      <c r="J75" s="168">
        <f>35035/$A$1</f>
        <v>35.034999999999997</v>
      </c>
      <c r="K75" s="166">
        <f>9555/$A$1</f>
        <v>9.5549999999999997</v>
      </c>
      <c r="L75" s="166">
        <f>24915/$A$1</f>
        <v>24.914999999999999</v>
      </c>
      <c r="M75" s="167">
        <f t="shared" si="4"/>
        <v>69.504999999999995</v>
      </c>
      <c r="N75" s="134">
        <f>4.1500621900919/100</f>
        <v>4.1500621900918994E-2</v>
      </c>
      <c r="O75" s="78">
        <f t="shared" si="5"/>
        <v>139.76869948144804</v>
      </c>
      <c r="P75" s="141"/>
      <c r="Q75" s="145"/>
      <c r="R75" s="150">
        <v>962</v>
      </c>
    </row>
    <row r="76" spans="1:18" ht="14.5" x14ac:dyDescent="0.35">
      <c r="A76" s="71">
        <f t="shared" si="7"/>
        <v>70</v>
      </c>
      <c r="B76" s="87">
        <v>2019</v>
      </c>
      <c r="C76" s="32">
        <v>83.2</v>
      </c>
      <c r="D76" s="128">
        <f>67000/$A$1</f>
        <v>67</v>
      </c>
      <c r="E76" s="129">
        <f>16200/$A$1</f>
        <v>16.2</v>
      </c>
      <c r="F76" s="110">
        <f>(1188581+579009+131411)/$A$1</f>
        <v>1899.001</v>
      </c>
      <c r="G76" s="111">
        <f t="shared" si="6"/>
        <v>-16.639000000000124</v>
      </c>
      <c r="H76" s="91">
        <v>3473.35</v>
      </c>
      <c r="I76" s="46">
        <v>799.31</v>
      </c>
      <c r="J76" s="168">
        <f>36305/$A$1</f>
        <v>36.305</v>
      </c>
      <c r="K76" s="166">
        <f>9913/$A$1</f>
        <v>9.9130000000000003</v>
      </c>
      <c r="L76" s="166">
        <f>26087/$A$1</f>
        <v>26.087</v>
      </c>
      <c r="M76" s="167">
        <f t="shared" si="4"/>
        <v>72.305000000000007</v>
      </c>
      <c r="N76" s="208">
        <f>4.1500621900919/100</f>
        <v>4.1500621900918994E-2</v>
      </c>
      <c r="O76" s="131">
        <v>150.52500000000001</v>
      </c>
      <c r="P76" s="141"/>
      <c r="Q76" s="145"/>
      <c r="R76" s="74"/>
    </row>
    <row r="77" spans="1:18" ht="14.5" x14ac:dyDescent="0.35">
      <c r="A77" s="71">
        <f t="shared" si="7"/>
        <v>71</v>
      </c>
      <c r="B77" s="87">
        <v>2020</v>
      </c>
      <c r="C77" s="41">
        <v>83.4</v>
      </c>
      <c r="D77" s="162">
        <f t="shared" ref="D77:D78" si="8">67000/$A$1</f>
        <v>67</v>
      </c>
      <c r="E77" s="163">
        <f t="shared" ref="E77:E78" si="9">16200/$A$1</f>
        <v>16.2</v>
      </c>
      <c r="F77" s="110">
        <f>(1403481+636022+133340)/$A$1</f>
        <v>2172.8429999999998</v>
      </c>
      <c r="G77" s="111">
        <f t="shared" si="6"/>
        <v>273.84199999999987</v>
      </c>
      <c r="H77" s="91">
        <v>3367.56</v>
      </c>
      <c r="I77" s="181">
        <v>739.7</v>
      </c>
      <c r="J77" s="168">
        <f>37827/$A$1</f>
        <v>37.826999999999998</v>
      </c>
      <c r="K77" s="166">
        <f>10327/$A$1</f>
        <v>10.327</v>
      </c>
      <c r="L77" s="166">
        <f>27148/$A$1</f>
        <v>27.148</v>
      </c>
      <c r="M77" s="167">
        <f t="shared" si="4"/>
        <v>75.301999999999992</v>
      </c>
      <c r="N77" s="208">
        <f>4.1500621900919/100</f>
        <v>4.1500621900918994E-2</v>
      </c>
      <c r="O77" s="130">
        <v>159.59200000000001</v>
      </c>
      <c r="P77" s="141"/>
      <c r="Q77" s="145"/>
      <c r="R77" s="74"/>
    </row>
    <row r="78" spans="1:18" s="1" customFormat="1" ht="14.5" x14ac:dyDescent="0.35">
      <c r="A78" s="71">
        <f t="shared" si="7"/>
        <v>72</v>
      </c>
      <c r="B78" s="169">
        <v>2021</v>
      </c>
      <c r="C78" s="170">
        <v>83.5</v>
      </c>
      <c r="D78" s="171">
        <f t="shared" si="8"/>
        <v>67</v>
      </c>
      <c r="E78" s="172">
        <f t="shared" si="9"/>
        <v>16.2</v>
      </c>
      <c r="F78" s="173">
        <f>(2365577)/$A$1</f>
        <v>2365.5770000000002</v>
      </c>
      <c r="G78" s="174">
        <f t="shared" si="6"/>
        <v>192.73400000000038</v>
      </c>
      <c r="H78" s="175">
        <v>3570.62</v>
      </c>
      <c r="I78" s="181">
        <v>812</v>
      </c>
      <c r="J78" s="176">
        <f>37827/$A$1</f>
        <v>37.826999999999998</v>
      </c>
      <c r="K78" s="177">
        <f>10327/$A$1</f>
        <v>10.327</v>
      </c>
      <c r="L78" s="177">
        <f>27148/$A$1</f>
        <v>27.148</v>
      </c>
      <c r="M78" s="178">
        <f t="shared" ref="M78" si="10">J78+K78+L78</f>
        <v>75.301999999999992</v>
      </c>
      <c r="N78" s="208">
        <f>4.1500621900919/100</f>
        <v>4.1500621900918994E-2</v>
      </c>
      <c r="O78" s="179">
        <v>165.11099999999999</v>
      </c>
      <c r="P78" s="14"/>
      <c r="Q78" s="149"/>
      <c r="R78" s="180"/>
    </row>
    <row r="79" spans="1:18" ht="13" x14ac:dyDescent="0.3">
      <c r="A79" s="71">
        <f t="shared" si="7"/>
        <v>73</v>
      </c>
      <c r="B79" s="87">
        <v>2022</v>
      </c>
      <c r="C79" s="41">
        <v>83.6</v>
      </c>
      <c r="D79" s="9"/>
      <c r="E79" s="42"/>
      <c r="F79" s="115"/>
      <c r="G79" s="111"/>
      <c r="H79" s="73"/>
      <c r="I79" s="73"/>
      <c r="J79" s="109"/>
      <c r="K79" s="74"/>
      <c r="L79" s="74"/>
      <c r="M79" s="74"/>
      <c r="N79" s="72"/>
      <c r="O79" s="75"/>
      <c r="P79" s="143"/>
      <c r="Q79" s="146"/>
      <c r="R79" s="74"/>
    </row>
    <row r="80" spans="1:18" ht="13" x14ac:dyDescent="0.3">
      <c r="A80" s="71">
        <f t="shared" si="7"/>
        <v>74</v>
      </c>
      <c r="B80" s="108">
        <v>2023</v>
      </c>
      <c r="C80" s="11">
        <v>83.7</v>
      </c>
      <c r="D80" s="12"/>
      <c r="E80" s="7"/>
      <c r="G80" s="121"/>
      <c r="H80" s="2"/>
      <c r="I80" s="2"/>
    </row>
    <row r="81" spans="1:9" ht="13" x14ac:dyDescent="0.3">
      <c r="A81" s="71">
        <f t="shared" si="7"/>
        <v>75</v>
      </c>
      <c r="B81" s="87">
        <v>2024</v>
      </c>
      <c r="C81" s="11">
        <v>83.7</v>
      </c>
      <c r="D81" s="12"/>
      <c r="E81" s="7"/>
      <c r="G81" s="121"/>
      <c r="H81" s="2"/>
      <c r="I81" s="2"/>
    </row>
    <row r="82" spans="1:9" ht="13" x14ac:dyDescent="0.3">
      <c r="A82" s="71">
        <f t="shared" si="7"/>
        <v>76</v>
      </c>
      <c r="B82" s="87">
        <v>2025</v>
      </c>
      <c r="C82" s="11">
        <v>83.7</v>
      </c>
      <c r="D82" s="12"/>
      <c r="E82" s="7"/>
      <c r="G82" s="121"/>
      <c r="H82" s="2"/>
      <c r="I82" s="2"/>
    </row>
    <row r="83" spans="1:9" ht="13" x14ac:dyDescent="0.3">
      <c r="A83" s="71">
        <f t="shared" si="7"/>
        <v>77</v>
      </c>
      <c r="B83" s="87">
        <v>2026</v>
      </c>
      <c r="C83" s="11">
        <v>83.6</v>
      </c>
      <c r="D83" s="12"/>
      <c r="E83" s="7"/>
      <c r="G83" s="121"/>
      <c r="H83" s="2"/>
      <c r="I83" s="2"/>
    </row>
    <row r="84" spans="1:9" ht="13" x14ac:dyDescent="0.3">
      <c r="A84" s="71">
        <f t="shared" si="7"/>
        <v>78</v>
      </c>
      <c r="B84" s="87">
        <v>2027</v>
      </c>
      <c r="C84" s="11">
        <v>83.6</v>
      </c>
      <c r="D84" s="12"/>
      <c r="E84" s="7"/>
      <c r="G84" s="121"/>
      <c r="H84" s="2"/>
      <c r="I84" s="2"/>
    </row>
    <row r="85" spans="1:9" ht="13" x14ac:dyDescent="0.3">
      <c r="A85" s="71">
        <f t="shared" si="7"/>
        <v>79</v>
      </c>
      <c r="B85" s="87">
        <v>2028</v>
      </c>
      <c r="C85" s="11">
        <v>83.5</v>
      </c>
      <c r="D85" s="12"/>
      <c r="E85" s="7"/>
      <c r="G85" s="121"/>
      <c r="H85" s="2"/>
      <c r="I85" s="2"/>
    </row>
    <row r="86" spans="1:9" ht="13" x14ac:dyDescent="0.3">
      <c r="A86" s="71">
        <f t="shared" si="7"/>
        <v>80</v>
      </c>
      <c r="B86" s="87">
        <v>2029</v>
      </c>
      <c r="C86" s="11">
        <v>83.4</v>
      </c>
      <c r="D86" s="12"/>
      <c r="E86" s="7"/>
      <c r="G86" s="121"/>
      <c r="H86" s="2"/>
      <c r="I86" s="2"/>
    </row>
    <row r="87" spans="1:9" ht="13" x14ac:dyDescent="0.3">
      <c r="A87" s="71">
        <f t="shared" si="7"/>
        <v>81</v>
      </c>
      <c r="B87" s="87">
        <v>2030</v>
      </c>
      <c r="C87" s="11">
        <v>83.3</v>
      </c>
      <c r="D87" s="12"/>
      <c r="E87" s="7"/>
      <c r="G87" s="121"/>
      <c r="H87" s="2"/>
      <c r="I87" s="2"/>
    </row>
    <row r="88" spans="1:9" ht="13" x14ac:dyDescent="0.3">
      <c r="A88" s="71">
        <f t="shared" si="7"/>
        <v>82</v>
      </c>
      <c r="B88" s="87">
        <v>2031</v>
      </c>
      <c r="C88" s="11">
        <v>83.2</v>
      </c>
      <c r="D88" s="12"/>
      <c r="E88" s="7"/>
      <c r="G88" s="121"/>
      <c r="H88" s="2"/>
      <c r="I88" s="2"/>
    </row>
    <row r="89" spans="1:9" ht="13" x14ac:dyDescent="0.3">
      <c r="A89" s="71">
        <f t="shared" si="7"/>
        <v>83</v>
      </c>
      <c r="B89" s="87">
        <v>2032</v>
      </c>
      <c r="C89" s="11">
        <v>83.1</v>
      </c>
      <c r="D89" s="12"/>
      <c r="E89" s="7"/>
      <c r="G89" s="121"/>
      <c r="H89" s="2"/>
      <c r="I89" s="2"/>
    </row>
    <row r="90" spans="1:9" ht="13" x14ac:dyDescent="0.3">
      <c r="A90" s="71">
        <f t="shared" si="7"/>
        <v>84</v>
      </c>
      <c r="B90" s="87">
        <v>2033</v>
      </c>
      <c r="C90" s="11">
        <v>83</v>
      </c>
      <c r="D90" s="12"/>
      <c r="E90" s="7"/>
      <c r="G90" s="121"/>
      <c r="H90" s="2"/>
      <c r="I90" s="2"/>
    </row>
    <row r="91" spans="1:9" ht="13" x14ac:dyDescent="0.3">
      <c r="A91" s="71">
        <f t="shared" si="7"/>
        <v>85</v>
      </c>
      <c r="B91" s="87">
        <v>2034</v>
      </c>
      <c r="C91" s="11">
        <v>82.9</v>
      </c>
      <c r="D91" s="12"/>
      <c r="E91" s="7"/>
      <c r="G91" s="121"/>
      <c r="H91" s="2"/>
      <c r="I91" s="2"/>
    </row>
    <row r="92" spans="1:9" ht="13" x14ac:dyDescent="0.3">
      <c r="A92" s="71">
        <f t="shared" si="7"/>
        <v>86</v>
      </c>
      <c r="B92" s="87">
        <v>2035</v>
      </c>
      <c r="C92" s="11">
        <v>82.8</v>
      </c>
      <c r="D92" s="12"/>
      <c r="E92" s="7"/>
      <c r="G92" s="121"/>
      <c r="H92" s="2"/>
      <c r="I92" s="2"/>
    </row>
    <row r="93" spans="1:9" ht="13" x14ac:dyDescent="0.3">
      <c r="A93" s="71">
        <f t="shared" si="7"/>
        <v>87</v>
      </c>
      <c r="B93" s="87">
        <v>2036</v>
      </c>
      <c r="C93" s="11">
        <v>82.7</v>
      </c>
      <c r="D93" s="12"/>
      <c r="E93" s="7"/>
      <c r="G93" s="121"/>
      <c r="H93" s="2"/>
      <c r="I93" s="2"/>
    </row>
    <row r="94" spans="1:9" ht="13" x14ac:dyDescent="0.3">
      <c r="A94" s="71">
        <f t="shared" si="7"/>
        <v>88</v>
      </c>
      <c r="B94" s="87">
        <v>2037</v>
      </c>
      <c r="C94" s="11">
        <v>82.5</v>
      </c>
      <c r="D94" s="12"/>
      <c r="E94" s="7"/>
      <c r="G94" s="121"/>
      <c r="H94" s="2"/>
      <c r="I94" s="2"/>
    </row>
    <row r="95" spans="1:9" ht="13" x14ac:dyDescent="0.3">
      <c r="A95" s="71">
        <f t="shared" si="7"/>
        <v>89</v>
      </c>
      <c r="B95" s="87">
        <v>2038</v>
      </c>
      <c r="C95" s="11">
        <v>82.4</v>
      </c>
      <c r="D95" s="12"/>
      <c r="E95" s="7"/>
      <c r="G95" s="121"/>
      <c r="H95" s="2"/>
      <c r="I95" s="2"/>
    </row>
    <row r="96" spans="1:9" ht="13" x14ac:dyDescent="0.3">
      <c r="A96" s="71">
        <f t="shared" si="7"/>
        <v>90</v>
      </c>
      <c r="B96" s="87">
        <v>2039</v>
      </c>
      <c r="C96" s="11">
        <v>82.2</v>
      </c>
      <c r="D96" s="12"/>
      <c r="E96" s="7"/>
      <c r="G96" s="121"/>
      <c r="H96" s="2"/>
      <c r="I96" s="2"/>
    </row>
    <row r="97" spans="1:9" ht="13" x14ac:dyDescent="0.3">
      <c r="A97" s="71">
        <f t="shared" si="7"/>
        <v>91</v>
      </c>
      <c r="B97" s="87">
        <v>2040</v>
      </c>
      <c r="C97" s="11">
        <v>82.1</v>
      </c>
      <c r="D97" s="12"/>
      <c r="E97" s="7"/>
      <c r="G97" s="121"/>
      <c r="H97" s="2"/>
      <c r="I97" s="2"/>
    </row>
    <row r="98" spans="1:9" ht="13" x14ac:dyDescent="0.3">
      <c r="A98" s="71">
        <f t="shared" si="7"/>
        <v>92</v>
      </c>
      <c r="B98" s="87">
        <v>2041</v>
      </c>
      <c r="C98" s="11">
        <v>81.900000000000006</v>
      </c>
      <c r="D98" s="12"/>
      <c r="E98" s="7"/>
      <c r="G98" s="121"/>
      <c r="H98" s="2"/>
      <c r="I98" s="2"/>
    </row>
    <row r="99" spans="1:9" ht="13" x14ac:dyDescent="0.3">
      <c r="A99" s="71">
        <f t="shared" si="7"/>
        <v>93</v>
      </c>
      <c r="B99" s="87">
        <v>2042</v>
      </c>
      <c r="C99" s="11">
        <v>81.8</v>
      </c>
      <c r="D99" s="12"/>
      <c r="E99" s="7"/>
      <c r="G99" s="121"/>
      <c r="H99" s="2"/>
      <c r="I99" s="2"/>
    </row>
    <row r="100" spans="1:9" ht="13" x14ac:dyDescent="0.3">
      <c r="A100" s="71">
        <f t="shared" si="7"/>
        <v>94</v>
      </c>
      <c r="B100" s="87">
        <v>2043</v>
      </c>
      <c r="C100" s="11">
        <v>81.599999999999994</v>
      </c>
      <c r="D100" s="12"/>
      <c r="E100" s="7"/>
      <c r="G100" s="121"/>
      <c r="H100" s="2"/>
      <c r="I100" s="2"/>
    </row>
    <row r="101" spans="1:9" ht="13" x14ac:dyDescent="0.3">
      <c r="A101" s="71">
        <f t="shared" si="7"/>
        <v>95</v>
      </c>
      <c r="B101" s="87">
        <v>2044</v>
      </c>
      <c r="C101" s="11">
        <v>81.400000000000006</v>
      </c>
      <c r="D101" s="12"/>
      <c r="E101" s="7"/>
      <c r="G101" s="121"/>
      <c r="H101" s="2"/>
      <c r="I101" s="2"/>
    </row>
    <row r="102" spans="1:9" ht="13" x14ac:dyDescent="0.3">
      <c r="A102" s="71">
        <f t="shared" si="7"/>
        <v>96</v>
      </c>
      <c r="B102" s="87">
        <v>2045</v>
      </c>
      <c r="C102" s="11">
        <v>81.2</v>
      </c>
      <c r="D102" s="12"/>
      <c r="E102" s="7"/>
      <c r="G102" s="121"/>
      <c r="H102" s="2"/>
      <c r="I102" s="2"/>
    </row>
    <row r="103" spans="1:9" ht="13" x14ac:dyDescent="0.3">
      <c r="A103" s="71">
        <f t="shared" si="7"/>
        <v>97</v>
      </c>
      <c r="B103" s="87">
        <v>2046</v>
      </c>
      <c r="C103" s="11">
        <v>81</v>
      </c>
      <c r="D103" s="12"/>
      <c r="E103" s="7"/>
      <c r="G103" s="121"/>
      <c r="H103" s="2"/>
      <c r="I103" s="2"/>
    </row>
    <row r="104" spans="1:9" ht="13" x14ac:dyDescent="0.3">
      <c r="A104" s="71">
        <f t="shared" si="7"/>
        <v>98</v>
      </c>
      <c r="B104" s="87">
        <v>2047</v>
      </c>
      <c r="C104" s="11">
        <v>80.8</v>
      </c>
      <c r="D104" s="12"/>
      <c r="E104" s="7"/>
      <c r="G104" s="121"/>
      <c r="H104" s="2"/>
      <c r="I104" s="2"/>
    </row>
    <row r="105" spans="1:9" ht="13" x14ac:dyDescent="0.3">
      <c r="A105" s="71">
        <f t="shared" si="7"/>
        <v>99</v>
      </c>
      <c r="B105" s="87">
        <v>2048</v>
      </c>
      <c r="C105" s="11">
        <v>80.599999999999994</v>
      </c>
      <c r="D105" s="12"/>
      <c r="E105" s="7"/>
      <c r="G105" s="121"/>
      <c r="H105" s="2"/>
      <c r="I105" s="2"/>
    </row>
    <row r="106" spans="1:9" ht="13" x14ac:dyDescent="0.3">
      <c r="A106" s="71">
        <f t="shared" si="7"/>
        <v>100</v>
      </c>
      <c r="B106" s="87">
        <v>2049</v>
      </c>
      <c r="C106" s="11">
        <v>80.400000000000006</v>
      </c>
      <c r="D106" s="12"/>
      <c r="E106" s="7"/>
      <c r="G106" s="121"/>
      <c r="H106" s="2"/>
      <c r="I106" s="2"/>
    </row>
    <row r="107" spans="1:9" ht="13" x14ac:dyDescent="0.3">
      <c r="A107" s="71">
        <f t="shared" si="7"/>
        <v>101</v>
      </c>
      <c r="B107" s="87">
        <v>2050</v>
      </c>
      <c r="C107" s="11">
        <v>80.2</v>
      </c>
      <c r="D107" s="12"/>
      <c r="E107" s="7"/>
      <c r="G107" s="121"/>
      <c r="H107" s="2"/>
      <c r="I107" s="2"/>
    </row>
    <row r="108" spans="1:9" ht="13" x14ac:dyDescent="0.3">
      <c r="A108" s="71">
        <f t="shared" si="7"/>
        <v>102</v>
      </c>
      <c r="B108" s="87">
        <v>2051</v>
      </c>
      <c r="C108" s="11">
        <v>80</v>
      </c>
      <c r="D108" s="12"/>
      <c r="E108" s="7"/>
      <c r="G108" s="121"/>
      <c r="H108" s="2"/>
      <c r="I108" s="2"/>
    </row>
    <row r="109" spans="1:9" ht="13" x14ac:dyDescent="0.3">
      <c r="A109" s="71">
        <f t="shared" si="7"/>
        <v>103</v>
      </c>
      <c r="B109" s="87">
        <v>2052</v>
      </c>
      <c r="C109" s="11">
        <v>79.8</v>
      </c>
      <c r="D109" s="12"/>
      <c r="E109" s="7"/>
      <c r="G109" s="121"/>
      <c r="H109" s="2"/>
      <c r="I109" s="2"/>
    </row>
    <row r="110" spans="1:9" ht="13" x14ac:dyDescent="0.3">
      <c r="A110" s="71">
        <f t="shared" si="7"/>
        <v>104</v>
      </c>
      <c r="B110" s="87">
        <v>2053</v>
      </c>
      <c r="C110" s="11">
        <v>79.599999999999994</v>
      </c>
      <c r="D110" s="12"/>
      <c r="E110" s="7"/>
      <c r="G110" s="121"/>
      <c r="H110" s="2"/>
      <c r="I110" s="2"/>
    </row>
    <row r="111" spans="1:9" ht="13" x14ac:dyDescent="0.3">
      <c r="A111" s="71">
        <f t="shared" si="7"/>
        <v>105</v>
      </c>
      <c r="B111" s="87">
        <v>2054</v>
      </c>
      <c r="C111" s="11">
        <v>79.400000000000006</v>
      </c>
      <c r="D111" s="12"/>
      <c r="E111" s="7"/>
      <c r="G111" s="121"/>
      <c r="H111" s="2"/>
      <c r="I111" s="2"/>
    </row>
    <row r="112" spans="1:9" ht="13" x14ac:dyDescent="0.3">
      <c r="A112" s="71">
        <f t="shared" si="7"/>
        <v>106</v>
      </c>
      <c r="B112" s="87">
        <v>2055</v>
      </c>
      <c r="C112" s="11">
        <v>79.2</v>
      </c>
      <c r="D112" s="12"/>
      <c r="E112" s="7"/>
      <c r="G112" s="121"/>
      <c r="H112" s="2"/>
      <c r="I112" s="2"/>
    </row>
    <row r="113" spans="1:9" ht="13" x14ac:dyDescent="0.3">
      <c r="A113" s="71">
        <f t="shared" si="7"/>
        <v>107</v>
      </c>
      <c r="B113" s="87">
        <v>2056</v>
      </c>
      <c r="C113" s="11">
        <v>79</v>
      </c>
      <c r="D113" s="12"/>
      <c r="E113" s="7"/>
      <c r="G113" s="121"/>
      <c r="H113" s="2"/>
      <c r="I113" s="2"/>
    </row>
    <row r="114" spans="1:9" ht="13" x14ac:dyDescent="0.3">
      <c r="A114" s="71">
        <f t="shared" si="7"/>
        <v>108</v>
      </c>
      <c r="B114" s="87">
        <v>2057</v>
      </c>
      <c r="C114" s="11">
        <v>78.8</v>
      </c>
      <c r="D114" s="12"/>
      <c r="E114" s="7"/>
      <c r="G114" s="121"/>
      <c r="H114" s="2"/>
      <c r="I114" s="2"/>
    </row>
    <row r="115" spans="1:9" ht="13" x14ac:dyDescent="0.3">
      <c r="A115" s="71">
        <f t="shared" si="7"/>
        <v>109</v>
      </c>
      <c r="B115" s="87">
        <v>2058</v>
      </c>
      <c r="C115" s="11">
        <v>78.599999999999994</v>
      </c>
      <c r="D115" s="12"/>
      <c r="E115" s="7"/>
      <c r="G115" s="121"/>
      <c r="H115" s="2"/>
      <c r="I115" s="2"/>
    </row>
    <row r="116" spans="1:9" ht="13" x14ac:dyDescent="0.3">
      <c r="A116" s="71">
        <f t="shared" si="7"/>
        <v>110</v>
      </c>
      <c r="B116" s="87">
        <v>2059</v>
      </c>
      <c r="C116" s="11">
        <v>78.400000000000006</v>
      </c>
      <c r="D116" s="12"/>
      <c r="E116" s="7"/>
      <c r="G116" s="121"/>
      <c r="H116" s="2"/>
      <c r="I116" s="2"/>
    </row>
    <row r="117" spans="1:9" ht="13" x14ac:dyDescent="0.3">
      <c r="A117" s="71">
        <f t="shared" si="7"/>
        <v>111</v>
      </c>
      <c r="B117" s="87">
        <v>2060</v>
      </c>
      <c r="C117" s="11">
        <v>78.2</v>
      </c>
      <c r="D117" s="12"/>
      <c r="E117" s="7"/>
      <c r="G117" s="121"/>
      <c r="H117" s="2"/>
      <c r="I117" s="2"/>
    </row>
    <row r="118" spans="1:9" x14ac:dyDescent="0.25">
      <c r="H118" s="2"/>
      <c r="I118" s="2"/>
    </row>
    <row r="120" spans="1:9" x14ac:dyDescent="0.25">
      <c r="D120" s="3" t="s">
        <v>12</v>
      </c>
    </row>
    <row r="121" spans="1:9" x14ac:dyDescent="0.25">
      <c r="D121" s="3" t="s">
        <v>13</v>
      </c>
    </row>
    <row r="123" spans="1:9" x14ac:dyDescent="0.25">
      <c r="F123" s="117" t="s">
        <v>17</v>
      </c>
    </row>
    <row r="130" spans="2:3" x14ac:dyDescent="0.25">
      <c r="B130" s="36" t="s">
        <v>52</v>
      </c>
      <c r="C130">
        <v>1000</v>
      </c>
    </row>
  </sheetData>
  <mergeCells count="15">
    <mergeCell ref="S2:T2"/>
    <mergeCell ref="C1:E1"/>
    <mergeCell ref="J1:M1"/>
    <mergeCell ref="N1:O1"/>
    <mergeCell ref="C2:E2"/>
    <mergeCell ref="F2:G2"/>
    <mergeCell ref="J2:M2"/>
    <mergeCell ref="N2:O2"/>
    <mergeCell ref="P2:R2"/>
    <mergeCell ref="P4:R4"/>
    <mergeCell ref="N3:O3"/>
    <mergeCell ref="J4:M4"/>
    <mergeCell ref="A2:A4"/>
    <mergeCell ref="F4:G4"/>
    <mergeCell ref="C4:E4"/>
  </mergeCells>
  <hyperlinks>
    <hyperlink ref="F1" r:id="rId1" display="https://www.deutschlandinzahlen.de/tab/bundeslaender/oeffentliche-haushalte/schulden/schulden-je-einwohner" xr:uid="{1114ECE5-7FB3-4398-851B-84C0AB655123}"/>
    <hyperlink ref="H1" r:id="rId2" display="https://de.statista.com/statistik/daten/studie/4878/umfrage/bruttoinlandsprodukt-von-deutschland-seit-dem-jahr-1950/_x000a_" xr:uid="{5C7216E6-9CDC-4CB8-B3B1-29C62AF3E946}"/>
    <hyperlink ref="C1" r:id="rId3" display="https://de.statista.com/statistik/daten/studie/1358/umfrage/entwicklung-der-gesamtbevoelkerung-deutschlands/_x000a__x000a_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xr:uid="{AC9BC20F-9336-4D85-BE57-4A4AEF60A1D2}"/>
    <hyperlink ref="D120" r:id="rId4" display="https://countrymeters.info/de/Germany" xr:uid="{3D028460-1D1E-4986-9E0B-48AE97BD71D9}"/>
    <hyperlink ref="D121" r:id="rId5" display="https://www.bpb.de/kurz-knapp/zahlen-und-fakten/soziale-situation-in-deutschland/61532/bevoelkerungsentwicklung/" xr:uid="{BC023DF2-0ADF-43AA-AC7E-5D4CB527FEA2}"/>
    <hyperlink ref="F123" r:id="rId6" display="https://de.statista.com/statistik/daten/studie/4778/umfrage/schulden-der-haushalte-bund-laender-und-gemeinden/" xr:uid="{32DE8A9B-C669-4740-AA5A-1825F1C22F96}"/>
    <hyperlink ref="J1" r:id="rId7" display="https://de.statista.com/statistik/daten/studie/7031/umfrage/bundeszuschuesse-an-die-rentenversicherung-seit-1950/_x000a_" xr:uid="{22DE74E6-01B4-4F6E-8D3E-71D6EBAAD4D4}"/>
    <hyperlink ref="I1" r:id="rId8" display="https://www.tagesgeldvergleich.net/statistiken/steuereinnahmen.html" xr:uid="{DABC8C1B-B86C-4B33-A33F-F3BFFFAC6114}"/>
    <hyperlink ref="N1" r:id="rId9" display="https://www.deutschlandinzahlen.de/tab/deutschland/bildung/bildungsausgaben/oeffentliche-bildungsausgaben-in-prozent-des-bip" xr:uid="{D9B8A8E3-FD7D-4FC5-A0CB-06535D513C97}"/>
    <hyperlink ref="P1" r:id="rId10" display="https://www.bpb.de/themen/deutsche-einheit/lange-wege-der-deutschen-einheit/47534/die-kosten-und-ertraege-der-wiedervereinigung-deutschlands/" xr:uid="{FA91D62E-A0A8-42CC-9E21-A1D6C302E409}"/>
    <hyperlink ref="S1" r:id="rId11" display="https://www.bpb.de/themen/deutsche-einheit/lange-wege-der-deutschen-einheit/47436/einkommen-und-vermoegen-wachsende-ungleichheiten/" xr:uid="{97003920-4C10-4DF1-A37A-B8519DAD042A}"/>
  </hyperlinks>
  <pageMargins left="0.7" right="0.7" top="0.78740157499999996" bottom="0.78740157499999996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"/>
  <sheetViews>
    <sheetView workbookViewId="0">
      <selection activeCell="P1" sqref="P1:P1048576"/>
    </sheetView>
  </sheetViews>
  <sheetFormatPr baseColWidth="10" defaultRowHeight="12.5" x14ac:dyDescent="0.25"/>
  <cols>
    <col min="1" max="1" width="3.7265625" style="33" customWidth="1"/>
    <col min="2" max="2" width="7.453125" style="36" customWidth="1"/>
    <col min="3" max="3" width="10.453125" customWidth="1"/>
    <col min="4" max="4" width="13" customWidth="1"/>
    <col min="5" max="5" width="15.36328125" customWidth="1"/>
    <col min="6" max="6" width="15.36328125" style="15" customWidth="1"/>
    <col min="7" max="7" width="12.7265625" style="5" bestFit="1" customWidth="1"/>
    <col min="8" max="9" width="12.36328125" customWidth="1"/>
    <col min="10" max="10" width="11.1796875" style="15" bestFit="1" customWidth="1"/>
    <col min="13" max="13" width="12.6328125" customWidth="1"/>
    <col min="14" max="14" width="10.90625" style="66"/>
    <col min="15" max="15" width="10.90625" style="76"/>
  </cols>
  <sheetData>
    <row r="1" spans="1:16" s="58" customFormat="1" ht="306.5" customHeight="1" x14ac:dyDescent="0.25">
      <c r="B1" s="58" t="s">
        <v>1</v>
      </c>
      <c r="C1" s="195" t="s">
        <v>33</v>
      </c>
      <c r="D1" s="196"/>
      <c r="E1" s="196"/>
      <c r="F1" s="59" t="s">
        <v>32</v>
      </c>
      <c r="G1" s="60"/>
      <c r="H1" s="61" t="s">
        <v>31</v>
      </c>
      <c r="I1" s="57" t="s">
        <v>39</v>
      </c>
      <c r="J1" s="197" t="s">
        <v>28</v>
      </c>
      <c r="K1" s="198"/>
      <c r="L1" s="198"/>
      <c r="M1" s="198"/>
      <c r="N1" s="199" t="s">
        <v>48</v>
      </c>
      <c r="O1" s="200"/>
    </row>
    <row r="2" spans="1:16" s="1" customFormat="1" ht="39" customHeight="1" x14ac:dyDescent="0.3">
      <c r="A2" s="27"/>
      <c r="B2" s="84" t="s">
        <v>0</v>
      </c>
      <c r="C2" s="192" t="s">
        <v>11</v>
      </c>
      <c r="D2" s="193"/>
      <c r="E2" s="194"/>
      <c r="F2" s="201" t="s">
        <v>7</v>
      </c>
      <c r="G2" s="202"/>
      <c r="H2" s="88" t="s">
        <v>19</v>
      </c>
      <c r="I2" s="56" t="s">
        <v>37</v>
      </c>
      <c r="J2" s="203" t="s">
        <v>36</v>
      </c>
      <c r="K2" s="204"/>
      <c r="L2" s="204"/>
      <c r="M2" s="205"/>
      <c r="N2" s="206" t="s">
        <v>46</v>
      </c>
      <c r="O2" s="207"/>
    </row>
    <row r="3" spans="1:16" s="1" customFormat="1" ht="13" x14ac:dyDescent="0.3">
      <c r="A3" s="27"/>
      <c r="B3" s="84"/>
      <c r="C3" s="13" t="s">
        <v>20</v>
      </c>
      <c r="D3" s="26" t="s">
        <v>21</v>
      </c>
      <c r="E3" s="26" t="s">
        <v>22</v>
      </c>
      <c r="F3" s="16" t="s">
        <v>43</v>
      </c>
      <c r="G3" s="19" t="s">
        <v>41</v>
      </c>
      <c r="H3" s="88"/>
      <c r="I3" s="49" t="s">
        <v>20</v>
      </c>
      <c r="J3" s="48" t="s">
        <v>29</v>
      </c>
      <c r="K3" s="35" t="s">
        <v>30</v>
      </c>
      <c r="L3" s="35" t="s">
        <v>40</v>
      </c>
      <c r="M3" s="67" t="s">
        <v>34</v>
      </c>
      <c r="N3" s="185" t="s">
        <v>44</v>
      </c>
      <c r="O3" s="186"/>
    </row>
    <row r="4" spans="1:16" s="1" customFormat="1" ht="13" x14ac:dyDescent="0.3">
      <c r="A4" s="27"/>
      <c r="B4" s="84" t="s">
        <v>8</v>
      </c>
      <c r="C4" s="28" t="s">
        <v>15</v>
      </c>
      <c r="D4" s="28" t="s">
        <v>14</v>
      </c>
      <c r="E4" s="28" t="s">
        <v>16</v>
      </c>
      <c r="F4" s="17" t="s">
        <v>18</v>
      </c>
      <c r="G4" s="20" t="s">
        <v>18</v>
      </c>
      <c r="H4" s="89" t="s">
        <v>9</v>
      </c>
      <c r="I4" s="50" t="s">
        <v>9</v>
      </c>
      <c r="J4" s="187" t="s">
        <v>23</v>
      </c>
      <c r="K4" s="187"/>
      <c r="L4" s="187"/>
      <c r="M4" s="187"/>
      <c r="N4" s="81" t="s">
        <v>47</v>
      </c>
      <c r="O4" s="82" t="s">
        <v>45</v>
      </c>
    </row>
    <row r="5" spans="1:16" s="27" customFormat="1" ht="13" x14ac:dyDescent="0.3">
      <c r="A5" s="27" t="s">
        <v>51</v>
      </c>
      <c r="B5" s="85">
        <v>0</v>
      </c>
      <c r="C5" s="38">
        <f>B5+1</f>
        <v>1</v>
      </c>
      <c r="D5" s="38">
        <f t="shared" ref="D5:M5" si="0">C5+1</f>
        <v>2</v>
      </c>
      <c r="E5" s="38">
        <f t="shared" si="0"/>
        <v>3</v>
      </c>
      <c r="F5" s="39">
        <f t="shared" si="0"/>
        <v>4</v>
      </c>
      <c r="G5" s="52">
        <f>F5+1</f>
        <v>5</v>
      </c>
      <c r="H5" s="90">
        <f>G5+1</f>
        <v>6</v>
      </c>
      <c r="I5" s="54">
        <f t="shared" si="0"/>
        <v>7</v>
      </c>
      <c r="J5" s="55">
        <f t="shared" si="0"/>
        <v>8</v>
      </c>
      <c r="K5" s="40">
        <f t="shared" si="0"/>
        <v>9</v>
      </c>
      <c r="L5" s="43">
        <f t="shared" si="0"/>
        <v>10</v>
      </c>
      <c r="M5" s="68">
        <f t="shared" si="0"/>
        <v>11</v>
      </c>
      <c r="N5" s="83">
        <f>M5+1</f>
        <v>12</v>
      </c>
      <c r="O5" s="83">
        <f>N5+1</f>
        <v>13</v>
      </c>
    </row>
    <row r="6" spans="1:16" s="1" customFormat="1" ht="26" x14ac:dyDescent="0.3">
      <c r="A6" s="71" t="s">
        <v>24</v>
      </c>
      <c r="B6" s="86" t="s">
        <v>2</v>
      </c>
      <c r="C6" s="29" t="s">
        <v>3</v>
      </c>
      <c r="D6" s="14" t="s">
        <v>4</v>
      </c>
      <c r="E6" s="14" t="s">
        <v>5</v>
      </c>
      <c r="F6" s="18" t="s">
        <v>6</v>
      </c>
      <c r="G6" s="20" t="s">
        <v>42</v>
      </c>
      <c r="H6" s="89" t="s">
        <v>10</v>
      </c>
      <c r="I6" s="50" t="s">
        <v>38</v>
      </c>
      <c r="J6" s="62" t="s">
        <v>26</v>
      </c>
      <c r="K6" s="37" t="s">
        <v>27</v>
      </c>
      <c r="L6" s="37" t="s">
        <v>35</v>
      </c>
      <c r="M6" s="69" t="s">
        <v>25</v>
      </c>
      <c r="N6" s="81" t="s">
        <v>50</v>
      </c>
      <c r="O6" s="82" t="s">
        <v>49</v>
      </c>
    </row>
    <row r="7" spans="1:16" ht="13" x14ac:dyDescent="0.3">
      <c r="A7" s="71">
        <v>0</v>
      </c>
      <c r="B7" s="87">
        <v>1950</v>
      </c>
      <c r="C7" s="30">
        <v>68.7</v>
      </c>
      <c r="D7" s="6">
        <v>51000</v>
      </c>
      <c r="E7" s="21">
        <v>18400</v>
      </c>
      <c r="F7" s="93">
        <f>(3428+6040+106)</f>
        <v>9574</v>
      </c>
      <c r="G7" s="53">
        <v>9574</v>
      </c>
      <c r="H7" s="91">
        <v>49.69</v>
      </c>
      <c r="I7" s="46">
        <v>9.61</v>
      </c>
      <c r="J7" s="44">
        <v>341</v>
      </c>
      <c r="K7" s="34">
        <v>0</v>
      </c>
      <c r="L7" s="34">
        <v>0</v>
      </c>
      <c r="M7" s="70">
        <f t="shared" ref="M7:M46" si="1">J7+K7+L7</f>
        <v>341</v>
      </c>
      <c r="N7" s="77"/>
      <c r="O7" s="78"/>
      <c r="P7" s="2"/>
    </row>
    <row r="8" spans="1:16" ht="13" x14ac:dyDescent="0.3">
      <c r="A8" s="71">
        <f>A7+1</f>
        <v>1</v>
      </c>
      <c r="B8" s="87">
        <v>1951</v>
      </c>
      <c r="C8" s="30">
        <v>69.099999999999994</v>
      </c>
      <c r="D8" s="6"/>
      <c r="E8" s="21"/>
      <c r="F8" s="93">
        <f>3694+6589+465</f>
        <v>10748</v>
      </c>
      <c r="G8" s="53">
        <f t="shared" ref="G8:G39" si="2">F8-F7</f>
        <v>1174</v>
      </c>
      <c r="H8" s="91">
        <v>61</v>
      </c>
      <c r="I8" s="46">
        <v>12.88</v>
      </c>
      <c r="J8" s="45">
        <f>J7+(J12-J7)/5</f>
        <v>526.20000000000005</v>
      </c>
      <c r="K8" s="34">
        <v>0</v>
      </c>
      <c r="L8" s="34">
        <v>0</v>
      </c>
      <c r="M8" s="70">
        <f t="shared" si="1"/>
        <v>526.20000000000005</v>
      </c>
      <c r="N8" s="77"/>
      <c r="O8" s="78"/>
      <c r="P8" s="2"/>
    </row>
    <row r="9" spans="1:16" ht="13" x14ac:dyDescent="0.3">
      <c r="A9" s="71">
        <f t="shared" ref="A9:A72" si="3">A8+1</f>
        <v>2</v>
      </c>
      <c r="B9" s="87">
        <v>1952</v>
      </c>
      <c r="C9" s="30">
        <v>69.400000000000006</v>
      </c>
      <c r="D9" s="6"/>
      <c r="E9" s="21"/>
      <c r="F9" s="93">
        <f>4442+7198+636</f>
        <v>12276</v>
      </c>
      <c r="G9" s="53">
        <f t="shared" si="2"/>
        <v>1528</v>
      </c>
      <c r="H9" s="91">
        <v>69.75</v>
      </c>
      <c r="I9" s="46">
        <v>15.96</v>
      </c>
      <c r="J9" s="45">
        <f>J7+(J12-J7)*2/5</f>
        <v>711.4</v>
      </c>
      <c r="K9" s="34">
        <v>0</v>
      </c>
      <c r="L9" s="34">
        <v>0</v>
      </c>
      <c r="M9" s="70">
        <f t="shared" si="1"/>
        <v>711.4</v>
      </c>
      <c r="N9" s="77"/>
      <c r="O9" s="78"/>
      <c r="P9" s="2"/>
    </row>
    <row r="10" spans="1:16" ht="13" x14ac:dyDescent="0.3">
      <c r="A10" s="71">
        <f t="shared" si="3"/>
        <v>3</v>
      </c>
      <c r="B10" s="87">
        <v>1953</v>
      </c>
      <c r="C10" s="30">
        <v>69.8</v>
      </c>
      <c r="D10" s="6"/>
      <c r="E10" s="21"/>
      <c r="F10" s="93">
        <f>5544+8261+969</f>
        <v>14774</v>
      </c>
      <c r="G10" s="53">
        <f t="shared" si="2"/>
        <v>2498</v>
      </c>
      <c r="H10" s="91">
        <v>74.92</v>
      </c>
      <c r="I10" s="46">
        <v>17.55</v>
      </c>
      <c r="J10" s="45">
        <f>J7+(J12-J7)*3/5</f>
        <v>896.6</v>
      </c>
      <c r="K10" s="34">
        <v>0</v>
      </c>
      <c r="L10" s="34">
        <v>0</v>
      </c>
      <c r="M10" s="70">
        <f t="shared" si="1"/>
        <v>896.6</v>
      </c>
      <c r="N10" s="77"/>
      <c r="O10" s="78"/>
      <c r="P10" s="2"/>
    </row>
    <row r="11" spans="1:16" ht="13" x14ac:dyDescent="0.3">
      <c r="A11" s="71">
        <f t="shared" si="3"/>
        <v>4</v>
      </c>
      <c r="B11" s="87">
        <v>1954</v>
      </c>
      <c r="C11" s="30">
        <v>70.099999999999994</v>
      </c>
      <c r="D11" s="6"/>
      <c r="E11" s="21"/>
      <c r="F11" s="93">
        <f>9213+7738+1362</f>
        <v>18313</v>
      </c>
      <c r="G11" s="53">
        <f t="shared" si="2"/>
        <v>3539</v>
      </c>
      <c r="H11" s="91">
        <v>80.41</v>
      </c>
      <c r="I11" s="46">
        <v>18.350000000000001</v>
      </c>
      <c r="J11" s="45">
        <f>J7+(J12-J7)*4/5</f>
        <v>1081.8</v>
      </c>
      <c r="K11" s="34">
        <v>0</v>
      </c>
      <c r="L11" s="34">
        <v>0</v>
      </c>
      <c r="M11" s="70">
        <f t="shared" si="1"/>
        <v>1081.8</v>
      </c>
      <c r="N11" s="77"/>
      <c r="O11" s="78"/>
      <c r="P11" s="2"/>
    </row>
    <row r="12" spans="1:16" ht="13" x14ac:dyDescent="0.3">
      <c r="A12" s="71">
        <f t="shared" si="3"/>
        <v>5</v>
      </c>
      <c r="B12" s="87">
        <v>1955</v>
      </c>
      <c r="C12" s="30">
        <v>70.5</v>
      </c>
      <c r="D12" s="6"/>
      <c r="E12" s="21"/>
      <c r="F12" s="93">
        <f>11542+7799+2016</f>
        <v>21357</v>
      </c>
      <c r="G12" s="53">
        <f t="shared" si="2"/>
        <v>3044</v>
      </c>
      <c r="H12" s="91">
        <v>91.89</v>
      </c>
      <c r="I12" s="46">
        <v>20.32</v>
      </c>
      <c r="J12" s="44">
        <v>1267</v>
      </c>
      <c r="K12" s="34">
        <v>0</v>
      </c>
      <c r="L12" s="34">
        <v>0</v>
      </c>
      <c r="M12" s="70">
        <f t="shared" si="1"/>
        <v>1267</v>
      </c>
      <c r="N12" s="77"/>
      <c r="O12" s="78"/>
      <c r="P12" s="2"/>
    </row>
    <row r="13" spans="1:16" ht="13" x14ac:dyDescent="0.3">
      <c r="A13" s="71">
        <f t="shared" si="3"/>
        <v>6</v>
      </c>
      <c r="B13" s="87">
        <v>1956</v>
      </c>
      <c r="C13" s="30">
        <v>70.900000000000006</v>
      </c>
      <c r="D13" s="6"/>
      <c r="E13" s="21"/>
      <c r="F13" s="93">
        <f>11642+8090+2626</f>
        <v>22358</v>
      </c>
      <c r="G13" s="53">
        <f t="shared" si="2"/>
        <v>1001</v>
      </c>
      <c r="H13" s="91">
        <v>101.58</v>
      </c>
      <c r="I13" s="46">
        <v>22.77</v>
      </c>
      <c r="J13" s="45">
        <f>J12+(J17-J12)/5</f>
        <v>1432.8</v>
      </c>
      <c r="K13" s="34">
        <v>0</v>
      </c>
      <c r="L13" s="34">
        <v>0</v>
      </c>
      <c r="M13" s="70">
        <f t="shared" si="1"/>
        <v>1432.8</v>
      </c>
      <c r="N13" s="77"/>
      <c r="O13" s="78"/>
      <c r="P13" s="2"/>
    </row>
    <row r="14" spans="1:16" ht="13" x14ac:dyDescent="0.3">
      <c r="A14" s="71">
        <f t="shared" si="3"/>
        <v>7</v>
      </c>
      <c r="B14" s="87">
        <v>1957</v>
      </c>
      <c r="C14" s="30">
        <v>71.400000000000006</v>
      </c>
      <c r="D14" s="6"/>
      <c r="E14" s="21"/>
      <c r="F14" s="93">
        <f>11650+8358+3151</f>
        <v>23159</v>
      </c>
      <c r="G14" s="53">
        <f t="shared" si="2"/>
        <v>801</v>
      </c>
      <c r="H14" s="91">
        <v>110.72</v>
      </c>
      <c r="I14" s="46">
        <v>24.51</v>
      </c>
      <c r="J14" s="45">
        <f>J12+(J17-J12)*2/5</f>
        <v>1598.6</v>
      </c>
      <c r="K14" s="34">
        <v>0</v>
      </c>
      <c r="L14" s="34">
        <v>0</v>
      </c>
      <c r="M14" s="70">
        <f t="shared" si="1"/>
        <v>1598.6</v>
      </c>
      <c r="N14" s="77"/>
      <c r="O14" s="78"/>
      <c r="P14" s="2"/>
    </row>
    <row r="15" spans="1:16" ht="13" x14ac:dyDescent="0.3">
      <c r="A15" s="71">
        <f t="shared" si="3"/>
        <v>8</v>
      </c>
      <c r="B15" s="87">
        <v>1958</v>
      </c>
      <c r="C15" s="30">
        <v>71.900000000000006</v>
      </c>
      <c r="D15" s="6"/>
      <c r="E15" s="21"/>
      <c r="F15" s="93">
        <f>12480+7517+3995</f>
        <v>23992</v>
      </c>
      <c r="G15" s="53">
        <f t="shared" si="2"/>
        <v>833</v>
      </c>
      <c r="H15" s="91">
        <v>118.95</v>
      </c>
      <c r="I15" s="46">
        <v>25.66</v>
      </c>
      <c r="J15" s="45">
        <f>J12+(J17-J12)*3/5</f>
        <v>1764.4</v>
      </c>
      <c r="K15" s="34">
        <v>0</v>
      </c>
      <c r="L15" s="34">
        <v>0</v>
      </c>
      <c r="M15" s="70">
        <f t="shared" si="1"/>
        <v>1764.4</v>
      </c>
      <c r="N15" s="77"/>
      <c r="O15" s="78"/>
      <c r="P15" s="2"/>
    </row>
    <row r="16" spans="1:16" ht="13" x14ac:dyDescent="0.3">
      <c r="A16" s="71">
        <f t="shared" si="3"/>
        <v>9</v>
      </c>
      <c r="B16" s="87">
        <v>1959</v>
      </c>
      <c r="C16" s="30">
        <v>72.400000000000006</v>
      </c>
      <c r="D16" s="6"/>
      <c r="E16" s="21"/>
      <c r="F16" s="93">
        <f>13069+7786+4608</f>
        <v>25463</v>
      </c>
      <c r="G16" s="53">
        <f t="shared" si="2"/>
        <v>1471</v>
      </c>
      <c r="H16" s="91">
        <v>130.31</v>
      </c>
      <c r="I16" s="46">
        <v>28.96</v>
      </c>
      <c r="J16" s="45">
        <f>J12+(J17-J12)*4/5</f>
        <v>1930.2</v>
      </c>
      <c r="K16" s="34">
        <v>0</v>
      </c>
      <c r="L16" s="34">
        <v>0</v>
      </c>
      <c r="M16" s="70">
        <f t="shared" si="1"/>
        <v>1930.2</v>
      </c>
      <c r="N16" s="77"/>
      <c r="O16" s="78"/>
      <c r="P16" s="2"/>
    </row>
    <row r="17" spans="1:16" ht="13" x14ac:dyDescent="0.3">
      <c r="A17" s="71">
        <f t="shared" si="3"/>
        <v>10</v>
      </c>
      <c r="B17" s="87">
        <v>1960</v>
      </c>
      <c r="C17" s="30">
        <v>73</v>
      </c>
      <c r="D17" s="6">
        <v>56000</v>
      </c>
      <c r="E17" s="21">
        <v>17200</v>
      </c>
      <c r="F17" s="93">
        <f>15312+7783+5904</f>
        <v>28999</v>
      </c>
      <c r="G17" s="53">
        <f t="shared" si="2"/>
        <v>3536</v>
      </c>
      <c r="H17" s="91">
        <v>154.77000000000001</v>
      </c>
      <c r="I17" s="46">
        <v>34.07</v>
      </c>
      <c r="J17" s="44">
        <v>2096</v>
      </c>
      <c r="K17" s="34">
        <v>0</v>
      </c>
      <c r="L17" s="34">
        <v>0</v>
      </c>
      <c r="M17" s="70">
        <f t="shared" si="1"/>
        <v>2096</v>
      </c>
      <c r="N17" s="77"/>
      <c r="O17" s="78"/>
      <c r="P17" s="2"/>
    </row>
    <row r="18" spans="1:16" ht="13" x14ac:dyDescent="0.3">
      <c r="A18" s="71">
        <f t="shared" si="3"/>
        <v>11</v>
      </c>
      <c r="B18" s="87">
        <v>1961</v>
      </c>
      <c r="C18" s="31">
        <v>73.7</v>
      </c>
      <c r="D18" s="6"/>
      <c r="E18" s="21"/>
      <c r="F18" s="93">
        <f>18004+7476+6736</f>
        <v>32216</v>
      </c>
      <c r="G18" s="53">
        <f t="shared" si="2"/>
        <v>3217</v>
      </c>
      <c r="H18" s="91">
        <v>169.6</v>
      </c>
      <c r="I18" s="46">
        <v>39.22</v>
      </c>
      <c r="J18" s="45">
        <f>J17+(J22-J17)/5</f>
        <v>2278.4</v>
      </c>
      <c r="K18" s="34">
        <v>0</v>
      </c>
      <c r="L18" s="34">
        <v>0</v>
      </c>
      <c r="M18" s="70">
        <f t="shared" si="1"/>
        <v>2278.4</v>
      </c>
      <c r="N18" s="77"/>
      <c r="O18" s="78"/>
      <c r="P18" s="2"/>
    </row>
    <row r="19" spans="1:16" ht="13" x14ac:dyDescent="0.3">
      <c r="A19" s="71">
        <f t="shared" si="3"/>
        <v>12</v>
      </c>
      <c r="B19" s="87">
        <v>1962</v>
      </c>
      <c r="C19" s="31">
        <v>74.400000000000006</v>
      </c>
      <c r="D19" s="6"/>
      <c r="E19" s="21"/>
      <c r="F19" s="93">
        <f>17984+7253+7872</f>
        <v>33109</v>
      </c>
      <c r="G19" s="53">
        <f t="shared" si="2"/>
        <v>893</v>
      </c>
      <c r="H19" s="91">
        <v>184.46</v>
      </c>
      <c r="I19" s="46">
        <v>43.19</v>
      </c>
      <c r="J19" s="45">
        <f>J17+(J22-J17)*2/5</f>
        <v>2460.8000000000002</v>
      </c>
      <c r="K19" s="34">
        <v>0</v>
      </c>
      <c r="L19" s="34">
        <v>0</v>
      </c>
      <c r="M19" s="70">
        <f t="shared" si="1"/>
        <v>2460.8000000000002</v>
      </c>
      <c r="N19" s="77"/>
      <c r="O19" s="78"/>
      <c r="P19" s="2"/>
    </row>
    <row r="20" spans="1:16" ht="13" x14ac:dyDescent="0.3">
      <c r="A20" s="71">
        <f t="shared" si="3"/>
        <v>13</v>
      </c>
      <c r="B20" s="87">
        <v>1963</v>
      </c>
      <c r="C20" s="31">
        <v>75</v>
      </c>
      <c r="D20" s="6"/>
      <c r="E20" s="21"/>
      <c r="F20" s="93">
        <f>20023+7037+8966</f>
        <v>36026</v>
      </c>
      <c r="G20" s="53">
        <f t="shared" si="2"/>
        <v>2917</v>
      </c>
      <c r="H20" s="91">
        <v>195.5</v>
      </c>
      <c r="I20" s="46">
        <v>45.88</v>
      </c>
      <c r="J20" s="45">
        <f>J17+(J22-J17)*3/5</f>
        <v>2643.2</v>
      </c>
      <c r="K20" s="34">
        <v>0</v>
      </c>
      <c r="L20" s="34">
        <v>0</v>
      </c>
      <c r="M20" s="70">
        <f t="shared" si="1"/>
        <v>2643.2</v>
      </c>
      <c r="N20" s="77"/>
      <c r="O20" s="78"/>
      <c r="P20" s="2"/>
    </row>
    <row r="21" spans="1:16" ht="13" x14ac:dyDescent="0.3">
      <c r="A21" s="71">
        <f t="shared" si="3"/>
        <v>14</v>
      </c>
      <c r="B21" s="87">
        <v>1964</v>
      </c>
      <c r="C21" s="31">
        <v>75.599999999999994</v>
      </c>
      <c r="D21" s="6"/>
      <c r="E21" s="21"/>
      <c r="F21" s="93">
        <f>21331+7678+10789</f>
        <v>39798</v>
      </c>
      <c r="G21" s="53">
        <f t="shared" si="2"/>
        <v>3772</v>
      </c>
      <c r="H21" s="91">
        <v>214.83</v>
      </c>
      <c r="I21" s="46">
        <v>50.15</v>
      </c>
      <c r="J21" s="45">
        <f>J17+(J22-J17)*4/5</f>
        <v>2825.6</v>
      </c>
      <c r="K21" s="34">
        <v>0</v>
      </c>
      <c r="L21" s="34">
        <v>0</v>
      </c>
      <c r="M21" s="70">
        <f t="shared" si="1"/>
        <v>2825.6</v>
      </c>
      <c r="N21" s="77"/>
      <c r="O21" s="78"/>
      <c r="P21" s="2"/>
    </row>
    <row r="22" spans="1:16" ht="13" x14ac:dyDescent="0.3">
      <c r="A22" s="71">
        <f t="shared" si="3"/>
        <v>15</v>
      </c>
      <c r="B22" s="87">
        <v>1965</v>
      </c>
      <c r="C22" s="31">
        <v>76.3</v>
      </c>
      <c r="D22" s="8"/>
      <c r="E22" s="22"/>
      <c r="F22" s="93">
        <f>22596+8977+13124</f>
        <v>44697</v>
      </c>
      <c r="G22" s="53">
        <f t="shared" si="2"/>
        <v>4899</v>
      </c>
      <c r="H22" s="91">
        <v>234.77</v>
      </c>
      <c r="I22" s="46">
        <v>53.41</v>
      </c>
      <c r="J22" s="44">
        <v>3008</v>
      </c>
      <c r="K22" s="34">
        <v>0</v>
      </c>
      <c r="L22" s="34">
        <v>0</v>
      </c>
      <c r="M22" s="70">
        <f t="shared" si="1"/>
        <v>3008</v>
      </c>
      <c r="N22" s="77"/>
      <c r="O22" s="78"/>
      <c r="P22" s="2"/>
    </row>
    <row r="23" spans="1:16" ht="13" x14ac:dyDescent="0.3">
      <c r="A23" s="71">
        <f t="shared" si="3"/>
        <v>16</v>
      </c>
      <c r="B23" s="87">
        <v>1966</v>
      </c>
      <c r="C23" s="31">
        <v>76.900000000000006</v>
      </c>
      <c r="D23" s="8"/>
      <c r="E23" s="22"/>
      <c r="F23" s="93">
        <f>24897+10431+14966</f>
        <v>50294</v>
      </c>
      <c r="G23" s="53">
        <f t="shared" si="2"/>
        <v>5597</v>
      </c>
      <c r="H23" s="91">
        <v>249.63</v>
      </c>
      <c r="I23" s="46">
        <v>56.83</v>
      </c>
      <c r="J23" s="45">
        <f>J22+(J27-J22)/5</f>
        <v>3138.4</v>
      </c>
      <c r="K23" s="34">
        <v>0</v>
      </c>
      <c r="L23" s="34">
        <v>0</v>
      </c>
      <c r="M23" s="70">
        <f t="shared" si="1"/>
        <v>3138.4</v>
      </c>
      <c r="N23" s="77"/>
      <c r="O23" s="78"/>
      <c r="P23" s="2"/>
    </row>
    <row r="24" spans="1:16" ht="13" x14ac:dyDescent="0.3">
      <c r="A24" s="71">
        <f t="shared" si="3"/>
        <v>17</v>
      </c>
      <c r="B24" s="87">
        <v>1967</v>
      </c>
      <c r="C24" s="31">
        <v>77</v>
      </c>
      <c r="D24" s="9"/>
      <c r="E24" s="23"/>
      <c r="F24" s="93">
        <f>29327+12447+16244</f>
        <v>58018</v>
      </c>
      <c r="G24" s="53">
        <f t="shared" si="2"/>
        <v>7724</v>
      </c>
      <c r="H24" s="91">
        <v>252.76</v>
      </c>
      <c r="I24" s="46">
        <v>57.96</v>
      </c>
      <c r="J24" s="45">
        <f>J22+(J27-J22)*2/5</f>
        <v>3268.8</v>
      </c>
      <c r="K24" s="34">
        <v>0</v>
      </c>
      <c r="L24" s="34">
        <v>0</v>
      </c>
      <c r="M24" s="70">
        <f t="shared" si="1"/>
        <v>3268.8</v>
      </c>
      <c r="N24" s="77"/>
      <c r="O24" s="78"/>
      <c r="P24" s="2"/>
    </row>
    <row r="25" spans="1:16" ht="13" x14ac:dyDescent="0.3">
      <c r="A25" s="71">
        <f t="shared" si="3"/>
        <v>18</v>
      </c>
      <c r="B25" s="87">
        <v>1968</v>
      </c>
      <c r="C25" s="31">
        <v>77.599999999999994</v>
      </c>
      <c r="D25" s="9"/>
      <c r="E25" s="23"/>
      <c r="F25" s="93">
        <f>31569+13466+17367</f>
        <v>62402</v>
      </c>
      <c r="G25" s="53">
        <f t="shared" si="2"/>
        <v>4384</v>
      </c>
      <c r="H25" s="91">
        <v>272.66000000000003</v>
      </c>
      <c r="I25" s="46">
        <v>61.55</v>
      </c>
      <c r="J25" s="45">
        <f>J22+(J27-J22)*3/5</f>
        <v>3399.2</v>
      </c>
      <c r="K25" s="34">
        <v>0</v>
      </c>
      <c r="L25" s="34">
        <v>0</v>
      </c>
      <c r="M25" s="70">
        <f t="shared" si="1"/>
        <v>3399.2</v>
      </c>
      <c r="N25" s="77"/>
      <c r="O25" s="78"/>
      <c r="P25" s="2"/>
    </row>
    <row r="26" spans="1:16" ht="13" x14ac:dyDescent="0.3">
      <c r="A26" s="71">
        <f t="shared" si="3"/>
        <v>19</v>
      </c>
      <c r="B26" s="87">
        <v>1969</v>
      </c>
      <c r="C26" s="31">
        <v>78.3</v>
      </c>
      <c r="D26" s="9"/>
      <c r="E26" s="23"/>
      <c r="F26" s="93">
        <f>31125+13227+18630</f>
        <v>62982</v>
      </c>
      <c r="G26" s="53">
        <f t="shared" si="2"/>
        <v>580</v>
      </c>
      <c r="H26" s="91">
        <v>305.22000000000003</v>
      </c>
      <c r="I26" s="46">
        <v>75.12</v>
      </c>
      <c r="J26" s="45">
        <f>J22+(J27-J22)*4/5</f>
        <v>3529.6</v>
      </c>
      <c r="K26" s="34">
        <v>0</v>
      </c>
      <c r="L26" s="34">
        <v>0</v>
      </c>
      <c r="M26" s="70">
        <f t="shared" si="1"/>
        <v>3529.6</v>
      </c>
      <c r="N26" s="77"/>
      <c r="O26" s="78"/>
      <c r="P26" s="2"/>
    </row>
    <row r="27" spans="1:16" ht="14.5" x14ac:dyDescent="0.35">
      <c r="A27" s="71">
        <f t="shared" si="3"/>
        <v>20</v>
      </c>
      <c r="B27" s="87">
        <v>1970</v>
      </c>
      <c r="C27" s="31">
        <v>78.099999999999994</v>
      </c>
      <c r="D27" s="10">
        <v>61000</v>
      </c>
      <c r="E27" s="23">
        <v>17100</v>
      </c>
      <c r="F27" s="93">
        <f>29553+14178+20480</f>
        <v>64211</v>
      </c>
      <c r="G27" s="53">
        <f t="shared" si="2"/>
        <v>1229</v>
      </c>
      <c r="H27" s="91">
        <v>360.6</v>
      </c>
      <c r="I27" s="46">
        <v>78.06</v>
      </c>
      <c r="J27" s="44">
        <v>3660</v>
      </c>
      <c r="K27" s="34">
        <v>0</v>
      </c>
      <c r="L27" s="34">
        <v>0</v>
      </c>
      <c r="M27" s="70">
        <f t="shared" si="1"/>
        <v>3660</v>
      </c>
      <c r="N27" s="77"/>
      <c r="O27" s="78"/>
      <c r="P27" s="2"/>
    </row>
    <row r="28" spans="1:16" ht="14.5" x14ac:dyDescent="0.35">
      <c r="A28" s="71">
        <f t="shared" si="3"/>
        <v>21</v>
      </c>
      <c r="B28" s="87">
        <v>1971</v>
      </c>
      <c r="C28" s="31">
        <v>78.599999999999994</v>
      </c>
      <c r="D28" s="10"/>
      <c r="E28" s="23"/>
      <c r="F28" s="93">
        <f>30426+16861+24373</f>
        <v>71660</v>
      </c>
      <c r="G28" s="53">
        <f t="shared" si="2"/>
        <v>7449</v>
      </c>
      <c r="H28" s="91">
        <v>400.24</v>
      </c>
      <c r="I28" s="46">
        <v>87.42</v>
      </c>
      <c r="J28" s="45">
        <f>J27+(J32-J27)/5</f>
        <v>4294.2</v>
      </c>
      <c r="K28" s="34">
        <v>0</v>
      </c>
      <c r="L28" s="34">
        <v>0</v>
      </c>
      <c r="M28" s="70">
        <f t="shared" si="1"/>
        <v>4294.2</v>
      </c>
      <c r="N28" s="77"/>
      <c r="O28" s="78"/>
      <c r="P28" s="2"/>
    </row>
    <row r="29" spans="1:16" ht="14.5" x14ac:dyDescent="0.35">
      <c r="A29" s="71">
        <f t="shared" si="3"/>
        <v>22</v>
      </c>
      <c r="B29" s="87">
        <v>1972</v>
      </c>
      <c r="C29" s="31">
        <v>78.8</v>
      </c>
      <c r="D29" s="10"/>
      <c r="E29" s="23"/>
      <c r="F29" s="93">
        <f>32029+18876+28487</f>
        <v>79392</v>
      </c>
      <c r="G29" s="53">
        <f t="shared" si="2"/>
        <v>7732</v>
      </c>
      <c r="H29" s="91">
        <v>436.37</v>
      </c>
      <c r="I29" s="46">
        <v>100.02</v>
      </c>
      <c r="J29" s="45">
        <f>J27+(J32-J27)*2/5</f>
        <v>4928.3999999999996</v>
      </c>
      <c r="K29" s="34">
        <v>0</v>
      </c>
      <c r="L29" s="34">
        <v>0</v>
      </c>
      <c r="M29" s="70">
        <f t="shared" si="1"/>
        <v>4928.3999999999996</v>
      </c>
      <c r="N29" s="77"/>
      <c r="O29" s="78"/>
      <c r="P29" s="2"/>
    </row>
    <row r="30" spans="1:16" ht="14.5" x14ac:dyDescent="0.35">
      <c r="A30" s="71">
        <f t="shared" si="3"/>
        <v>23</v>
      </c>
      <c r="B30" s="87">
        <v>1973</v>
      </c>
      <c r="C30" s="31">
        <v>79.099999999999994</v>
      </c>
      <c r="D30" s="10"/>
      <c r="E30" s="23"/>
      <c r="F30" s="93">
        <f>34217+20119+32085</f>
        <v>86421</v>
      </c>
      <c r="G30" s="53">
        <f t="shared" si="2"/>
        <v>7029</v>
      </c>
      <c r="H30" s="91">
        <v>486.02</v>
      </c>
      <c r="I30" s="46">
        <v>114.45</v>
      </c>
      <c r="J30" s="45">
        <f>J27+(J32-J27)*3/5</f>
        <v>5562.6</v>
      </c>
      <c r="K30" s="34">
        <v>0</v>
      </c>
      <c r="L30" s="34">
        <v>0</v>
      </c>
      <c r="M30" s="70">
        <f t="shared" si="1"/>
        <v>5562.6</v>
      </c>
      <c r="N30" s="77"/>
      <c r="O30" s="78"/>
      <c r="P30" s="2"/>
    </row>
    <row r="31" spans="1:16" ht="14.5" x14ac:dyDescent="0.35">
      <c r="A31" s="71">
        <f t="shared" si="3"/>
        <v>24</v>
      </c>
      <c r="B31" s="87">
        <v>1974</v>
      </c>
      <c r="C31" s="31">
        <v>78.900000000000006</v>
      </c>
      <c r="D31" s="10"/>
      <c r="E31" s="23"/>
      <c r="F31" s="93">
        <f>39444+24126+33798</f>
        <v>97368</v>
      </c>
      <c r="G31" s="53">
        <f t="shared" si="2"/>
        <v>10947</v>
      </c>
      <c r="H31" s="91">
        <v>526.02</v>
      </c>
      <c r="I31" s="46">
        <v>122.23</v>
      </c>
      <c r="J31" s="45">
        <f>J27+(J32-J27)*4/5</f>
        <v>6196.8</v>
      </c>
      <c r="K31" s="34">
        <v>0</v>
      </c>
      <c r="L31" s="34">
        <v>0</v>
      </c>
      <c r="M31" s="70">
        <f t="shared" si="1"/>
        <v>6196.8</v>
      </c>
      <c r="N31" s="77"/>
      <c r="O31" s="78"/>
      <c r="P31" s="2"/>
    </row>
    <row r="32" spans="1:16" ht="14.5" x14ac:dyDescent="0.35">
      <c r="A32" s="71">
        <f t="shared" si="3"/>
        <v>25</v>
      </c>
      <c r="B32" s="87">
        <v>1975</v>
      </c>
      <c r="C32" s="31">
        <v>78.5</v>
      </c>
      <c r="D32" s="10"/>
      <c r="E32" s="23"/>
      <c r="F32" s="93">
        <f>58066+34047+37895</f>
        <v>130008</v>
      </c>
      <c r="G32" s="53">
        <f t="shared" si="2"/>
        <v>32640</v>
      </c>
      <c r="H32" s="91">
        <v>551.01</v>
      </c>
      <c r="I32" s="46">
        <v>123.13</v>
      </c>
      <c r="J32" s="44">
        <v>6831</v>
      </c>
      <c r="K32" s="34">
        <v>0</v>
      </c>
      <c r="L32" s="34">
        <v>0</v>
      </c>
      <c r="M32" s="70">
        <f t="shared" si="1"/>
        <v>6831</v>
      </c>
      <c r="N32" s="77"/>
      <c r="O32" s="78"/>
      <c r="P32" s="2"/>
    </row>
    <row r="33" spans="1:16" ht="14.5" x14ac:dyDescent="0.35">
      <c r="A33" s="71">
        <f t="shared" si="3"/>
        <v>26</v>
      </c>
      <c r="B33" s="87">
        <v>1976</v>
      </c>
      <c r="C33" s="31">
        <v>78.2</v>
      </c>
      <c r="D33" s="10"/>
      <c r="E33" s="23"/>
      <c r="F33" s="93">
        <f>68286+41964+40653</f>
        <v>150903</v>
      </c>
      <c r="G33" s="53">
        <f t="shared" si="2"/>
        <v>20895</v>
      </c>
      <c r="H33" s="91">
        <v>597.4</v>
      </c>
      <c r="I33" s="46">
        <v>136.38999999999999</v>
      </c>
      <c r="J33" s="45">
        <f>J32+(J37-J32)/5</f>
        <v>7625.2</v>
      </c>
      <c r="K33" s="34">
        <v>0</v>
      </c>
      <c r="L33" s="34">
        <v>0</v>
      </c>
      <c r="M33" s="70">
        <f t="shared" si="1"/>
        <v>7625.2</v>
      </c>
      <c r="N33" s="77"/>
      <c r="O33" s="78"/>
      <c r="P33" s="2"/>
    </row>
    <row r="34" spans="1:16" ht="14.5" x14ac:dyDescent="0.35">
      <c r="A34" s="71">
        <f t="shared" si="3"/>
        <v>27</v>
      </c>
      <c r="B34" s="87">
        <v>1977</v>
      </c>
      <c r="C34" s="31">
        <v>78.099999999999994</v>
      </c>
      <c r="D34" s="10"/>
      <c r="E34" s="23"/>
      <c r="F34" s="93">
        <f>78805+45853+42461</f>
        <v>167119</v>
      </c>
      <c r="G34" s="53">
        <f t="shared" si="2"/>
        <v>16216</v>
      </c>
      <c r="H34" s="91">
        <v>636.54</v>
      </c>
      <c r="I34" s="46">
        <v>152.41999999999999</v>
      </c>
      <c r="J34" s="45">
        <f>J32+(J37-J32)*2/5</f>
        <v>8419.4</v>
      </c>
      <c r="K34" s="34">
        <v>0</v>
      </c>
      <c r="L34" s="34">
        <v>0</v>
      </c>
      <c r="M34" s="70">
        <f t="shared" si="1"/>
        <v>8419.4</v>
      </c>
      <c r="N34" s="77"/>
      <c r="O34" s="78"/>
      <c r="P34" s="2"/>
    </row>
    <row r="35" spans="1:16" ht="14.5" x14ac:dyDescent="0.35">
      <c r="A35" s="71">
        <f t="shared" si="3"/>
        <v>28</v>
      </c>
      <c r="B35" s="87">
        <v>1978</v>
      </c>
      <c r="C35" s="31">
        <v>78.099999999999994</v>
      </c>
      <c r="D35" s="10"/>
      <c r="E35" s="23"/>
      <c r="F35" s="93">
        <f>92367+52099+44113</f>
        <v>188579</v>
      </c>
      <c r="G35" s="53">
        <f t="shared" si="2"/>
        <v>21460</v>
      </c>
      <c r="H35" s="91">
        <v>678.94</v>
      </c>
      <c r="I35" s="46">
        <v>162.69999999999999</v>
      </c>
      <c r="J35" s="45">
        <f>J32+(J37-J32)*3/5</f>
        <v>9213.6</v>
      </c>
      <c r="K35" s="34">
        <v>0</v>
      </c>
      <c r="L35" s="34">
        <v>0</v>
      </c>
      <c r="M35" s="70">
        <f t="shared" si="1"/>
        <v>9213.6</v>
      </c>
      <c r="N35" s="77"/>
      <c r="O35" s="78"/>
      <c r="P35" s="2"/>
    </row>
    <row r="36" spans="1:16" ht="14.5" x14ac:dyDescent="0.35">
      <c r="A36" s="71">
        <f t="shared" si="3"/>
        <v>29</v>
      </c>
      <c r="B36" s="87">
        <v>1979</v>
      </c>
      <c r="C36" s="31">
        <v>78.2</v>
      </c>
      <c r="D36" s="10"/>
      <c r="E36" s="23"/>
      <c r="F36" s="93">
        <f>105589+59362+45999</f>
        <v>210950</v>
      </c>
      <c r="G36" s="53">
        <f t="shared" si="2"/>
        <v>22371</v>
      </c>
      <c r="H36" s="91">
        <v>737.37</v>
      </c>
      <c r="I36" s="46">
        <v>175.15</v>
      </c>
      <c r="J36" s="45">
        <f>J32+(J37-J32)*4/5</f>
        <v>10007.799999999999</v>
      </c>
      <c r="K36" s="34">
        <v>0</v>
      </c>
      <c r="L36" s="34">
        <v>0</v>
      </c>
      <c r="M36" s="70">
        <f t="shared" si="1"/>
        <v>10007.799999999999</v>
      </c>
      <c r="N36" s="77"/>
      <c r="O36" s="78"/>
      <c r="P36" s="2"/>
    </row>
    <row r="37" spans="1:16" ht="14.5" x14ac:dyDescent="0.35">
      <c r="A37" s="71">
        <f t="shared" si="3"/>
        <v>30</v>
      </c>
      <c r="B37" s="87">
        <v>1980</v>
      </c>
      <c r="C37" s="31">
        <v>78.400000000000006</v>
      </c>
      <c r="D37" s="10">
        <v>61700</v>
      </c>
      <c r="E37" s="23">
        <v>16700</v>
      </c>
      <c r="F37" s="93">
        <f>119951+70415+48531</f>
        <v>238897</v>
      </c>
      <c r="G37" s="53">
        <f t="shared" si="2"/>
        <v>27947</v>
      </c>
      <c r="H37" s="91">
        <v>788.52</v>
      </c>
      <c r="I37" s="46">
        <v>186.58</v>
      </c>
      <c r="J37" s="44">
        <v>10802</v>
      </c>
      <c r="K37" s="34">
        <v>0</v>
      </c>
      <c r="L37" s="34">
        <v>0</v>
      </c>
      <c r="M37" s="70">
        <f t="shared" si="1"/>
        <v>10802</v>
      </c>
      <c r="N37" s="77"/>
      <c r="O37" s="78"/>
      <c r="P37" s="2"/>
    </row>
    <row r="38" spans="1:16" ht="14.5" x14ac:dyDescent="0.35">
      <c r="A38" s="71">
        <f t="shared" si="3"/>
        <v>31</v>
      </c>
      <c r="B38" s="87">
        <v>1981</v>
      </c>
      <c r="C38" s="31">
        <v>78.400000000000006</v>
      </c>
      <c r="D38" s="10"/>
      <c r="E38" s="23"/>
      <c r="F38" s="93">
        <f>141588+84297+52336</f>
        <v>278221</v>
      </c>
      <c r="G38" s="53">
        <f t="shared" si="2"/>
        <v>39324</v>
      </c>
      <c r="H38" s="91">
        <v>825.75</v>
      </c>
      <c r="I38" s="46">
        <v>189.34</v>
      </c>
      <c r="J38" s="45">
        <f>J37+(J42-J37)/5</f>
        <v>11212.2</v>
      </c>
      <c r="K38" s="34">
        <v>0</v>
      </c>
      <c r="L38" s="34">
        <v>0</v>
      </c>
      <c r="M38" s="70">
        <f t="shared" si="1"/>
        <v>11212.2</v>
      </c>
      <c r="N38" s="77"/>
      <c r="O38" s="78"/>
      <c r="P38" s="2"/>
    </row>
    <row r="39" spans="1:16" ht="14.5" x14ac:dyDescent="0.35">
      <c r="A39" s="71">
        <f t="shared" si="3"/>
        <v>32</v>
      </c>
      <c r="B39" s="87">
        <v>1982</v>
      </c>
      <c r="C39" s="31">
        <v>78.2</v>
      </c>
      <c r="D39" s="10"/>
      <c r="E39" s="23"/>
      <c r="F39" s="93">
        <f>160394+97317+56022</f>
        <v>313733</v>
      </c>
      <c r="G39" s="53">
        <f t="shared" si="2"/>
        <v>35512</v>
      </c>
      <c r="H39" s="91">
        <v>860.21</v>
      </c>
      <c r="I39" s="46">
        <v>193.63</v>
      </c>
      <c r="J39" s="45">
        <f>J37+(J42-J37)*2/5</f>
        <v>11622.4</v>
      </c>
      <c r="K39" s="34">
        <v>0</v>
      </c>
      <c r="L39" s="34">
        <v>0</v>
      </c>
      <c r="M39" s="70">
        <f t="shared" si="1"/>
        <v>11622.4</v>
      </c>
      <c r="N39" s="77"/>
      <c r="O39" s="78"/>
      <c r="P39" s="2"/>
    </row>
    <row r="40" spans="1:16" ht="14.5" x14ac:dyDescent="0.35">
      <c r="A40" s="71">
        <f t="shared" si="3"/>
        <v>33</v>
      </c>
      <c r="B40" s="87">
        <v>1983</v>
      </c>
      <c r="C40" s="31">
        <v>78</v>
      </c>
      <c r="D40" s="10"/>
      <c r="E40" s="23"/>
      <c r="F40" s="93">
        <f>177635+108289+57356</f>
        <v>343280</v>
      </c>
      <c r="G40" s="53">
        <f t="shared" ref="G40:G71" si="4">F40-F39</f>
        <v>29547</v>
      </c>
      <c r="H40" s="91">
        <v>898.27</v>
      </c>
      <c r="I40" s="46">
        <v>202.77</v>
      </c>
      <c r="J40" s="45">
        <f>J37+(J42-J37)*3/5</f>
        <v>12032.6</v>
      </c>
      <c r="K40" s="34">
        <v>0</v>
      </c>
      <c r="L40" s="34">
        <v>0</v>
      </c>
      <c r="M40" s="70">
        <f t="shared" si="1"/>
        <v>12032.6</v>
      </c>
      <c r="N40" s="77"/>
      <c r="O40" s="78"/>
      <c r="P40" s="2"/>
    </row>
    <row r="41" spans="1:16" ht="14.5" x14ac:dyDescent="0.35">
      <c r="A41" s="71">
        <f t="shared" si="3"/>
        <v>34</v>
      </c>
      <c r="B41" s="87">
        <v>1984</v>
      </c>
      <c r="C41" s="31">
        <v>77.7</v>
      </c>
      <c r="D41" s="10"/>
      <c r="E41" s="23"/>
      <c r="F41" s="93">
        <f>192153+117832+57697</f>
        <v>367682</v>
      </c>
      <c r="G41" s="53">
        <f t="shared" si="4"/>
        <v>24402</v>
      </c>
      <c r="H41" s="91">
        <v>942</v>
      </c>
      <c r="I41" s="46">
        <v>212.03</v>
      </c>
      <c r="J41" s="45">
        <f>J37+(J42-J37)*4/5</f>
        <v>12442.8</v>
      </c>
      <c r="K41" s="34">
        <v>0</v>
      </c>
      <c r="L41" s="34">
        <v>0</v>
      </c>
      <c r="M41" s="70">
        <f t="shared" si="1"/>
        <v>12442.8</v>
      </c>
      <c r="N41" s="77"/>
      <c r="O41" s="78"/>
      <c r="P41" s="2"/>
    </row>
    <row r="42" spans="1:16" ht="14.5" x14ac:dyDescent="0.35">
      <c r="A42" s="71">
        <f t="shared" si="3"/>
        <v>35</v>
      </c>
      <c r="B42" s="87">
        <v>1985</v>
      </c>
      <c r="C42" s="31">
        <v>77.7</v>
      </c>
      <c r="D42" s="10"/>
      <c r="E42" s="23"/>
      <c r="F42" s="93">
        <f>204027+126393+58016</f>
        <v>388436</v>
      </c>
      <c r="G42" s="53">
        <f t="shared" si="4"/>
        <v>20754</v>
      </c>
      <c r="H42" s="91">
        <v>984.41</v>
      </c>
      <c r="I42" s="46">
        <v>223.54</v>
      </c>
      <c r="J42" s="44">
        <v>12853</v>
      </c>
      <c r="K42" s="34">
        <v>0</v>
      </c>
      <c r="L42" s="34">
        <v>0</v>
      </c>
      <c r="M42" s="70">
        <f t="shared" si="1"/>
        <v>12853</v>
      </c>
      <c r="N42" s="77"/>
      <c r="O42" s="78"/>
      <c r="P42" s="2"/>
    </row>
    <row r="43" spans="1:16" ht="14.5" x14ac:dyDescent="0.35">
      <c r="A43" s="71">
        <f t="shared" si="3"/>
        <v>36</v>
      </c>
      <c r="B43" s="87">
        <v>1986</v>
      </c>
      <c r="C43" s="31">
        <v>77.8</v>
      </c>
      <c r="D43" s="10"/>
      <c r="E43" s="23"/>
      <c r="F43" s="93">
        <f>215666+135075+58559</f>
        <v>409300</v>
      </c>
      <c r="G43" s="53">
        <f t="shared" si="4"/>
        <v>20864</v>
      </c>
      <c r="H43" s="91">
        <v>1037.1300000000001</v>
      </c>
      <c r="I43" s="46">
        <v>231.33</v>
      </c>
      <c r="J43" s="45">
        <f>J42+(J47-J42)/5</f>
        <v>13319.2</v>
      </c>
      <c r="K43" s="34">
        <v>0</v>
      </c>
      <c r="L43" s="34">
        <v>0</v>
      </c>
      <c r="M43" s="70">
        <f t="shared" si="1"/>
        <v>13319.2</v>
      </c>
      <c r="N43" s="77"/>
      <c r="O43" s="78"/>
      <c r="P43" s="2"/>
    </row>
    <row r="44" spans="1:16" ht="14.5" x14ac:dyDescent="0.35">
      <c r="A44" s="71">
        <f t="shared" si="3"/>
        <v>37</v>
      </c>
      <c r="B44" s="87">
        <v>1987</v>
      </c>
      <c r="C44" s="31">
        <v>77.900000000000006</v>
      </c>
      <c r="D44" s="10"/>
      <c r="E44" s="23"/>
      <c r="F44" s="93">
        <f>228234+145482+60073</f>
        <v>433789</v>
      </c>
      <c r="G44" s="53">
        <f t="shared" si="4"/>
        <v>24489</v>
      </c>
      <c r="H44" s="91">
        <v>1065.1300000000001</v>
      </c>
      <c r="I44" s="46">
        <v>239.62</v>
      </c>
      <c r="J44" s="45">
        <f>J42+(J47-J42)*2/5</f>
        <v>13785.4</v>
      </c>
      <c r="K44" s="34">
        <v>0</v>
      </c>
      <c r="L44" s="34">
        <v>0</v>
      </c>
      <c r="M44" s="70">
        <f t="shared" si="1"/>
        <v>13785.4</v>
      </c>
      <c r="N44" s="77"/>
      <c r="O44" s="78"/>
      <c r="P44" s="2"/>
    </row>
    <row r="45" spans="1:16" ht="14.5" x14ac:dyDescent="0.35">
      <c r="A45" s="71">
        <f t="shared" si="3"/>
        <v>38</v>
      </c>
      <c r="B45" s="87">
        <v>1988</v>
      </c>
      <c r="C45" s="31">
        <v>78.400000000000006</v>
      </c>
      <c r="D45" s="10"/>
      <c r="E45" s="23"/>
      <c r="F45" s="93">
        <f>246001+154665+60859</f>
        <v>461525</v>
      </c>
      <c r="G45" s="53">
        <f t="shared" si="4"/>
        <v>27736</v>
      </c>
      <c r="H45" s="91">
        <v>1123.29</v>
      </c>
      <c r="I45" s="46">
        <v>249.56</v>
      </c>
      <c r="J45" s="45">
        <f>J42+(J47-J42)*3/5</f>
        <v>14251.6</v>
      </c>
      <c r="K45" s="34">
        <v>0</v>
      </c>
      <c r="L45" s="34">
        <v>0</v>
      </c>
      <c r="M45" s="70">
        <f t="shared" si="1"/>
        <v>14251.6</v>
      </c>
      <c r="N45" s="77"/>
      <c r="O45" s="78"/>
      <c r="P45" s="2"/>
    </row>
    <row r="46" spans="1:16" ht="14.5" x14ac:dyDescent="0.35">
      <c r="A46" s="71">
        <f t="shared" si="3"/>
        <v>39</v>
      </c>
      <c r="B46" s="87">
        <v>1989</v>
      </c>
      <c r="C46" s="31">
        <v>79.099999999999994</v>
      </c>
      <c r="D46" s="10"/>
      <c r="E46" s="23"/>
      <c r="F46" s="93">
        <f>254420+158375+61909</f>
        <v>474704</v>
      </c>
      <c r="G46" s="53">
        <f t="shared" si="4"/>
        <v>13179</v>
      </c>
      <c r="H46" s="91">
        <v>1200.6600000000001</v>
      </c>
      <c r="I46" s="46">
        <v>273.81</v>
      </c>
      <c r="J46" s="45">
        <f>J42+(J47-J42)*4/5</f>
        <v>14717.8</v>
      </c>
      <c r="K46" s="34">
        <v>0</v>
      </c>
      <c r="L46" s="34">
        <v>0</v>
      </c>
      <c r="M46" s="70">
        <f t="shared" si="1"/>
        <v>14717.8</v>
      </c>
      <c r="N46" s="77"/>
      <c r="O46" s="78"/>
      <c r="P46" s="2"/>
    </row>
    <row r="47" spans="1:16" ht="14.5" x14ac:dyDescent="0.35">
      <c r="A47" s="71">
        <f t="shared" si="3"/>
        <v>40</v>
      </c>
      <c r="B47" s="87">
        <v>1990</v>
      </c>
      <c r="C47" s="31">
        <v>79.8</v>
      </c>
      <c r="D47" s="10">
        <v>63700</v>
      </c>
      <c r="E47" s="23">
        <v>16000</v>
      </c>
      <c r="F47" s="93">
        <f>306315+168002+64017</f>
        <v>538334</v>
      </c>
      <c r="G47" s="53">
        <f t="shared" si="4"/>
        <v>63630</v>
      </c>
      <c r="H47" s="91">
        <v>1306.68</v>
      </c>
      <c r="I47" s="46">
        <v>281.04000000000002</v>
      </c>
      <c r="J47" s="44">
        <v>15184</v>
      </c>
      <c r="K47" s="34">
        <v>0</v>
      </c>
      <c r="L47" s="34">
        <v>0</v>
      </c>
      <c r="M47" s="70">
        <f>J47+K47+L47</f>
        <v>15184</v>
      </c>
      <c r="N47" s="77"/>
      <c r="O47" s="78"/>
      <c r="P47" s="2"/>
    </row>
    <row r="48" spans="1:16" ht="14.5" x14ac:dyDescent="0.35">
      <c r="A48" s="71">
        <f t="shared" si="3"/>
        <v>41</v>
      </c>
      <c r="B48" s="87">
        <v>1991</v>
      </c>
      <c r="C48" s="31">
        <v>80.3</v>
      </c>
      <c r="D48" s="10"/>
      <c r="E48" s="24"/>
      <c r="F48" s="93">
        <f>347834+180059+71618</f>
        <v>599511</v>
      </c>
      <c r="G48" s="53">
        <f t="shared" si="4"/>
        <v>61177</v>
      </c>
      <c r="H48" s="91">
        <v>1585.8</v>
      </c>
      <c r="I48" s="46">
        <v>338.43</v>
      </c>
      <c r="J48" s="44">
        <v>19624</v>
      </c>
      <c r="K48" s="34">
        <v>0</v>
      </c>
      <c r="L48" s="34">
        <v>0</v>
      </c>
      <c r="M48" s="70">
        <f>J48+K48+L48</f>
        <v>19624</v>
      </c>
      <c r="N48" s="77"/>
      <c r="O48" s="78"/>
      <c r="P48" s="2"/>
    </row>
    <row r="49" spans="1:16" ht="14.5" x14ac:dyDescent="0.35">
      <c r="A49" s="71">
        <f t="shared" si="3"/>
        <v>42</v>
      </c>
      <c r="B49" s="87">
        <v>1992</v>
      </c>
      <c r="C49" s="31">
        <v>81</v>
      </c>
      <c r="D49" s="10"/>
      <c r="E49" s="24"/>
      <c r="F49" s="93">
        <f>409788+199164+77404</f>
        <v>686356</v>
      </c>
      <c r="G49" s="53">
        <f t="shared" si="4"/>
        <v>86845</v>
      </c>
      <c r="H49" s="91">
        <v>1702.06</v>
      </c>
      <c r="I49" s="46">
        <v>374.13</v>
      </c>
      <c r="J49" s="44">
        <v>19790</v>
      </c>
      <c r="K49" s="34">
        <v>3957</v>
      </c>
      <c r="L49" s="34">
        <v>0</v>
      </c>
      <c r="M49" s="70">
        <f>J49+K49+L49</f>
        <v>23747</v>
      </c>
      <c r="N49" s="77"/>
      <c r="O49" s="78"/>
      <c r="P49" s="2"/>
    </row>
    <row r="50" spans="1:16" ht="14.5" x14ac:dyDescent="0.35">
      <c r="A50" s="71">
        <f t="shared" si="3"/>
        <v>43</v>
      </c>
      <c r="B50" s="87">
        <v>1993</v>
      </c>
      <c r="C50" s="31">
        <v>81.3</v>
      </c>
      <c r="D50" s="10"/>
      <c r="E50" s="24"/>
      <c r="F50" s="93">
        <f>461358+221792+86749</f>
        <v>769899</v>
      </c>
      <c r="G50" s="53">
        <f t="shared" si="4"/>
        <v>83543</v>
      </c>
      <c r="H50" s="91">
        <v>1750.89</v>
      </c>
      <c r="I50" s="46">
        <v>383.02</v>
      </c>
      <c r="J50" s="44">
        <v>20768</v>
      </c>
      <c r="K50" s="34">
        <v>4597</v>
      </c>
      <c r="L50" s="34">
        <v>0</v>
      </c>
      <c r="M50" s="70">
        <f t="shared" ref="M50:M77" si="5">J50+K50+L50</f>
        <v>25365</v>
      </c>
      <c r="N50" s="77"/>
      <c r="O50" s="78"/>
      <c r="P50" s="2"/>
    </row>
    <row r="51" spans="1:16" ht="14.5" x14ac:dyDescent="0.35">
      <c r="A51" s="71">
        <f t="shared" si="3"/>
        <v>44</v>
      </c>
      <c r="B51" s="87">
        <v>1994</v>
      </c>
      <c r="C51" s="31">
        <v>81.5</v>
      </c>
      <c r="D51" s="10"/>
      <c r="E51" s="24"/>
      <c r="F51" s="93">
        <f>513151+240732+94174</f>
        <v>848057</v>
      </c>
      <c r="G51" s="53">
        <f t="shared" si="4"/>
        <v>78158</v>
      </c>
      <c r="H51" s="91">
        <v>1829.55</v>
      </c>
      <c r="I51" s="46">
        <v>401.96</v>
      </c>
      <c r="J51" s="44">
        <v>23990</v>
      </c>
      <c r="K51" s="34">
        <v>5878</v>
      </c>
      <c r="L51" s="34">
        <v>0</v>
      </c>
      <c r="M51" s="70">
        <f t="shared" si="5"/>
        <v>29868</v>
      </c>
      <c r="N51" s="77"/>
      <c r="O51" s="78"/>
      <c r="P51" s="2"/>
    </row>
    <row r="52" spans="1:16" ht="14.5" x14ac:dyDescent="0.35">
      <c r="A52" s="71">
        <f t="shared" si="3"/>
        <v>45</v>
      </c>
      <c r="B52" s="87">
        <v>1995</v>
      </c>
      <c r="C52" s="31">
        <v>81.8</v>
      </c>
      <c r="D52" s="10">
        <v>66300</v>
      </c>
      <c r="E52" s="24">
        <v>15500</v>
      </c>
      <c r="F52" s="93">
        <f>658339+261722+98705</f>
        <v>1018766</v>
      </c>
      <c r="G52" s="53">
        <f t="shared" si="4"/>
        <v>170709</v>
      </c>
      <c r="H52" s="91">
        <v>1894.61</v>
      </c>
      <c r="I52" s="46">
        <v>416.34</v>
      </c>
      <c r="J52" s="44">
        <v>23914</v>
      </c>
      <c r="K52" s="34">
        <v>6531</v>
      </c>
      <c r="L52" s="34">
        <v>0</v>
      </c>
      <c r="M52" s="70">
        <f t="shared" si="5"/>
        <v>30445</v>
      </c>
      <c r="N52" s="79">
        <v>4.0084025098018996</v>
      </c>
      <c r="O52" s="78">
        <f>N52/100*H52</f>
        <v>75.943594790957775</v>
      </c>
      <c r="P52" s="2"/>
    </row>
    <row r="53" spans="1:16" ht="14.5" x14ac:dyDescent="0.35">
      <c r="A53" s="71">
        <f t="shared" si="3"/>
        <v>46</v>
      </c>
      <c r="B53" s="87">
        <v>1996</v>
      </c>
      <c r="C53" s="31">
        <v>82</v>
      </c>
      <c r="D53" s="10"/>
      <c r="E53" s="24"/>
      <c r="F53" s="93">
        <f>696329+286010+100632</f>
        <v>1082971</v>
      </c>
      <c r="G53" s="53">
        <f t="shared" si="4"/>
        <v>64205</v>
      </c>
      <c r="H53" s="91">
        <v>1921.38</v>
      </c>
      <c r="I53" s="46">
        <v>408.97</v>
      </c>
      <c r="J53" s="44">
        <v>25179</v>
      </c>
      <c r="K53" s="34">
        <v>7152</v>
      </c>
      <c r="L53" s="34">
        <v>0</v>
      </c>
      <c r="M53" s="70">
        <f t="shared" si="5"/>
        <v>32331</v>
      </c>
      <c r="N53" s="79">
        <v>4.0195512286627002</v>
      </c>
      <c r="O53" s="78">
        <f t="shared" ref="O53:O75" si="6">N53/100*H53</f>
        <v>77.23085339727939</v>
      </c>
      <c r="P53" s="2"/>
    </row>
    <row r="54" spans="1:16" ht="14.5" x14ac:dyDescent="0.35">
      <c r="A54" s="71">
        <f t="shared" si="3"/>
        <v>47</v>
      </c>
      <c r="B54" s="87">
        <v>1997</v>
      </c>
      <c r="C54" s="31">
        <v>82.1</v>
      </c>
      <c r="D54" s="10"/>
      <c r="E54" s="24"/>
      <c r="F54" s="93">
        <f>726790+304354+101298</f>
        <v>1132442</v>
      </c>
      <c r="G54" s="53">
        <f t="shared" si="4"/>
        <v>49471</v>
      </c>
      <c r="H54" s="91">
        <v>1961.15</v>
      </c>
      <c r="I54" s="46">
        <v>407.5</v>
      </c>
      <c r="J54" s="44">
        <v>27447</v>
      </c>
      <c r="K54" s="34">
        <v>7776</v>
      </c>
      <c r="L54" s="34">
        <v>0</v>
      </c>
      <c r="M54" s="70">
        <f t="shared" si="5"/>
        <v>35223</v>
      </c>
      <c r="N54" s="79">
        <v>3.9400217281829999</v>
      </c>
      <c r="O54" s="78">
        <f t="shared" si="6"/>
        <v>77.269736122260909</v>
      </c>
      <c r="P54" s="2"/>
    </row>
    <row r="55" spans="1:16" ht="14.5" x14ac:dyDescent="0.35">
      <c r="A55" s="71">
        <f t="shared" si="3"/>
        <v>48</v>
      </c>
      <c r="B55" s="87">
        <v>1998</v>
      </c>
      <c r="C55" s="31">
        <v>82</v>
      </c>
      <c r="D55" s="10"/>
      <c r="E55" s="24"/>
      <c r="F55" s="93">
        <f>745285+318773+101356</f>
        <v>1165414</v>
      </c>
      <c r="G55" s="53">
        <f t="shared" si="4"/>
        <v>32972</v>
      </c>
      <c r="H55" s="91">
        <v>2014.42</v>
      </c>
      <c r="I55" s="46">
        <v>425.84</v>
      </c>
      <c r="J55" s="44">
        <v>28961</v>
      </c>
      <c r="K55" s="34">
        <v>8214</v>
      </c>
      <c r="L55" s="34">
        <v>4908</v>
      </c>
      <c r="M55" s="70">
        <f t="shared" si="5"/>
        <v>42083</v>
      </c>
      <c r="N55" s="79">
        <v>3.8375675846452002</v>
      </c>
      <c r="O55" s="78">
        <f t="shared" si="6"/>
        <v>77.304728938609841</v>
      </c>
      <c r="P55" s="2"/>
    </row>
    <row r="56" spans="1:16" ht="14.5" x14ac:dyDescent="0.35">
      <c r="A56" s="71">
        <f t="shared" si="3"/>
        <v>49</v>
      </c>
      <c r="B56" s="87">
        <v>1999</v>
      </c>
      <c r="C56" s="31">
        <v>82.2</v>
      </c>
      <c r="D56" s="10"/>
      <c r="E56" s="24"/>
      <c r="F56" s="93">
        <f>770330+327330+101922</f>
        <v>1199582</v>
      </c>
      <c r="G56" s="53">
        <f t="shared" si="4"/>
        <v>34168</v>
      </c>
      <c r="H56" s="91">
        <v>2059.48</v>
      </c>
      <c r="I56" s="46">
        <v>453</v>
      </c>
      <c r="J56" s="44">
        <v>27173</v>
      </c>
      <c r="K56" s="34">
        <v>7384</v>
      </c>
      <c r="L56" s="34">
        <v>7976</v>
      </c>
      <c r="M56" s="70">
        <f t="shared" si="5"/>
        <v>42533</v>
      </c>
      <c r="N56" s="79">
        <v>3.8250336546954999</v>
      </c>
      <c r="O56" s="78">
        <f t="shared" si="6"/>
        <v>78.77580311172288</v>
      </c>
      <c r="P56" s="2"/>
    </row>
    <row r="57" spans="1:16" ht="14.5" x14ac:dyDescent="0.35">
      <c r="A57" s="71">
        <f t="shared" si="3"/>
        <v>50</v>
      </c>
      <c r="B57" s="87">
        <v>2000</v>
      </c>
      <c r="C57" s="31">
        <v>82.3</v>
      </c>
      <c r="D57" s="9">
        <v>67100</v>
      </c>
      <c r="E57" s="23">
        <v>15100</v>
      </c>
      <c r="F57" s="93">
        <f>774834+338073+98011</f>
        <v>1210918</v>
      </c>
      <c r="G57" s="53">
        <f t="shared" si="4"/>
        <v>11336</v>
      </c>
      <c r="H57" s="91">
        <v>2109.09</v>
      </c>
      <c r="I57" s="46">
        <v>467.18</v>
      </c>
      <c r="J57" s="44">
        <v>26200</v>
      </c>
      <c r="K57" s="34">
        <v>7141</v>
      </c>
      <c r="L57" s="34">
        <v>9078</v>
      </c>
      <c r="M57" s="70">
        <f t="shared" si="5"/>
        <v>42419</v>
      </c>
      <c r="N57" s="79">
        <v>3.7581912578411001</v>
      </c>
      <c r="O57" s="78">
        <f t="shared" si="6"/>
        <v>79.263636000000858</v>
      </c>
      <c r="P57" s="2"/>
    </row>
    <row r="58" spans="1:16" ht="14.5" x14ac:dyDescent="0.35">
      <c r="A58" s="71">
        <f t="shared" si="3"/>
        <v>51</v>
      </c>
      <c r="B58" s="87">
        <v>2001</v>
      </c>
      <c r="C58" s="31">
        <v>82.4</v>
      </c>
      <c r="D58" s="10"/>
      <c r="E58" s="24"/>
      <c r="F58" s="93">
        <f>760161+364497+98844</f>
        <v>1223502</v>
      </c>
      <c r="G58" s="53">
        <f t="shared" si="4"/>
        <v>12584</v>
      </c>
      <c r="H58" s="91">
        <v>2172.54</v>
      </c>
      <c r="I58" s="46">
        <v>446.17</v>
      </c>
      <c r="J58" s="44">
        <v>26617</v>
      </c>
      <c r="K58" s="34">
        <v>7212</v>
      </c>
      <c r="L58" s="34">
        <v>12177</v>
      </c>
      <c r="M58" s="70">
        <f t="shared" si="5"/>
        <v>46006</v>
      </c>
      <c r="N58" s="79">
        <v>3.7548727296159998</v>
      </c>
      <c r="O58" s="78">
        <f t="shared" si="6"/>
        <v>81.576111999999441</v>
      </c>
      <c r="P58" s="2"/>
    </row>
    <row r="59" spans="1:16" ht="14.5" x14ac:dyDescent="0.35">
      <c r="A59" s="71">
        <f t="shared" si="3"/>
        <v>52</v>
      </c>
      <c r="B59" s="87">
        <v>2002</v>
      </c>
      <c r="C59" s="31">
        <v>82.5</v>
      </c>
      <c r="D59" s="10"/>
      <c r="E59" s="24"/>
      <c r="F59" s="94">
        <f>784615+392122+100534</f>
        <v>1277271</v>
      </c>
      <c r="G59" s="53">
        <f t="shared" si="4"/>
        <v>53769</v>
      </c>
      <c r="H59" s="92">
        <v>2198.12</v>
      </c>
      <c r="I59" s="47">
        <v>441.63</v>
      </c>
      <c r="J59" s="44">
        <v>27381</v>
      </c>
      <c r="K59" s="34">
        <v>7405</v>
      </c>
      <c r="L59" s="34">
        <v>14479</v>
      </c>
      <c r="M59" s="70">
        <f t="shared" si="5"/>
        <v>49265</v>
      </c>
      <c r="N59" s="79">
        <v>3.8628122213528</v>
      </c>
      <c r="O59" s="78">
        <f t="shared" si="6"/>
        <v>84.909248000000161</v>
      </c>
      <c r="P59" s="2"/>
    </row>
    <row r="60" spans="1:16" ht="14.5" x14ac:dyDescent="0.35">
      <c r="A60" s="71">
        <f t="shared" si="3"/>
        <v>53</v>
      </c>
      <c r="B60" s="87">
        <v>2003</v>
      </c>
      <c r="C60" s="31">
        <v>82.5</v>
      </c>
      <c r="D60" s="10"/>
      <c r="E60" s="24"/>
      <c r="F60" s="94">
        <f>826527+423666+107531</f>
        <v>1357724</v>
      </c>
      <c r="G60" s="53">
        <f t="shared" si="4"/>
        <v>80453</v>
      </c>
      <c r="H60" s="91">
        <v>2211.5700000000002</v>
      </c>
      <c r="I60" s="46">
        <v>442.17</v>
      </c>
      <c r="J60" s="44">
        <v>28793</v>
      </c>
      <c r="K60" s="34">
        <v>7796</v>
      </c>
      <c r="L60" s="34">
        <v>17280</v>
      </c>
      <c r="M60" s="70">
        <f t="shared" si="5"/>
        <v>53869</v>
      </c>
      <c r="N60" s="79">
        <v>3.8735310209488998</v>
      </c>
      <c r="O60" s="78">
        <f t="shared" si="6"/>
        <v>85.665849999999594</v>
      </c>
      <c r="P60" s="2"/>
    </row>
    <row r="61" spans="1:16" ht="14.5" x14ac:dyDescent="0.35">
      <c r="A61" s="71">
        <f t="shared" si="3"/>
        <v>54</v>
      </c>
      <c r="B61" s="87">
        <v>2004</v>
      </c>
      <c r="C61" s="31">
        <v>82.5</v>
      </c>
      <c r="D61" s="10"/>
      <c r="E61" s="24"/>
      <c r="F61" s="94">
        <f>869332+448621+111796</f>
        <v>1429749</v>
      </c>
      <c r="G61" s="53">
        <f t="shared" si="4"/>
        <v>72025</v>
      </c>
      <c r="H61" s="91">
        <v>2262.52</v>
      </c>
      <c r="I61" s="46">
        <v>442.76</v>
      </c>
      <c r="J61" s="44">
        <v>29196</v>
      </c>
      <c r="K61" s="34">
        <v>7905</v>
      </c>
      <c r="L61" s="34">
        <v>17264</v>
      </c>
      <c r="M61" s="70">
        <f t="shared" si="5"/>
        <v>54365</v>
      </c>
      <c r="N61" s="79">
        <v>3.7905713098669001</v>
      </c>
      <c r="O61" s="78">
        <f t="shared" si="6"/>
        <v>85.762434000000582</v>
      </c>
      <c r="P61" s="2"/>
    </row>
    <row r="62" spans="1:16" ht="14.5" x14ac:dyDescent="0.35">
      <c r="A62" s="71">
        <f t="shared" si="3"/>
        <v>55</v>
      </c>
      <c r="B62" s="87">
        <v>2005</v>
      </c>
      <c r="C62" s="31">
        <v>82.4</v>
      </c>
      <c r="D62" s="10">
        <v>65700</v>
      </c>
      <c r="E62" s="24">
        <v>16700</v>
      </c>
      <c r="F62" s="94">
        <f>903282+471339+115232</f>
        <v>1489853</v>
      </c>
      <c r="G62" s="53">
        <f t="shared" si="4"/>
        <v>60104</v>
      </c>
      <c r="H62" s="91">
        <v>2288.31</v>
      </c>
      <c r="I62" s="46">
        <v>452.08</v>
      </c>
      <c r="J62" s="44">
        <v>29515</v>
      </c>
      <c r="K62" s="34">
        <v>7973</v>
      </c>
      <c r="L62" s="34">
        <v>17324</v>
      </c>
      <c r="M62" s="70">
        <f t="shared" si="5"/>
        <v>54812</v>
      </c>
      <c r="N62" s="79">
        <v>3.7895287788804999</v>
      </c>
      <c r="O62" s="78">
        <f t="shared" si="6"/>
        <v>86.716166000000371</v>
      </c>
      <c r="P62" s="2"/>
    </row>
    <row r="63" spans="1:16" ht="14.5" x14ac:dyDescent="0.35">
      <c r="A63" s="71">
        <f t="shared" si="3"/>
        <v>56</v>
      </c>
      <c r="B63" s="87">
        <v>2006</v>
      </c>
      <c r="C63" s="31">
        <v>82.3</v>
      </c>
      <c r="D63" s="10"/>
      <c r="E63" s="24"/>
      <c r="F63" s="94">
        <f>950338+482783+112243</f>
        <v>1545364</v>
      </c>
      <c r="G63" s="53">
        <f t="shared" si="4"/>
        <v>55511</v>
      </c>
      <c r="H63" s="91">
        <v>2385.08</v>
      </c>
      <c r="I63" s="46">
        <v>488.44</v>
      </c>
      <c r="J63" s="44">
        <v>29469</v>
      </c>
      <c r="K63" s="34">
        <v>7977</v>
      </c>
      <c r="L63" s="34">
        <v>17463</v>
      </c>
      <c r="M63" s="70">
        <f t="shared" si="5"/>
        <v>54909</v>
      </c>
      <c r="N63" s="79">
        <v>3.7394229962935999</v>
      </c>
      <c r="O63" s="78">
        <f t="shared" si="6"/>
        <v>89.188229999999379</v>
      </c>
      <c r="P63" s="2"/>
    </row>
    <row r="64" spans="1:16" ht="14.5" x14ac:dyDescent="0.35">
      <c r="A64" s="71">
        <f t="shared" si="3"/>
        <v>57</v>
      </c>
      <c r="B64" s="87">
        <v>2007</v>
      </c>
      <c r="C64" s="31">
        <v>82.2</v>
      </c>
      <c r="D64" s="10"/>
      <c r="E64" s="24"/>
      <c r="F64" s="94">
        <f>957270+484475+110627</f>
        <v>1552372</v>
      </c>
      <c r="G64" s="53">
        <f t="shared" si="4"/>
        <v>7008</v>
      </c>
      <c r="H64" s="91">
        <v>2499.5500000000002</v>
      </c>
      <c r="I64" s="46">
        <v>538.24</v>
      </c>
      <c r="J64" s="44">
        <v>29992</v>
      </c>
      <c r="K64" s="34">
        <v>8087</v>
      </c>
      <c r="L64" s="34">
        <v>17864</v>
      </c>
      <c r="M64" s="70">
        <f t="shared" si="5"/>
        <v>55943</v>
      </c>
      <c r="N64" s="79">
        <v>3.6951591686504002</v>
      </c>
      <c r="O64" s="78">
        <f t="shared" si="6"/>
        <v>92.36235100000107</v>
      </c>
      <c r="P64" s="2"/>
    </row>
    <row r="65" spans="1:16" ht="14.5" x14ac:dyDescent="0.35">
      <c r="A65" s="71">
        <f t="shared" si="3"/>
        <v>58</v>
      </c>
      <c r="B65" s="87">
        <v>2008</v>
      </c>
      <c r="C65" s="31">
        <v>82</v>
      </c>
      <c r="D65" s="10"/>
      <c r="E65" s="24"/>
      <c r="F65" s="94">
        <f>985750+483268+108864</f>
        <v>1577882</v>
      </c>
      <c r="G65" s="53">
        <f t="shared" si="4"/>
        <v>25510</v>
      </c>
      <c r="H65" s="91">
        <v>2546.4899999999998</v>
      </c>
      <c r="I65" s="46">
        <v>561.17999999999995</v>
      </c>
      <c r="J65" s="44">
        <v>30158</v>
      </c>
      <c r="K65" s="34">
        <v>8083</v>
      </c>
      <c r="L65" s="34">
        <v>18190</v>
      </c>
      <c r="M65" s="70">
        <f t="shared" si="5"/>
        <v>56431</v>
      </c>
      <c r="N65" s="79">
        <v>3.6802357362486999</v>
      </c>
      <c r="O65" s="78">
        <f t="shared" si="6"/>
        <v>93.716834999999506</v>
      </c>
      <c r="P65" s="2"/>
    </row>
    <row r="66" spans="1:16" ht="14.5" x14ac:dyDescent="0.35">
      <c r="A66" s="71">
        <f t="shared" si="3"/>
        <v>59</v>
      </c>
      <c r="B66" s="87">
        <v>2009</v>
      </c>
      <c r="C66" s="31">
        <v>81.900000000000006</v>
      </c>
      <c r="D66" s="10"/>
      <c r="E66" s="24"/>
      <c r="F66" s="94">
        <f>1053814+526745+113810</f>
        <v>1694369</v>
      </c>
      <c r="G66" s="53">
        <f t="shared" si="4"/>
        <v>116487</v>
      </c>
      <c r="H66" s="91">
        <v>2445.73</v>
      </c>
      <c r="I66" s="46">
        <v>524</v>
      </c>
      <c r="J66" s="44">
        <v>30491</v>
      </c>
      <c r="K66" s="34">
        <v>8162</v>
      </c>
      <c r="L66" s="34">
        <v>18680</v>
      </c>
      <c r="M66" s="70">
        <f t="shared" si="5"/>
        <v>57333</v>
      </c>
      <c r="N66" s="79">
        <v>4.0856899984871999</v>
      </c>
      <c r="O66" s="78">
        <f t="shared" si="6"/>
        <v>99.924946000001</v>
      </c>
      <c r="P66" s="2"/>
    </row>
    <row r="67" spans="1:16" ht="14.5" x14ac:dyDescent="0.35">
      <c r="A67" s="71">
        <f t="shared" si="3"/>
        <v>60</v>
      </c>
      <c r="B67" s="87">
        <v>2010</v>
      </c>
      <c r="C67" s="31">
        <v>81.8</v>
      </c>
      <c r="D67" s="10">
        <v>65400</v>
      </c>
      <c r="E67" s="24">
        <v>16300</v>
      </c>
      <c r="F67" s="94">
        <f>1287460+600110+123569</f>
        <v>2011139</v>
      </c>
      <c r="G67" s="53">
        <f t="shared" si="4"/>
        <v>316770</v>
      </c>
      <c r="H67" s="91">
        <v>2564.4</v>
      </c>
      <c r="I67" s="46">
        <v>530.59</v>
      </c>
      <c r="J67" s="44">
        <v>31472</v>
      </c>
      <c r="K67" s="34">
        <v>8413</v>
      </c>
      <c r="L67" s="34">
        <v>19095</v>
      </c>
      <c r="M67" s="70">
        <f t="shared" si="5"/>
        <v>58980</v>
      </c>
      <c r="N67" s="79">
        <v>4.1420481984090003</v>
      </c>
      <c r="O67" s="78">
        <f t="shared" si="6"/>
        <v>106.21868400000041</v>
      </c>
      <c r="P67" s="2"/>
    </row>
    <row r="68" spans="1:16" ht="14.5" x14ac:dyDescent="0.35">
      <c r="A68" s="71">
        <f t="shared" si="3"/>
        <v>61</v>
      </c>
      <c r="B68" s="87">
        <v>2011</v>
      </c>
      <c r="C68" s="31">
        <v>80.3</v>
      </c>
      <c r="D68" s="10"/>
      <c r="E68" s="24"/>
      <c r="F68" s="94">
        <f>1279583+615399+129633</f>
        <v>2024615</v>
      </c>
      <c r="G68" s="53">
        <f t="shared" si="4"/>
        <v>13476</v>
      </c>
      <c r="H68" s="91">
        <v>2693.56</v>
      </c>
      <c r="I68" s="46">
        <v>573.35</v>
      </c>
      <c r="J68" s="44">
        <v>31348</v>
      </c>
      <c r="K68" s="34">
        <v>8293</v>
      </c>
      <c r="L68" s="34">
        <v>19241</v>
      </c>
      <c r="M68" s="70">
        <f t="shared" si="5"/>
        <v>58882</v>
      </c>
      <c r="N68" s="79">
        <v>4.0830001855400004</v>
      </c>
      <c r="O68" s="78">
        <f t="shared" si="6"/>
        <v>109.97805979763123</v>
      </c>
      <c r="P68" s="2"/>
    </row>
    <row r="69" spans="1:16" ht="14.5" x14ac:dyDescent="0.35">
      <c r="A69" s="71">
        <f t="shared" si="3"/>
        <v>62</v>
      </c>
      <c r="B69" s="87">
        <v>2012</v>
      </c>
      <c r="C69" s="31">
        <v>80.5</v>
      </c>
      <c r="D69" s="10"/>
      <c r="E69" s="24"/>
      <c r="F69" s="94">
        <f>1287517+644929+135178</f>
        <v>2067624</v>
      </c>
      <c r="G69" s="53">
        <f t="shared" si="4"/>
        <v>43009</v>
      </c>
      <c r="H69" s="91">
        <v>2745.31</v>
      </c>
      <c r="I69" s="46">
        <v>600.04999999999995</v>
      </c>
      <c r="J69" s="44">
        <v>31570</v>
      </c>
      <c r="K69" s="34">
        <v>8325</v>
      </c>
      <c r="L69" s="34">
        <v>20123</v>
      </c>
      <c r="M69" s="70">
        <f t="shared" si="5"/>
        <v>60018</v>
      </c>
      <c r="N69" s="79">
        <v>4.0856286926453</v>
      </c>
      <c r="O69" s="78">
        <f t="shared" si="6"/>
        <v>112.16317306206069</v>
      </c>
      <c r="P69" s="2"/>
    </row>
    <row r="70" spans="1:16" ht="14.5" x14ac:dyDescent="0.35">
      <c r="A70" s="71">
        <f t="shared" si="3"/>
        <v>63</v>
      </c>
      <c r="B70" s="87">
        <v>2013</v>
      </c>
      <c r="C70" s="31">
        <v>80.8</v>
      </c>
      <c r="D70" s="10"/>
      <c r="E70" s="24"/>
      <c r="F70" s="94">
        <f>1282683+624915+135116</f>
        <v>2042714</v>
      </c>
      <c r="G70" s="53">
        <f t="shared" si="4"/>
        <v>-24910</v>
      </c>
      <c r="H70" s="91">
        <v>2811.35</v>
      </c>
      <c r="I70" s="46">
        <v>619.71</v>
      </c>
      <c r="J70" s="44">
        <v>30494</v>
      </c>
      <c r="K70" s="34">
        <v>8369</v>
      </c>
      <c r="L70" s="34">
        <v>20990</v>
      </c>
      <c r="M70" s="70">
        <f t="shared" si="5"/>
        <v>59853</v>
      </c>
      <c r="N70" s="79">
        <v>4.1599616659230998</v>
      </c>
      <c r="O70" s="78">
        <f t="shared" si="6"/>
        <v>116.95108229492905</v>
      </c>
      <c r="P70" s="2"/>
    </row>
    <row r="71" spans="1:16" ht="14.5" x14ac:dyDescent="0.35">
      <c r="A71" s="71">
        <f t="shared" si="3"/>
        <v>64</v>
      </c>
      <c r="B71" s="87">
        <v>2014</v>
      </c>
      <c r="C71" s="31">
        <v>81.2</v>
      </c>
      <c r="D71" s="10"/>
      <c r="E71" s="24"/>
      <c r="F71" s="94">
        <f>1289854+614055+139448</f>
        <v>2043357</v>
      </c>
      <c r="G71" s="53">
        <f t="shared" si="4"/>
        <v>643</v>
      </c>
      <c r="H71" s="91">
        <v>2927.43</v>
      </c>
      <c r="I71" s="46">
        <v>643.62</v>
      </c>
      <c r="J71" s="44">
        <v>31138</v>
      </c>
      <c r="K71" s="34">
        <v>8675</v>
      </c>
      <c r="L71" s="34">
        <v>21522</v>
      </c>
      <c r="M71" s="70">
        <f t="shared" si="5"/>
        <v>61335</v>
      </c>
      <c r="N71" s="79">
        <v>4.1537407474816002</v>
      </c>
      <c r="O71" s="78">
        <f t="shared" si="6"/>
        <v>121.59785276400061</v>
      </c>
      <c r="P71" s="2"/>
    </row>
    <row r="72" spans="1:16" ht="14.5" x14ac:dyDescent="0.35">
      <c r="A72" s="71">
        <f t="shared" si="3"/>
        <v>65</v>
      </c>
      <c r="B72" s="87">
        <v>2015</v>
      </c>
      <c r="C72" s="31">
        <v>82.2</v>
      </c>
      <c r="D72" s="10">
        <v>66100</v>
      </c>
      <c r="E72" s="24">
        <v>16100</v>
      </c>
      <c r="F72" s="94">
        <f>1262769+613202+144245</f>
        <v>2020216</v>
      </c>
      <c r="G72" s="53">
        <f t="shared" ref="G72:G78" si="7">F72-F71</f>
        <v>-23141</v>
      </c>
      <c r="H72" s="91">
        <v>3026.18</v>
      </c>
      <c r="I72" s="46">
        <v>673.26</v>
      </c>
      <c r="J72" s="44">
        <v>31472</v>
      </c>
      <c r="K72" s="34">
        <v>8757</v>
      </c>
      <c r="L72" s="34">
        <v>22203</v>
      </c>
      <c r="M72" s="70">
        <f t="shared" si="5"/>
        <v>62432</v>
      </c>
      <c r="N72" s="79">
        <v>4.092796736445</v>
      </c>
      <c r="O72" s="78">
        <f t="shared" si="6"/>
        <v>123.85539627895129</v>
      </c>
      <c r="P72" s="2"/>
    </row>
    <row r="73" spans="1:16" ht="14.5" x14ac:dyDescent="0.35">
      <c r="A73" s="71">
        <f t="shared" ref="A73:A117" si="8">A72+1</f>
        <v>66</v>
      </c>
      <c r="B73" s="87">
        <v>2016</v>
      </c>
      <c r="C73" s="31">
        <v>82.5</v>
      </c>
      <c r="D73" s="10"/>
      <c r="E73" s="24"/>
      <c r="F73" s="94">
        <f>1257065+608731+143079</f>
        <v>2008875</v>
      </c>
      <c r="G73" s="53">
        <f t="shared" si="7"/>
        <v>-11341</v>
      </c>
      <c r="H73" s="91">
        <v>3134.74</v>
      </c>
      <c r="I73" s="46">
        <v>705.79</v>
      </c>
      <c r="J73" s="44">
        <v>32312</v>
      </c>
      <c r="K73" s="34">
        <v>9050</v>
      </c>
      <c r="L73" s="34">
        <v>23107</v>
      </c>
      <c r="M73" s="70">
        <f t="shared" si="5"/>
        <v>64469</v>
      </c>
      <c r="N73" s="79">
        <v>4.1202800607511003</v>
      </c>
      <c r="O73" s="78">
        <f t="shared" si="6"/>
        <v>129.16006717638905</v>
      </c>
      <c r="P73" s="2"/>
    </row>
    <row r="74" spans="1:16" ht="14.5" x14ac:dyDescent="0.35">
      <c r="A74" s="71">
        <f t="shared" si="8"/>
        <v>67</v>
      </c>
      <c r="B74" s="87">
        <v>2017</v>
      </c>
      <c r="C74" s="31">
        <v>82.8</v>
      </c>
      <c r="D74" s="10"/>
      <c r="E74" s="24"/>
      <c r="F74" s="94">
        <f>1242547+586394+139725</f>
        <v>1968666</v>
      </c>
      <c r="G74" s="53">
        <f t="shared" si="7"/>
        <v>-40209</v>
      </c>
      <c r="H74" s="91">
        <v>3267.16</v>
      </c>
      <c r="I74" s="46">
        <v>734.51</v>
      </c>
      <c r="J74" s="44">
        <v>34396</v>
      </c>
      <c r="K74" s="34">
        <v>9395</v>
      </c>
      <c r="L74" s="34">
        <v>24001</v>
      </c>
      <c r="M74" s="70">
        <f t="shared" si="5"/>
        <v>67792</v>
      </c>
      <c r="N74" s="79">
        <v>4.1342033637173001</v>
      </c>
      <c r="O74" s="78">
        <f t="shared" si="6"/>
        <v>135.07103861802614</v>
      </c>
      <c r="P74" s="2"/>
    </row>
    <row r="75" spans="1:16" ht="14.5" x14ac:dyDescent="0.35">
      <c r="A75" s="71">
        <f t="shared" si="8"/>
        <v>68</v>
      </c>
      <c r="B75" s="87">
        <v>2018</v>
      </c>
      <c r="C75" s="31">
        <v>83</v>
      </c>
      <c r="D75" s="10"/>
      <c r="E75" s="24"/>
      <c r="F75" s="94">
        <f>1213302+570525+131813</f>
        <v>1915640</v>
      </c>
      <c r="G75" s="53">
        <f t="shared" si="7"/>
        <v>-53026</v>
      </c>
      <c r="H75" s="91">
        <v>3367.87</v>
      </c>
      <c r="I75" s="46">
        <v>776.26</v>
      </c>
      <c r="J75" s="44">
        <v>35035</v>
      </c>
      <c r="K75" s="34">
        <v>9555</v>
      </c>
      <c r="L75" s="34">
        <v>24915</v>
      </c>
      <c r="M75" s="70">
        <f t="shared" si="5"/>
        <v>69505</v>
      </c>
      <c r="N75" s="79">
        <v>4.1500621900918997</v>
      </c>
      <c r="O75" s="78">
        <f t="shared" si="6"/>
        <v>139.76869948144804</v>
      </c>
      <c r="P75" s="2"/>
    </row>
    <row r="76" spans="1:16" ht="14.5" x14ac:dyDescent="0.35">
      <c r="A76" s="71">
        <f t="shared" si="8"/>
        <v>69</v>
      </c>
      <c r="B76" s="87">
        <v>2019</v>
      </c>
      <c r="C76" s="32">
        <v>83.2</v>
      </c>
      <c r="D76" s="10">
        <v>67000</v>
      </c>
      <c r="E76" s="24">
        <v>16200</v>
      </c>
      <c r="F76" s="93">
        <f>1188581+579009+131411</f>
        <v>1899001</v>
      </c>
      <c r="G76" s="53">
        <f t="shared" si="7"/>
        <v>-16639</v>
      </c>
      <c r="H76" s="91">
        <v>3473.35</v>
      </c>
      <c r="I76" s="46">
        <v>799.31</v>
      </c>
      <c r="J76" s="44">
        <v>36305</v>
      </c>
      <c r="K76" s="34">
        <v>9913</v>
      </c>
      <c r="L76" s="34">
        <v>26087</v>
      </c>
      <c r="M76" s="70">
        <f t="shared" si="5"/>
        <v>72305</v>
      </c>
      <c r="N76" s="77"/>
      <c r="O76" s="80">
        <v>150.52500000000001</v>
      </c>
      <c r="P76" s="2"/>
    </row>
    <row r="77" spans="1:16" ht="13" x14ac:dyDescent="0.3">
      <c r="A77" s="71">
        <f t="shared" si="8"/>
        <v>70</v>
      </c>
      <c r="B77" s="87">
        <v>2020</v>
      </c>
      <c r="C77" s="41">
        <v>83.4</v>
      </c>
      <c r="D77" s="9"/>
      <c r="E77" s="42"/>
      <c r="F77" s="93">
        <f>1403481+636022+133340</f>
        <v>2172843</v>
      </c>
      <c r="G77" s="53">
        <f t="shared" si="7"/>
        <v>273842</v>
      </c>
      <c r="H77" s="91">
        <v>3367.56</v>
      </c>
      <c r="I77" s="46"/>
      <c r="J77" s="44">
        <v>37827</v>
      </c>
      <c r="K77" s="34">
        <v>10327</v>
      </c>
      <c r="L77" s="34">
        <v>27148</v>
      </c>
      <c r="M77" s="70">
        <f t="shared" si="5"/>
        <v>75302</v>
      </c>
      <c r="N77" s="77"/>
      <c r="O77" s="80">
        <v>159.59200000000001</v>
      </c>
      <c r="P77" s="2"/>
    </row>
    <row r="78" spans="1:16" ht="13" x14ac:dyDescent="0.3">
      <c r="A78" s="71">
        <f t="shared" si="8"/>
        <v>71</v>
      </c>
      <c r="B78" s="95">
        <v>2021</v>
      </c>
      <c r="C78" s="96">
        <v>83.5</v>
      </c>
      <c r="D78" s="97"/>
      <c r="E78" s="98"/>
      <c r="F78" s="99">
        <f>1403481+636022+133340+300000</f>
        <v>2472843</v>
      </c>
      <c r="G78" s="100">
        <f t="shared" si="7"/>
        <v>300000</v>
      </c>
      <c r="H78" s="101">
        <v>3570.62</v>
      </c>
      <c r="I78" s="102"/>
      <c r="J78" s="103"/>
      <c r="K78" s="104"/>
      <c r="L78" s="104"/>
      <c r="M78" s="105"/>
      <c r="N78" s="106"/>
      <c r="O78" s="107">
        <v>165.11099999999999</v>
      </c>
      <c r="P78" s="2"/>
    </row>
    <row r="79" spans="1:16" ht="13" x14ac:dyDescent="0.3">
      <c r="A79" s="71">
        <f t="shared" si="8"/>
        <v>72</v>
      </c>
      <c r="B79" s="87">
        <v>2022</v>
      </c>
      <c r="C79" s="41">
        <v>83.6</v>
      </c>
      <c r="D79" s="9"/>
      <c r="E79" s="42"/>
      <c r="F79" s="109"/>
      <c r="G79" s="25"/>
      <c r="H79" s="73"/>
      <c r="I79" s="73"/>
      <c r="J79" s="109"/>
      <c r="K79" s="74"/>
      <c r="L79" s="74"/>
      <c r="M79" s="74"/>
      <c r="N79" s="72"/>
      <c r="O79" s="75"/>
      <c r="P79" s="74"/>
    </row>
    <row r="80" spans="1:16" ht="13" x14ac:dyDescent="0.3">
      <c r="A80" s="71">
        <f t="shared" si="8"/>
        <v>73</v>
      </c>
      <c r="B80" s="108">
        <v>2023</v>
      </c>
      <c r="C80" s="11">
        <v>83.7</v>
      </c>
      <c r="D80" s="12"/>
      <c r="E80" s="7"/>
      <c r="G80" s="51"/>
      <c r="H80" s="2"/>
      <c r="I80" s="2"/>
    </row>
    <row r="81" spans="1:9" ht="13" x14ac:dyDescent="0.3">
      <c r="A81" s="71">
        <f t="shared" si="8"/>
        <v>74</v>
      </c>
      <c r="B81" s="87">
        <v>2024</v>
      </c>
      <c r="C81" s="11">
        <v>83.7</v>
      </c>
      <c r="D81" s="12"/>
      <c r="E81" s="7"/>
      <c r="G81" s="51"/>
      <c r="H81" s="2"/>
      <c r="I81" s="2"/>
    </row>
    <row r="82" spans="1:9" ht="13" x14ac:dyDescent="0.3">
      <c r="A82" s="71">
        <f t="shared" si="8"/>
        <v>75</v>
      </c>
      <c r="B82" s="87">
        <v>2025</v>
      </c>
      <c r="C82" s="11">
        <v>83.7</v>
      </c>
      <c r="D82" s="12"/>
      <c r="E82" s="7"/>
      <c r="G82" s="51"/>
      <c r="H82" s="2"/>
      <c r="I82" s="2"/>
    </row>
    <row r="83" spans="1:9" ht="13" x14ac:dyDescent="0.3">
      <c r="A83" s="71">
        <f t="shared" si="8"/>
        <v>76</v>
      </c>
      <c r="B83" s="87">
        <v>2026</v>
      </c>
      <c r="C83" s="11">
        <v>83.6</v>
      </c>
      <c r="D83" s="12"/>
      <c r="E83" s="7"/>
      <c r="G83" s="51"/>
      <c r="H83" s="2"/>
      <c r="I83" s="2"/>
    </row>
    <row r="84" spans="1:9" ht="13" x14ac:dyDescent="0.3">
      <c r="A84" s="71">
        <f t="shared" si="8"/>
        <v>77</v>
      </c>
      <c r="B84" s="87">
        <v>2027</v>
      </c>
      <c r="C84" s="11">
        <v>83.6</v>
      </c>
      <c r="D84" s="12"/>
      <c r="E84" s="7"/>
      <c r="G84" s="51"/>
      <c r="H84" s="2"/>
      <c r="I84" s="2"/>
    </row>
    <row r="85" spans="1:9" ht="13" x14ac:dyDescent="0.3">
      <c r="A85" s="71">
        <f t="shared" si="8"/>
        <v>78</v>
      </c>
      <c r="B85" s="87">
        <v>2028</v>
      </c>
      <c r="C85" s="11">
        <v>83.5</v>
      </c>
      <c r="D85" s="12"/>
      <c r="E85" s="7"/>
      <c r="G85" s="51"/>
      <c r="H85" s="2"/>
      <c r="I85" s="2"/>
    </row>
    <row r="86" spans="1:9" ht="13" x14ac:dyDescent="0.3">
      <c r="A86" s="71">
        <f t="shared" si="8"/>
        <v>79</v>
      </c>
      <c r="B86" s="87">
        <v>2029</v>
      </c>
      <c r="C86" s="11">
        <v>83.4</v>
      </c>
      <c r="D86" s="12"/>
      <c r="E86" s="7"/>
      <c r="G86" s="51"/>
      <c r="H86" s="2"/>
      <c r="I86" s="2"/>
    </row>
    <row r="87" spans="1:9" ht="13" x14ac:dyDescent="0.3">
      <c r="A87" s="71">
        <f t="shared" si="8"/>
        <v>80</v>
      </c>
      <c r="B87" s="87">
        <v>2030</v>
      </c>
      <c r="C87" s="11">
        <v>83.3</v>
      </c>
      <c r="D87" s="12"/>
      <c r="E87" s="7"/>
      <c r="G87" s="51"/>
      <c r="H87" s="2"/>
      <c r="I87" s="2"/>
    </row>
    <row r="88" spans="1:9" ht="13" x14ac:dyDescent="0.3">
      <c r="A88" s="71">
        <f t="shared" si="8"/>
        <v>81</v>
      </c>
      <c r="B88" s="87">
        <v>2031</v>
      </c>
      <c r="C88" s="11">
        <v>83.2</v>
      </c>
      <c r="D88" s="12"/>
      <c r="E88" s="7"/>
      <c r="G88" s="51"/>
      <c r="H88" s="2"/>
      <c r="I88" s="2"/>
    </row>
    <row r="89" spans="1:9" ht="13" x14ac:dyDescent="0.3">
      <c r="A89" s="71">
        <f t="shared" si="8"/>
        <v>82</v>
      </c>
      <c r="B89" s="87">
        <v>2032</v>
      </c>
      <c r="C89" s="11">
        <v>83.1</v>
      </c>
      <c r="D89" s="12"/>
      <c r="E89" s="7"/>
      <c r="G89" s="51"/>
      <c r="H89" s="2"/>
      <c r="I89" s="2"/>
    </row>
    <row r="90" spans="1:9" ht="13" x14ac:dyDescent="0.3">
      <c r="A90" s="71">
        <f t="shared" si="8"/>
        <v>83</v>
      </c>
      <c r="B90" s="87">
        <v>2033</v>
      </c>
      <c r="C90" s="11">
        <v>83</v>
      </c>
      <c r="D90" s="12"/>
      <c r="E90" s="7"/>
      <c r="G90" s="51"/>
      <c r="H90" s="2"/>
      <c r="I90" s="2"/>
    </row>
    <row r="91" spans="1:9" ht="13" x14ac:dyDescent="0.3">
      <c r="A91" s="71">
        <f t="shared" si="8"/>
        <v>84</v>
      </c>
      <c r="B91" s="87">
        <v>2034</v>
      </c>
      <c r="C91" s="11">
        <v>82.9</v>
      </c>
      <c r="D91" s="12"/>
      <c r="E91" s="7"/>
      <c r="G91" s="51"/>
      <c r="H91" s="2"/>
      <c r="I91" s="2"/>
    </row>
    <row r="92" spans="1:9" ht="13" x14ac:dyDescent="0.3">
      <c r="A92" s="71">
        <f t="shared" si="8"/>
        <v>85</v>
      </c>
      <c r="B92" s="87">
        <v>2035</v>
      </c>
      <c r="C92" s="11">
        <v>82.8</v>
      </c>
      <c r="D92" s="12"/>
      <c r="E92" s="7"/>
      <c r="G92" s="51"/>
      <c r="H92" s="2"/>
      <c r="I92" s="2"/>
    </row>
    <row r="93" spans="1:9" ht="13" x14ac:dyDescent="0.3">
      <c r="A93" s="71">
        <f t="shared" si="8"/>
        <v>86</v>
      </c>
      <c r="B93" s="87">
        <v>2036</v>
      </c>
      <c r="C93" s="11">
        <v>82.7</v>
      </c>
      <c r="D93" s="12"/>
      <c r="E93" s="7"/>
      <c r="G93" s="51"/>
      <c r="H93" s="2"/>
      <c r="I93" s="2"/>
    </row>
    <row r="94" spans="1:9" ht="13" x14ac:dyDescent="0.3">
      <c r="A94" s="71">
        <f t="shared" si="8"/>
        <v>87</v>
      </c>
      <c r="B94" s="87">
        <v>2037</v>
      </c>
      <c r="C94" s="11">
        <v>82.5</v>
      </c>
      <c r="D94" s="12"/>
      <c r="E94" s="7"/>
      <c r="G94" s="51"/>
      <c r="H94" s="2"/>
      <c r="I94" s="2"/>
    </row>
    <row r="95" spans="1:9" ht="13" x14ac:dyDescent="0.3">
      <c r="A95" s="71">
        <f t="shared" si="8"/>
        <v>88</v>
      </c>
      <c r="B95" s="87">
        <v>2038</v>
      </c>
      <c r="C95" s="11">
        <v>82.4</v>
      </c>
      <c r="D95" s="12"/>
      <c r="E95" s="7"/>
      <c r="G95" s="51"/>
      <c r="H95" s="2"/>
      <c r="I95" s="2"/>
    </row>
    <row r="96" spans="1:9" ht="13" x14ac:dyDescent="0.3">
      <c r="A96" s="71">
        <f t="shared" si="8"/>
        <v>89</v>
      </c>
      <c r="B96" s="87">
        <v>2039</v>
      </c>
      <c r="C96" s="11">
        <v>82.2</v>
      </c>
      <c r="D96" s="12"/>
      <c r="E96" s="7"/>
      <c r="G96" s="51"/>
      <c r="H96" s="2"/>
      <c r="I96" s="2"/>
    </row>
    <row r="97" spans="1:9" ht="13" x14ac:dyDescent="0.3">
      <c r="A97" s="71">
        <f t="shared" si="8"/>
        <v>90</v>
      </c>
      <c r="B97" s="87">
        <v>2040</v>
      </c>
      <c r="C97" s="11">
        <v>82.1</v>
      </c>
      <c r="D97" s="12"/>
      <c r="E97" s="7"/>
      <c r="G97" s="51"/>
      <c r="H97" s="2"/>
      <c r="I97" s="2"/>
    </row>
    <row r="98" spans="1:9" ht="13" x14ac:dyDescent="0.3">
      <c r="A98" s="71">
        <f t="shared" si="8"/>
        <v>91</v>
      </c>
      <c r="B98" s="87">
        <v>2041</v>
      </c>
      <c r="C98" s="11">
        <v>81.900000000000006</v>
      </c>
      <c r="D98" s="12"/>
      <c r="E98" s="7"/>
      <c r="G98" s="51"/>
      <c r="H98" s="2"/>
      <c r="I98" s="2"/>
    </row>
    <row r="99" spans="1:9" ht="13" x14ac:dyDescent="0.3">
      <c r="A99" s="71">
        <f t="shared" si="8"/>
        <v>92</v>
      </c>
      <c r="B99" s="87">
        <v>2042</v>
      </c>
      <c r="C99" s="11">
        <v>81.8</v>
      </c>
      <c r="D99" s="12"/>
      <c r="E99" s="7"/>
      <c r="G99" s="51"/>
      <c r="H99" s="2"/>
      <c r="I99" s="2"/>
    </row>
    <row r="100" spans="1:9" ht="13" x14ac:dyDescent="0.3">
      <c r="A100" s="71">
        <f t="shared" si="8"/>
        <v>93</v>
      </c>
      <c r="B100" s="87">
        <v>2043</v>
      </c>
      <c r="C100" s="11">
        <v>81.599999999999994</v>
      </c>
      <c r="D100" s="12"/>
      <c r="E100" s="7"/>
      <c r="G100" s="51"/>
      <c r="H100" s="2"/>
      <c r="I100" s="2"/>
    </row>
    <row r="101" spans="1:9" ht="13" x14ac:dyDescent="0.3">
      <c r="A101" s="71">
        <f t="shared" si="8"/>
        <v>94</v>
      </c>
      <c r="B101" s="87">
        <v>2044</v>
      </c>
      <c r="C101" s="11">
        <v>81.400000000000006</v>
      </c>
      <c r="D101" s="12"/>
      <c r="E101" s="7"/>
      <c r="G101" s="51"/>
      <c r="H101" s="2"/>
      <c r="I101" s="2"/>
    </row>
    <row r="102" spans="1:9" ht="13" x14ac:dyDescent="0.3">
      <c r="A102" s="71">
        <f t="shared" si="8"/>
        <v>95</v>
      </c>
      <c r="B102" s="87">
        <v>2045</v>
      </c>
      <c r="C102" s="11">
        <v>81.2</v>
      </c>
      <c r="D102" s="12"/>
      <c r="E102" s="7"/>
      <c r="G102" s="51"/>
      <c r="H102" s="2"/>
      <c r="I102" s="2"/>
    </row>
    <row r="103" spans="1:9" ht="13" x14ac:dyDescent="0.3">
      <c r="A103" s="71">
        <f t="shared" si="8"/>
        <v>96</v>
      </c>
      <c r="B103" s="87">
        <v>2046</v>
      </c>
      <c r="C103" s="11">
        <v>81</v>
      </c>
      <c r="D103" s="12"/>
      <c r="E103" s="7"/>
      <c r="G103" s="51"/>
      <c r="H103" s="2"/>
      <c r="I103" s="2"/>
    </row>
    <row r="104" spans="1:9" ht="13" x14ac:dyDescent="0.3">
      <c r="A104" s="71">
        <f t="shared" si="8"/>
        <v>97</v>
      </c>
      <c r="B104" s="87">
        <v>2047</v>
      </c>
      <c r="C104" s="11">
        <v>80.8</v>
      </c>
      <c r="D104" s="12"/>
      <c r="E104" s="7"/>
      <c r="G104" s="51"/>
      <c r="H104" s="2"/>
      <c r="I104" s="2"/>
    </row>
    <row r="105" spans="1:9" ht="13" x14ac:dyDescent="0.3">
      <c r="A105" s="71">
        <f t="shared" si="8"/>
        <v>98</v>
      </c>
      <c r="B105" s="87">
        <v>2048</v>
      </c>
      <c r="C105" s="11">
        <v>80.599999999999994</v>
      </c>
      <c r="D105" s="12"/>
      <c r="E105" s="7"/>
      <c r="G105" s="51"/>
      <c r="H105" s="2"/>
      <c r="I105" s="2"/>
    </row>
    <row r="106" spans="1:9" ht="13" x14ac:dyDescent="0.3">
      <c r="A106" s="71">
        <f t="shared" si="8"/>
        <v>99</v>
      </c>
      <c r="B106" s="87">
        <v>2049</v>
      </c>
      <c r="C106" s="11">
        <v>80.400000000000006</v>
      </c>
      <c r="D106" s="12"/>
      <c r="E106" s="7"/>
      <c r="G106" s="51"/>
      <c r="H106" s="2"/>
      <c r="I106" s="2"/>
    </row>
    <row r="107" spans="1:9" ht="13" x14ac:dyDescent="0.3">
      <c r="A107" s="71">
        <f t="shared" si="8"/>
        <v>100</v>
      </c>
      <c r="B107" s="87">
        <v>2050</v>
      </c>
      <c r="C107" s="11">
        <v>80.2</v>
      </c>
      <c r="D107" s="12"/>
      <c r="E107" s="7"/>
      <c r="G107" s="51"/>
      <c r="H107" s="2"/>
      <c r="I107" s="2"/>
    </row>
    <row r="108" spans="1:9" ht="13" x14ac:dyDescent="0.3">
      <c r="A108" s="71">
        <f t="shared" si="8"/>
        <v>101</v>
      </c>
      <c r="B108" s="87">
        <v>2051</v>
      </c>
      <c r="C108" s="11">
        <v>80</v>
      </c>
      <c r="D108" s="12"/>
      <c r="E108" s="7"/>
      <c r="G108" s="51"/>
      <c r="H108" s="2"/>
      <c r="I108" s="2"/>
    </row>
    <row r="109" spans="1:9" ht="13" x14ac:dyDescent="0.3">
      <c r="A109" s="71">
        <f t="shared" si="8"/>
        <v>102</v>
      </c>
      <c r="B109" s="87">
        <v>2052</v>
      </c>
      <c r="C109" s="11">
        <v>79.8</v>
      </c>
      <c r="D109" s="12"/>
      <c r="E109" s="7"/>
      <c r="G109" s="51"/>
      <c r="H109" s="2"/>
      <c r="I109" s="2"/>
    </row>
    <row r="110" spans="1:9" ht="13" x14ac:dyDescent="0.3">
      <c r="A110" s="71">
        <f t="shared" si="8"/>
        <v>103</v>
      </c>
      <c r="B110" s="87">
        <v>2053</v>
      </c>
      <c r="C110" s="11">
        <v>79.599999999999994</v>
      </c>
      <c r="D110" s="12"/>
      <c r="E110" s="7"/>
      <c r="G110" s="51"/>
      <c r="H110" s="2"/>
      <c r="I110" s="2"/>
    </row>
    <row r="111" spans="1:9" ht="13" x14ac:dyDescent="0.3">
      <c r="A111" s="71">
        <f t="shared" si="8"/>
        <v>104</v>
      </c>
      <c r="B111" s="87">
        <v>2054</v>
      </c>
      <c r="C111" s="11">
        <v>79.400000000000006</v>
      </c>
      <c r="D111" s="12"/>
      <c r="E111" s="7"/>
      <c r="G111" s="51"/>
      <c r="H111" s="2"/>
      <c r="I111" s="2"/>
    </row>
    <row r="112" spans="1:9" ht="13" x14ac:dyDescent="0.3">
      <c r="A112" s="71">
        <f t="shared" si="8"/>
        <v>105</v>
      </c>
      <c r="B112" s="87">
        <v>2055</v>
      </c>
      <c r="C112" s="11">
        <v>79.2</v>
      </c>
      <c r="D112" s="12"/>
      <c r="E112" s="7"/>
      <c r="G112" s="51"/>
      <c r="H112" s="2"/>
      <c r="I112" s="2"/>
    </row>
    <row r="113" spans="1:9" ht="13" x14ac:dyDescent="0.3">
      <c r="A113" s="71">
        <f t="shared" si="8"/>
        <v>106</v>
      </c>
      <c r="B113" s="87">
        <v>2056</v>
      </c>
      <c r="C113" s="11">
        <v>79</v>
      </c>
      <c r="D113" s="12"/>
      <c r="E113" s="7"/>
      <c r="G113" s="51"/>
      <c r="H113" s="2"/>
      <c r="I113" s="2"/>
    </row>
    <row r="114" spans="1:9" ht="13" x14ac:dyDescent="0.3">
      <c r="A114" s="71">
        <f t="shared" si="8"/>
        <v>107</v>
      </c>
      <c r="B114" s="87">
        <v>2057</v>
      </c>
      <c r="C114" s="11">
        <v>78.8</v>
      </c>
      <c r="D114" s="12"/>
      <c r="E114" s="7"/>
      <c r="G114" s="51"/>
      <c r="H114" s="2"/>
      <c r="I114" s="2"/>
    </row>
    <row r="115" spans="1:9" ht="13" x14ac:dyDescent="0.3">
      <c r="A115" s="71">
        <f t="shared" si="8"/>
        <v>108</v>
      </c>
      <c r="B115" s="87">
        <v>2058</v>
      </c>
      <c r="C115" s="11">
        <v>78.599999999999994</v>
      </c>
      <c r="D115" s="12"/>
      <c r="E115" s="7"/>
      <c r="G115" s="51"/>
      <c r="H115" s="2"/>
      <c r="I115" s="2"/>
    </row>
    <row r="116" spans="1:9" ht="13" x14ac:dyDescent="0.3">
      <c r="A116" s="71">
        <f t="shared" si="8"/>
        <v>109</v>
      </c>
      <c r="B116" s="87">
        <v>2059</v>
      </c>
      <c r="C116" s="11">
        <v>78.400000000000006</v>
      </c>
      <c r="D116" s="12"/>
      <c r="E116" s="7"/>
      <c r="G116" s="51"/>
      <c r="H116" s="2"/>
      <c r="I116" s="2"/>
    </row>
    <row r="117" spans="1:9" ht="13" x14ac:dyDescent="0.3">
      <c r="A117" s="71">
        <f t="shared" si="8"/>
        <v>110</v>
      </c>
      <c r="B117" s="87">
        <v>2060</v>
      </c>
      <c r="C117" s="11">
        <v>78.2</v>
      </c>
      <c r="D117" s="12"/>
      <c r="E117" s="7"/>
      <c r="G117" s="51"/>
      <c r="H117" s="2"/>
      <c r="I117" s="2"/>
    </row>
    <row r="118" spans="1:9" x14ac:dyDescent="0.25">
      <c r="G118" s="4"/>
      <c r="H118" s="2"/>
      <c r="I118" s="2"/>
    </row>
    <row r="120" spans="1:9" x14ac:dyDescent="0.25">
      <c r="D120" s="3" t="s">
        <v>12</v>
      </c>
    </row>
    <row r="121" spans="1:9" x14ac:dyDescent="0.25">
      <c r="D121" s="3" t="s">
        <v>13</v>
      </c>
    </row>
    <row r="123" spans="1:9" x14ac:dyDescent="0.25">
      <c r="F123" s="3" t="s">
        <v>17</v>
      </c>
    </row>
  </sheetData>
  <mergeCells count="9">
    <mergeCell ref="N3:O3"/>
    <mergeCell ref="J4:M4"/>
    <mergeCell ref="J2:M2"/>
    <mergeCell ref="C2:E2"/>
    <mergeCell ref="J1:M1"/>
    <mergeCell ref="C1:E1"/>
    <mergeCell ref="F2:G2"/>
    <mergeCell ref="N2:O2"/>
    <mergeCell ref="N1:O1"/>
  </mergeCells>
  <phoneticPr fontId="0" type="noConversion"/>
  <hyperlinks>
    <hyperlink ref="F1" r:id="rId1" display="https://www.deutschlandinzahlen.de/tab/bundeslaender/oeffentliche-haushalte/schulden/schulden-je-einwohner" xr:uid="{00000000-0004-0000-0000-000000000000}"/>
    <hyperlink ref="H1" r:id="rId2" display="https://de.statista.com/statistik/daten/studie/4878/umfrage/bruttoinlandsprodukt-von-deutschland-seit-dem-jahr-1950/_x000a_" xr:uid="{00000000-0004-0000-0000-000002000000}"/>
    <hyperlink ref="C1" r:id="rId3" display="https://de.statista.com/statistik/daten/studie/1358/umfrage/entwicklung-der-gesamtbevoelkerung-deutschlands/_x000a__x000a_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xr:uid="{11665635-E9AA-4AE0-B215-0EFA44802122}"/>
    <hyperlink ref="D120" r:id="rId4" display="https://countrymeters.info/de/Germany" xr:uid="{867A672A-B2DB-4D58-A1B8-0F0315CEC333}"/>
    <hyperlink ref="D121" r:id="rId5" display="https://www.bpb.de/kurz-knapp/zahlen-und-fakten/soziale-situation-in-deutschland/61532/bevoelkerungsentwicklung/" xr:uid="{4B7B4D97-2621-465B-A2F5-0E5658EB129E}"/>
    <hyperlink ref="F123" r:id="rId6" display="https://de.statista.com/statistik/daten/studie/4778/umfrage/schulden-der-haushalte-bund-laender-und-gemeinden/" xr:uid="{13F521F3-F0F4-4E5E-A085-726AE04228F8}"/>
    <hyperlink ref="J1" r:id="rId7" display="https://de.statista.com/statistik/daten/studie/7031/umfrage/bundeszuschuesse-an-die-rentenversicherung-seit-1950/_x000a_" xr:uid="{19D5F560-AAFE-4A73-B133-68A85C0A53E6}"/>
    <hyperlink ref="I1" r:id="rId8" display="https://www.tagesgeldvergleich.net/statistiken/steuereinnahmen.html" xr:uid="{9C7B0CA3-3784-4531-B1B7-64AD31766BBB}"/>
    <hyperlink ref="N1" r:id="rId9" display="https://www.deutschlandinzahlen.de/tab/deutschland/bildung/bildungsausgaben/oeffentliche-bildungsausgaben-in-prozent-des-bip" xr:uid="{528F0B4D-6D70-47B1-AE96-B21DC9F0D2EC}"/>
  </hyperlinks>
  <pageMargins left="0.78740157480314965" right="0.78740157480314965" top="0.39370078740157483" bottom="0.39370078740157483" header="0.51181102362204722" footer="0.51181102362204722"/>
  <pageSetup paperSize="9" scale="58" orientation="portrait" r:id="rId1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Finanzen_in_Mrd</vt:lpstr>
      <vt:lpstr>Haushalt (aus Quellen)</vt:lpstr>
      <vt:lpstr>'Haushalt (aus Quellen)'!Druckbereich</vt:lpstr>
      <vt:lpstr>zeit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Friedrich-HL</dc:creator>
  <cp:lastModifiedBy>Horst-Christian Heinke</cp:lastModifiedBy>
  <cp:lastPrinted>2017-04-12T09:00:30Z</cp:lastPrinted>
  <dcterms:created xsi:type="dcterms:W3CDTF">2007-12-18T08:11:50Z</dcterms:created>
  <dcterms:modified xsi:type="dcterms:W3CDTF">2022-07-20T12:16:04Z</dcterms:modified>
</cp:coreProperties>
</file>