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<sst xmlns="http://schemas.openxmlformats.org/spreadsheetml/2006/main" count="1619" uniqueCount="146">
  <si>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</si>
  <si>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</si>
  <si>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</si>
  <si>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</si>
  <si>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</si>
  <si>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</si>
  <si>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</si>
  <si>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</si>
  <si>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</si>
  <si>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</si>
  <si>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</si>
  <si>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</si>
  <si>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</si>
  <si>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</si>
  <si>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</si>
  <si>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</si>
  <si>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</si>
  <si>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</si>
  <si>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</si>
  <si>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</si>
  <si>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</si>
  <si>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</si>
  <si>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</si>
  <si>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</si>
  <si>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</si>
  <si>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</si>
  <si>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</si>
  <si>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</si>
  <si>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</si>
  <si>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</si>
  <si>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</si>
  <si>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</si>
  <si>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</si>
  <si>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</si>
  <si>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</si>
  <si>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</si>
  <si>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</si>
  <si>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</si>
  <si>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</si>
  <si>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</si>
  <si>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</si>
  <si>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</si>
  <si>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</si>
  <si>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</si>
  <si>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</si>
  <si>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</si>
  <si>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</si>
  <si>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</si>
  <si>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</si>
  <si>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</si>
  <si>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</si>
  <si>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</si>
  <si>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</si>
  <si>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</si>
  <si>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</si>
  <si>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</si>
  <si>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</si>
  <si>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</si>
  <si>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</si>
  <si>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</si>
  <si>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</si>
  <si>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</si>
  <si>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</si>
  <si>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</si>
  <si>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</si>
  <si>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</si>
  <si>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</si>
  <si>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</si>
  <si>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</si>
  <si>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</si>
  <si>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</si>
  <si>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</si>
  <si>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</si>
  <si>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</si>
  <si>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</si>
  <si>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</si>
  <si>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</si>
  <si>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</si>
  <si>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</si>
  <si>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</si>
  <si>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</si>
  <si>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</si>
  <si>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</si>
  <si>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</si>
  <si>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</si>
  <si>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</si>
  <si>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</si>
  <si>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</si>
  <si>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</si>
  <si>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</si>
  <si>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</si>
  <si>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</si>
  <si>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</si>
  <si>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</si>
  <si>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</si>
  <si>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WSW 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</si>
  <si>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</si>
  <si>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</si>
  <si>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</si>
  <si>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</si>
  <si>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</si>
  <si>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</si>
  <si>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</si>
  <si>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</si>
  <si>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</si>
  <si>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</si>
  <si>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</si>
  <si>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</si>
  <si>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</si>
  <si>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</si>
  <si>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</si>
  <si>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</si>
  <si>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</si>
  <si>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</si>
  <si>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</si>
  <si>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</si>
  <si>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</si>
  <si>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</si>
  <si>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</si>
  <si>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</si>
  <si>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</si>
  <si>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</si>
  <si>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</si>
  <si>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</si>
  <si>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</si>
  <si>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</si>
  <si>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</si>
  <si>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</si>
  <si>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</si>
  <si>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</si>
  <si>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</si>
  <si>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</si>
  <si>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</si>
  <si>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</si>
  <si>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</si>
  <si>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</si>
  <si>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</si>
  <si>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</si>
  <si>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</si>
  <si>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</si>
  <si>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</si>
  <si>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Wet</t>
  </si>
  <si>
    <t xml:space="preserve">SP2 food bank</t>
  </si>
  <si>
    <t xml:space="preserve">Parks Mall – 2 laps</t>
  </si>
  <si>
    <t xml:space="preserve">River Legacy Park West</t>
  </si>
  <si>
    <t xml:space="preserve">NW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</si>
</sst>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5" activePane="bottomLeft" state="frozen"/>
      <selection pane="topLeft" activeCell="A1" activeCellId="0" sqref="A1"/>
      <selection pane="bottomLeft" activeCell="A270" activeCellId="0" sqref="A270"/>
    </sheetView>
  </sheetViews>
  <sheetFormatPr defaultColWidth="13.433593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57</v>
      </c>
      <c r="J14" s="7"/>
      <c r="K14" s="7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H112" s="2" t="n">
        <f aca="false">(56+44)/2</f>
        <v>50</v>
      </c>
      <c r="I112" s="2" t="n">
        <v>26</v>
      </c>
      <c r="J112" s="7" t="s">
        <v>95</v>
      </c>
      <c r="K112" s="2" t="n">
        <v>16</v>
      </c>
      <c r="L112" s="2" t="n">
        <v>27</v>
      </c>
      <c r="M112" s="0" t="s">
        <v>88</v>
      </c>
      <c r="O112" s="0" t="s">
        <v>65</v>
      </c>
      <c r="P112" s="0" t="s">
        <v>96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97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98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99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99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96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100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96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99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96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101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101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99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102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99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103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99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103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96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104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105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96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99</v>
      </c>
      <c r="K129" s="2" t="n">
        <v>15</v>
      </c>
      <c r="L129" s="2" t="n">
        <v>23</v>
      </c>
      <c r="M129" s="0" t="s">
        <v>88</v>
      </c>
      <c r="O129" s="0" t="s">
        <v>106</v>
      </c>
      <c r="P129" s="0" t="s">
        <v>107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9" t="s">
        <v>108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99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96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99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99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106</v>
      </c>
      <c r="P132" s="0" t="s">
        <v>96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99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106</v>
      </c>
      <c r="P133" s="0" t="s">
        <v>96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99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96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109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96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101</v>
      </c>
      <c r="K136" s="2" t="n">
        <v>3</v>
      </c>
      <c r="L136" s="2" t="n">
        <v>0</v>
      </c>
      <c r="M136" s="0" t="s">
        <v>88</v>
      </c>
      <c r="O136" s="0" t="s">
        <v>106</v>
      </c>
      <c r="P136" s="0" t="s">
        <v>107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99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96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104</v>
      </c>
      <c r="K138" s="2" t="n">
        <v>5</v>
      </c>
      <c r="L138" s="2" t="n">
        <v>0</v>
      </c>
      <c r="M138" s="0" t="s">
        <v>88</v>
      </c>
      <c r="O138" s="0" t="s">
        <v>106</v>
      </c>
      <c r="P138" s="0" t="s">
        <v>107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102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107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102</v>
      </c>
      <c r="K140" s="2" t="n">
        <v>0</v>
      </c>
      <c r="L140" s="2" t="n">
        <v>0</v>
      </c>
      <c r="M140" s="0" t="s">
        <v>88</v>
      </c>
      <c r="O140" s="0" t="s">
        <v>106</v>
      </c>
      <c r="P140" s="0" t="s">
        <v>107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110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102</v>
      </c>
      <c r="K141" s="2" t="n">
        <v>10</v>
      </c>
      <c r="L141" s="2" t="n">
        <v>0</v>
      </c>
      <c r="M141" s="0" t="s">
        <v>88</v>
      </c>
      <c r="P141" s="0" t="s">
        <v>96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101</v>
      </c>
      <c r="K142" s="2" t="n">
        <v>15</v>
      </c>
      <c r="L142" s="2" t="n">
        <v>0</v>
      </c>
      <c r="M142" s="0" t="s">
        <v>88</v>
      </c>
      <c r="O142" s="0" t="s">
        <v>106</v>
      </c>
      <c r="P142" s="0" t="s">
        <v>107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99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107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10" t="s">
        <v>111</v>
      </c>
      <c r="K144" s="2" t="n">
        <v>8</v>
      </c>
      <c r="L144" s="2" t="n">
        <v>0</v>
      </c>
      <c r="M144" s="0" t="s">
        <v>88</v>
      </c>
      <c r="O144" s="0" t="s">
        <v>106</v>
      </c>
      <c r="P144" s="0" t="s">
        <v>96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112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107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113</v>
      </c>
      <c r="K146" s="2" t="n">
        <v>13</v>
      </c>
      <c r="L146" s="2" t="n">
        <v>17</v>
      </c>
      <c r="M146" s="0" t="s">
        <v>88</v>
      </c>
      <c r="O146" s="0" t="s">
        <v>106</v>
      </c>
      <c r="P146" s="0" t="s">
        <v>96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99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107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99</v>
      </c>
      <c r="K148" s="2" t="n">
        <v>16</v>
      </c>
      <c r="L148" s="2" t="n">
        <v>0</v>
      </c>
      <c r="M148" s="0" t="s">
        <v>88</v>
      </c>
      <c r="O148" s="0" t="s">
        <v>106</v>
      </c>
      <c r="P148" s="0" t="s">
        <v>107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99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107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99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106</v>
      </c>
      <c r="P150" s="0" t="s">
        <v>107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105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107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99</v>
      </c>
      <c r="K152" s="2" t="n">
        <v>9</v>
      </c>
      <c r="L152" s="2" t="n">
        <v>20</v>
      </c>
      <c r="M152" s="0" t="s">
        <v>88</v>
      </c>
      <c r="O152" s="0" t="s">
        <v>106</v>
      </c>
      <c r="P152" s="0" t="s">
        <v>96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99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96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99</v>
      </c>
      <c r="K154" s="2" t="n">
        <v>7</v>
      </c>
      <c r="L154" s="2" t="n">
        <v>0</v>
      </c>
      <c r="M154" s="0" t="s">
        <v>88</v>
      </c>
      <c r="O154" s="0" t="s">
        <v>106</v>
      </c>
      <c r="P154" s="0" t="s">
        <v>107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102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107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1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10" t="s">
        <v>114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115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101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2" t="n">
        <f aca="false">A157+1</f>
        <v>690</v>
      </c>
      <c r="B158" s="1" t="n">
        <v>44036.4951388889</v>
      </c>
      <c r="C158" s="0" t="n">
        <v>0</v>
      </c>
      <c r="D158" s="0" t="s">
        <v>115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104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2" t="n">
        <f aca="false">A158+1</f>
        <v>691</v>
      </c>
      <c r="B159" s="1" t="n">
        <v>44037.4951388889</v>
      </c>
      <c r="C159" s="0" t="n">
        <v>0</v>
      </c>
      <c r="D159" s="0" t="s">
        <v>115</v>
      </c>
      <c r="F159" s="7" t="s">
        <v>116</v>
      </c>
      <c r="G159" s="2" t="n">
        <v>96</v>
      </c>
      <c r="H159" s="2" t="n">
        <v>72</v>
      </c>
      <c r="I159" s="2" t="n">
        <v>63</v>
      </c>
      <c r="J159" s="7" t="s">
        <v>117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2" t="n">
        <f aca="false">A159+1</f>
        <v>692</v>
      </c>
      <c r="B160" s="1" t="n">
        <v>44038.4951388889</v>
      </c>
      <c r="C160" s="0" t="n">
        <v>0</v>
      </c>
      <c r="D160" s="0" t="s">
        <v>115</v>
      </c>
      <c r="F160" s="7" t="s">
        <v>116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102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2" t="n">
        <f aca="false">A160+1</f>
        <v>693</v>
      </c>
      <c r="B161" s="1" t="n">
        <v>44039.4951388889</v>
      </c>
      <c r="C161" s="0" t="n">
        <v>0</v>
      </c>
      <c r="D161" s="0" t="s">
        <v>115</v>
      </c>
      <c r="F161" s="7" t="s">
        <v>116</v>
      </c>
      <c r="G161" s="2" t="n">
        <v>84</v>
      </c>
      <c r="H161" s="2" t="n">
        <v>72</v>
      </c>
      <c r="I161" s="2" t="n">
        <v>72</v>
      </c>
      <c r="J161" s="2" t="s">
        <v>101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2" t="n">
        <f aca="false">A161+1</f>
        <v>694</v>
      </c>
      <c r="B162" s="1" t="n">
        <v>44040.5034722222</v>
      </c>
      <c r="C162" s="0" t="n">
        <v>1</v>
      </c>
      <c r="F162" s="7" t="s">
        <v>118</v>
      </c>
      <c r="G162" s="2" t="n">
        <v>76</v>
      </c>
      <c r="H162" s="2" t="n">
        <v>76</v>
      </c>
      <c r="I162" s="2" t="n">
        <v>100</v>
      </c>
      <c r="J162" s="2" t="s">
        <v>101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106</v>
      </c>
      <c r="P162" s="0" t="s">
        <v>96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2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99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106</v>
      </c>
      <c r="P163" s="0" t="s">
        <v>96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99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106</v>
      </c>
      <c r="P164" s="0" t="s">
        <v>96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697</v>
      </c>
      <c r="B165" s="1" t="n">
        <v>44043.5208333333</v>
      </c>
      <c r="C165" s="0" t="n">
        <v>1</v>
      </c>
      <c r="F165" s="7" t="s">
        <v>119</v>
      </c>
      <c r="G165" s="2" t="n">
        <v>86</v>
      </c>
      <c r="H165" s="2" t="n">
        <v>50</v>
      </c>
      <c r="I165" s="2" t="n">
        <v>59</v>
      </c>
      <c r="J165" s="7" t="s">
        <v>120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106</v>
      </c>
      <c r="P165" s="0" t="s">
        <v>96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698</v>
      </c>
      <c r="B166" s="1" t="n">
        <v>44044.5020833333</v>
      </c>
      <c r="C166" s="0" t="n">
        <v>1</v>
      </c>
      <c r="F166" s="7" t="s">
        <v>116</v>
      </c>
      <c r="G166" s="2" t="n">
        <v>85</v>
      </c>
      <c r="H166" s="2" t="n">
        <v>66</v>
      </c>
      <c r="I166" s="2" t="n">
        <v>53</v>
      </c>
      <c r="J166" s="2" t="s">
        <v>98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106</v>
      </c>
      <c r="P166" s="0" t="s">
        <v>96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7" t="s">
        <v>98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106</v>
      </c>
      <c r="P167" s="0" t="s">
        <v>96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104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106</v>
      </c>
      <c r="P168" s="0" t="s">
        <v>107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105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106</v>
      </c>
      <c r="P169" s="0" t="s">
        <v>107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702</v>
      </c>
      <c r="B170" s="1" t="n">
        <v>44048.5236111111</v>
      </c>
      <c r="C170" s="0" t="n">
        <v>1</v>
      </c>
      <c r="F170" s="7" t="s">
        <v>116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102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106</v>
      </c>
      <c r="P170" s="0" t="s">
        <v>96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101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106</v>
      </c>
      <c r="P171" s="0" t="s">
        <v>96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704</v>
      </c>
      <c r="B172" s="1" t="n">
        <v>44050.4770833333</v>
      </c>
      <c r="C172" s="0" t="n">
        <v>1</v>
      </c>
      <c r="F172" s="7" t="s">
        <v>119</v>
      </c>
      <c r="G172" s="2" t="n">
        <v>91</v>
      </c>
      <c r="H172" s="2" t="n">
        <v>69</v>
      </c>
      <c r="I172" s="2" t="n">
        <v>50</v>
      </c>
      <c r="J172" s="2" t="s">
        <v>101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106</v>
      </c>
      <c r="P172" s="0" t="s">
        <v>96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2" t="n">
        <f aca="false">A172+1</f>
        <v>705</v>
      </c>
      <c r="B173" s="1" t="n">
        <v>44051.5</v>
      </c>
      <c r="C173" s="0" t="n">
        <v>0</v>
      </c>
      <c r="D173" s="0" t="s">
        <v>94</v>
      </c>
      <c r="F173" s="7" t="s">
        <v>121</v>
      </c>
      <c r="G173" s="2" t="n">
        <v>92</v>
      </c>
      <c r="H173" s="2" t="n">
        <v>68</v>
      </c>
      <c r="I173" s="2" t="n">
        <f aca="false">(48+42)/2</f>
        <v>45</v>
      </c>
      <c r="J173" s="2" t="s">
        <v>101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2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113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106</v>
      </c>
      <c r="P174" s="0" t="s">
        <v>96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109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106</v>
      </c>
      <c r="P175" s="0" t="s">
        <v>96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7" t="s">
        <v>119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7" t="s">
        <v>122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106</v>
      </c>
      <c r="P176" s="0" t="s">
        <v>96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7" t="s">
        <v>119</v>
      </c>
      <c r="G177" s="2" t="n">
        <v>97</v>
      </c>
      <c r="H177" s="2" t="n">
        <v>73</v>
      </c>
      <c r="I177" s="2" t="n">
        <v>47</v>
      </c>
      <c r="J177" s="2" t="s">
        <v>99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106</v>
      </c>
      <c r="P177" s="0" t="s">
        <v>96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99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106</v>
      </c>
      <c r="P178" s="0" t="s">
        <v>96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7" t="s">
        <v>119</v>
      </c>
      <c r="G179" s="2" t="n">
        <f aca="false">(95+98)/2</f>
        <v>96.5</v>
      </c>
      <c r="H179" s="2" t="n">
        <v>71</v>
      </c>
      <c r="I179" s="2" t="n">
        <v>43</v>
      </c>
      <c r="J179" s="2" t="s">
        <v>99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106</v>
      </c>
      <c r="P179" s="0" t="s">
        <v>96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7" t="s">
        <v>119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99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106</v>
      </c>
      <c r="P180" s="0" t="s">
        <v>96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7" t="s">
        <v>116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123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106</v>
      </c>
      <c r="P181" s="0" t="s">
        <v>96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7" t="s">
        <v>116</v>
      </c>
      <c r="G182" s="2" t="n">
        <v>87</v>
      </c>
      <c r="H182" s="2" t="n">
        <f aca="false">(67+70)/2</f>
        <v>68.5</v>
      </c>
      <c r="I182" s="2" t="n">
        <v>54</v>
      </c>
      <c r="J182" s="2" t="s">
        <v>124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106</v>
      </c>
      <c r="P182" s="0" t="s">
        <v>96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98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7" t="s">
        <v>119</v>
      </c>
      <c r="G184" s="2" t="n">
        <v>87</v>
      </c>
      <c r="H184" s="2" t="n">
        <v>58</v>
      </c>
      <c r="I184" s="2" t="n">
        <v>37</v>
      </c>
      <c r="J184" s="2" t="s">
        <v>120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106</v>
      </c>
      <c r="P184" s="0" t="s">
        <v>96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7" t="s">
        <v>121</v>
      </c>
      <c r="G185" s="2" t="n">
        <v>73</v>
      </c>
      <c r="H185" s="2" t="n">
        <v>54</v>
      </c>
      <c r="I185" s="2" t="n">
        <v>48</v>
      </c>
      <c r="J185" s="7" t="s">
        <v>125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106</v>
      </c>
      <c r="P185" s="0" t="s">
        <v>126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7" t="s">
        <v>121</v>
      </c>
      <c r="G186" s="7" t="n">
        <v>93</v>
      </c>
      <c r="H186" s="2" t="n">
        <v>62</v>
      </c>
      <c r="I186" s="2" t="n">
        <v>37</v>
      </c>
      <c r="J186" s="2" t="s">
        <v>127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106</v>
      </c>
      <c r="P186" s="0" t="s">
        <v>96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7" t="s">
        <v>119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128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106</v>
      </c>
      <c r="P187" s="0" t="s">
        <v>129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7" t="s">
        <v>121</v>
      </c>
      <c r="G188" s="2" t="n">
        <v>91</v>
      </c>
      <c r="H188" s="2" t="n">
        <v>63</v>
      </c>
      <c r="I188" s="2" t="n">
        <v>38</v>
      </c>
      <c r="J188" s="2" t="s">
        <v>101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1" t="s">
        <v>70</v>
      </c>
      <c r="F189" s="7" t="s">
        <v>121</v>
      </c>
      <c r="G189" s="2" t="n">
        <v>94</v>
      </c>
      <c r="H189" s="2" t="n">
        <v>65</v>
      </c>
      <c r="I189" s="2" t="n">
        <v>38</v>
      </c>
      <c r="J189" s="2" t="s">
        <v>130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7" t="s">
        <v>119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124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106</v>
      </c>
      <c r="P190" s="0" t="s">
        <v>96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7" t="s">
        <v>116</v>
      </c>
      <c r="G191" s="2" t="n">
        <v>86</v>
      </c>
      <c r="H191" s="2" t="n">
        <v>86</v>
      </c>
      <c r="I191" s="2" t="n">
        <v>73</v>
      </c>
      <c r="J191" s="2" t="s">
        <v>127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106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7" t="s">
        <v>119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98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106</v>
      </c>
      <c r="P192" s="0" t="s">
        <v>96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7" t="s">
        <v>121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99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106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7" t="s">
        <v>121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7" t="s">
        <v>122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106</v>
      </c>
      <c r="P194" s="0" t="s">
        <v>96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7" t="s">
        <v>116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99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106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7" t="s">
        <v>116</v>
      </c>
      <c r="G196" s="2" t="n">
        <v>90</v>
      </c>
      <c r="H196" s="2" t="n">
        <v>77</v>
      </c>
      <c r="I196" s="2" t="n">
        <v>66</v>
      </c>
      <c r="J196" s="7" t="s">
        <v>122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106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1" t="s">
        <v>70</v>
      </c>
      <c r="F197" s="7" t="s">
        <v>78</v>
      </c>
      <c r="G197" s="2" t="n">
        <v>78</v>
      </c>
      <c r="H197" s="2" t="n">
        <v>71</v>
      </c>
      <c r="I197" s="2" t="n">
        <v>81</v>
      </c>
      <c r="J197" s="2" t="s">
        <v>130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7" t="s">
        <v>116</v>
      </c>
      <c r="G198" s="2" t="n">
        <v>77</v>
      </c>
      <c r="H198" s="2" t="n">
        <v>73</v>
      </c>
      <c r="I198" s="2" t="n">
        <v>84</v>
      </c>
      <c r="J198" s="7" t="s">
        <v>114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106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7" t="s">
        <v>112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106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7" t="s">
        <v>116</v>
      </c>
      <c r="G200" s="2" t="n">
        <v>83</v>
      </c>
      <c r="H200" s="2" t="n">
        <v>72</v>
      </c>
      <c r="I200" s="2" t="n">
        <f aca="false">(76+71)/2</f>
        <v>73.5</v>
      </c>
      <c r="J200" s="7" t="s">
        <v>132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106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7" t="s">
        <v>116</v>
      </c>
      <c r="G201" s="7" t="n">
        <v>89</v>
      </c>
      <c r="H201" s="0" t="n">
        <v>70</v>
      </c>
      <c r="I201" s="0" t="n">
        <v>53</v>
      </c>
      <c r="J201" s="0" t="s">
        <v>105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7" t="s">
        <v>121</v>
      </c>
      <c r="G202" s="2" t="n">
        <v>83</v>
      </c>
      <c r="H202" s="2" t="n">
        <v>75</v>
      </c>
      <c r="I202" s="2" t="n">
        <v>77</v>
      </c>
      <c r="J202" s="2" t="s">
        <v>109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106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7" t="s">
        <v>119</v>
      </c>
      <c r="G203" s="2" t="n">
        <v>92</v>
      </c>
      <c r="H203" s="2" t="n">
        <v>70</v>
      </c>
      <c r="I203" s="7" t="n">
        <v>52</v>
      </c>
      <c r="J203" s="7" t="s">
        <v>122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106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7" t="s">
        <v>116</v>
      </c>
      <c r="G204" s="2" t="n">
        <v>87</v>
      </c>
      <c r="H204" s="2" t="n">
        <v>73</v>
      </c>
      <c r="I204" s="2" t="n">
        <f aca="false">(67+61)/2</f>
        <v>64</v>
      </c>
      <c r="J204" s="2" t="s">
        <v>99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106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7" t="s">
        <v>133</v>
      </c>
      <c r="G205" s="2" t="n">
        <v>81</v>
      </c>
      <c r="H205" s="2" t="n">
        <v>74</v>
      </c>
      <c r="I205" s="2" t="n">
        <v>76</v>
      </c>
      <c r="J205" s="7" t="s">
        <v>114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7" t="s">
        <v>116</v>
      </c>
      <c r="G206" s="2" t="n">
        <v>74</v>
      </c>
      <c r="H206" s="2" t="n">
        <v>63</v>
      </c>
      <c r="I206" s="2" t="n">
        <v>68</v>
      </c>
      <c r="J206" s="7" t="s">
        <v>134</v>
      </c>
      <c r="K206" s="2" t="n">
        <v>9</v>
      </c>
      <c r="L206" s="2" t="n">
        <v>0</v>
      </c>
      <c r="M206" s="7" t="s">
        <v>89</v>
      </c>
      <c r="N206" s="0" t="n">
        <v>0</v>
      </c>
      <c r="O206" s="0" t="s">
        <v>106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7" t="s">
        <v>116</v>
      </c>
      <c r="G207" s="2" t="n">
        <v>71</v>
      </c>
      <c r="H207" s="2" t="n">
        <v>63</v>
      </c>
      <c r="I207" s="2" t="n">
        <v>68</v>
      </c>
      <c r="J207" s="7" t="s">
        <v>120</v>
      </c>
      <c r="K207" s="2" t="n">
        <v>3</v>
      </c>
      <c r="L207" s="2" t="n">
        <v>0</v>
      </c>
      <c r="M207" s="7" t="s">
        <v>89</v>
      </c>
      <c r="N207" s="0" t="n">
        <v>0</v>
      </c>
      <c r="O207" s="0" t="s">
        <v>135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7" t="s">
        <v>116</v>
      </c>
      <c r="G208" s="2" t="n">
        <f aca="false">79+35/60*(81-79)</f>
        <v>80.1666666666667</v>
      </c>
      <c r="H208" s="2" t="n">
        <v>68</v>
      </c>
      <c r="I208" s="2" t="n">
        <v>69</v>
      </c>
      <c r="J208" s="7" t="s">
        <v>120</v>
      </c>
      <c r="K208" s="2" t="n">
        <v>3</v>
      </c>
      <c r="L208" s="2" t="n">
        <v>0</v>
      </c>
      <c r="M208" s="7" t="s">
        <v>89</v>
      </c>
      <c r="N208" s="0" t="n">
        <v>0</v>
      </c>
      <c r="O208" s="0" t="s">
        <v>135</v>
      </c>
      <c r="P208" s="0" t="s">
        <v>129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7" t="s">
        <v>119</v>
      </c>
      <c r="G209" s="2" t="n">
        <v>69</v>
      </c>
      <c r="H209" s="2" t="n">
        <v>69</v>
      </c>
      <c r="I209" s="2" t="n">
        <f aca="false">(57+51)/2</f>
        <v>54</v>
      </c>
      <c r="J209" s="7" t="s">
        <v>120</v>
      </c>
      <c r="K209" s="2" t="n">
        <f aca="false">(14+10)/2</f>
        <v>12</v>
      </c>
      <c r="L209" s="2" t="n">
        <v>21</v>
      </c>
      <c r="M209" s="7" t="s">
        <v>89</v>
      </c>
      <c r="N209" s="0" t="n">
        <v>0</v>
      </c>
      <c r="O209" s="0" t="s">
        <v>135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7" t="s">
        <v>121</v>
      </c>
      <c r="G210" s="2" t="n">
        <v>88</v>
      </c>
      <c r="H210" s="2" t="n">
        <v>66</v>
      </c>
      <c r="I210" s="2" t="n">
        <v>52</v>
      </c>
      <c r="J210" s="2" t="s">
        <v>98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135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7" t="s">
        <v>119</v>
      </c>
      <c r="G211" s="2" t="n">
        <v>85</v>
      </c>
      <c r="H211" s="2" t="n">
        <v>70</v>
      </c>
      <c r="I211" s="2" t="n">
        <f aca="false">(63+59)/2</f>
        <v>61</v>
      </c>
      <c r="J211" s="2" t="s">
        <v>98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135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7" t="s">
        <v>121</v>
      </c>
      <c r="G212" s="2" t="n">
        <v>89</v>
      </c>
      <c r="H212" s="2" t="n">
        <v>70</v>
      </c>
      <c r="I212" s="2" t="n">
        <f aca="false">(57+51)/2</f>
        <v>54</v>
      </c>
      <c r="J212" s="2" t="s">
        <v>98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135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7" t="s">
        <v>119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7" t="s">
        <v>120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135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7" t="s">
        <v>119</v>
      </c>
      <c r="G214" s="2" t="n">
        <v>86</v>
      </c>
      <c r="H214" s="2" t="n">
        <v>64</v>
      </c>
      <c r="I214" s="2" t="n">
        <v>49</v>
      </c>
      <c r="J214" s="2" t="s">
        <v>104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135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7" t="s">
        <v>121</v>
      </c>
      <c r="G215" s="2" t="n">
        <v>75</v>
      </c>
      <c r="H215" s="2" t="n">
        <v>59</v>
      </c>
      <c r="I215" s="2" t="n">
        <v>57</v>
      </c>
      <c r="J215" s="7" t="s">
        <v>136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135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130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135</v>
      </c>
      <c r="P216" s="0" t="s">
        <v>137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105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135</v>
      </c>
      <c r="P217" s="0" t="s">
        <v>129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105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7" t="s">
        <v>133</v>
      </c>
      <c r="G219" s="2" t="n">
        <v>71</v>
      </c>
      <c r="H219" s="2" t="n">
        <v>63</v>
      </c>
      <c r="I219" s="2" t="n">
        <v>75</v>
      </c>
      <c r="J219" s="2" t="s">
        <v>98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135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7" t="s">
        <v>116</v>
      </c>
      <c r="G220" s="2" t="n">
        <v>70</v>
      </c>
      <c r="H220" s="2" t="n">
        <v>61</v>
      </c>
      <c r="I220" s="2" t="n">
        <v>73</v>
      </c>
      <c r="J220" s="7" t="s">
        <v>125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135</v>
      </c>
      <c r="P220" s="7" t="s">
        <v>75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7" t="s">
        <v>121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99</v>
      </c>
      <c r="K221" s="2" t="n">
        <v>10</v>
      </c>
      <c r="L221" s="2" t="n">
        <v>0</v>
      </c>
      <c r="M221" s="0" t="s">
        <v>89</v>
      </c>
      <c r="O221" s="0" t="s">
        <v>135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99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135</v>
      </c>
      <c r="P222" s="0" t="s">
        <v>129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7" t="s">
        <v>78</v>
      </c>
      <c r="G223" s="2" t="n">
        <v>86</v>
      </c>
      <c r="H223" s="2" t="n">
        <v>72</v>
      </c>
      <c r="I223" s="2" t="n">
        <v>63</v>
      </c>
      <c r="J223" s="2" t="s">
        <v>99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135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7" t="s">
        <v>79</v>
      </c>
      <c r="G224" s="2" t="n">
        <v>76</v>
      </c>
      <c r="H224" s="2" t="n">
        <v>43</v>
      </c>
      <c r="I224" s="2" t="n">
        <f aca="false">(33+29)/2</f>
        <v>31</v>
      </c>
      <c r="J224" s="2" t="s">
        <v>98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135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105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135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130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135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128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135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105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135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8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101</v>
      </c>
      <c r="K229" s="2" t="n">
        <v>23</v>
      </c>
      <c r="L229" s="2" t="n">
        <v>29</v>
      </c>
      <c r="M229" s="0" t="s">
        <v>89</v>
      </c>
      <c r="N229" s="0" t="n">
        <v>0</v>
      </c>
      <c r="O229" s="0" t="s">
        <v>135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98</v>
      </c>
      <c r="K230" s="2" t="n">
        <v>17</v>
      </c>
      <c r="L230" s="2" t="n">
        <v>24</v>
      </c>
      <c r="M230" s="0" t="s">
        <v>89</v>
      </c>
      <c r="N230" s="0" t="n">
        <v>0</v>
      </c>
      <c r="O230" s="0" t="s">
        <v>135</v>
      </c>
      <c r="P230" s="0" t="s">
        <v>72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99</v>
      </c>
      <c r="K231" s="2" t="n">
        <v>7</v>
      </c>
      <c r="L231" s="2" t="n">
        <v>0</v>
      </c>
      <c r="M231" s="0" t="s">
        <v>89</v>
      </c>
      <c r="N231" s="0" t="n">
        <v>0</v>
      </c>
      <c r="O231" s="0" t="s">
        <v>135</v>
      </c>
      <c r="P231" s="0" t="s">
        <v>76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101</v>
      </c>
      <c r="K232" s="2" t="n">
        <f aca="false">(7+10+5)/3</f>
        <v>7.33333333333333</v>
      </c>
      <c r="L232" s="2" t="n">
        <v>0</v>
      </c>
      <c r="M232" s="0" t="s">
        <v>89</v>
      </c>
      <c r="N232" s="0" t="n">
        <v>0</v>
      </c>
      <c r="O232" s="0" t="s">
        <v>135</v>
      </c>
      <c r="P232" s="0" t="s">
        <v>129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7" t="s">
        <v>114</v>
      </c>
      <c r="K233" s="2" t="n">
        <v>9</v>
      </c>
      <c r="L233" s="2" t="n">
        <v>0</v>
      </c>
      <c r="M233" s="0" t="s">
        <v>89</v>
      </c>
      <c r="N233" s="0" t="n">
        <v>0</v>
      </c>
      <c r="O233" s="0" t="s">
        <v>135</v>
      </c>
      <c r="P233" s="0" t="s">
        <v>81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101</v>
      </c>
      <c r="K234" s="2" t="n">
        <v>6</v>
      </c>
      <c r="L234" s="2" t="n">
        <v>0</v>
      </c>
      <c r="M234" s="7" t="s">
        <v>89</v>
      </c>
      <c r="N234" s="0" t="n">
        <v>0</v>
      </c>
      <c r="O234" s="0" t="s">
        <v>135</v>
      </c>
      <c r="P234" s="7" t="s">
        <v>75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2</v>
      </c>
      <c r="Z234" s="3" t="n">
        <f aca="false">Q234/Y234</f>
        <v>2.06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767</v>
      </c>
      <c r="B235" s="1" t="n">
        <v>44113.49375</v>
      </c>
      <c r="C235" s="0" t="n">
        <v>1</v>
      </c>
      <c r="F235" s="7" t="s">
        <v>119</v>
      </c>
      <c r="G235" s="2" t="n">
        <v>80</v>
      </c>
      <c r="H235" s="2" t="n">
        <v>69</v>
      </c>
      <c r="I235" s="2" t="n">
        <f aca="false">(69+72)/2</f>
        <v>70.5</v>
      </c>
      <c r="J235" s="2" t="s">
        <v>105</v>
      </c>
      <c r="K235" s="2" t="n">
        <f aca="false">(5+8)/2</f>
        <v>6.5</v>
      </c>
      <c r="L235" s="2" t="n">
        <v>0</v>
      </c>
      <c r="M235" s="7" t="s">
        <v>89</v>
      </c>
      <c r="N235" s="0" t="n">
        <v>0</v>
      </c>
      <c r="O235" s="0" t="s">
        <v>135</v>
      </c>
      <c r="P235" s="0" t="s">
        <v>72</v>
      </c>
      <c r="Q235" s="3" t="n">
        <v>7.85</v>
      </c>
      <c r="R235" s="2" t="n">
        <v>1038</v>
      </c>
      <c r="S235" s="2" t="n">
        <v>17518</v>
      </c>
      <c r="T235" s="2" t="n">
        <f aca="false">S235-R235</f>
        <v>16480</v>
      </c>
      <c r="U235" s="3" t="n">
        <f aca="false">(120+12)/60</f>
        <v>2.2</v>
      </c>
      <c r="V235" s="3" t="n">
        <f aca="false">(120+36)/60</f>
        <v>2.6</v>
      </c>
      <c r="W235" s="3" t="n">
        <f aca="false">V235-U235</f>
        <v>0.4</v>
      </c>
      <c r="X235" s="3" t="n">
        <f aca="false">Q235/U235</f>
        <v>3.56818181818182</v>
      </c>
      <c r="Y235" s="0" t="n">
        <v>1</v>
      </c>
      <c r="Z235" s="3" t="n">
        <f aca="false">Q235/Y235</f>
        <v>7.85</v>
      </c>
      <c r="AA235" s="3" t="n">
        <f aca="false">16+50/60</f>
        <v>16.8333333333333</v>
      </c>
      <c r="AB235" s="2" t="n">
        <v>1135</v>
      </c>
      <c r="AC235" s="2" t="n">
        <v>839</v>
      </c>
      <c r="AD235" s="2" t="n">
        <v>124</v>
      </c>
      <c r="AE235" s="0" t="n">
        <v>146</v>
      </c>
      <c r="AF235" s="3" t="n">
        <f aca="false">16+5/60</f>
        <v>16.0833333333333</v>
      </c>
      <c r="AG235" s="3" t="n">
        <f aca="false">16+18/60</f>
        <v>16.3</v>
      </c>
      <c r="AH235" s="3" t="n">
        <f aca="false">16+36/60</f>
        <v>16.6</v>
      </c>
      <c r="AI235" s="3" t="n">
        <f aca="false">16+26/60</f>
        <v>16.4333333333333</v>
      </c>
      <c r="AJ235" s="3" t="n">
        <f aca="false">17+23/60</f>
        <v>17.3833333333333</v>
      </c>
      <c r="AK235" s="3" t="n">
        <f aca="false">17+11/60</f>
        <v>17.1833333333333</v>
      </c>
      <c r="AL235" s="3" t="n">
        <f aca="false">17+46/60</f>
        <v>17.7666666666667</v>
      </c>
      <c r="AM235" s="3" t="n">
        <f aca="false">60/3.6</f>
        <v>16.6666666666667</v>
      </c>
      <c r="AP235" s="2" t="n">
        <v>2</v>
      </c>
      <c r="AQ235" s="0" t="n">
        <v>2</v>
      </c>
      <c r="AR235" s="0" t="n">
        <v>2</v>
      </c>
      <c r="AS235" s="0" t="n">
        <v>0</v>
      </c>
      <c r="AT235" s="4" t="n">
        <v>0</v>
      </c>
      <c r="AU235" s="3" t="n">
        <f aca="false">15+46/60</f>
        <v>15.7666666666667</v>
      </c>
      <c r="AV235" s="3" t="n">
        <f aca="false">32+25/60</f>
        <v>32.4166666666667</v>
      </c>
      <c r="AW235" s="3" t="n">
        <f aca="false">83+28/60</f>
        <v>83.4666666666667</v>
      </c>
      <c r="AX235" s="3" t="n">
        <f aca="false">27/60</f>
        <v>0.45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" hidden="false" customHeight="false" outlineLevel="0" collapsed="false">
      <c r="A236" s="0" t="n">
        <f aca="false">A235+1</f>
        <v>768</v>
      </c>
      <c r="B236" s="1" t="n">
        <v>44114.5034722222</v>
      </c>
      <c r="C236" s="0" t="n">
        <v>1</v>
      </c>
      <c r="F236" s="7" t="s">
        <v>121</v>
      </c>
      <c r="G236" s="2" t="n">
        <f aca="false">78+23/60*(81-78)</f>
        <v>79.15</v>
      </c>
      <c r="H236" s="2" t="n">
        <f aca="false">68+23/60*(65-68)</f>
        <v>66.85</v>
      </c>
      <c r="I236" s="2" t="n">
        <f aca="false">78-23/60*(71-58)</f>
        <v>73.0166666666667</v>
      </c>
      <c r="J236" s="2" t="s">
        <v>113</v>
      </c>
      <c r="K236" s="2" t="n">
        <v>3</v>
      </c>
      <c r="L236" s="2" t="n">
        <v>0</v>
      </c>
      <c r="M236" s="7" t="s">
        <v>89</v>
      </c>
      <c r="N236" s="0" t="n">
        <v>0</v>
      </c>
      <c r="O236" s="0" t="s">
        <v>135</v>
      </c>
      <c r="P236" s="0" t="s">
        <v>61</v>
      </c>
      <c r="Q236" s="3" t="n">
        <v>4.96</v>
      </c>
      <c r="R236" s="2" t="n">
        <v>441</v>
      </c>
      <c r="S236" s="2" t="n">
        <v>11013</v>
      </c>
      <c r="T236" s="2" t="n">
        <f aca="false">S236-R236</f>
        <v>10572</v>
      </c>
      <c r="U236" s="3" t="n">
        <f aca="false">(60+24)/60</f>
        <v>1.4</v>
      </c>
      <c r="V236" s="3" t="n">
        <f aca="false">(60+27)/60</f>
        <v>1.45</v>
      </c>
      <c r="W236" s="3" t="n">
        <f aca="false">V236-U236</f>
        <v>0.05</v>
      </c>
      <c r="X236" s="0"/>
      <c r="Y236" s="0" t="n">
        <v>2</v>
      </c>
      <c r="Z236" s="3" t="n">
        <f aca="false">Q236/Y236</f>
        <v>2.48</v>
      </c>
      <c r="AA236" s="3" t="n">
        <f aca="false">16+49/60</f>
        <v>16.8166666666667</v>
      </c>
      <c r="AB236" s="2" t="n">
        <v>236</v>
      </c>
      <c r="AC236" s="2" t="n">
        <v>521</v>
      </c>
      <c r="AD236" s="2" t="n">
        <v>119</v>
      </c>
      <c r="AE236" s="0" t="n">
        <v>135</v>
      </c>
      <c r="AF236" s="3" t="n">
        <f aca="false">16+22/60</f>
        <v>16.3666666666667</v>
      </c>
      <c r="AG236" s="3" t="n">
        <f aca="false">16+23/60</f>
        <v>16.3833333333333</v>
      </c>
      <c r="AH236" s="3" t="n">
        <f aca="false">17+1/60</f>
        <v>17.0166666666667</v>
      </c>
      <c r="AI236" s="3" t="n">
        <f aca="false">17+6/60</f>
        <v>17.1</v>
      </c>
      <c r="AJ236" s="3" t="n">
        <f aca="false">60/3.6</f>
        <v>16.6666666666667</v>
      </c>
      <c r="AP236" s="2" t="n">
        <v>0</v>
      </c>
      <c r="AQ236" s="0" t="n">
        <v>1</v>
      </c>
      <c r="AR236" s="0" t="n">
        <v>0</v>
      </c>
      <c r="AS236" s="0" t="n">
        <v>0</v>
      </c>
      <c r="AT236" s="4" t="n">
        <f aca="false">60*U236-SUM(AU236:AY236)</f>
        <v>0.700000000000003</v>
      </c>
      <c r="AU236" s="3" t="n">
        <f aca="false">13/60</f>
        <v>0.216666666666667</v>
      </c>
      <c r="AV236" s="3" t="n">
        <f aca="false">76+29/60</f>
        <v>76.4833333333333</v>
      </c>
      <c r="AW236" s="3" t="n">
        <f aca="false">6+48/80</f>
        <v>6.6</v>
      </c>
      <c r="AX236" s="3" t="n">
        <v>0</v>
      </c>
      <c r="AY236" s="3" t="n">
        <v>0</v>
      </c>
      <c r="AZ236" s="0" t="s">
        <v>58</v>
      </c>
      <c r="BA236" s="0" t="s">
        <v>59</v>
      </c>
      <c r="BB236" s="0" t="n">
        <v>0</v>
      </c>
    </row>
    <row r="237" customFormat="false" ht="12.8" hidden="false" customHeight="false" outlineLevel="0" collapsed="false">
      <c r="A237" s="0" t="n">
        <f aca="false">A236+1</f>
        <v>769</v>
      </c>
      <c r="B237" s="1" t="n">
        <v>44115.4951388889</v>
      </c>
      <c r="C237" s="0" t="n">
        <v>0</v>
      </c>
      <c r="D237" s="0" t="s">
        <v>82</v>
      </c>
      <c r="F237" s="0" t="s">
        <v>60</v>
      </c>
      <c r="G237" s="2" t="n">
        <v>71</v>
      </c>
      <c r="H237" s="2" t="n">
        <v>61</v>
      </c>
      <c r="I237" s="2" t="n">
        <v>72</v>
      </c>
      <c r="J237" s="2" t="s">
        <v>120</v>
      </c>
      <c r="K237" s="2" t="n">
        <v>9</v>
      </c>
      <c r="L237" s="2" t="n">
        <v>0</v>
      </c>
      <c r="M237" s="0" t="s">
        <v>89</v>
      </c>
      <c r="N237" s="0" t="n">
        <v>0</v>
      </c>
    </row>
    <row r="238" customFormat="false" ht="13.8" hidden="false" customHeight="false" outlineLevel="0" collapsed="false">
      <c r="A238" s="0" t="n">
        <f aca="false">A237+1</f>
        <v>770</v>
      </c>
      <c r="B238" s="1" t="n">
        <v>44116.4597222222</v>
      </c>
      <c r="C238" s="0" t="n">
        <v>1</v>
      </c>
      <c r="F238" s="0" t="s">
        <v>60</v>
      </c>
      <c r="G238" s="2" t="n">
        <f aca="false">(75+79)/2</f>
        <v>77</v>
      </c>
      <c r="H238" s="2" t="n">
        <v>42</v>
      </c>
      <c r="I238" s="2" t="n">
        <v>28</v>
      </c>
      <c r="J238" s="2" t="s">
        <v>98</v>
      </c>
      <c r="K238" s="2" t="n">
        <v>22</v>
      </c>
      <c r="L238" s="2" t="n">
        <v>30</v>
      </c>
      <c r="M238" s="0" t="s">
        <v>89</v>
      </c>
      <c r="N238" s="0" t="n">
        <v>0</v>
      </c>
      <c r="O238" s="0" t="s">
        <v>135</v>
      </c>
      <c r="P238" s="13" t="s">
        <v>92</v>
      </c>
      <c r="Q238" s="3" t="n">
        <v>6.85</v>
      </c>
      <c r="R238" s="2" t="n">
        <v>860</v>
      </c>
      <c r="S238" s="2" t="n">
        <f aca="false">T238+R238</f>
        <v>15780</v>
      </c>
      <c r="T238" s="2" t="n">
        <v>14920</v>
      </c>
      <c r="U238" s="3" t="n">
        <f aca="false">(120+3)/60</f>
        <v>2.05</v>
      </c>
      <c r="V238" s="3" t="n">
        <f aca="false">(120+16)/60</f>
        <v>2.26666666666667</v>
      </c>
      <c r="W238" s="3" t="n">
        <f aca="false">V238-U238</f>
        <v>0.216666666666667</v>
      </c>
      <c r="X238" s="3" t="n">
        <f aca="false">Q236/U236</f>
        <v>3.54285714285714</v>
      </c>
      <c r="Y238" s="0" t="n">
        <v>1</v>
      </c>
      <c r="Z238" s="3" t="n">
        <f aca="false">Q238/Y238</f>
        <v>6.85</v>
      </c>
      <c r="AA238" s="3" t="n">
        <f aca="false">17+56/60</f>
        <v>17.9333333333333</v>
      </c>
      <c r="AB238" s="2" t="n">
        <v>292</v>
      </c>
      <c r="AC238" s="2" t="n">
        <v>555</v>
      </c>
      <c r="AD238" s="2" t="n">
        <v>69</v>
      </c>
      <c r="AE238" s="0" t="n">
        <v>110</v>
      </c>
      <c r="AF238" s="3" t="n">
        <f aca="false">16+52/60</f>
        <v>16.8666666666667</v>
      </c>
      <c r="AG238" s="3" t="n">
        <f aca="false">17+31/60</f>
        <v>17.5166666666667</v>
      </c>
      <c r="AH238" s="3" t="n">
        <f aca="false">17+54/60</f>
        <v>17.9</v>
      </c>
      <c r="AI238" s="3" t="n">
        <f aca="false">18+51/60</f>
        <v>18.85</v>
      </c>
      <c r="AJ238" s="3" t="n">
        <f aca="false">18+14/60</f>
        <v>18.2333333333333</v>
      </c>
      <c r="AK238" s="3" t="n">
        <f aca="false">17+54/60</f>
        <v>17.9</v>
      </c>
      <c r="AL238" s="3" t="n">
        <f aca="false">60/3.3</f>
        <v>18.1818181818182</v>
      </c>
      <c r="AM238" s="0"/>
      <c r="AP238" s="2" t="n">
        <v>8</v>
      </c>
      <c r="AQ238" s="0" t="n">
        <v>2</v>
      </c>
      <c r="AR238" s="0" t="n">
        <v>0</v>
      </c>
      <c r="AS238" s="0" t="n">
        <v>0</v>
      </c>
      <c r="AT238" s="4" t="n">
        <f aca="false">60*U238-SUM(AU238:AY238)</f>
        <v>116.433333333333</v>
      </c>
      <c r="AU238" s="3" t="n">
        <f aca="false">6+18/60</f>
        <v>6.3</v>
      </c>
      <c r="AV238" s="3" t="n">
        <f aca="false">16/60</f>
        <v>0.266666666666667</v>
      </c>
      <c r="AW238" s="3" t="n">
        <v>0</v>
      </c>
      <c r="AX238" s="3" t="n">
        <v>0</v>
      </c>
      <c r="AY238" s="3" t="n">
        <v>0</v>
      </c>
      <c r="AZ238" s="0" t="s">
        <v>58</v>
      </c>
      <c r="BA238" s="0" t="s">
        <v>59</v>
      </c>
      <c r="BB238" s="0" t="n">
        <v>0</v>
      </c>
    </row>
    <row r="239" customFormat="false" ht="12.8" hidden="false" customHeight="false" outlineLevel="0" collapsed="false">
      <c r="A239" s="0" t="n">
        <v>771</v>
      </c>
      <c r="B239" s="1" t="n">
        <v>44117.5930555556</v>
      </c>
      <c r="C239" s="0" t="n">
        <v>1</v>
      </c>
      <c r="F239" s="7" t="s">
        <v>119</v>
      </c>
      <c r="G239" s="2" t="n">
        <f aca="false">(77+81)/2</f>
        <v>79</v>
      </c>
      <c r="H239" s="2" t="n">
        <v>42</v>
      </c>
      <c r="I239" s="2" t="n">
        <v>26</v>
      </c>
      <c r="J239" s="2" t="s">
        <v>109</v>
      </c>
      <c r="K239" s="2" t="n">
        <v>6</v>
      </c>
      <c r="L239" s="2" t="n">
        <v>0</v>
      </c>
      <c r="M239" s="0" t="s">
        <v>89</v>
      </c>
      <c r="N239" s="0" t="n">
        <v>0</v>
      </c>
      <c r="O239" s="0" t="s">
        <v>135</v>
      </c>
      <c r="P239" s="0" t="s">
        <v>138</v>
      </c>
      <c r="Q239" s="3" t="n">
        <v>7.71</v>
      </c>
      <c r="R239" s="2" t="n">
        <v>500</v>
      </c>
      <c r="S239" s="2" t="n">
        <v>17039</v>
      </c>
      <c r="T239" s="2" t="n">
        <f aca="false">S239-R239</f>
        <v>16539</v>
      </c>
      <c r="U239" s="3" t="n">
        <f aca="false">(120+6)/60</f>
        <v>2.1</v>
      </c>
      <c r="V239" s="3" t="n">
        <f aca="false">(120+15)/60</f>
        <v>2.25</v>
      </c>
      <c r="W239" s="3" t="n">
        <f aca="false">V239-U239</f>
        <v>0.15</v>
      </c>
      <c r="X239" s="3" t="n">
        <f aca="false">Q239/U239</f>
        <v>3.67142857142857</v>
      </c>
      <c r="Y239" s="0" t="n">
        <v>1</v>
      </c>
      <c r="Z239" s="3" t="n">
        <f aca="false">Q239/Y239</f>
        <v>7.71</v>
      </c>
      <c r="AA239" s="3" t="n">
        <f aca="false">16+24/60</f>
        <v>16.4</v>
      </c>
      <c r="AB239" s="2" t="n">
        <v>1037</v>
      </c>
      <c r="AC239" s="2" t="n">
        <v>820</v>
      </c>
      <c r="AD239" s="2" t="n">
        <v>128</v>
      </c>
      <c r="AE239" s="0" t="n">
        <v>141</v>
      </c>
      <c r="AF239" s="3" t="n">
        <f aca="false">16+31/60</f>
        <v>16.5166666666667</v>
      </c>
      <c r="AG239" s="3" t="n">
        <f aca="false">15+58/60</f>
        <v>15.9666666666667</v>
      </c>
      <c r="AH239" s="3" t="n">
        <f aca="false">16+7/60</f>
        <v>16.1166666666667</v>
      </c>
      <c r="AI239" s="3" t="n">
        <f aca="false">16+38/60</f>
        <v>16.6333333333333</v>
      </c>
      <c r="AJ239" s="3" t="n">
        <f aca="false">16+26/60</f>
        <v>16.4333333333333</v>
      </c>
      <c r="AK239" s="3" t="n">
        <f aca="false">15+54/60</f>
        <v>15.9</v>
      </c>
      <c r="AL239" s="3" t="n">
        <f aca="false">60/3.7</f>
        <v>16.2162162162162</v>
      </c>
      <c r="AP239" s="2" t="n">
        <v>11</v>
      </c>
      <c r="AQ239" s="0" t="n">
        <v>2</v>
      </c>
      <c r="AR239" s="0" t="n">
        <v>0</v>
      </c>
      <c r="AS239" s="0" t="n">
        <v>0</v>
      </c>
      <c r="AT239" s="4" t="n">
        <v>0</v>
      </c>
      <c r="AU239" s="3" t="n">
        <f aca="false">4+41/60</f>
        <v>4.68333333333333</v>
      </c>
      <c r="AV239" s="3" t="n">
        <f aca="false">26+32/60</f>
        <v>26.5333333333333</v>
      </c>
      <c r="AW239" s="3" t="n">
        <f aca="false">(95+14/60)</f>
        <v>95.2333333333333</v>
      </c>
      <c r="AX239" s="3" t="n">
        <v>0</v>
      </c>
      <c r="AY239" s="3" t="n">
        <v>0</v>
      </c>
      <c r="AZ239" s="0" t="s">
        <v>58</v>
      </c>
      <c r="BA239" s="0" t="s">
        <v>59</v>
      </c>
      <c r="BB239" s="0" t="n">
        <v>0</v>
      </c>
    </row>
    <row r="240" customFormat="false" ht="12.8" hidden="false" customHeight="false" outlineLevel="0" collapsed="false">
      <c r="A240" s="0" t="n">
        <v>772</v>
      </c>
      <c r="B240" s="1" t="n">
        <v>44118.4534722222</v>
      </c>
      <c r="C240" s="0" t="n">
        <v>1</v>
      </c>
      <c r="F240" s="0" t="s">
        <v>60</v>
      </c>
      <c r="G240" s="2" t="n">
        <f aca="false">79+11/60*(83-79)</f>
        <v>79.7333333333333</v>
      </c>
      <c r="H240" s="2" t="n">
        <f aca="false">60+11/60*(64-60)</f>
        <v>60.7333333333333</v>
      </c>
      <c r="I240" s="2" t="n">
        <f aca="false">56+11/60+(60-63)</f>
        <v>53.1833333333333</v>
      </c>
      <c r="J240" s="2" t="s">
        <v>99</v>
      </c>
      <c r="K240" s="2" t="n">
        <v>13</v>
      </c>
      <c r="L240" s="2" t="n">
        <v>28</v>
      </c>
      <c r="M240" s="0" t="s">
        <v>89</v>
      </c>
      <c r="N240" s="0" t="n">
        <v>1</v>
      </c>
      <c r="O240" s="0" t="s">
        <v>135</v>
      </c>
      <c r="P240" s="0" t="s">
        <v>77</v>
      </c>
      <c r="Q240" s="3" t="n">
        <v>4.2</v>
      </c>
      <c r="T240" s="2" t="n">
        <v>9478</v>
      </c>
      <c r="U240" s="3" t="n">
        <v>1.11</v>
      </c>
      <c r="X240" s="3" t="n">
        <f aca="false">Q240/U240</f>
        <v>3.78378378378378</v>
      </c>
      <c r="Y240" s="0" t="n">
        <v>4</v>
      </c>
      <c r="Z240" s="3" t="n">
        <f aca="false">Q240/Y240</f>
        <v>1.05</v>
      </c>
      <c r="AA240" s="3" t="n">
        <v>15.9</v>
      </c>
      <c r="AB240" s="2" t="n">
        <v>98.5</v>
      </c>
      <c r="AC240" s="2" t="n">
        <v>552</v>
      </c>
      <c r="AP240" s="2" t="n">
        <v>0</v>
      </c>
      <c r="AQ240" s="0" t="n">
        <v>1</v>
      </c>
      <c r="AR240" s="0" t="n">
        <v>1</v>
      </c>
      <c r="AS240" s="0" t="n">
        <v>0</v>
      </c>
      <c r="AZ240" s="0" t="s">
        <v>58</v>
      </c>
      <c r="BA240" s="0" t="s">
        <v>59</v>
      </c>
      <c r="BB240" s="0" t="n">
        <v>1</v>
      </c>
      <c r="BC240" s="0" t="s">
        <v>139</v>
      </c>
    </row>
    <row r="241" customFormat="false" ht="12.8" hidden="false" customHeight="false" outlineLevel="0" collapsed="false">
      <c r="A241" s="0" t="n">
        <v>773</v>
      </c>
      <c r="B241" s="1" t="n">
        <v>44119.5958333333</v>
      </c>
      <c r="C241" s="0" t="n">
        <v>1</v>
      </c>
      <c r="F241" s="7" t="s">
        <v>133</v>
      </c>
      <c r="G241" s="2" t="n">
        <v>70</v>
      </c>
      <c r="H241" s="2" t="n">
        <v>57</v>
      </c>
      <c r="I241" s="2" t="n">
        <v>62</v>
      </c>
      <c r="J241" s="2" t="s">
        <v>130</v>
      </c>
      <c r="K241" s="2" t="n">
        <v>18</v>
      </c>
      <c r="L241" s="2" t="n">
        <v>31</v>
      </c>
      <c r="M241" s="0" t="s">
        <v>89</v>
      </c>
      <c r="N241" s="0" t="n">
        <v>0</v>
      </c>
      <c r="O241" s="0" t="s">
        <v>135</v>
      </c>
      <c r="P241" s="0" t="s">
        <v>61</v>
      </c>
      <c r="Q241" s="3" t="n">
        <v>4.9</v>
      </c>
      <c r="U241" s="3" t="n">
        <f aca="false">(60+17)/60</f>
        <v>1.28333333333333</v>
      </c>
      <c r="V241" s="3" t="n">
        <f aca="false">U241</f>
        <v>1.28333333333333</v>
      </c>
      <c r="W241" s="3" t="n">
        <f aca="false">V241-U241</f>
        <v>0</v>
      </c>
      <c r="X241" s="3" t="n">
        <f aca="false">Q241/U241</f>
        <v>3.81818181818182</v>
      </c>
      <c r="Y241" s="0" t="n">
        <v>2</v>
      </c>
      <c r="Z241" s="3" t="n">
        <f aca="false">Q241/Y241</f>
        <v>2.45</v>
      </c>
      <c r="AA241" s="3" t="n">
        <f aca="false">15+43/60</f>
        <v>15.7166666666667</v>
      </c>
      <c r="AB241" s="2" t="n">
        <v>121</v>
      </c>
      <c r="AC241" s="2" t="n">
        <v>614</v>
      </c>
      <c r="AD241" s="2" t="n">
        <v>78</v>
      </c>
      <c r="AE241" s="0" t="n">
        <v>99</v>
      </c>
      <c r="AF241" s="3" t="n">
        <f aca="false">15+31/60</f>
        <v>15.5166666666667</v>
      </c>
      <c r="AG241" s="3" t="n">
        <v>16</v>
      </c>
      <c r="AH241" s="3" t="n">
        <f aca="false">15+41/60</f>
        <v>15.6833333333333</v>
      </c>
      <c r="AI241" s="3" t="n">
        <f aca="false">15+41/60</f>
        <v>15.6833333333333</v>
      </c>
      <c r="AJ241" s="3" t="n">
        <f aca="false">60/3.8</f>
        <v>15.7894736842105</v>
      </c>
      <c r="AP241" s="2" t="n">
        <v>0</v>
      </c>
      <c r="AQ241" s="0" t="n">
        <v>0</v>
      </c>
      <c r="AR241" s="0" t="n">
        <v>0</v>
      </c>
      <c r="AS241" s="0" t="n">
        <v>0</v>
      </c>
      <c r="AT241" s="4" t="n">
        <f aca="false">60*U241-SUM(AU241:AY241)</f>
        <v>67.2833333333333</v>
      </c>
      <c r="AU241" s="3" t="n">
        <f aca="false">9+43/60</f>
        <v>9.71666666666667</v>
      </c>
      <c r="AV241" s="3" t="n">
        <v>0</v>
      </c>
      <c r="AW241" s="3" t="n">
        <v>0</v>
      </c>
      <c r="AX241" s="3" t="n">
        <v>0</v>
      </c>
      <c r="AY241" s="3" t="n">
        <v>0</v>
      </c>
      <c r="AZ241" s="0" t="s">
        <v>58</v>
      </c>
      <c r="BA241" s="0" t="s">
        <v>59</v>
      </c>
      <c r="BB241" s="0" t="n">
        <v>0</v>
      </c>
    </row>
    <row r="242" customFormat="false" ht="12.8" hidden="false" customHeight="false" outlineLevel="0" collapsed="false">
      <c r="A242" s="0" t="n">
        <v>774</v>
      </c>
      <c r="B242" s="1" t="n">
        <v>44120.6159722222</v>
      </c>
      <c r="C242" s="0" t="n">
        <v>1</v>
      </c>
      <c r="F242" s="7" t="s">
        <v>116</v>
      </c>
      <c r="G242" s="2" t="n">
        <v>71</v>
      </c>
      <c r="H242" s="2" t="n">
        <v>70</v>
      </c>
      <c r="I242" s="2" t="n">
        <v>79</v>
      </c>
      <c r="J242" s="2" t="s">
        <v>98</v>
      </c>
      <c r="K242" s="2" t="n">
        <v>6</v>
      </c>
      <c r="L242" s="2" t="n">
        <v>0</v>
      </c>
      <c r="M242" s="0" t="s">
        <v>89</v>
      </c>
      <c r="N242" s="0" t="n">
        <v>0</v>
      </c>
      <c r="O242" s="0" t="s">
        <v>135</v>
      </c>
      <c r="P242" s="0" t="s">
        <v>90</v>
      </c>
      <c r="Q242" s="3" t="n">
        <v>7.32</v>
      </c>
      <c r="R242" s="2" t="n">
        <v>500</v>
      </c>
      <c r="S242" s="2" t="n">
        <v>16244</v>
      </c>
      <c r="T242" s="2" t="n">
        <f aca="false">S242-R242</f>
        <v>15744</v>
      </c>
      <c r="U242" s="3" t="n">
        <f aca="false">(120+3)/60</f>
        <v>2.05</v>
      </c>
      <c r="V242" s="3" t="n">
        <f aca="false">(120+16)/60</f>
        <v>2.26666666666667</v>
      </c>
      <c r="W242" s="3" t="n">
        <f aca="false">V242-U242</f>
        <v>0.216666666666667</v>
      </c>
      <c r="X242" s="3" t="n">
        <f aca="false">Q242/U242</f>
        <v>3.57073170731707</v>
      </c>
      <c r="Y242" s="0" t="n">
        <v>1</v>
      </c>
      <c r="Z242" s="3" t="n">
        <f aca="false">Q242/Y242</f>
        <v>7.32</v>
      </c>
      <c r="AA242" s="3" t="n">
        <f aca="false">16+49/60</f>
        <v>16.8166666666667</v>
      </c>
      <c r="AB242" s="2" t="n">
        <v>210</v>
      </c>
      <c r="AC242" s="2" t="n">
        <v>777</v>
      </c>
      <c r="AD242" s="2" t="n">
        <v>111</v>
      </c>
      <c r="AE242" s="0" t="n">
        <v>130</v>
      </c>
      <c r="AF242" s="3" t="n">
        <f aca="false">16+11/60</f>
        <v>16.1833333333333</v>
      </c>
      <c r="AG242" s="3" t="n">
        <f aca="false">16+41/60</f>
        <v>16.6833333333333</v>
      </c>
      <c r="AH242" s="3" t="n">
        <f aca="false">17+43/60</f>
        <v>17.7166666666667</v>
      </c>
      <c r="AI242" s="3" t="n">
        <f aca="false">16+41/60</f>
        <v>16.6833333333333</v>
      </c>
      <c r="AJ242" s="3" t="n">
        <f aca="false">16+45/60</f>
        <v>16.75</v>
      </c>
      <c r="AK242" s="3" t="n">
        <f aca="false">16+21/60</f>
        <v>16.35</v>
      </c>
      <c r="AL242" s="3" t="n">
        <f aca="false">60/3.6</f>
        <v>16.6666666666667</v>
      </c>
      <c r="AP242" s="2" t="n">
        <v>0</v>
      </c>
      <c r="AQ242" s="0" t="n">
        <v>0</v>
      </c>
      <c r="AR242" s="0" t="n">
        <v>0</v>
      </c>
      <c r="AS242" s="0" t="n">
        <v>0</v>
      </c>
      <c r="AT242" s="4" t="n">
        <f aca="false">60*U242-SUM(AU242:AY242)</f>
        <v>0.633333333333326</v>
      </c>
      <c r="AU242" s="3" t="n">
        <f aca="false">29+11/60</f>
        <v>29.1833333333333</v>
      </c>
      <c r="AV242" s="3" t="n">
        <f aca="false">(60+32) +4/60</f>
        <v>92.0666666666667</v>
      </c>
      <c r="AW242" s="3" t="n">
        <f aca="false">1+7/60</f>
        <v>1.11666666666667</v>
      </c>
      <c r="AX242" s="3" t="n">
        <v>0</v>
      </c>
      <c r="AY242" s="3" t="n">
        <v>0</v>
      </c>
      <c r="AZ242" s="0" t="s">
        <v>58</v>
      </c>
      <c r="BA242" s="0" t="s">
        <v>59</v>
      </c>
      <c r="BB242" s="0" t="n">
        <v>0</v>
      </c>
    </row>
    <row r="243" customFormat="false" ht="12.8" hidden="false" customHeight="false" outlineLevel="0" collapsed="false">
      <c r="A243" s="0" t="n">
        <v>775</v>
      </c>
      <c r="B243" s="1" t="n">
        <v>44121.5291666667</v>
      </c>
      <c r="C243" s="0" t="n">
        <v>1</v>
      </c>
      <c r="F243" s="7" t="s">
        <v>133</v>
      </c>
      <c r="G243" s="2" t="n">
        <v>69</v>
      </c>
      <c r="H243" s="2" t="n">
        <v>55</v>
      </c>
      <c r="I243" s="2" t="n">
        <v>61</v>
      </c>
      <c r="J243" s="2" t="s">
        <v>99</v>
      </c>
      <c r="K243" s="2" t="n">
        <v>15</v>
      </c>
      <c r="L243" s="2" t="n">
        <v>29</v>
      </c>
      <c r="M243" s="0" t="s">
        <v>89</v>
      </c>
      <c r="N243" s="0" t="n">
        <v>0</v>
      </c>
      <c r="O243" s="0" t="s">
        <v>135</v>
      </c>
      <c r="P243" s="0" t="s">
        <v>76</v>
      </c>
      <c r="Q243" s="3" t="n">
        <v>8.35</v>
      </c>
      <c r="R243" s="2" t="n">
        <v>779</v>
      </c>
      <c r="S243" s="2" t="n">
        <v>17975</v>
      </c>
      <c r="T243" s="2" t="n">
        <f aca="false">S243-R243</f>
        <v>17196</v>
      </c>
      <c r="U243" s="3" t="n">
        <f aca="false">(120+8)/60</f>
        <v>2.13333333333333</v>
      </c>
      <c r="V243" s="3" t="n">
        <f aca="false">(120+15)/60</f>
        <v>2.25</v>
      </c>
      <c r="W243" s="3" t="n">
        <f aca="false">V243-U243</f>
        <v>0.116666666666667</v>
      </c>
      <c r="X243" s="3" t="n">
        <f aca="false">Q243/U243</f>
        <v>3.9140625</v>
      </c>
      <c r="Y243" s="0" t="n">
        <v>1</v>
      </c>
      <c r="Z243" s="3" t="n">
        <f aca="false">Q243/Y243</f>
        <v>8.35</v>
      </c>
      <c r="AA243" s="3" t="n">
        <f aca="false">15+21/50</f>
        <v>15.42</v>
      </c>
      <c r="AB243" s="2" t="n">
        <v>856</v>
      </c>
      <c r="AC243" s="2" t="n">
        <v>698</v>
      </c>
      <c r="AD243" s="2" t="n">
        <v>76</v>
      </c>
      <c r="AE243" s="0" t="n">
        <v>112</v>
      </c>
      <c r="AF243" s="3" t="n">
        <f aca="false">15+13/60</f>
        <v>15.2166666666667</v>
      </c>
      <c r="AG243" s="3" t="n">
        <f aca="false">15+11/60</f>
        <v>15.1833333333333</v>
      </c>
      <c r="AH243" s="3" t="n">
        <f aca="false">15+8/60</f>
        <v>15.1333333333333</v>
      </c>
      <c r="AI243" s="3" t="n">
        <f aca="false">16+4/60</f>
        <v>16.0666666666667</v>
      </c>
      <c r="AJ243" s="3" t="n">
        <f aca="false">15+3/60</f>
        <v>15.05</v>
      </c>
      <c r="AK243" s="3" t="n">
        <f aca="false">15+8/60</f>
        <v>15.1333333333333</v>
      </c>
      <c r="AL243" s="3" t="n">
        <f aca="false">15+24/60</f>
        <v>15.4</v>
      </c>
      <c r="AM243" s="3" t="n">
        <f aca="false">15+30/60</f>
        <v>15.5</v>
      </c>
      <c r="AN243" s="3" t="n">
        <f aca="false">60/3.8</f>
        <v>15.7894736842105</v>
      </c>
      <c r="AP243" s="2" t="n">
        <v>1</v>
      </c>
      <c r="AQ243" s="0" t="n">
        <v>2</v>
      </c>
      <c r="AR243" s="0" t="n">
        <v>0</v>
      </c>
      <c r="AS243" s="0" t="n">
        <v>0</v>
      </c>
      <c r="AT243" s="4" t="n">
        <f aca="false">60*U243-SUM(AU243:AY243)</f>
        <v>113.933333333333</v>
      </c>
      <c r="AU243" s="3" t="n">
        <f aca="false">13+20/60</f>
        <v>13.3333333333333</v>
      </c>
      <c r="AV243" s="3" t="n">
        <f aca="false">44/60</f>
        <v>0.733333333333333</v>
      </c>
      <c r="AW243" s="3" t="n">
        <v>0</v>
      </c>
      <c r="AX243" s="3" t="n">
        <v>0</v>
      </c>
      <c r="AY243" s="3" t="n">
        <v>0</v>
      </c>
      <c r="AZ243" s="0" t="s">
        <v>58</v>
      </c>
      <c r="BA243" s="0" t="s">
        <v>59</v>
      </c>
      <c r="BB243" s="0" t="n">
        <v>0</v>
      </c>
    </row>
    <row r="244" customFormat="false" ht="12.8" hidden="false" customHeight="false" outlineLevel="0" collapsed="false">
      <c r="A244" s="0" t="n">
        <v>776</v>
      </c>
      <c r="B244" s="1" t="n">
        <v>44122.5194444444</v>
      </c>
      <c r="C244" s="0" t="n">
        <v>1</v>
      </c>
      <c r="F244" s="7" t="s">
        <v>116</v>
      </c>
      <c r="G244" s="2" t="n">
        <v>82</v>
      </c>
      <c r="H244" s="2" t="n">
        <v>68</v>
      </c>
      <c r="I244" s="2" t="n">
        <f aca="false">(58+55)/2</f>
        <v>56.5</v>
      </c>
      <c r="J244" s="2" t="s">
        <v>99</v>
      </c>
      <c r="K244" s="2" t="n">
        <f aca="false">(18+21)/2</f>
        <v>19.5</v>
      </c>
      <c r="L244" s="2" t="n">
        <v>30</v>
      </c>
      <c r="M244" s="0" t="s">
        <v>89</v>
      </c>
      <c r="N244" s="0" t="n">
        <v>0</v>
      </c>
      <c r="O244" s="0" t="s">
        <v>135</v>
      </c>
      <c r="P244" s="0" t="s">
        <v>129</v>
      </c>
      <c r="Q244" s="3" t="n">
        <v>5.07</v>
      </c>
      <c r="U244" s="3" t="n">
        <f aca="false">(60+43)/60</f>
        <v>1.71666666666667</v>
      </c>
      <c r="V244" s="3" t="n">
        <f aca="false">(60+56)/60</f>
        <v>1.93333333333333</v>
      </c>
      <c r="W244" s="3" t="n">
        <f aca="false">V244-U244</f>
        <v>0.216666666666667</v>
      </c>
      <c r="X244" s="3" t="n">
        <f aca="false">Q244/U244</f>
        <v>2.95339805825243</v>
      </c>
      <c r="Y244" s="0" t="n">
        <v>1</v>
      </c>
      <c r="Z244" s="3" t="n">
        <f aca="false">Q244/Y244</f>
        <v>5.07</v>
      </c>
      <c r="AA244" s="3" t="n">
        <f aca="false">20+14/60</f>
        <v>20.2333333333333</v>
      </c>
      <c r="AB244" s="2" t="n">
        <v>715</v>
      </c>
      <c r="AC244" s="2" t="n">
        <v>563</v>
      </c>
      <c r="AD244" s="2" t="n">
        <v>122</v>
      </c>
      <c r="AE244" s="0" t="n">
        <v>150</v>
      </c>
      <c r="AF244" s="3" t="n">
        <f aca="false">17+14/60</f>
        <v>17.2333333333333</v>
      </c>
      <c r="AG244" s="3" t="n">
        <f aca="false">17+35/60</f>
        <v>17.5833333333333</v>
      </c>
      <c r="AH244" s="3" t="n">
        <f aca="false">23+3/60</f>
        <v>23.05</v>
      </c>
      <c r="AI244" s="3" t="n">
        <f aca="false">24+11/60</f>
        <v>24.1833333333333</v>
      </c>
      <c r="AJ244" s="3" t="n">
        <f aca="false">19+8/60</f>
        <v>19.1333333333333</v>
      </c>
      <c r="AK244" s="3" t="n">
        <f aca="false">60/2.9</f>
        <v>20.6896551724138</v>
      </c>
      <c r="AP244" s="2" t="n">
        <v>4</v>
      </c>
      <c r="AQ244" s="0" t="n">
        <v>2</v>
      </c>
      <c r="AR244" s="0" t="n">
        <v>0</v>
      </c>
      <c r="AS244" s="0" t="n">
        <v>0</v>
      </c>
      <c r="AT244" s="4" t="n">
        <f aca="false">60*U244-SUM(AU244:AY244)</f>
        <v>0.48333333333332</v>
      </c>
      <c r="AU244" s="3" t="n">
        <f aca="false">1+9/60</f>
        <v>1.15</v>
      </c>
      <c r="AV244" s="3" t="n">
        <f aca="false">68+46/60</f>
        <v>68.7666666666667</v>
      </c>
      <c r="AW244" s="3" t="n">
        <f aca="false">32+19/60</f>
        <v>32.3166666666667</v>
      </c>
      <c r="AX244" s="3" t="n">
        <f aca="false">17/60</f>
        <v>0.283333333333333</v>
      </c>
      <c r="AY244" s="3" t="n">
        <v>0</v>
      </c>
      <c r="AZ244" s="0" t="s">
        <v>58</v>
      </c>
      <c r="BA244" s="0" t="s">
        <v>59</v>
      </c>
      <c r="BB244" s="0" t="n">
        <v>0</v>
      </c>
    </row>
    <row r="245" customFormat="false" ht="12.8" hidden="false" customHeight="false" outlineLevel="0" collapsed="false">
      <c r="A245" s="0" t="n">
        <v>777</v>
      </c>
      <c r="B245" s="1" t="n">
        <v>44123.4583333333</v>
      </c>
      <c r="C245" s="0" t="n">
        <v>0</v>
      </c>
      <c r="D245" s="7" t="s">
        <v>82</v>
      </c>
      <c r="F245" s="7" t="s">
        <v>140</v>
      </c>
      <c r="G245" s="2" t="n">
        <v>56</v>
      </c>
      <c r="H245" s="2" t="n">
        <v>52</v>
      </c>
      <c r="I245" s="2" t="n">
        <v>87</v>
      </c>
      <c r="J245" s="7" t="s">
        <v>120</v>
      </c>
      <c r="K245" s="2" t="n">
        <v>70</v>
      </c>
      <c r="L245" s="2" t="n">
        <v>0</v>
      </c>
      <c r="M245" s="0" t="s">
        <v>141</v>
      </c>
    </row>
    <row r="246" customFormat="false" ht="12.8" hidden="false" customHeight="false" outlineLevel="0" collapsed="false">
      <c r="A246" s="0" t="n">
        <v>778</v>
      </c>
      <c r="B246" s="1" t="n">
        <v>44124.5625</v>
      </c>
      <c r="C246" s="0" t="n">
        <v>1</v>
      </c>
      <c r="F246" s="7" t="s">
        <v>79</v>
      </c>
      <c r="G246" s="2" t="n">
        <v>77</v>
      </c>
      <c r="H246" s="2" t="n">
        <v>62</v>
      </c>
      <c r="I246" s="2" t="n">
        <v>60</v>
      </c>
      <c r="J246" s="7" t="s">
        <v>122</v>
      </c>
      <c r="K246" s="2" t="n">
        <v>20</v>
      </c>
      <c r="L246" s="2" t="n">
        <v>0</v>
      </c>
      <c r="M246" s="0" t="s">
        <v>89</v>
      </c>
      <c r="N246" s="0" t="n">
        <v>0</v>
      </c>
      <c r="O246" s="0" t="s">
        <v>135</v>
      </c>
      <c r="P246" s="0" t="s">
        <v>81</v>
      </c>
      <c r="Q246" s="3" t="n">
        <v>6.31</v>
      </c>
      <c r="R246" s="2" t="n">
        <v>643</v>
      </c>
      <c r="S246" s="2" t="n">
        <v>14684</v>
      </c>
      <c r="T246" s="2" t="n">
        <f aca="false">S246-R246</f>
        <v>14041</v>
      </c>
      <c r="U246" s="3" t="n">
        <f aca="false">(60+42)/60</f>
        <v>1.7</v>
      </c>
      <c r="V246" s="3" t="n">
        <f aca="false">(60+53)/60</f>
        <v>1.88333333333333</v>
      </c>
      <c r="W246" s="3" t="n">
        <f aca="false">V246-U246</f>
        <v>0.183333333333333</v>
      </c>
      <c r="X246" s="3" t="n">
        <f aca="false">Q246/U246</f>
        <v>3.71176470588235</v>
      </c>
      <c r="Y246" s="0" t="n">
        <v>1</v>
      </c>
      <c r="Z246" s="3" t="n">
        <f aca="false">Q246/Y246</f>
        <v>6.31</v>
      </c>
      <c r="AA246" s="3" t="n">
        <f aca="false">16+14/60</f>
        <v>16.2333333333333</v>
      </c>
      <c r="AB246" s="2" t="n">
        <v>233</v>
      </c>
      <c r="AC246" s="2" t="n">
        <v>673</v>
      </c>
      <c r="AD246" s="2" t="n">
        <v>136</v>
      </c>
      <c r="AE246" s="0" t="n">
        <v>140</v>
      </c>
      <c r="AF246" s="3" t="n">
        <f aca="false">16+8/60</f>
        <v>16.1333333333333</v>
      </c>
      <c r="AG246" s="3" t="n">
        <f aca="false">16+27/60</f>
        <v>16.45</v>
      </c>
      <c r="AH246" s="3" t="n">
        <f aca="false">15+58/60</f>
        <v>15.9666666666667</v>
      </c>
      <c r="AI246" s="3" t="n">
        <f aca="false">16+30/60</f>
        <v>16.5</v>
      </c>
      <c r="AJ246" s="3" t="n">
        <f aca="false">16</f>
        <v>16</v>
      </c>
      <c r="AK246" s="3" t="n">
        <f aca="false">16+18/60</f>
        <v>16.3</v>
      </c>
      <c r="AL246" s="3" t="n">
        <f aca="false">60/3.7</f>
        <v>16.2162162162162</v>
      </c>
      <c r="AP246" s="2" t="n">
        <v>0</v>
      </c>
      <c r="AQ246" s="0" t="n">
        <v>2</v>
      </c>
      <c r="AR246" s="0" t="n">
        <v>1</v>
      </c>
      <c r="AS246" s="0" t="n">
        <v>0</v>
      </c>
      <c r="AT246" s="4" t="n">
        <v>0</v>
      </c>
      <c r="AU246" s="3" t="n">
        <f aca="false">53/60</f>
        <v>0.883333333333333</v>
      </c>
      <c r="AV246" s="3" t="n">
        <f aca="false">6+1/60</f>
        <v>6.01666666666667</v>
      </c>
      <c r="AW246" s="3" t="n">
        <f aca="false">81+35/60</f>
        <v>81.5833333333333</v>
      </c>
      <c r="AX246" s="3" t="n">
        <f aca="false">14+2/60</f>
        <v>14.0333333333333</v>
      </c>
      <c r="AY246" s="3" t="n">
        <v>0</v>
      </c>
      <c r="AZ246" s="0" t="s">
        <v>58</v>
      </c>
      <c r="BA246" s="0" t="s">
        <v>59</v>
      </c>
      <c r="BB246" s="0" t="n">
        <v>0</v>
      </c>
    </row>
    <row r="247" customFormat="false" ht="12.8" hidden="false" customHeight="false" outlineLevel="0" collapsed="false">
      <c r="A247" s="0" t="n">
        <v>779</v>
      </c>
      <c r="B247" s="1" t="n">
        <v>44125.5173611111</v>
      </c>
      <c r="C247" s="0" t="n">
        <v>1</v>
      </c>
      <c r="F247" s="7" t="s">
        <v>116</v>
      </c>
      <c r="G247" s="2" t="n">
        <v>79</v>
      </c>
      <c r="H247" s="2" t="n">
        <v>66</v>
      </c>
      <c r="I247" s="2" t="n">
        <v>64</v>
      </c>
      <c r="J247" s="2" t="s">
        <v>99</v>
      </c>
      <c r="K247" s="2" t="n">
        <v>17</v>
      </c>
      <c r="L247" s="2" t="n">
        <v>29</v>
      </c>
      <c r="M247" s="0" t="s">
        <v>89</v>
      </c>
      <c r="N247" s="0" t="n">
        <v>0</v>
      </c>
      <c r="O247" s="0" t="s">
        <v>135</v>
      </c>
      <c r="P247" s="7" t="s">
        <v>75</v>
      </c>
      <c r="Q247" s="3" t="n">
        <v>4.14</v>
      </c>
      <c r="R247" s="2" t="n">
        <v>878</v>
      </c>
      <c r="S247" s="2" t="n">
        <v>9876</v>
      </c>
      <c r="T247" s="2" t="n">
        <f aca="false">S247-R247</f>
        <v>8998</v>
      </c>
      <c r="U247" s="3" t="n">
        <f aca="false">71/60</f>
        <v>1.18333333333333</v>
      </c>
      <c r="V247" s="3" t="n">
        <f aca="false">75/60</f>
        <v>1.25</v>
      </c>
      <c r="W247" s="3" t="n">
        <f aca="false">V247-U247</f>
        <v>0.0666666666666667</v>
      </c>
      <c r="X247" s="3" t="n">
        <f aca="false">Q247/U247</f>
        <v>3.49859154929577</v>
      </c>
      <c r="Y247" s="0" t="n">
        <v>2</v>
      </c>
      <c r="Z247" s="3" t="n">
        <f aca="false">Q247/Y247</f>
        <v>2.07</v>
      </c>
      <c r="AA247" s="3" t="n">
        <f aca="false">17+15/60</f>
        <v>17.25</v>
      </c>
      <c r="AB247" s="2" t="n">
        <v>545</v>
      </c>
      <c r="AC247" s="2" t="n">
        <v>459</v>
      </c>
      <c r="AD247" s="2" t="n">
        <v>122</v>
      </c>
      <c r="AE247" s="0" t="n">
        <v>152</v>
      </c>
      <c r="AF247" s="3" t="n">
        <f aca="false">17+17/60</f>
        <v>17.2833333333333</v>
      </c>
      <c r="AG247" s="3" t="n">
        <f aca="false">16+17/60</f>
        <v>16.2833333333333</v>
      </c>
      <c r="AH247" s="3" t="n">
        <f aca="false">18+47.6</f>
        <v>65.6</v>
      </c>
      <c r="AI247" s="3" t="n">
        <f aca="false">16+34/60</f>
        <v>16.5666666666667</v>
      </c>
      <c r="AJ247" s="3" t="n">
        <f aca="false">60/3.5</f>
        <v>17.1428571428571</v>
      </c>
      <c r="AP247" s="2" t="n">
        <v>0</v>
      </c>
      <c r="AQ247" s="0" t="n">
        <v>2</v>
      </c>
      <c r="AR247" s="0" t="n">
        <v>0</v>
      </c>
      <c r="AS247" s="0" t="n">
        <v>0</v>
      </c>
      <c r="AT247" s="4" t="n">
        <f aca="false">60*U247-SUM(AU247:AY247)</f>
        <v>0.0033333333333303</v>
      </c>
      <c r="AU247" s="3" t="n">
        <f aca="false">11+33/60</f>
        <v>11.55</v>
      </c>
      <c r="AV247" s="3" t="n">
        <f aca="false">24+27/60</f>
        <v>24.45</v>
      </c>
      <c r="AW247" s="3" t="n">
        <f aca="false">32+43/60</f>
        <v>32.7166666666667</v>
      </c>
      <c r="AX247" s="3" t="n">
        <v>2.28</v>
      </c>
      <c r="AY247" s="3" t="n">
        <v>0</v>
      </c>
      <c r="AZ247" s="0" t="s">
        <v>58</v>
      </c>
      <c r="BA247" s="0" t="s">
        <v>59</v>
      </c>
      <c r="BB247" s="0" t="n">
        <v>0</v>
      </c>
    </row>
    <row r="248" customFormat="false" ht="13.8" hidden="false" customHeight="false" outlineLevel="0" collapsed="false">
      <c r="A248" s="0" t="n">
        <v>780</v>
      </c>
      <c r="B248" s="1" t="n">
        <v>44126.4777777778</v>
      </c>
      <c r="C248" s="0" t="n">
        <v>1</v>
      </c>
      <c r="F248" s="7" t="s">
        <v>116</v>
      </c>
      <c r="G248" s="2" t="n">
        <f aca="false">AVERAGE(82,84,84,86)</f>
        <v>84</v>
      </c>
      <c r="H248" s="2" t="n">
        <f aca="false">AVERAGE(66,66,66,67)</f>
        <v>66.25</v>
      </c>
      <c r="I248" s="2" t="n">
        <f aca="false">AVERAGE(62,59,55,55)</f>
        <v>57.75</v>
      </c>
      <c r="J248" s="2" t="s">
        <v>101</v>
      </c>
      <c r="K248" s="2" t="n">
        <f aca="false">AVERAGE(14,14,16,20)</f>
        <v>16</v>
      </c>
      <c r="L248" s="2" t="n">
        <v>29</v>
      </c>
      <c r="M248" s="0" t="s">
        <v>89</v>
      </c>
      <c r="N248" s="0" t="n">
        <v>0</v>
      </c>
      <c r="O248" s="0" t="s">
        <v>135</v>
      </c>
      <c r="P248" s="13" t="s">
        <v>92</v>
      </c>
      <c r="Q248" s="3" t="n">
        <v>6.94</v>
      </c>
      <c r="R248" s="2" t="n">
        <v>667</v>
      </c>
      <c r="S248" s="2" t="n">
        <v>15896</v>
      </c>
      <c r="T248" s="2" t="n">
        <f aca="false">S248-R248</f>
        <v>15229</v>
      </c>
      <c r="U248" s="3" t="n">
        <f aca="false">(120+2)/60</f>
        <v>2.03333333333333</v>
      </c>
      <c r="V248" s="3" t="n">
        <f aca="false">(120+14)/60</f>
        <v>2.23333333333333</v>
      </c>
      <c r="W248" s="3" t="n">
        <f aca="false">V248-U248</f>
        <v>0.2</v>
      </c>
      <c r="X248" s="3" t="n">
        <f aca="false">Q248/U248</f>
        <v>3.41311475409836</v>
      </c>
      <c r="Y248" s="0" t="n">
        <v>1</v>
      </c>
      <c r="Z248" s="3" t="n">
        <f aca="false">Q248/Y248</f>
        <v>6.94</v>
      </c>
      <c r="AA248" s="3" t="n">
        <f aca="false">17+37/60</f>
        <v>17.6166666666667</v>
      </c>
      <c r="AB248" s="2" t="n">
        <v>761</v>
      </c>
      <c r="AC248" s="2" t="n">
        <v>749</v>
      </c>
      <c r="AD248" s="2" t="n">
        <v>125</v>
      </c>
      <c r="AE248" s="0" t="n">
        <v>149</v>
      </c>
      <c r="AF248" s="3" t="n">
        <f aca="false">17+1/60</f>
        <v>17.0166666666667</v>
      </c>
      <c r="AG248" s="3" t="n">
        <f aca="false">17+17/60</f>
        <v>17.2833333333333</v>
      </c>
      <c r="AH248" s="3" t="n">
        <f aca="false">17+36/60</f>
        <v>17.6</v>
      </c>
      <c r="AI248" s="3" t="n">
        <f aca="false">18+8/60</f>
        <v>18.1333333333333</v>
      </c>
      <c r="AJ248" s="3" t="n">
        <f aca="false">17+36/60</f>
        <v>17.6</v>
      </c>
      <c r="AK248" s="3" t="n">
        <f aca="false">17+17/60</f>
        <v>17.2833333333333</v>
      </c>
      <c r="AL248" s="3" t="n">
        <f aca="false">60/3.3</f>
        <v>18.1818181818182</v>
      </c>
      <c r="AP248" s="2" t="n">
        <v>7</v>
      </c>
      <c r="AQ248" s="0" t="n">
        <v>1</v>
      </c>
      <c r="AR248" s="0" t="n">
        <v>0</v>
      </c>
      <c r="AS248" s="0" t="n">
        <v>0</v>
      </c>
      <c r="AT248" s="4" t="n">
        <f aca="false">60*U248-SUM(AU248:AY248)</f>
        <v>2.78333333333333</v>
      </c>
      <c r="AU248" s="3" t="n">
        <f aca="false">9+10/60</f>
        <v>9.16666666666667</v>
      </c>
      <c r="AV248" s="3" t="n">
        <f aca="false">29+2/60</f>
        <v>29.0333333333333</v>
      </c>
      <c r="AW248" s="3" t="n">
        <f aca="false">79+59/60</f>
        <v>79.9833333333333</v>
      </c>
      <c r="AX248" s="3" t="n">
        <f aca="false">1+2/60</f>
        <v>1.03333333333333</v>
      </c>
      <c r="AY248" s="3" t="n">
        <v>0</v>
      </c>
      <c r="AZ248" s="0" t="s">
        <v>58</v>
      </c>
      <c r="BA248" s="0" t="s">
        <v>59</v>
      </c>
      <c r="BB248" s="0" t="n">
        <v>0</v>
      </c>
    </row>
    <row r="249" customFormat="false" ht="12.8" hidden="false" customHeight="false" outlineLevel="0" collapsed="false">
      <c r="A249" s="0" t="n">
        <v>781</v>
      </c>
      <c r="B249" s="1" t="n">
        <v>44127</v>
      </c>
      <c r="C249" s="0" t="n">
        <v>1</v>
      </c>
      <c r="F249" s="7" t="s">
        <v>133</v>
      </c>
      <c r="G249" s="2" t="n">
        <v>51</v>
      </c>
      <c r="H249" s="2" t="n">
        <v>45</v>
      </c>
      <c r="I249" s="2" t="n">
        <v>83</v>
      </c>
      <c r="J249" s="2" t="s">
        <v>120</v>
      </c>
      <c r="K249" s="2" t="n">
        <v>18</v>
      </c>
      <c r="L249" s="2" t="n">
        <v>0</v>
      </c>
      <c r="M249" s="0" t="s">
        <v>89</v>
      </c>
      <c r="N249" s="0" t="n">
        <v>0</v>
      </c>
      <c r="O249" s="0" t="s">
        <v>135</v>
      </c>
      <c r="P249" s="0" t="s">
        <v>77</v>
      </c>
      <c r="Q249" s="3" t="n">
        <v>4.35</v>
      </c>
      <c r="R249" s="2" t="n">
        <v>459</v>
      </c>
      <c r="S249" s="2" t="n">
        <v>10458</v>
      </c>
      <c r="T249" s="2" t="n">
        <f aca="false">S249-R249</f>
        <v>9999</v>
      </c>
      <c r="U249" s="3" t="n">
        <f aca="false">64/60</f>
        <v>1.06666666666667</v>
      </c>
      <c r="V249" s="3" t="n">
        <f aca="false">79/60</f>
        <v>1.31666666666667</v>
      </c>
      <c r="W249" s="3" t="n">
        <f aca="false">V249-U249</f>
        <v>0.25</v>
      </c>
      <c r="X249" s="3" t="n">
        <f aca="false">Q249/U249</f>
        <v>4.07812499999999</v>
      </c>
      <c r="Y249" s="0" t="n">
        <v>4</v>
      </c>
      <c r="Z249" s="3" t="n">
        <f aca="false">Q249/Y249</f>
        <v>1.0875</v>
      </c>
      <c r="AA249" s="3" t="n">
        <f aca="false">15+37/60</f>
        <v>15.6166666666667</v>
      </c>
      <c r="AB249" s="2" t="n">
        <v>105</v>
      </c>
      <c r="AC249" s="2" t="n">
        <v>465</v>
      </c>
      <c r="AD249" s="2" t="n">
        <v>80</v>
      </c>
      <c r="AE249" s="0" t="n">
        <v>117</v>
      </c>
      <c r="AF249" s="3" t="n">
        <f aca="false">15+32/60</f>
        <v>15.5333333333333</v>
      </c>
      <c r="AG249" s="3" t="n">
        <f aca="false">15+35/60</f>
        <v>15.5833333333333</v>
      </c>
      <c r="AH249" s="3" t="n">
        <f aca="false">15+37/60</f>
        <v>15.6166666666667</v>
      </c>
      <c r="AI249" s="3" t="n">
        <f aca="false">15+39/60</f>
        <v>15.65</v>
      </c>
      <c r="AJ249" s="3" t="n">
        <f aca="false">60/3.8</f>
        <v>15.7894736842105</v>
      </c>
      <c r="AP249" s="2" t="n">
        <v>0</v>
      </c>
      <c r="AQ249" s="0" t="n">
        <v>1</v>
      </c>
      <c r="AR249" s="0" t="n">
        <v>0</v>
      </c>
      <c r="AS249" s="0" t="n">
        <v>0</v>
      </c>
      <c r="AT249" s="4" t="n">
        <f aca="false">60*U249-SUM(AU249:AY249)</f>
        <v>57</v>
      </c>
      <c r="AU249" s="3" t="n">
        <f aca="false">5+36/60</f>
        <v>5.6</v>
      </c>
      <c r="AV249" s="3" t="n">
        <f aca="false">1+24/60</f>
        <v>1.4</v>
      </c>
      <c r="AW249" s="3" t="n">
        <v>0</v>
      </c>
      <c r="AX249" s="3" t="n">
        <v>0</v>
      </c>
      <c r="AY249" s="3" t="n">
        <v>0</v>
      </c>
      <c r="AZ249" s="0" t="s">
        <v>58</v>
      </c>
      <c r="BA249" s="0" t="s">
        <v>59</v>
      </c>
      <c r="BB249" s="0" t="n">
        <v>0</v>
      </c>
    </row>
    <row r="250" customFormat="false" ht="12.8" hidden="false" customHeight="false" outlineLevel="0" collapsed="false">
      <c r="A250" s="0" t="n">
        <v>782</v>
      </c>
      <c r="B250" s="1" t="n">
        <v>44128.4951388889</v>
      </c>
      <c r="C250" s="0" t="n">
        <v>0</v>
      </c>
      <c r="D250" s="0" t="s">
        <v>142</v>
      </c>
      <c r="F250" s="7" t="s">
        <v>121</v>
      </c>
      <c r="G250" s="0" t="n">
        <v>51</v>
      </c>
      <c r="H250" s="0" t="n">
        <v>40</v>
      </c>
      <c r="I250" s="0" t="n">
        <v>61</v>
      </c>
      <c r="J250" s="0" t="s">
        <v>127</v>
      </c>
      <c r="K250" s="0" t="n">
        <v>7</v>
      </c>
      <c r="L250" s="0" t="n">
        <v>0</v>
      </c>
      <c r="M250" s="0" t="s">
        <v>89</v>
      </c>
    </row>
    <row r="251" customFormat="false" ht="12.8" hidden="false" customHeight="false" outlineLevel="0" collapsed="false">
      <c r="A251" s="0" t="n">
        <v>783</v>
      </c>
      <c r="B251" s="1" t="n">
        <v>44129.4951388889</v>
      </c>
      <c r="C251" s="0" t="n">
        <v>0</v>
      </c>
      <c r="D251" s="0" t="s">
        <v>69</v>
      </c>
      <c r="F251" s="7" t="s">
        <v>133</v>
      </c>
      <c r="G251" s="2" t="n">
        <v>59</v>
      </c>
      <c r="H251" s="2" t="n">
        <v>55</v>
      </c>
      <c r="I251" s="2" t="n">
        <v>87</v>
      </c>
      <c r="J251" s="7" t="s">
        <v>117</v>
      </c>
      <c r="K251" s="2" t="n">
        <v>12</v>
      </c>
      <c r="L251" s="2" t="n">
        <v>0</v>
      </c>
      <c r="M251" s="0" t="s">
        <v>89</v>
      </c>
    </row>
    <row r="252" customFormat="false" ht="12.8" hidden="false" customHeight="false" outlineLevel="0" collapsed="false">
      <c r="A252" s="0" t="n">
        <v>784</v>
      </c>
      <c r="B252" s="1" t="n">
        <v>44130.5777777778</v>
      </c>
      <c r="C252" s="0" t="n">
        <v>1</v>
      </c>
      <c r="F252" s="7" t="s">
        <v>55</v>
      </c>
      <c r="G252" s="2" t="n">
        <v>45</v>
      </c>
      <c r="H252" s="2" t="n">
        <v>43</v>
      </c>
      <c r="I252" s="2" t="n">
        <v>93</v>
      </c>
      <c r="J252" s="2" t="s">
        <v>98</v>
      </c>
      <c r="K252" s="2" t="n">
        <v>21</v>
      </c>
      <c r="L252" s="2" t="n">
        <v>0</v>
      </c>
      <c r="M252" s="0" t="s">
        <v>89</v>
      </c>
      <c r="N252" s="0" t="n">
        <v>0</v>
      </c>
      <c r="O252" s="0" t="s">
        <v>135</v>
      </c>
      <c r="P252" s="0" t="s">
        <v>143</v>
      </c>
      <c r="Q252" s="3" t="n">
        <v>3.52</v>
      </c>
      <c r="R252" s="2" t="n">
        <v>1140</v>
      </c>
      <c r="S252" s="2" t="n">
        <v>12443</v>
      </c>
      <c r="T252" s="2" t="n">
        <f aca="false">S252-R252</f>
        <v>11303</v>
      </c>
      <c r="U252" s="3" t="n">
        <f aca="false">89/60</f>
        <v>1.48333333333333</v>
      </c>
      <c r="V252" s="3" t="n">
        <f aca="false">89/60</f>
        <v>1.48333333333333</v>
      </c>
      <c r="W252" s="3" t="n">
        <f aca="false">V252-U252</f>
        <v>0</v>
      </c>
      <c r="X252" s="3" t="n">
        <f aca="false">Q252/U252</f>
        <v>2.37303370786517</v>
      </c>
      <c r="Y252" s="0" t="n">
        <v>2</v>
      </c>
      <c r="Z252" s="3" t="n">
        <f aca="false">Q252/Y252</f>
        <v>1.76</v>
      </c>
      <c r="AA252" s="3" t="n">
        <f aca="false">25+12/60</f>
        <v>25.2</v>
      </c>
      <c r="AB252" s="2" t="n">
        <v>39</v>
      </c>
      <c r="AC252" s="2" t="n">
        <v>327</v>
      </c>
      <c r="AD252" s="2" t="n">
        <v>81</v>
      </c>
      <c r="AE252" s="0" t="n">
        <v>111</v>
      </c>
      <c r="AF252" s="3" t="n">
        <f aca="false">24+55/60</f>
        <v>24.9166666666667</v>
      </c>
      <c r="AG252" s="3" t="n">
        <f aca="false">25+7/60</f>
        <v>25.1166666666667</v>
      </c>
      <c r="AH252" s="3" t="n">
        <f aca="false">26+32/60</f>
        <v>26.5333333333333</v>
      </c>
      <c r="AI252" s="3" t="n">
        <f aca="false">60/2.4</f>
        <v>25</v>
      </c>
      <c r="AP252" s="2" t="n">
        <v>0</v>
      </c>
      <c r="AQ252" s="0" t="n">
        <v>0</v>
      </c>
      <c r="AR252" s="0" t="n">
        <v>0</v>
      </c>
      <c r="AS252" s="0" t="n">
        <v>0</v>
      </c>
      <c r="AT252" s="4" t="n">
        <f aca="false">60*U252-SUM(AU252:AY252)</f>
        <v>76.2166666666667</v>
      </c>
      <c r="AU252" s="3" t="n">
        <f aca="false">11+56/60</f>
        <v>11.9333333333333</v>
      </c>
      <c r="AV252" s="3" t="n">
        <f aca="false">51/60</f>
        <v>0.85</v>
      </c>
      <c r="AW252" s="3" t="n">
        <v>0</v>
      </c>
      <c r="AX252" s="3" t="n">
        <v>0</v>
      </c>
      <c r="AY252" s="3" t="n">
        <v>0</v>
      </c>
      <c r="AZ252" s="0" t="s">
        <v>58</v>
      </c>
      <c r="BA252" s="0" t="s">
        <v>59</v>
      </c>
      <c r="BB252" s="0" t="n">
        <v>0</v>
      </c>
    </row>
    <row r="253" customFormat="false" ht="12.8" hidden="false" customHeight="false" outlineLevel="0" collapsed="false">
      <c r="A253" s="0" t="n">
        <v>785</v>
      </c>
      <c r="B253" s="1" t="n">
        <v>44131.4951388889</v>
      </c>
      <c r="C253" s="0" t="n">
        <v>0</v>
      </c>
      <c r="F253" s="7" t="s">
        <v>140</v>
      </c>
      <c r="G253" s="2" t="n">
        <v>39</v>
      </c>
      <c r="H253" s="2" t="n">
        <v>38</v>
      </c>
      <c r="I253" s="2" t="n">
        <v>96</v>
      </c>
      <c r="J253" s="2" t="s">
        <v>98</v>
      </c>
      <c r="K253" s="2" t="n">
        <v>14</v>
      </c>
      <c r="L253" s="2" t="n">
        <v>0</v>
      </c>
      <c r="M253" s="0" t="s">
        <v>141</v>
      </c>
    </row>
    <row r="254" customFormat="false" ht="12.8" hidden="false" customHeight="false" outlineLevel="0" collapsed="false">
      <c r="A254" s="0" t="n">
        <v>786</v>
      </c>
      <c r="B254" s="1" t="n">
        <v>44132.4770833333</v>
      </c>
      <c r="C254" s="0" t="n">
        <v>1</v>
      </c>
      <c r="F254" s="7" t="s">
        <v>118</v>
      </c>
      <c r="G254" s="2" t="n">
        <v>40</v>
      </c>
      <c r="H254" s="2" t="n">
        <v>38</v>
      </c>
      <c r="I254" s="2" t="n">
        <v>93</v>
      </c>
      <c r="J254" s="7" t="s">
        <v>134</v>
      </c>
      <c r="K254" s="2" t="n">
        <v>10</v>
      </c>
      <c r="L254" s="2" t="n">
        <v>0</v>
      </c>
      <c r="M254" s="0" t="s">
        <v>141</v>
      </c>
      <c r="N254" s="0" t="n">
        <v>0</v>
      </c>
      <c r="O254" s="0" t="s">
        <v>135</v>
      </c>
      <c r="P254" s="0" t="s">
        <v>143</v>
      </c>
      <c r="Q254" s="3" t="n">
        <v>3.86</v>
      </c>
      <c r="R254" s="2" t="n">
        <v>836</v>
      </c>
      <c r="S254" s="2" t="n">
        <v>13040</v>
      </c>
      <c r="T254" s="2" t="n">
        <f aca="false">S254-R254</f>
        <v>12204</v>
      </c>
      <c r="U254" s="3" t="n">
        <f aca="false">96/60</f>
        <v>1.6</v>
      </c>
      <c r="V254" s="3" t="n">
        <f aca="false">97/60</f>
        <v>1.61666666666667</v>
      </c>
      <c r="W254" s="3" t="n">
        <f aca="false">V254-U254</f>
        <v>0.0166666666666699</v>
      </c>
      <c r="X254" s="3" t="n">
        <f aca="false">Q254/U254</f>
        <v>2.4125</v>
      </c>
      <c r="Y254" s="0" t="n">
        <v>2</v>
      </c>
      <c r="Z254" s="3" t="n">
        <f aca="false">Q254/Y254</f>
        <v>1.93</v>
      </c>
      <c r="AA254" s="3" t="n">
        <f aca="false">24+54/60</f>
        <v>24.9</v>
      </c>
      <c r="AB254" s="2" t="n">
        <v>56</v>
      </c>
      <c r="AC254" s="2" t="n">
        <v>377</v>
      </c>
      <c r="AD254" s="2" t="n">
        <v>86</v>
      </c>
      <c r="AE254" s="0" t="n">
        <v>131</v>
      </c>
      <c r="AF254" s="3" t="n">
        <f aca="false">23+50/60</f>
        <v>23.8333333333333</v>
      </c>
      <c r="AG254" s="3" t="n">
        <f aca="false">23+34/60</f>
        <v>23.5666666666667</v>
      </c>
      <c r="AH254" s="3" t="n">
        <f aca="false">26+22/60</f>
        <v>26.3666666666667</v>
      </c>
      <c r="AI254" s="3" t="n">
        <f aca="false">60/2.3</f>
        <v>26.0869565217391</v>
      </c>
      <c r="AP254" s="2" t="n">
        <v>0</v>
      </c>
      <c r="AQ254" s="0" t="n">
        <v>0</v>
      </c>
      <c r="AR254" s="0" t="n">
        <v>0</v>
      </c>
      <c r="AS254" s="0" t="n">
        <v>0</v>
      </c>
      <c r="AT254" s="4" t="n">
        <f aca="false">60*U254-SUM(AU254:AY254)</f>
        <v>67.6533333333333</v>
      </c>
      <c r="AU254" s="3" t="n">
        <f aca="false">26+16/60</f>
        <v>26.2666666666667</v>
      </c>
      <c r="AV254" s="3" t="n">
        <f aca="false">1+54/50</f>
        <v>2.08</v>
      </c>
      <c r="AW254" s="3" t="n">
        <v>0</v>
      </c>
      <c r="AX254" s="3" t="n">
        <v>0</v>
      </c>
      <c r="AY254" s="3" t="n">
        <v>0</v>
      </c>
      <c r="AZ254" s="0" t="s">
        <v>58</v>
      </c>
      <c r="BA254" s="0" t="s">
        <v>59</v>
      </c>
      <c r="BB254" s="0" t="n">
        <v>0</v>
      </c>
    </row>
    <row r="255" customFormat="false" ht="12.8" hidden="false" customHeight="false" outlineLevel="0" collapsed="false">
      <c r="A255" s="0" t="n">
        <v>787</v>
      </c>
      <c r="B255" s="1" t="n">
        <v>44133.5270833333</v>
      </c>
      <c r="C255" s="0" t="n">
        <v>1</v>
      </c>
      <c r="F255" s="7" t="s">
        <v>133</v>
      </c>
      <c r="G255" s="2" t="n">
        <v>51</v>
      </c>
      <c r="H255" s="2" t="n">
        <v>41</v>
      </c>
      <c r="I255" s="2" t="n">
        <v>68</v>
      </c>
      <c r="J255" s="7" t="s">
        <v>120</v>
      </c>
      <c r="K255" s="2" t="n">
        <v>16</v>
      </c>
      <c r="L255" s="2" t="n">
        <v>0</v>
      </c>
      <c r="M255" s="0" t="s">
        <v>89</v>
      </c>
      <c r="N255" s="0" t="n">
        <v>0</v>
      </c>
      <c r="O255" s="0" t="s">
        <v>135</v>
      </c>
      <c r="P255" s="0" t="s">
        <v>72</v>
      </c>
      <c r="Q255" s="3" t="n">
        <v>4.5</v>
      </c>
      <c r="R255" s="2" t="n">
        <v>799</v>
      </c>
      <c r="S255" s="2" t="n">
        <v>10170</v>
      </c>
      <c r="T255" s="2" t="n">
        <f aca="false">S255-R255</f>
        <v>9371</v>
      </c>
      <c r="U255" s="3" t="n">
        <f aca="false">75/60</f>
        <v>1.25</v>
      </c>
      <c r="V255" s="3" t="n">
        <f aca="false">75/60</f>
        <v>1.25</v>
      </c>
      <c r="W255" s="3" t="n">
        <f aca="false">V255-U255</f>
        <v>0</v>
      </c>
      <c r="X255" s="3" t="n">
        <f aca="false">Q255/U255</f>
        <v>3.6</v>
      </c>
      <c r="Y255" s="0" t="n">
        <v>1</v>
      </c>
      <c r="Z255" s="3" t="n">
        <f aca="false">Q255/Y255</f>
        <v>4.5</v>
      </c>
      <c r="AA255" s="3" t="n">
        <f aca="false">16+36/60</f>
        <v>16.6</v>
      </c>
      <c r="AB255" s="2" t="n">
        <v>72</v>
      </c>
      <c r="AC255" s="2" t="n">
        <v>471</v>
      </c>
      <c r="AD255" s="2" t="n">
        <v>112</v>
      </c>
      <c r="AE255" s="0" t="n">
        <v>130</v>
      </c>
      <c r="AF255" s="3" t="n">
        <f aca="false">16+4/60</f>
        <v>16.0666666666667</v>
      </c>
      <c r="AG255" s="3" t="n">
        <f aca="false">16+38/60</f>
        <v>16.6333333333333</v>
      </c>
      <c r="AH255" s="3" t="n">
        <f aca="false">16+44/60</f>
        <v>16.7333333333333</v>
      </c>
      <c r="AI255" s="3" t="n">
        <f aca="false">16+40/60</f>
        <v>16.6666666666667</v>
      </c>
      <c r="AJ255" s="3" t="n">
        <f aca="false">60/3.5</f>
        <v>17.1428571428571</v>
      </c>
      <c r="AP255" s="2" t="n">
        <v>0</v>
      </c>
      <c r="AQ255" s="0" t="n">
        <v>0</v>
      </c>
      <c r="AR255" s="0" t="n">
        <v>1</v>
      </c>
      <c r="AS255" s="0" t="n">
        <v>0</v>
      </c>
      <c r="AT255" s="4" t="n">
        <f aca="false">60*U255-SUM(AU255:AY255)</f>
        <v>1</v>
      </c>
      <c r="AU255" s="3" t="n">
        <f aca="false">21+52/60</f>
        <v>21.8666666666667</v>
      </c>
      <c r="AV255" s="3" t="n">
        <f aca="false">50+16/60</f>
        <v>50.2666666666667</v>
      </c>
      <c r="AW255" s="3" t="n">
        <f aca="false">1+52/60</f>
        <v>1.86666666666667</v>
      </c>
      <c r="AX255" s="3" t="n">
        <v>0</v>
      </c>
      <c r="AY255" s="3" t="n">
        <v>0</v>
      </c>
      <c r="AZ255" s="0" t="s">
        <v>58</v>
      </c>
      <c r="BA255" s="0" t="s">
        <v>59</v>
      </c>
      <c r="BB255" s="0" t="n">
        <v>0</v>
      </c>
    </row>
    <row r="256" customFormat="false" ht="12.8" hidden="false" customHeight="false" outlineLevel="0" collapsed="false">
      <c r="A256" s="0" t="n">
        <v>788</v>
      </c>
      <c r="B256" s="1" t="n">
        <v>44134.5444444444</v>
      </c>
      <c r="C256" s="0" t="n">
        <v>1</v>
      </c>
      <c r="F256" s="7" t="s">
        <v>119</v>
      </c>
      <c r="G256" s="2" t="n">
        <f aca="false">(61+64)/2</f>
        <v>62.5</v>
      </c>
      <c r="H256" s="2" t="n">
        <v>36</v>
      </c>
      <c r="I256" s="2" t="n">
        <f aca="false">(39+35)/2</f>
        <v>37</v>
      </c>
      <c r="J256" s="7" t="s">
        <v>125</v>
      </c>
      <c r="K256" s="2" t="n">
        <v>0</v>
      </c>
      <c r="L256" s="2" t="n">
        <v>0</v>
      </c>
      <c r="M256" s="0" t="s">
        <v>89</v>
      </c>
      <c r="N256" s="0" t="n">
        <v>0</v>
      </c>
      <c r="O256" s="0" t="s">
        <v>135</v>
      </c>
      <c r="P256" s="0" t="s">
        <v>138</v>
      </c>
      <c r="Q256" s="3" t="n">
        <v>7.66</v>
      </c>
      <c r="R256" s="2" t="n">
        <v>506</v>
      </c>
      <c r="S256" s="2" t="n">
        <v>16909</v>
      </c>
      <c r="T256" s="2" t="n">
        <f aca="false">S256-R256</f>
        <v>16403</v>
      </c>
      <c r="U256" s="3" t="n">
        <f aca="false">128/60</f>
        <v>2.13333333333333</v>
      </c>
      <c r="V256" s="3" t="n">
        <f aca="false">(120+22)/60</f>
        <v>2.36666666666667</v>
      </c>
      <c r="W256" s="3" t="n">
        <f aca="false">V256-U256</f>
        <v>0.233333333333333</v>
      </c>
      <c r="X256" s="3" t="n">
        <f aca="false">Q256/U256</f>
        <v>3.590625</v>
      </c>
      <c r="Y256" s="0" t="n">
        <v>1</v>
      </c>
      <c r="Z256" s="3" t="n">
        <f aca="false">Q256/Y256</f>
        <v>7.66</v>
      </c>
      <c r="AA256" s="3" t="n">
        <f aca="false">16+40/60</f>
        <v>16.6666666666667</v>
      </c>
      <c r="AB256" s="2" t="n">
        <f aca="false">105</f>
        <v>105</v>
      </c>
      <c r="AC256" s="2" t="n">
        <v>813</v>
      </c>
      <c r="AD256" s="2" t="n">
        <v>77</v>
      </c>
      <c r="AE256" s="0" t="n">
        <v>125</v>
      </c>
      <c r="AF256" s="3" t="n">
        <f aca="false">16</f>
        <v>16</v>
      </c>
      <c r="AG256" s="3" t="n">
        <f aca="false">15+50/60</f>
        <v>15.8333333333333</v>
      </c>
      <c r="AH256" s="3" t="n">
        <f aca="false">16+9/60</f>
        <v>16.15</v>
      </c>
      <c r="AI256" s="3" t="n">
        <v>18</v>
      </c>
      <c r="AJ256" s="3" t="n">
        <f aca="false">16+33/60</f>
        <v>16.55</v>
      </c>
      <c r="AK256" s="3" t="n">
        <f aca="false">16.1</f>
        <v>16.1</v>
      </c>
      <c r="AL256" s="3" t="n">
        <f aca="false">17+4/60</f>
        <v>17.0666666666667</v>
      </c>
      <c r="AM256" s="3" t="n">
        <f aca="false">60/3.3</f>
        <v>18.1818181818182</v>
      </c>
      <c r="AP256" s="2" t="n">
        <v>0</v>
      </c>
      <c r="AQ256" s="0" t="n">
        <v>0</v>
      </c>
      <c r="AR256" s="0" t="n">
        <v>0</v>
      </c>
      <c r="AS256" s="0" t="n">
        <v>0</v>
      </c>
      <c r="AT256" s="4" t="n">
        <f aca="false">60*U256-SUM(AU256:AY256)</f>
        <v>110.433333333333</v>
      </c>
      <c r="AU256" s="3" t="n">
        <f aca="false">5+2/60</f>
        <v>5.03333333333333</v>
      </c>
      <c r="AV256" s="3" t="n">
        <f aca="false">12+32/60</f>
        <v>12.5333333333333</v>
      </c>
      <c r="AW256" s="3" t="n">
        <v>0</v>
      </c>
      <c r="AX256" s="3" t="n">
        <v>0</v>
      </c>
      <c r="AY256" s="3" t="n">
        <v>0</v>
      </c>
      <c r="AZ256" s="0" t="s">
        <v>58</v>
      </c>
      <c r="BA256" s="0" t="s">
        <v>59</v>
      </c>
      <c r="BB256" s="0" t="n">
        <v>0</v>
      </c>
    </row>
    <row r="257" customFormat="false" ht="12.8" hidden="false" customHeight="false" outlineLevel="0" collapsed="false">
      <c r="A257" s="0" t="n">
        <v>789</v>
      </c>
      <c r="B257" s="1" t="n">
        <v>44135.5472222222</v>
      </c>
      <c r="C257" s="0" t="n">
        <v>1</v>
      </c>
      <c r="F257" s="0" t="s">
        <v>60</v>
      </c>
      <c r="G257" s="2" t="n">
        <f aca="false">(66+68+69)/3</f>
        <v>67.6666666666667</v>
      </c>
      <c r="H257" s="2" t="n">
        <v>44</v>
      </c>
      <c r="I257" s="2" t="n">
        <f aca="false">(45+42+29)/3</f>
        <v>38.6666666666667</v>
      </c>
      <c r="J257" s="2" t="s">
        <v>99</v>
      </c>
      <c r="K257" s="2" t="n">
        <f aca="false">(12+13+9)/3</f>
        <v>11.3333333333333</v>
      </c>
      <c r="L257" s="2" t="n">
        <v>0</v>
      </c>
      <c r="M257" s="0" t="s">
        <v>89</v>
      </c>
      <c r="N257" s="0" t="n">
        <v>0</v>
      </c>
      <c r="O257" s="0" t="s">
        <v>135</v>
      </c>
      <c r="P257" s="0" t="s">
        <v>76</v>
      </c>
      <c r="Q257" s="3" t="n">
        <v>8.67</v>
      </c>
      <c r="R257" s="2" t="n">
        <v>1808</v>
      </c>
      <c r="S257" s="2" t="n">
        <v>19656</v>
      </c>
      <c r="T257" s="2" t="n">
        <f aca="false">S257-R257</f>
        <v>17848</v>
      </c>
      <c r="U257" s="3" t="n">
        <f aca="false">(120+21)/60</f>
        <v>2.35</v>
      </c>
      <c r="V257" s="3" t="n">
        <f aca="false">(120+30)/60</f>
        <v>2.5</v>
      </c>
      <c r="W257" s="3" t="n">
        <f aca="false">V257-U257</f>
        <v>0.15</v>
      </c>
      <c r="X257" s="3" t="n">
        <f aca="false">Q257/U257</f>
        <v>3.68936170212766</v>
      </c>
      <c r="Y257" s="0" t="n">
        <v>1</v>
      </c>
      <c r="Z257" s="3" t="n">
        <f aca="false">Q257/Y257</f>
        <v>8.67</v>
      </c>
      <c r="AA257" s="3" t="n">
        <f aca="false">16+14/60</f>
        <v>16.2333333333333</v>
      </c>
      <c r="AB257" s="2" t="n">
        <v>135</v>
      </c>
      <c r="AC257" s="2" t="n">
        <v>925</v>
      </c>
      <c r="AD257" s="2" t="n">
        <v>120</v>
      </c>
      <c r="AE257" s="0" t="n">
        <v>144</v>
      </c>
      <c r="AF257" s="3" t="n">
        <f aca="false">16+14/60</f>
        <v>16.2333333333333</v>
      </c>
      <c r="AG257" s="3" t="n">
        <f aca="false">15+43/60</f>
        <v>15.7166666666667</v>
      </c>
      <c r="AH257" s="3" t="n">
        <f aca="false">15+56/60</f>
        <v>15.9333333333333</v>
      </c>
      <c r="AI257" s="3" t="n">
        <f aca="false">15+48/60</f>
        <v>15.8</v>
      </c>
      <c r="AJ257" s="3" t="n">
        <f aca="false">16+16/60</f>
        <v>16.2666666666667</v>
      </c>
      <c r="AK257" s="3" t="n">
        <f aca="false">16+40/60</f>
        <v>16.6666666666667</v>
      </c>
      <c r="AL257" s="3" t="n">
        <f aca="false">16+27/60</f>
        <v>16.45</v>
      </c>
      <c r="AM257" s="3" t="n">
        <f aca="false">16+40/60</f>
        <v>16.6666666666667</v>
      </c>
      <c r="AN257" s="3" t="n">
        <f aca="false">60/3.6</f>
        <v>16.6666666666667</v>
      </c>
      <c r="AP257" s="2" t="n">
        <v>2</v>
      </c>
      <c r="AQ257" s="0" t="n">
        <v>4</v>
      </c>
      <c r="AR257" s="0" t="n">
        <v>0</v>
      </c>
      <c r="AS257" s="0" t="n">
        <v>0</v>
      </c>
      <c r="AT257" s="4" t="n">
        <f aca="false">60*U257-SUM(AU257:AY257)</f>
        <v>2.83333333333334</v>
      </c>
      <c r="AU257" s="3" t="n">
        <f aca="false">37+59/60</f>
        <v>37.9833333333333</v>
      </c>
      <c r="AV257" s="3" t="n">
        <f aca="false">25+35/60</f>
        <v>25.5833333333333</v>
      </c>
      <c r="AW257" s="3" t="n">
        <f aca="false">74+33/60</f>
        <v>74.55</v>
      </c>
      <c r="AX257" s="3" t="n">
        <f aca="false">3/60</f>
        <v>0.05</v>
      </c>
      <c r="AY257" s="3" t="n">
        <v>0</v>
      </c>
      <c r="AZ257" s="0" t="s">
        <v>58</v>
      </c>
      <c r="BA257" s="0" t="s">
        <v>59</v>
      </c>
      <c r="BB257" s="0" t="n">
        <v>0</v>
      </c>
    </row>
    <row r="258" customFormat="false" ht="12.8" hidden="false" customHeight="false" outlineLevel="0" collapsed="false">
      <c r="A258" s="0" t="n">
        <v>790</v>
      </c>
      <c r="B258" s="1" t="n">
        <v>44136.5645833333</v>
      </c>
      <c r="C258" s="0" t="n">
        <v>1</v>
      </c>
      <c r="F258" s="7" t="s">
        <v>119</v>
      </c>
      <c r="G258" s="2" t="n">
        <v>72</v>
      </c>
      <c r="H258" s="2" t="n">
        <v>37</v>
      </c>
      <c r="I258" s="2" t="n">
        <v>28</v>
      </c>
      <c r="J258" s="2" t="s">
        <v>98</v>
      </c>
      <c r="K258" s="2" t="n">
        <v>17</v>
      </c>
      <c r="L258" s="2" t="n">
        <v>29</v>
      </c>
      <c r="M258" s="0" t="s">
        <v>89</v>
      </c>
      <c r="N258" s="0" t="n">
        <v>0</v>
      </c>
      <c r="O258" s="0" t="s">
        <v>135</v>
      </c>
      <c r="P258" s="0" t="s">
        <v>61</v>
      </c>
      <c r="Q258" s="3" t="n">
        <v>5</v>
      </c>
      <c r="R258" s="2" t="n">
        <v>1405</v>
      </c>
      <c r="S258" s="2" t="n">
        <v>12243</v>
      </c>
      <c r="T258" s="2" t="n">
        <f aca="false">S258-R258</f>
        <v>10838</v>
      </c>
      <c r="U258" s="3" t="n">
        <f aca="false">(60+23)/60</f>
        <v>1.38333333333333</v>
      </c>
      <c r="V258" s="3" t="n">
        <f aca="false">(60+27)/60</f>
        <v>1.45</v>
      </c>
      <c r="W258" s="3" t="n">
        <f aca="false">V258-U258</f>
        <v>0.0666666666666667</v>
      </c>
      <c r="X258" s="3" t="n">
        <f aca="false">Q258/U258</f>
        <v>3.6144578313253</v>
      </c>
      <c r="Y258" s="0" t="n">
        <v>1</v>
      </c>
      <c r="Z258" s="3" t="n">
        <f aca="false">Q258/Y258</f>
        <v>5</v>
      </c>
      <c r="AA258" s="3" t="n">
        <f aca="false">16+36/60</f>
        <v>16.6</v>
      </c>
      <c r="AB258" s="2" t="n">
        <v>121</v>
      </c>
      <c r="AC258" s="2" t="n">
        <v>528</v>
      </c>
      <c r="AD258" s="2" t="n">
        <v>121</v>
      </c>
      <c r="AE258" s="0" t="n">
        <v>142</v>
      </c>
      <c r="AF258" s="3" t="n">
        <f aca="false">16+7/60</f>
        <v>16.1166666666667</v>
      </c>
      <c r="AG258" s="3" t="n">
        <f aca="false">16+27/60</f>
        <v>16.45</v>
      </c>
      <c r="AH258" s="3" t="n">
        <f aca="false">16+53/60</f>
        <v>16.8833333333333</v>
      </c>
      <c r="AI258" s="3" t="n">
        <f aca="false">16+46/60</f>
        <v>16.7666666666667</v>
      </c>
      <c r="AJ258" s="3" t="n">
        <f aca="false">16+45/60</f>
        <v>16.75</v>
      </c>
      <c r="AP258" s="2" t="n">
        <v>0</v>
      </c>
      <c r="AQ258" s="0" t="n">
        <v>2</v>
      </c>
      <c r="AR258" s="0" t="n">
        <v>0</v>
      </c>
      <c r="AS258" s="0" t="n">
        <v>0</v>
      </c>
      <c r="AT258" s="4" t="n">
        <f aca="false">60*U258-SUM(AU258:AY258)</f>
        <v>4.40000000000001</v>
      </c>
      <c r="AU258" s="3" t="n">
        <f aca="false">14+40/60</f>
        <v>14.6666666666667</v>
      </c>
      <c r="AV258" s="3" t="n">
        <f aca="false">6+53/60</f>
        <v>6.88333333333333</v>
      </c>
      <c r="AW258" s="3" t="n">
        <f aca="false">57+3/60</f>
        <v>57.05</v>
      </c>
      <c r="AX258" s="3" t="n">
        <v>0</v>
      </c>
      <c r="AY258" s="3" t="n">
        <v>0</v>
      </c>
      <c r="AZ258" s="0" t="s">
        <v>58</v>
      </c>
      <c r="BA258" s="0" t="s">
        <v>59</v>
      </c>
      <c r="BB258" s="0" t="n">
        <v>0</v>
      </c>
    </row>
    <row r="259" customFormat="false" ht="12.8" hidden="false" customHeight="false" outlineLevel="0" collapsed="false">
      <c r="A259" s="0" t="n">
        <v>791</v>
      </c>
      <c r="B259" s="1" t="n">
        <v>44137.4951388889</v>
      </c>
      <c r="C259" s="0" t="n">
        <v>0</v>
      </c>
      <c r="D259" s="11" t="s">
        <v>70</v>
      </c>
      <c r="F259" s="7" t="s">
        <v>121</v>
      </c>
      <c r="G259" s="2" t="n">
        <v>63</v>
      </c>
      <c r="H259" s="2" t="n">
        <v>35</v>
      </c>
      <c r="I259" s="2" t="n">
        <v>34</v>
      </c>
      <c r="J259" s="2" t="s">
        <v>113</v>
      </c>
      <c r="K259" s="2" t="n">
        <v>8</v>
      </c>
      <c r="L259" s="2" t="n">
        <v>0</v>
      </c>
      <c r="M259" s="0" t="s">
        <v>89</v>
      </c>
      <c r="Q259" s="0"/>
      <c r="R259" s="0"/>
      <c r="S259" s="0"/>
      <c r="T259" s="0"/>
      <c r="U259" s="0"/>
      <c r="V259" s="0"/>
      <c r="W259" s="0"/>
      <c r="X259" s="0"/>
      <c r="Z259" s="0"/>
      <c r="AA259" s="0"/>
      <c r="AB259" s="0"/>
      <c r="AC259" s="0"/>
      <c r="AD259" s="0"/>
      <c r="AF259" s="0"/>
      <c r="AG259" s="0"/>
      <c r="AH259" s="0"/>
      <c r="AI259" s="0"/>
      <c r="AJ259" s="0"/>
      <c r="AK259" s="0"/>
      <c r="AL259" s="0"/>
      <c r="AM259" s="0"/>
      <c r="AN259" s="0"/>
      <c r="AO259" s="0"/>
      <c r="AP259" s="0"/>
      <c r="AT259" s="0"/>
      <c r="AU259" s="0"/>
      <c r="AV259" s="0"/>
      <c r="AW259" s="0"/>
      <c r="AX259" s="0"/>
      <c r="AY259" s="0"/>
    </row>
    <row r="260" customFormat="false" ht="12.8" hidden="false" customHeight="false" outlineLevel="0" collapsed="false">
      <c r="A260" s="0" t="n">
        <v>792</v>
      </c>
      <c r="B260" s="1" t="n">
        <v>44138.4583333333</v>
      </c>
      <c r="C260" s="0" t="n">
        <v>1</v>
      </c>
      <c r="F260" s="0" t="s">
        <v>60</v>
      </c>
      <c r="G260" s="2" t="n">
        <f aca="false">(68+72+75)/3</f>
        <v>71.6666666666667</v>
      </c>
      <c r="H260" s="2" t="n">
        <f aca="false">(38+41+29)/3</f>
        <v>36</v>
      </c>
      <c r="I260" s="2" t="n">
        <f aca="false">(33+33+27)/3</f>
        <v>31</v>
      </c>
      <c r="J260" s="7" t="s">
        <v>122</v>
      </c>
      <c r="K260" s="2" t="n">
        <f aca="false">+(12+6)/2</f>
        <v>9</v>
      </c>
      <c r="L260" s="2" t="n">
        <v>0</v>
      </c>
      <c r="M260" s="0" t="s">
        <v>89</v>
      </c>
      <c r="N260" s="0" t="n">
        <v>0</v>
      </c>
      <c r="O260" s="0" t="s">
        <v>135</v>
      </c>
      <c r="P260" s="0" t="s">
        <v>90</v>
      </c>
      <c r="Q260" s="3" t="n">
        <v>6.32</v>
      </c>
      <c r="R260" s="2" t="n">
        <v>733</v>
      </c>
      <c r="S260" s="2" t="n">
        <v>15083</v>
      </c>
      <c r="T260" s="2" t="n">
        <f aca="false">S260-R260</f>
        <v>14350</v>
      </c>
      <c r="U260" s="3" t="n">
        <f aca="false">(60+55)/60</f>
        <v>1.91666666666667</v>
      </c>
      <c r="V260" s="3" t="n">
        <f aca="false">(120+16)/60</f>
        <v>2.26666666666667</v>
      </c>
      <c r="W260" s="3" t="n">
        <f aca="false">V260-U260</f>
        <v>0.35</v>
      </c>
      <c r="X260" s="3" t="n">
        <f aca="false">Q260/U260</f>
        <v>3.29739130434783</v>
      </c>
      <c r="Y260" s="0" t="n">
        <v>1</v>
      </c>
      <c r="Z260" s="3" t="n">
        <f aca="false">Q260/Y260</f>
        <v>6.32</v>
      </c>
      <c r="AA260" s="3" t="n">
        <f aca="false">18+10/60</f>
        <v>18.1666666666667</v>
      </c>
      <c r="AB260" s="2" t="n">
        <v>131</v>
      </c>
      <c r="AC260" s="2" t="n">
        <v>688</v>
      </c>
      <c r="AD260" s="2" t="n">
        <v>86</v>
      </c>
      <c r="AE260" s="0" t="n">
        <v>119</v>
      </c>
      <c r="AF260" s="3" t="n">
        <f aca="false">16+22/60</f>
        <v>16.3666666666667</v>
      </c>
      <c r="AG260" s="3" t="n">
        <f aca="false">17+10/60</f>
        <v>17.1666666666667</v>
      </c>
      <c r="AH260" s="3" t="n">
        <f aca="false">18+29/60</f>
        <v>18.4833333333333</v>
      </c>
      <c r="AI260" s="3" t="n">
        <f aca="false">19+34/60</f>
        <v>19.5666666666667</v>
      </c>
      <c r="AJ260" s="3" t="n">
        <f aca="false">18+58/60</f>
        <v>18.9666666666667</v>
      </c>
      <c r="AK260" s="3" t="n">
        <f aca="false">18+24/60</f>
        <v>18.4</v>
      </c>
      <c r="AL260" s="3" t="n">
        <f aca="false">60/3.3</f>
        <v>18.1818181818182</v>
      </c>
      <c r="AP260" s="2" t="n">
        <v>0</v>
      </c>
      <c r="AQ260" s="0" t="n">
        <v>7</v>
      </c>
      <c r="AR260" s="0" t="n">
        <v>0</v>
      </c>
      <c r="AS260" s="0" t="n">
        <v>0</v>
      </c>
      <c r="AT260" s="4" t="n">
        <f aca="false">60*U260-SUM(AU260:AY260)</f>
        <v>58.7333333333333</v>
      </c>
      <c r="AU260" s="3" t="n">
        <f aca="false">54+4/60</f>
        <v>54.0666666666667</v>
      </c>
      <c r="AV260" s="3" t="n">
        <f aca="false">2+12/60</f>
        <v>2.2</v>
      </c>
      <c r="AW260" s="3" t="n">
        <v>0</v>
      </c>
      <c r="AX260" s="3" t="n">
        <v>0</v>
      </c>
      <c r="AY260" s="3" t="n">
        <v>0</v>
      </c>
      <c r="AZ260" s="0" t="s">
        <v>58</v>
      </c>
      <c r="BA260" s="0" t="s">
        <v>59</v>
      </c>
      <c r="BB260" s="0" t="n">
        <v>0</v>
      </c>
    </row>
    <row r="261" customFormat="false" ht="12.8" hidden="false" customHeight="false" outlineLevel="0" collapsed="false">
      <c r="A261" s="0" t="n">
        <v>793</v>
      </c>
      <c r="B261" s="1" t="n">
        <v>44139.6125</v>
      </c>
      <c r="C261" s="0" t="n">
        <v>1</v>
      </c>
      <c r="F261" s="0" t="s">
        <v>60</v>
      </c>
      <c r="G261" s="2" t="n">
        <v>73</v>
      </c>
      <c r="H261" s="2" t="n">
        <v>44</v>
      </c>
      <c r="I261" s="2" t="n">
        <v>35</v>
      </c>
      <c r="J261" s="2" t="s">
        <v>99</v>
      </c>
      <c r="K261" s="2" t="n">
        <v>20</v>
      </c>
      <c r="L261" s="2" t="n">
        <v>25</v>
      </c>
      <c r="M261" s="0" t="s">
        <v>89</v>
      </c>
      <c r="N261" s="0" t="n">
        <v>0</v>
      </c>
      <c r="O261" s="0" t="s">
        <v>135</v>
      </c>
      <c r="P261" s="0" t="s">
        <v>77</v>
      </c>
      <c r="Q261" s="3" t="n">
        <v>4.37</v>
      </c>
      <c r="R261" s="2" t="n">
        <v>1340</v>
      </c>
      <c r="S261" s="2" t="n">
        <v>10172</v>
      </c>
      <c r="T261" s="2" t="n">
        <f aca="false">S261-R261</f>
        <v>8832</v>
      </c>
      <c r="U261" s="3" t="n">
        <f aca="false">70/60</f>
        <v>1.16666666666667</v>
      </c>
      <c r="V261" s="3" t="n">
        <f aca="false">70/60</f>
        <v>1.16666666666667</v>
      </c>
      <c r="W261" s="3" t="n">
        <f aca="false">V261-U261</f>
        <v>0</v>
      </c>
      <c r="X261" s="3" t="n">
        <f aca="false">Q261/U261</f>
        <v>3.74571428571429</v>
      </c>
      <c r="Y261" s="0" t="n">
        <v>4</v>
      </c>
      <c r="Z261" s="3" t="n">
        <f aca="false">Q261/Y261</f>
        <v>1.0925</v>
      </c>
      <c r="AA261" s="3" t="n">
        <f aca="false">15+54/60</f>
        <v>15.9</v>
      </c>
      <c r="AB261" s="2" t="n">
        <v>89</v>
      </c>
      <c r="AC261" s="2" t="n">
        <v>462</v>
      </c>
      <c r="AD261" s="2" t="n">
        <v>85</v>
      </c>
      <c r="AE261" s="0" t="n">
        <f aca="false">127</f>
        <v>127</v>
      </c>
      <c r="AF261" s="3" t="n">
        <f aca="false">15+48/60</f>
        <v>15.8</v>
      </c>
      <c r="AG261" s="3" t="n">
        <f aca="false">15+57/60</f>
        <v>15.95</v>
      </c>
      <c r="AH261" s="3" t="n">
        <f aca="false">15+58/60</f>
        <v>15.9666666666667</v>
      </c>
      <c r="AI261" s="3" t="n">
        <f aca="false">15+50/60</f>
        <v>15.8333333333333</v>
      </c>
      <c r="AJ261" s="3" t="n">
        <f aca="false">60/3.8</f>
        <v>15.7894736842105</v>
      </c>
      <c r="AP261" s="2" t="n">
        <v>0</v>
      </c>
      <c r="AQ261" s="0" t="n">
        <v>0</v>
      </c>
      <c r="AR261" s="0" t="n">
        <v>0</v>
      </c>
      <c r="AS261" s="0" t="n">
        <v>0</v>
      </c>
      <c r="AT261" s="4" t="n">
        <f aca="false">60*U261-SUM(AU261:AY261)</f>
        <v>57.1666666666667</v>
      </c>
      <c r="AU261" s="3" t="n">
        <f aca="false">10+24/60</f>
        <v>10.4</v>
      </c>
      <c r="AV261" s="3" t="n">
        <f aca="false">2+18/60</f>
        <v>2.3</v>
      </c>
      <c r="AW261" s="3" t="n">
        <f aca="false">8/60</f>
        <v>0.133333333333333</v>
      </c>
      <c r="AX261" s="3" t="n">
        <v>0</v>
      </c>
      <c r="AY261" s="3" t="n">
        <v>0</v>
      </c>
      <c r="AZ261" s="0" t="s">
        <v>58</v>
      </c>
      <c r="BA261" s="0" t="s">
        <v>59</v>
      </c>
      <c r="BB261" s="0" t="n">
        <v>0</v>
      </c>
    </row>
    <row r="262" customFormat="false" ht="12.8" hidden="false" customHeight="false" outlineLevel="0" collapsed="false">
      <c r="A262" s="0" t="n">
        <v>794</v>
      </c>
      <c r="B262" s="1" t="n">
        <v>44140.5020833333</v>
      </c>
      <c r="C262" s="0" t="n">
        <v>1</v>
      </c>
      <c r="F262" s="7" t="s">
        <v>119</v>
      </c>
      <c r="G262" s="2" t="n">
        <v>76</v>
      </c>
      <c r="H262" s="2" t="n">
        <v>60</v>
      </c>
      <c r="I262" s="2" t="n">
        <v>58</v>
      </c>
      <c r="J262" s="7" t="s">
        <v>122</v>
      </c>
      <c r="K262" s="2" t="n">
        <v>17</v>
      </c>
      <c r="L262" s="2" t="n">
        <v>22</v>
      </c>
      <c r="M262" s="0" t="s">
        <v>89</v>
      </c>
      <c r="N262" s="0" t="n">
        <v>1</v>
      </c>
      <c r="O262" s="0" t="s">
        <v>135</v>
      </c>
      <c r="P262" s="0" t="s">
        <v>81</v>
      </c>
      <c r="Q262" s="3" t="n">
        <v>6.28</v>
      </c>
      <c r="T262" s="2" t="n">
        <f aca="false">T246</f>
        <v>14041</v>
      </c>
      <c r="U262" s="3" t="n">
        <f aca="false">(60+44)/60</f>
        <v>1.73333333333333</v>
      </c>
      <c r="V262" s="3" t="n">
        <f aca="false">(60+49)/60</f>
        <v>1.81666666666667</v>
      </c>
      <c r="W262" s="3" t="n">
        <f aca="false">V262-U262</f>
        <v>0.0833333333333333</v>
      </c>
      <c r="X262" s="3" t="n">
        <f aca="false">Q262/U262</f>
        <v>3.62307692307692</v>
      </c>
      <c r="Y262" s="0" t="n">
        <v>1</v>
      </c>
      <c r="Z262" s="3" t="n">
        <f aca="false">Q262/Y262</f>
        <v>6.28</v>
      </c>
      <c r="AA262" s="3" t="n">
        <f aca="false">16+32/60</f>
        <v>16.5333333333333</v>
      </c>
      <c r="AB262" s="2" t="n">
        <v>236</v>
      </c>
      <c r="AC262" s="2" t="n">
        <v>276</v>
      </c>
      <c r="AD262" s="2" t="n">
        <v>73</v>
      </c>
      <c r="AE262" s="0" t="n">
        <v>105</v>
      </c>
      <c r="AF262" s="3" t="n">
        <f aca="false">16+32/60</f>
        <v>16.5333333333333</v>
      </c>
      <c r="AG262" s="3" t="n">
        <f aca="false">16+41/60</f>
        <v>16.6833333333333</v>
      </c>
      <c r="AH262" s="3" t="n">
        <f aca="false">16+39/60</f>
        <v>16.65</v>
      </c>
      <c r="AI262" s="3" t="n">
        <f aca="false">16+59/60</f>
        <v>16.9833333333333</v>
      </c>
      <c r="AJ262" s="3" t="n">
        <f aca="false">16+3/60</f>
        <v>16.05</v>
      </c>
      <c r="AK262" s="3" t="n">
        <f aca="false">16+12/60</f>
        <v>16.2</v>
      </c>
      <c r="AL262" s="3" t="n">
        <f aca="false">60/3.6</f>
        <v>16.6666666666667</v>
      </c>
      <c r="AP262" s="2" t="n">
        <v>0</v>
      </c>
      <c r="AQ262" s="0" t="n">
        <v>0</v>
      </c>
      <c r="AR262" s="0" t="n">
        <v>0</v>
      </c>
      <c r="AS262" s="0" t="n">
        <v>0</v>
      </c>
      <c r="AT262" s="4" t="n">
        <f aca="false">60*U262-SUM(AU262:AY262)</f>
        <v>96.4666666666667</v>
      </c>
      <c r="AU262" s="3" t="n">
        <f aca="false">7+32/60</f>
        <v>7.53333333333333</v>
      </c>
      <c r="AV262" s="3" t="n">
        <v>0</v>
      </c>
      <c r="AW262" s="3" t="n">
        <v>0</v>
      </c>
      <c r="AX262" s="3" t="n">
        <v>0</v>
      </c>
      <c r="AY262" s="3" t="n">
        <v>0</v>
      </c>
      <c r="AZ262" s="0" t="s">
        <v>58</v>
      </c>
      <c r="BA262" s="0" t="s">
        <v>59</v>
      </c>
      <c r="BB262" s="0" t="n">
        <v>0</v>
      </c>
    </row>
    <row r="263" customFormat="false" ht="12.8" hidden="false" customHeight="false" outlineLevel="0" collapsed="false">
      <c r="A263" s="0" t="n">
        <v>795</v>
      </c>
      <c r="B263" s="1" t="n">
        <v>44141.5145833333</v>
      </c>
      <c r="C263" s="0" t="n">
        <v>1</v>
      </c>
      <c r="F263" s="7" t="s">
        <v>116</v>
      </c>
      <c r="G263" s="2" t="n">
        <v>75</v>
      </c>
      <c r="H263" s="2" t="n">
        <v>59</v>
      </c>
      <c r="I263" s="2" t="n">
        <v>57</v>
      </c>
      <c r="J263" s="7" t="s">
        <v>114</v>
      </c>
      <c r="K263" s="2" t="n">
        <v>12</v>
      </c>
      <c r="L263" s="2" t="n">
        <v>0</v>
      </c>
      <c r="M263" s="0" t="s">
        <v>89</v>
      </c>
      <c r="N263" s="0" t="n">
        <v>0</v>
      </c>
      <c r="O263" s="0" t="s">
        <v>135</v>
      </c>
      <c r="P263" s="0" t="s">
        <v>129</v>
      </c>
      <c r="Q263" s="3" t="n">
        <v>5.47</v>
      </c>
      <c r="R263" s="2" t="n">
        <v>787</v>
      </c>
      <c r="S263" s="2" t="n">
        <v>13490</v>
      </c>
      <c r="T263" s="2" t="n">
        <f aca="false">S263-R263</f>
        <v>12703</v>
      </c>
      <c r="U263" s="3" t="n">
        <f aca="false">(60+47)/60</f>
        <v>1.78333333333333</v>
      </c>
      <c r="V263" s="3" t="n">
        <f aca="false">(60+58)/60</f>
        <v>1.96666666666667</v>
      </c>
      <c r="W263" s="3" t="n">
        <f aca="false">V263-U263</f>
        <v>0.183333333333333</v>
      </c>
      <c r="X263" s="3" t="n">
        <f aca="false">Q263/U263</f>
        <v>3.06728971962617</v>
      </c>
      <c r="Y263" s="0" t="n">
        <v>1</v>
      </c>
      <c r="Z263" s="3" t="n">
        <f aca="false">Q263/Y263</f>
        <v>5.47</v>
      </c>
      <c r="AA263" s="3" t="n">
        <f aca="false">19+37/60</f>
        <v>19.6166666666667</v>
      </c>
      <c r="AB263" s="2" t="n">
        <v>367</v>
      </c>
      <c r="AC263" s="2" t="n">
        <v>621</v>
      </c>
      <c r="AD263" s="2" t="n">
        <v>126</v>
      </c>
      <c r="AE263" s="0" t="n">
        <v>141</v>
      </c>
      <c r="AF263" s="3" t="n">
        <f aca="false">16+40/60</f>
        <v>16.6666666666667</v>
      </c>
      <c r="AG263" s="3" t="n">
        <f aca="false">17+17/60</f>
        <v>17.2833333333333</v>
      </c>
      <c r="AH263" s="3" t="n">
        <f aca="false">24+20/60</f>
        <v>24.3333333333333</v>
      </c>
      <c r="AI263" s="3" t="n">
        <f aca="false">22+34/60</f>
        <v>22.5666666666667</v>
      </c>
      <c r="AJ263" s="3" t="n">
        <f aca="false">17+17/60</f>
        <v>17.2833333333333</v>
      </c>
      <c r="AK263" s="3" t="n">
        <f aca="false">60/3.1</f>
        <v>19.3548387096774</v>
      </c>
      <c r="AP263" s="2" t="n">
        <v>4</v>
      </c>
      <c r="AQ263" s="0" t="n">
        <v>2</v>
      </c>
      <c r="AR263" s="0" t="n">
        <v>1</v>
      </c>
      <c r="AS263" s="0" t="n">
        <v>0</v>
      </c>
      <c r="AT263" s="4" t="n">
        <v>0</v>
      </c>
      <c r="AU263" s="3" t="n">
        <f aca="false">2+10/60</f>
        <v>2.16666666666667</v>
      </c>
      <c r="AV263" s="3" t="n">
        <f aca="false">46+47/60</f>
        <v>46.7833333333333</v>
      </c>
      <c r="AW263" s="3" t="n">
        <f aca="false">68+26/60</f>
        <v>68.4333333333333</v>
      </c>
      <c r="AX263" s="3" t="n">
        <v>0</v>
      </c>
      <c r="AY263" s="3" t="n">
        <v>0</v>
      </c>
      <c r="AZ263" s="0" t="s">
        <v>58</v>
      </c>
      <c r="BA263" s="0" t="s">
        <v>59</v>
      </c>
      <c r="BB263" s="0" t="n">
        <v>0</v>
      </c>
    </row>
    <row r="264" customFormat="false" ht="12.8" hidden="false" customHeight="false" outlineLevel="0" collapsed="false">
      <c r="A264" s="0" t="n">
        <v>796</v>
      </c>
      <c r="B264" s="1" t="n">
        <v>44142.4847222222</v>
      </c>
      <c r="C264" s="0" t="n">
        <v>1</v>
      </c>
      <c r="F264" s="0" t="s">
        <v>60</v>
      </c>
      <c r="G264" s="2" t="n">
        <v>73</v>
      </c>
      <c r="H264" s="2" t="n">
        <v>54</v>
      </c>
      <c r="I264" s="2" t="n">
        <v>50</v>
      </c>
      <c r="J264" s="2" t="s">
        <v>99</v>
      </c>
      <c r="K264" s="2" t="n">
        <f aca="false">19/2</f>
        <v>9.5</v>
      </c>
      <c r="L264" s="2" t="n">
        <v>0</v>
      </c>
      <c r="M264" s="0" t="s">
        <v>89</v>
      </c>
      <c r="N264" s="0" t="n">
        <v>0</v>
      </c>
      <c r="O264" s="0" t="s">
        <v>135</v>
      </c>
      <c r="P264" s="7" t="s">
        <v>75</v>
      </c>
      <c r="Q264" s="3" t="n">
        <v>4.06</v>
      </c>
      <c r="R264" s="2" t="n">
        <v>1005</v>
      </c>
      <c r="S264" s="2" t="n">
        <v>9998</v>
      </c>
      <c r="T264" s="2" t="n">
        <f aca="false">S264-R264</f>
        <v>8993</v>
      </c>
      <c r="U264" s="3" t="n">
        <f aca="false">73/60</f>
        <v>1.21666666666667</v>
      </c>
      <c r="V264" s="3" t="n">
        <f aca="false">78/60</f>
        <v>1.3</v>
      </c>
      <c r="W264" s="3" t="n">
        <f aca="false">V264-U264</f>
        <v>0.0833333333333335</v>
      </c>
      <c r="X264" s="3" t="n">
        <f aca="false">Q264/U264</f>
        <v>3.33698630136986</v>
      </c>
      <c r="Y264" s="0" t="n">
        <v>2</v>
      </c>
      <c r="Z264" s="3" t="n">
        <f aca="false">Q264/Y264</f>
        <v>2.03</v>
      </c>
      <c r="AA264" s="3" t="n">
        <f aca="false">17+53/60</f>
        <v>17.8833333333333</v>
      </c>
      <c r="AB264" s="2" t="n">
        <v>233</v>
      </c>
      <c r="AC264" s="2" t="n">
        <v>449</v>
      </c>
      <c r="AD264" s="2" t="n">
        <v>111</v>
      </c>
      <c r="AE264" s="0" t="n">
        <v>138</v>
      </c>
      <c r="AF264" s="3" t="n">
        <f aca="false">17+42/60</f>
        <v>17.7</v>
      </c>
      <c r="AG264" s="3" t="n">
        <f aca="false">17+12/60</f>
        <v>17.2</v>
      </c>
      <c r="AH264" s="3" t="n">
        <f aca="false">19+6/60</f>
        <v>19.1</v>
      </c>
      <c r="AI264" s="3" t="n">
        <f aca="false">17+30/60</f>
        <v>17.5</v>
      </c>
      <c r="AJ264" s="3" t="n">
        <f aca="false">60/3.4</f>
        <v>17.6470588235294</v>
      </c>
      <c r="AP264" s="2" t="n">
        <v>0</v>
      </c>
      <c r="AQ264" s="0" t="n">
        <v>2</v>
      </c>
      <c r="AR264" s="0" t="n">
        <v>0</v>
      </c>
      <c r="AS264" s="0" t="n">
        <v>0</v>
      </c>
      <c r="AT264" s="4" t="n">
        <f aca="false">60*U264-SUM(AU264:AY264)</f>
        <v>1.16666666666666</v>
      </c>
      <c r="AU264" s="3" t="n">
        <f aca="false">33+25/60</f>
        <v>33.4166666666667</v>
      </c>
      <c r="AV264" s="3" t="n">
        <f aca="false">21+48/60</f>
        <v>21.8</v>
      </c>
      <c r="AW264" s="3" t="n">
        <f aca="false">16+37/60</f>
        <v>16.6166666666667</v>
      </c>
      <c r="AX264" s="3" t="n">
        <v>0</v>
      </c>
      <c r="AY264" s="3" t="n">
        <v>0</v>
      </c>
      <c r="AZ264" s="0" t="s">
        <v>58</v>
      </c>
      <c r="BA264" s="0" t="s">
        <v>59</v>
      </c>
      <c r="BB264" s="0" t="n">
        <v>0</v>
      </c>
    </row>
    <row r="265" customFormat="false" ht="13.8" hidden="false" customHeight="false" outlineLevel="0" collapsed="false">
      <c r="A265" s="0" t="n">
        <v>797</v>
      </c>
      <c r="B265" s="1" t="n">
        <v>44143.4847222222</v>
      </c>
      <c r="C265" s="0" t="n">
        <v>1</v>
      </c>
      <c r="F265" s="7" t="s">
        <v>116</v>
      </c>
      <c r="G265" s="2" t="n">
        <v>71</v>
      </c>
      <c r="H265" s="2" t="n">
        <v>61</v>
      </c>
      <c r="I265" s="2" t="n">
        <f aca="false">(73+66)/2</f>
        <v>69.5</v>
      </c>
      <c r="J265" s="7" t="s">
        <v>114</v>
      </c>
      <c r="K265" s="2" t="n">
        <v>16</v>
      </c>
      <c r="L265" s="2" t="n">
        <v>26</v>
      </c>
      <c r="M265" s="0" t="s">
        <v>89</v>
      </c>
      <c r="N265" s="0" t="n">
        <v>0</v>
      </c>
      <c r="O265" s="0" t="s">
        <v>135</v>
      </c>
      <c r="P265" s="13" t="s">
        <v>92</v>
      </c>
      <c r="Q265" s="3" t="n">
        <v>7.27</v>
      </c>
      <c r="R265" s="2" t="n">
        <v>1659</v>
      </c>
      <c r="S265" s="2" t="n">
        <v>17508</v>
      </c>
      <c r="T265" s="2" t="n">
        <f aca="false">S265-R265</f>
        <v>15849</v>
      </c>
      <c r="U265" s="3" t="n">
        <f aca="false">(120+9)/60</f>
        <v>2.15</v>
      </c>
      <c r="V265" s="3" t="n">
        <f aca="false">(120+19)/60</f>
        <v>2.31666666666667</v>
      </c>
      <c r="W265" s="3" t="n">
        <f aca="false">V265-U265</f>
        <v>0.166666666666667</v>
      </c>
      <c r="X265" s="3" t="n">
        <f aca="false">Q265/U265</f>
        <v>3.38139534883721</v>
      </c>
      <c r="Y265" s="0" t="n">
        <v>1</v>
      </c>
      <c r="Z265" s="3" t="n">
        <f aca="false">Q265/Y265</f>
        <v>7.27</v>
      </c>
      <c r="AA265" s="3" t="n">
        <f aca="false">60/X265</f>
        <v>17.7441540577717</v>
      </c>
      <c r="AB265" s="2" t="n">
        <v>295</v>
      </c>
      <c r="AC265" s="2" t="n">
        <v>306</v>
      </c>
      <c r="AD265" s="2" t="n">
        <v>71</v>
      </c>
      <c r="AE265" s="0" t="n">
        <v>115</v>
      </c>
      <c r="AF265" s="3" t="n">
        <f aca="false">17+5/60</f>
        <v>17.0833333333333</v>
      </c>
      <c r="AG265" s="3" t="n">
        <f aca="false">17+37/60</f>
        <v>17.6166666666667</v>
      </c>
      <c r="AH265" s="3" t="n">
        <f aca="false">17+49/60</f>
        <v>17.8166666666667</v>
      </c>
      <c r="AI265" s="3" t="n">
        <f aca="false">18+26/60</f>
        <v>18.4333333333333</v>
      </c>
      <c r="AJ265" s="3" t="n">
        <f aca="false">17+42/60</f>
        <v>17.7</v>
      </c>
      <c r="AK265" s="3" t="n">
        <f aca="false">17+42/60</f>
        <v>17.7</v>
      </c>
      <c r="AL265" s="3" t="n">
        <f aca="false">18+9/60</f>
        <v>18.15</v>
      </c>
      <c r="AP265" s="2" t="n">
        <v>7</v>
      </c>
      <c r="AQ265" s="0" t="n">
        <v>1</v>
      </c>
      <c r="AR265" s="0" t="n">
        <v>1</v>
      </c>
      <c r="AS265" s="0" t="n">
        <v>0</v>
      </c>
      <c r="AT265" s="4" t="n">
        <f aca="false">60*U265-SUM(AU265:AY265)</f>
        <v>111.416666666667</v>
      </c>
      <c r="AU265" s="3" t="n">
        <f aca="false">15+44/60</f>
        <v>15.7333333333333</v>
      </c>
      <c r="AV265" s="3" t="n">
        <f aca="false">1+51/60</f>
        <v>1.85</v>
      </c>
      <c r="AW265" s="3" t="n">
        <v>0</v>
      </c>
      <c r="AX265" s="3" t="n">
        <v>0</v>
      </c>
      <c r="AY265" s="3" t="n">
        <v>0</v>
      </c>
      <c r="AZ265" s="0" t="s">
        <v>58</v>
      </c>
      <c r="BA265" s="0" t="s">
        <v>59</v>
      </c>
      <c r="BB265" s="0" t="n">
        <v>0</v>
      </c>
    </row>
    <row r="266" customFormat="false" ht="12.8" hidden="false" customHeight="false" outlineLevel="0" collapsed="false">
      <c r="A266" s="0" t="n">
        <v>798</v>
      </c>
      <c r="B266" s="1" t="n">
        <v>44144.6416666667</v>
      </c>
      <c r="C266" s="0" t="n">
        <v>1</v>
      </c>
      <c r="F266" s="0" t="s">
        <v>60</v>
      </c>
      <c r="G266" s="2" t="n">
        <v>79</v>
      </c>
      <c r="H266" s="2" t="n">
        <v>60</v>
      </c>
      <c r="I266" s="2" t="n">
        <v>52</v>
      </c>
      <c r="J266" s="7" t="s">
        <v>114</v>
      </c>
      <c r="K266" s="2" t="n">
        <v>15</v>
      </c>
      <c r="L266" s="2" t="n">
        <v>0</v>
      </c>
      <c r="M266" s="0" t="s">
        <v>89</v>
      </c>
      <c r="N266" s="0" t="n">
        <v>0</v>
      </c>
      <c r="O266" s="0" t="s">
        <v>135</v>
      </c>
      <c r="P266" s="0" t="s">
        <v>144</v>
      </c>
      <c r="Q266" s="3" t="n">
        <v>4.42</v>
      </c>
      <c r="R266" s="2" t="n">
        <v>1308</v>
      </c>
      <c r="U266" s="3" t="n">
        <f aca="false">70/60</f>
        <v>1.16666666666667</v>
      </c>
      <c r="V266" s="3" t="n">
        <f aca="false">70/60</f>
        <v>1.16666666666667</v>
      </c>
      <c r="W266" s="3" t="n">
        <f aca="false">V266-U266</f>
        <v>0</v>
      </c>
      <c r="X266" s="3" t="n">
        <f aca="false">Q266/U266</f>
        <v>3.78857142857143</v>
      </c>
      <c r="Y266" s="0" t="n">
        <v>1</v>
      </c>
      <c r="Z266" s="3" t="n">
        <f aca="false">Q266/Y266</f>
        <v>4.42</v>
      </c>
      <c r="AA266" s="3" t="n">
        <f aca="false">17+46/60</f>
        <v>17.7666666666667</v>
      </c>
      <c r="AB266" s="2" t="n">
        <v>13</v>
      </c>
      <c r="AC266" s="2" t="n">
        <v>460</v>
      </c>
      <c r="AD266" s="2" t="n">
        <v>120</v>
      </c>
      <c r="AE266" s="0" t="n">
        <v>139</v>
      </c>
      <c r="AF266" s="3" t="n">
        <f aca="false">15+54/60</f>
        <v>15.9</v>
      </c>
      <c r="AG266" s="3" t="n">
        <f aca="false">16+25/60</f>
        <v>16.4166666666667</v>
      </c>
      <c r="AH266" s="3" t="n">
        <f aca="false">16+7/60</f>
        <v>16.1166666666667</v>
      </c>
      <c r="AI266" s="3" t="n">
        <f aca="false">15+20/60</f>
        <v>15.3333333333333</v>
      </c>
      <c r="AJ266" s="3" t="n">
        <f aca="false">60/3.7</f>
        <v>16.2162162162162</v>
      </c>
      <c r="AP266" s="2" t="n">
        <v>0</v>
      </c>
      <c r="AQ266" s="0" t="n">
        <v>0</v>
      </c>
      <c r="AR266" s="0" t="n">
        <v>0</v>
      </c>
      <c r="AS266" s="0" t="n">
        <v>0</v>
      </c>
      <c r="AT266" s="4" t="n">
        <f aca="false">60*U266-SUM(AU266:AY266)</f>
        <v>-0.0033333333333303</v>
      </c>
      <c r="AU266" s="3" t="n">
        <f aca="false">8+30/60</f>
        <v>8.5</v>
      </c>
      <c r="AV266" s="3" t="n">
        <f aca="false">29+26/60</f>
        <v>29.4333333333333</v>
      </c>
      <c r="AW266" s="3" t="n">
        <f aca="false">32.07</f>
        <v>32.07</v>
      </c>
      <c r="AX266" s="3" t="n">
        <v>0</v>
      </c>
      <c r="AY266" s="3" t="n">
        <v>0</v>
      </c>
      <c r="AZ266" s="0" t="s">
        <v>58</v>
      </c>
      <c r="BA266" s="0" t="s">
        <v>59</v>
      </c>
      <c r="BB266" s="0" t="n">
        <v>0</v>
      </c>
    </row>
    <row r="267" customFormat="false" ht="12.8" hidden="false" customHeight="false" outlineLevel="0" collapsed="false">
      <c r="A267" s="0" t="n">
        <v>799</v>
      </c>
      <c r="B267" s="1" t="n">
        <v>44145.5104166667</v>
      </c>
      <c r="C267" s="0" t="n">
        <v>1</v>
      </c>
      <c r="F267" s="0" t="s">
        <v>60</v>
      </c>
      <c r="G267" s="2" t="n">
        <v>72</v>
      </c>
      <c r="H267" s="2" t="n">
        <f aca="false">(36+33)/2</f>
        <v>34.5</v>
      </c>
      <c r="I267" s="2" t="n">
        <f aca="false">(27+24)/2</f>
        <v>25.5</v>
      </c>
      <c r="J267" s="7" t="s">
        <v>145</v>
      </c>
      <c r="K267" s="2" t="n">
        <v>14</v>
      </c>
      <c r="L267" s="2" t="n">
        <v>0</v>
      </c>
      <c r="M267" s="0" t="s">
        <v>89</v>
      </c>
      <c r="N267" s="0" t="n">
        <v>0</v>
      </c>
      <c r="O267" s="0" t="s">
        <v>135</v>
      </c>
      <c r="P267" s="0" t="s">
        <v>138</v>
      </c>
      <c r="Q267" s="3" t="n">
        <v>7.46</v>
      </c>
      <c r="R267" s="2" t="n">
        <v>1334</v>
      </c>
      <c r="S267" s="2" t="n">
        <v>18065</v>
      </c>
      <c r="T267" s="2" t="n">
        <f aca="false">S267-R267</f>
        <v>16731</v>
      </c>
      <c r="U267" s="3" t="n">
        <f aca="false">126/60</f>
        <v>2.1</v>
      </c>
      <c r="V267" s="3" t="n">
        <f aca="false">(120+21)/60</f>
        <v>2.35</v>
      </c>
      <c r="W267" s="3" t="n">
        <f aca="false">V267-U267</f>
        <v>0.25</v>
      </c>
      <c r="X267" s="3" t="n">
        <f aca="false">Q267/U267</f>
        <v>3.55238095238095</v>
      </c>
      <c r="Y267" s="0" t="n">
        <v>1</v>
      </c>
      <c r="Z267" s="3" t="n">
        <f aca="false">Q267/Y267</f>
        <v>7.46</v>
      </c>
      <c r="AA267" s="3" t="n">
        <f aca="false">16+51/60</f>
        <v>16.85</v>
      </c>
      <c r="AB267" s="2" t="n">
        <v>56</v>
      </c>
      <c r="AC267" s="2" t="n">
        <v>795</v>
      </c>
      <c r="AD267" s="2" t="n">
        <v>111</v>
      </c>
      <c r="AE267" s="0" t="n">
        <v>143</v>
      </c>
      <c r="AF267" s="3" t="n">
        <f aca="false">16+39/60</f>
        <v>16.65</v>
      </c>
      <c r="AG267" s="3" t="n">
        <f aca="false">16+25/60</f>
        <v>16.4166666666667</v>
      </c>
      <c r="AH267" s="3" t="n">
        <f aca="false">16+20/60</f>
        <v>16.3333333333333</v>
      </c>
      <c r="AI267" s="3" t="n">
        <f aca="false">18+33/60</f>
        <v>18.55</v>
      </c>
      <c r="AJ267" s="3" t="n">
        <f aca="false">16+18/60</f>
        <v>16.3</v>
      </c>
      <c r="AK267" s="3" t="n">
        <f aca="false">16+2/60</f>
        <v>16.0333333333333</v>
      </c>
      <c r="AL267" s="3" t="n">
        <f aca="false">17+3/60</f>
        <v>17.05</v>
      </c>
      <c r="AM267" s="3" t="n">
        <f aca="false">60/3.3</f>
        <v>18.1818181818182</v>
      </c>
      <c r="AP267" s="2" t="n">
        <v>8</v>
      </c>
      <c r="AQ267" s="0" t="n">
        <v>2</v>
      </c>
      <c r="AR267" s="0" t="n">
        <v>1</v>
      </c>
      <c r="AS267" s="0" t="n">
        <v>0</v>
      </c>
      <c r="AT267" s="4" t="n">
        <f aca="false">60*U267-SUM(AU267:AY267)</f>
        <v>2.90000000000001</v>
      </c>
      <c r="AU267" s="3" t="n">
        <f aca="false">51+21/60</f>
        <v>51.35</v>
      </c>
      <c r="AV267" s="3" t="n">
        <f aca="false">54+2/60</f>
        <v>54.0333333333333</v>
      </c>
      <c r="AW267" s="3" t="n">
        <f aca="false">17+41/60</f>
        <v>17.6833333333333</v>
      </c>
      <c r="AX267" s="3" t="n">
        <f aca="false">2/60</f>
        <v>0.0333333333333333</v>
      </c>
      <c r="AY267" s="3" t="n">
        <v>0</v>
      </c>
      <c r="AZ267" s="0" t="s">
        <v>58</v>
      </c>
      <c r="BA267" s="0" t="s">
        <v>59</v>
      </c>
      <c r="BB267" s="0" t="n">
        <v>0</v>
      </c>
    </row>
    <row r="268" customFormat="false" ht="12.8" hidden="false" customHeight="false" outlineLevel="0" collapsed="false">
      <c r="A268" s="0" t="n">
        <v>800</v>
      </c>
      <c r="B268" s="1" t="n">
        <v>44146.5520833333</v>
      </c>
      <c r="C268" s="0" t="n">
        <v>1</v>
      </c>
      <c r="F268" s="0" t="s">
        <v>60</v>
      </c>
      <c r="G268" s="2" t="n">
        <v>68</v>
      </c>
      <c r="H268" s="2" t="n">
        <v>39</v>
      </c>
      <c r="I268" s="2" t="n">
        <v>35</v>
      </c>
      <c r="J268" s="2" t="s">
        <v>113</v>
      </c>
      <c r="K268" s="2" t="n">
        <v>5</v>
      </c>
      <c r="L268" s="2" t="n">
        <v>0</v>
      </c>
      <c r="M268" s="0" t="s">
        <v>89</v>
      </c>
      <c r="N268" s="0" t="n">
        <v>0</v>
      </c>
      <c r="O268" s="0" t="s">
        <v>135</v>
      </c>
      <c r="P268" s="0" t="s">
        <v>72</v>
      </c>
      <c r="Q268" s="3" t="n">
        <v>4.44</v>
      </c>
      <c r="R268" s="2" t="n">
        <v>1167</v>
      </c>
      <c r="S268" s="2" t="n">
        <v>10898</v>
      </c>
      <c r="T268" s="2" t="n">
        <f aca="false">S268-R268</f>
        <v>9731</v>
      </c>
      <c r="U268" s="3" t="n">
        <f aca="false">75/60</f>
        <v>1.25</v>
      </c>
      <c r="V268" s="3" t="n">
        <f aca="false">U268</f>
        <v>1.25</v>
      </c>
      <c r="W268" s="3" t="n">
        <f aca="false">V268-U268</f>
        <v>0</v>
      </c>
      <c r="X268" s="3" t="n">
        <f aca="false">Q268/U268</f>
        <v>3.552</v>
      </c>
      <c r="Y268" s="0" t="n">
        <v>1</v>
      </c>
      <c r="Z268" s="3" t="n">
        <f aca="false">Q268/Y268</f>
        <v>4.44</v>
      </c>
      <c r="AA268" s="3" t="n">
        <f aca="false">16+55/60</f>
        <v>16.9166666666667</v>
      </c>
      <c r="AB268" s="2" t="n">
        <v>69</v>
      </c>
      <c r="AC268" s="2" t="n">
        <v>464</v>
      </c>
      <c r="AD268" s="2" t="n">
        <v>111</v>
      </c>
      <c r="AE268" s="0" t="n">
        <v>130</v>
      </c>
      <c r="AF268" s="3" t="n">
        <f aca="false">16+37/60</f>
        <v>16.6166666666667</v>
      </c>
      <c r="AG268" s="3" t="n">
        <f aca="false">16+39/60</f>
        <v>16.65</v>
      </c>
      <c r="AH268" s="3" t="n">
        <f aca="false">17+13/60</f>
        <v>17.2166666666667</v>
      </c>
      <c r="AI268" s="3" t="n">
        <f aca="false">17+2/60</f>
        <v>17.0333333333333</v>
      </c>
      <c r="AJ268" s="3" t="n">
        <f aca="false">60/3.5</f>
        <v>17.1428571428571</v>
      </c>
      <c r="AP268" s="2" t="n">
        <v>0</v>
      </c>
      <c r="AQ268" s="0" t="n">
        <v>0</v>
      </c>
      <c r="AR268" s="0" t="n">
        <v>1</v>
      </c>
      <c r="AS268" s="0" t="n">
        <v>0</v>
      </c>
      <c r="AT268" s="4" t="n">
        <f aca="false">60*U268-SUM(AU268:AY268)</f>
        <v>0</v>
      </c>
      <c r="AU268" s="3" t="n">
        <f aca="false">27+14/60</f>
        <v>27.2333333333333</v>
      </c>
      <c r="AV268" s="3" t="n">
        <f aca="false">44+4/60</f>
        <v>44.0666666666667</v>
      </c>
      <c r="AW268" s="3" t="n">
        <f aca="false">3+42/60</f>
        <v>3.7</v>
      </c>
      <c r="AX268" s="3" t="n">
        <v>0</v>
      </c>
      <c r="AY268" s="3" t="n">
        <v>0</v>
      </c>
      <c r="AZ268" s="0" t="s">
        <v>58</v>
      </c>
      <c r="BA268" s="0" t="s">
        <v>59</v>
      </c>
      <c r="BB268" s="0" t="n">
        <v>0</v>
      </c>
    </row>
    <row r="269" customFormat="false" ht="12.8" hidden="false" customHeight="false" outlineLevel="0" collapsed="false">
      <c r="A269" s="0" t="n">
        <v>801</v>
      </c>
      <c r="B269" s="1" t="n">
        <v>44147.5770833333</v>
      </c>
      <c r="C269" s="0" t="n">
        <v>1</v>
      </c>
      <c r="F269" s="7" t="s">
        <v>119</v>
      </c>
      <c r="G269" s="2" t="n">
        <f aca="false">(77+80)/2</f>
        <v>78.5</v>
      </c>
      <c r="H269" s="2" t="n">
        <f aca="false">(57+60)/2</f>
        <v>58.5</v>
      </c>
      <c r="I269" s="2" t="n">
        <v>52</v>
      </c>
      <c r="J269" s="2" t="s">
        <v>99</v>
      </c>
      <c r="K269" s="2" t="n">
        <v>14</v>
      </c>
      <c r="L269" s="2" t="n">
        <v>0</v>
      </c>
      <c r="M269" s="0" t="s">
        <v>89</v>
      </c>
      <c r="N269" s="0" t="n">
        <v>0</v>
      </c>
      <c r="O269" s="0" t="s">
        <v>135</v>
      </c>
      <c r="P269" s="0" t="s">
        <v>76</v>
      </c>
      <c r="Q269" s="3" t="n">
        <v>8.09</v>
      </c>
      <c r="R269" s="2" t="n">
        <v>694</v>
      </c>
      <c r="S269" s="2" t="n">
        <v>17715</v>
      </c>
      <c r="T269" s="2" t="n">
        <f aca="false">S269-R269</f>
        <v>17021</v>
      </c>
      <c r="U269" s="3" t="n">
        <f aca="false">(120+18)/60</f>
        <v>2.3</v>
      </c>
      <c r="V269" s="3" t="n">
        <f aca="false">(120+29)/60</f>
        <v>2.48333333333333</v>
      </c>
      <c r="W269" s="3" t="n">
        <f aca="false">V269-U269</f>
        <v>0.183333333333334</v>
      </c>
      <c r="X269" s="3" t="n">
        <f aca="false">Q269/U269</f>
        <v>3.51739130434783</v>
      </c>
      <c r="Y269" s="0" t="n">
        <v>1</v>
      </c>
      <c r="Z269" s="3" t="n">
        <f aca="false">Q269/Y269</f>
        <v>8.09</v>
      </c>
      <c r="AA269" s="3" t="n">
        <f aca="false">17+2/60</f>
        <v>17.0333333333333</v>
      </c>
      <c r="AB269" s="2" t="n">
        <v>125</v>
      </c>
      <c r="AC269" s="2" t="n">
        <v>843</v>
      </c>
      <c r="AD269" s="2" t="n">
        <v>114</v>
      </c>
      <c r="AE269" s="0" t="n">
        <v>142</v>
      </c>
      <c r="AF269" s="3" t="n">
        <f aca="false">16+6/60</f>
        <v>16.1</v>
      </c>
      <c r="AG269" s="3" t="n">
        <f aca="false">16+43/60</f>
        <v>16.7166666666667</v>
      </c>
      <c r="AH269" s="3" t="n">
        <f aca="false">16+48/60</f>
        <v>16.8</v>
      </c>
      <c r="AI269" s="3" t="n">
        <f aca="false">17+9/60</f>
        <v>17.15</v>
      </c>
      <c r="AJ269" s="3" t="n">
        <f aca="false">17+27/60</f>
        <v>17.45</v>
      </c>
      <c r="AK269" s="3" t="n">
        <f aca="false">17+19/60</f>
        <v>17.3166666666667</v>
      </c>
      <c r="AL269" s="3" t="n">
        <f aca="false">17+44.2/60</f>
        <v>17.7366666666667</v>
      </c>
      <c r="AM269" s="3" t="n">
        <f aca="false">16+55/60</f>
        <v>16.9166666666667</v>
      </c>
      <c r="AN269" s="3" t="n">
        <f aca="false">60/3.2</f>
        <v>18.75</v>
      </c>
      <c r="AP269" s="2" t="n">
        <v>2</v>
      </c>
      <c r="AQ269" s="0" t="n">
        <v>3</v>
      </c>
      <c r="AR269" s="0" t="n">
        <v>0</v>
      </c>
      <c r="AS269" s="0" t="n">
        <v>0</v>
      </c>
      <c r="AT269" s="4" t="n">
        <f aca="false">60*U269-SUM(AU269:AY269)</f>
        <v>22.6833333333333</v>
      </c>
      <c r="AU269" s="3" t="n">
        <f aca="false">33+3/60</f>
        <v>33.05</v>
      </c>
      <c r="AV269" s="3" t="n">
        <f aca="false">15+32/60</f>
        <v>15.5333333333333</v>
      </c>
      <c r="AW269" s="3" t="n">
        <f aca="false">66+44/60</f>
        <v>66.7333333333333</v>
      </c>
      <c r="AX269" s="3" t="n">
        <v>0</v>
      </c>
      <c r="AY269" s="3" t="n">
        <v>0</v>
      </c>
      <c r="AZ269" s="0" t="s">
        <v>58</v>
      </c>
      <c r="BA269" s="0" t="s">
        <v>59</v>
      </c>
      <c r="BB269" s="0" t="n">
        <v>0</v>
      </c>
    </row>
    <row r="270" customFormat="false" ht="14.7" hidden="false" customHeight="true" outlineLevel="0" collapsed="false">
      <c r="A270" s="0" t="n">
        <v>802</v>
      </c>
      <c r="B270" s="1" t="n">
        <v>44148.5597222222</v>
      </c>
      <c r="C270" s="0" t="n">
        <v>1</v>
      </c>
      <c r="F270" s="7" t="s">
        <v>79</v>
      </c>
      <c r="G270" s="2" t="n">
        <v>73</v>
      </c>
      <c r="H270" s="2" t="n">
        <v>54</v>
      </c>
      <c r="I270" s="2" t="n">
        <v>51</v>
      </c>
      <c r="J270" s="7" t="s">
        <v>125</v>
      </c>
      <c r="K270" s="2" t="n">
        <v>0</v>
      </c>
      <c r="L270" s="2" t="n">
        <v>0</v>
      </c>
      <c r="M270" s="0" t="s">
        <v>89</v>
      </c>
      <c r="N270" s="0" t="n">
        <v>0</v>
      </c>
      <c r="O270" s="0" t="s">
        <v>135</v>
      </c>
      <c r="P270" s="0" t="s">
        <v>81</v>
      </c>
      <c r="Q270" s="3" t="n">
        <v>6.32</v>
      </c>
      <c r="R270" s="2" t="n">
        <v>1227</v>
      </c>
      <c r="S270" s="2" t="n">
        <v>14784</v>
      </c>
      <c r="T270" s="2" t="n">
        <f aca="false">S270-R270</f>
        <v>13557</v>
      </c>
      <c r="U270" s="3" t="n">
        <f aca="false">(60+47)/60</f>
        <v>1.78333333333333</v>
      </c>
      <c r="V270" s="3" t="n">
        <f aca="false">(60+58)/60</f>
        <v>1.96666666666667</v>
      </c>
      <c r="W270" s="3" t="n">
        <f aca="false">V270-U270</f>
        <v>0.183333333333333</v>
      </c>
      <c r="X270" s="3" t="n">
        <f aca="false">Q270/U270</f>
        <v>3.54392523364486</v>
      </c>
      <c r="Y270" s="0" t="n">
        <v>1</v>
      </c>
      <c r="Z270" s="3" t="n">
        <f aca="false">Q270/Y270</f>
        <v>6.32</v>
      </c>
      <c r="AA270" s="3" t="n">
        <f aca="false">16+49/60</f>
        <v>16.8166666666667</v>
      </c>
      <c r="AB270" s="2" t="n">
        <v>49</v>
      </c>
      <c r="AC270" s="2" t="n">
        <v>625</v>
      </c>
      <c r="AD270" s="2" t="n">
        <v>108</v>
      </c>
      <c r="AE270" s="0" t="n">
        <v>132</v>
      </c>
      <c r="AF270" s="3" t="n">
        <f aca="false">16+24/60</f>
        <v>16.4</v>
      </c>
      <c r="AG270" s="3" t="n">
        <f aca="false">16+59/60</f>
        <v>16.9833333333333</v>
      </c>
      <c r="AH270" s="3" t="n">
        <f aca="false">16+41/60</f>
        <v>16.6833333333333</v>
      </c>
      <c r="AI270" s="3" t="n">
        <f aca="false">17+53/60</f>
        <v>17.8833333333333</v>
      </c>
      <c r="AJ270" s="3" t="n">
        <f aca="false">16+37/60</f>
        <v>16.6166666666667</v>
      </c>
      <c r="AK270" s="3" t="n">
        <f aca="false">16+19/60</f>
        <v>16.3166666666667</v>
      </c>
      <c r="AL270" s="3" t="n">
        <f aca="false">60/3.6</f>
        <v>16.6666666666667</v>
      </c>
      <c r="AP270" s="2" t="n">
        <v>0</v>
      </c>
      <c r="AQ270" s="0" t="n">
        <v>0</v>
      </c>
      <c r="AR270" s="0" t="n">
        <v>0</v>
      </c>
      <c r="AS270" s="0" t="n">
        <v>0</v>
      </c>
      <c r="AT270" s="4" t="n">
        <f aca="false">60*U270-SUM(AU270:AY270)</f>
        <v>18.4833333333333</v>
      </c>
      <c r="AU270" s="3" t="n">
        <f aca="false">15+10/60</f>
        <v>15.1666666666667</v>
      </c>
      <c r="AV270" s="3" t="n">
        <f aca="false">65+27/60</f>
        <v>65.45</v>
      </c>
      <c r="AW270" s="3" t="n">
        <f aca="false">7+54/60</f>
        <v>7.9</v>
      </c>
      <c r="AX270" s="3" t="n">
        <v>0</v>
      </c>
      <c r="AY270" s="3" t="n">
        <v>0</v>
      </c>
      <c r="AZ270" s="0" t="s">
        <v>58</v>
      </c>
      <c r="BA270" s="0" t="s">
        <v>59</v>
      </c>
      <c r="BB27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2373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2020-11-13T21:45:34Z</dcterms:modified>
  <cp:revision>166</cp:revision>
  <dc:subject/>
  <dc:title/>
</cp:coreProperties>
</file>