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<sst xmlns="http://schemas.openxmlformats.org/spreadsheetml/2006/main" count="2360" uniqueCount="168">
  <si>
    <t xml:space="preserve">id</t>
  </si>
  <si>
    <t xml:space="preserve">date_time</t>
  </si>
  <si>
    <t xml:space="preserve">walked</t>
  </si>
  <si>
    <t xml:space="preserve">missed_reason</t>
  </si>
  <si>
    <t xml:space="preserve">injury</t>
  </si>
  <si>
    <t xml:space="preserve">sky</t>
  </si>
  <si>
    <t xml:space="preserve">temp</t>
  </si>
  <si>
    <t xml:space="preserve">dp</t>
  </si>
  <si>
    <t xml:space="preserve">rh</t>
  </si>
  <si>
    <t xml:space="preserve">wind</t>
  </si>
  <si>
    <t xml:space="preserve">wind_speed</t>
  </si>
  <si>
    <t xml:space="preserve">gust</t>
  </si>
  <si>
    <t xml:space="preserve">walking_conditions</t>
  </si>
  <si>
    <t xml:space="preserve">shoes</t>
  </si>
  <si>
    <t xml:space="preserve">Mask</t>
  </si>
  <si>
    <t xml:space="preserve">route</t>
  </si>
  <si>
    <t xml:space="preserve">miles</t>
  </si>
  <si>
    <t xml:space="preserve">start_steps</t>
  </si>
  <si>
    <t xml:space="preserve">end_steps</t>
  </si>
  <si>
    <t xml:space="preserve">steps</t>
  </si>
  <si>
    <t xml:space="preserve">hours</t>
  </si>
  <si>
    <t xml:space="preserve">elapsed</t>
  </si>
  <si>
    <t xml:space="preserve">rest</t>
  </si>
  <si>
    <t xml:space="preserve">mph</t>
  </si>
  <si>
    <t xml:space="preserve">laps</t>
  </si>
  <si>
    <t xml:space="preserve">mpl</t>
  </si>
  <si>
    <t xml:space="preserve">pace</t>
  </si>
  <si>
    <t xml:space="preserve">gain</t>
  </si>
  <si>
    <t xml:space="preserve">cal</t>
  </si>
  <si>
    <t xml:space="preserve">avg_hr</t>
  </si>
  <si>
    <t xml:space="preserve">max_hr</t>
  </si>
  <si>
    <t xml:space="preserve">pace.01</t>
  </si>
  <si>
    <t xml:space="preserve">pace.02</t>
  </si>
  <si>
    <t xml:space="preserve">pace.03</t>
  </si>
  <si>
    <t xml:space="preserve">pace.04</t>
  </si>
  <si>
    <t xml:space="preserve">pace.05</t>
  </si>
  <si>
    <t xml:space="preserve">pace.06</t>
  </si>
  <si>
    <t xml:space="preserve">pace.07</t>
  </si>
  <si>
    <t xml:space="preserve">pace.08</t>
  </si>
  <si>
    <t xml:space="preserve">pace.09</t>
  </si>
  <si>
    <t xml:space="preserve">pace.10</t>
  </si>
  <si>
    <t xml:space="preserve">breaks</t>
  </si>
  <si>
    <t xml:space="preserve">stumbles</t>
  </si>
  <si>
    <t xml:space="preserve">falls</t>
  </si>
  <si>
    <t xml:space="preserve">zone0</t>
  </si>
  <si>
    <t xml:space="preserve">zone1</t>
  </si>
  <si>
    <t xml:space="preserve">zone2</t>
  </si>
  <si>
    <t xml:space="preserve">zone3</t>
  </si>
  <si>
    <t xml:space="preserve">zone4</t>
  </si>
  <si>
    <t xml:space="preserve">zone5</t>
  </si>
  <si>
    <t xml:space="preserve">device</t>
  </si>
  <si>
    <t xml:space="preserve">app</t>
  </si>
  <si>
    <t xml:space="preserve">errors</t>
  </si>
  <si>
    <t xml:space="preserve">failure_reason</t>
  </si>
  <si>
    <t xml:space="preserve">Partly Cloudy </t>
  </si>
  <si>
    <t xml:space="preserve">VAR</t>
  </si>
  <si>
    <t xml:space="preserve">Cold</t>
  </si>
  <si>
    <t xml:space="preserve">Skechers</t>
  </si>
  <si>
    <t xml:space="preserve">Parks Mall - Mixed</t>
  </si>
  <si>
    <t xml:space="preserve">Garman Vivoactive 3</t>
  </si>
  <si>
    <t xml:space="preserve">Connect</t>
  </si>
  <si>
    <t xml:space="preserve">Mostly Cloudy </t>
  </si>
  <si>
    <t xml:space="preserve">S</t>
  </si>
  <si>
    <t xml:space="preserve">Acceptable</t>
  </si>
  <si>
    <t xml:space="preserve">Vandergriff Park</t>
  </si>
  <si>
    <t xml:space="preserve">Cloudy </t>
  </si>
  <si>
    <t xml:space="preserve">Four Parks</t>
  </si>
  <si>
    <t xml:space="preserve">W</t>
  </si>
  <si>
    <t xml:space="preserve">NW</t>
  </si>
  <si>
    <t xml:space="preserve">Village Creek Linear Park</t>
  </si>
  <si>
    <t xml:space="preserve">NWW</t>
  </si>
  <si>
    <t xml:space="preserve">Fair</t>
  </si>
  <si>
    <t xml:space="preserve">SW</t>
  </si>
  <si>
    <t xml:space="preserve">RBX</t>
  </si>
  <si>
    <t xml:space="preserve">Cory Triangle</t>
  </si>
  <si>
    <t xml:space="preserve">CALM </t>
  </si>
  <si>
    <t xml:space="preserve">Cravens Park</t>
  </si>
  <si>
    <t xml:space="preserve">Not recorded</t>
  </si>
  <si>
    <t xml:space="preserve">Lost walk data</t>
  </si>
  <si>
    <t xml:space="preserve">Day off</t>
  </si>
  <si>
    <t xml:space="preserve">SSW </t>
  </si>
  <si>
    <t xml:space="preserve">WSW </t>
  </si>
  <si>
    <t xml:space="preserve">Healthcare</t>
  </si>
  <si>
    <t xml:space="preserve">N</t>
  </si>
  <si>
    <t xml:space="preserve">Light Rain </t>
  </si>
  <si>
    <t xml:space="preserve">ENE </t>
  </si>
  <si>
    <t xml:space="preserve">NNW </t>
  </si>
  <si>
    <t xml:space="preserve">Enchanted Lakes</t>
  </si>
  <si>
    <t xml:space="preserve">SSE </t>
  </si>
  <si>
    <t xml:space="preserve">Little Road</t>
  </si>
  <si>
    <t xml:space="preserve">Cloudy</t>
  </si>
  <si>
    <t xml:space="preserve">Perkins Road</t>
  </si>
  <si>
    <t xml:space="preserve">Veterans Park</t>
  </si>
  <si>
    <t xml:space="preserve">Partly Cloudy</t>
  </si>
  <si>
    <t xml:space="preserve">Fish Creek Linear Park</t>
  </si>
  <si>
    <t xml:space="preserve">Weather</t>
  </si>
  <si>
    <t xml:space="preserve">Thunderstorm</t>
  </si>
  <si>
    <t xml:space="preserve">NNE</t>
  </si>
  <si>
    <t xml:space="preserve">Light Rain</t>
  </si>
  <si>
    <t xml:space="preserve">NNE </t>
  </si>
  <si>
    <t xml:space="preserve">Rain</t>
  </si>
  <si>
    <t xml:space="preserve">NE</t>
  </si>
  <si>
    <t xml:space="preserve">My error</t>
  </si>
  <si>
    <t xml:space="preserve">Light Drizzle </t>
  </si>
  <si>
    <t xml:space="preserve">Unknown</t>
  </si>
  <si>
    <t xml:space="preserve">Operator error</t>
  </si>
  <si>
    <t xml:space="preserve">Mostly Cloudy</t>
  </si>
  <si>
    <t xml:space="preserve">Forecast Rain</t>
  </si>
  <si>
    <t xml:space="preserve">SSE</t>
  </si>
  <si>
    <t xml:space="preserve">Stovall Park</t>
  </si>
  <si>
    <t xml:space="preserve">E</t>
  </si>
  <si>
    <t xml:space="preserve">WNW </t>
  </si>
  <si>
    <t xml:space="preserve">River Legacy North East</t>
  </si>
  <si>
    <t xml:space="preserve">WNW</t>
  </si>
  <si>
    <t xml:space="preserve">ESE </t>
  </si>
  <si>
    <t xml:space="preserve">Mostly Cloudy  </t>
  </si>
  <si>
    <t xml:space="preserve">Eather</t>
  </si>
  <si>
    <t xml:space="preserve">ESE</t>
  </si>
  <si>
    <t xml:space="preserve">Rosie</t>
  </si>
  <si>
    <t xml:space="preserve">River Legacy West</t>
  </si>
  <si>
    <t xml:space="preserve">Fair </t>
  </si>
  <si>
    <t xml:space="preserve">ENE</t>
  </si>
  <si>
    <t xml:space="preserve">Holiday</t>
  </si>
  <si>
    <t xml:space="preserve">Three Parks</t>
  </si>
  <si>
    <t xml:space="preserve">VAR </t>
  </si>
  <si>
    <t xml:space="preserve">Rain Forecast</t>
  </si>
  <si>
    <t xml:space="preserve">South Rush Creek Linear Park</t>
  </si>
  <si>
    <t xml:space="preserve">Rain Light</t>
  </si>
  <si>
    <t xml:space="preserve">CALM</t>
  </si>
  <si>
    <t xml:space="preserve">Not Acceptable</t>
  </si>
  <si>
    <t xml:space="preserve">SE</t>
  </si>
  <si>
    <t xml:space="preserve">Green Oaks - Little Road</t>
  </si>
  <si>
    <t xml:space="preserve">NW </t>
  </si>
  <si>
    <t xml:space="preserve">Plantar fasciitis</t>
  </si>
  <si>
    <t xml:space="preserve">Sick</t>
  </si>
  <si>
    <t xml:space="preserve">Parks Mall - 3 laps</t>
  </si>
  <si>
    <t xml:space="preserve">Skechers 2</t>
  </si>
  <si>
    <t xml:space="preserve">Parks Mall - 4 laps</t>
  </si>
  <si>
    <t xml:space="preserve">Widespread Dust</t>
  </si>
  <si>
    <t xml:space="preserve">SSW</t>
  </si>
  <si>
    <t xml:space="preserve">Equipment failure</t>
  </si>
  <si>
    <t xml:space="preserve">SE </t>
  </si>
  <si>
    <t xml:space="preserve">S </t>
  </si>
  <si>
    <t xml:space="preserve">Dental Surgery Recovery</t>
  </si>
  <si>
    <t xml:space="preserve">Var</t>
  </si>
  <si>
    <t xml:space="preserve">Vandergriff Honda</t>
  </si>
  <si>
    <t xml:space="preserve">Southwest Nature Preserve</t>
  </si>
  <si>
    <t xml:space="preserve">Distance error</t>
  </si>
  <si>
    <t xml:space="preserve">Operator Error</t>
  </si>
  <si>
    <t xml:space="preserve">None</t>
  </si>
  <si>
    <t xml:space="preserve">Sketchers 2</t>
  </si>
  <si>
    <t xml:space="preserve">Vandergriff Park – Highlands</t>
  </si>
  <si>
    <t xml:space="preserve">Pioneer Trail</t>
  </si>
  <si>
    <t xml:space="preserve">SP2 Food Bank</t>
  </si>
  <si>
    <t xml:space="preserve">Parks Mall – 2 laps</t>
  </si>
  <si>
    <t xml:space="preserve">River Legacy Park West</t>
  </si>
  <si>
    <t xml:space="preserve">SP2 food bank</t>
  </si>
  <si>
    <t xml:space="preserve">Sciatica </t>
  </si>
  <si>
    <t xml:space="preserve">W </t>
  </si>
  <si>
    <t xml:space="preserve">es </t>
  </si>
  <si>
    <t xml:space="preserve">KN95</t>
  </si>
  <si>
    <t xml:space="preserve">1/60</t>
  </si>
  <si>
    <t xml:space="preserve">Too cold</t>
  </si>
  <si>
    <t xml:space="preserve">Heavy Rain </t>
  </si>
  <si>
    <t xml:space="preserve">Too Cold</t>
  </si>
  <si>
    <t xml:space="preserve">Wintry Mix </t>
  </si>
  <si>
    <t xml:space="preserve">Rain and Snow</t>
  </si>
  <si>
    <t xml:space="preserve">Explore Southwest Nature Area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</si>
</sst>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[$$-409]#,##0.00;[RED]\-[$$-409]#,##0.00"/>
    <numFmt numFmtId="166" formatCode="0"/>
    <numFmt numFmtId="167" formatCode="m/d/yyyy\ h:mm"/>
    <numFmt numFmtId="168" formatCode="[$-409]0"/>
    <numFmt numFmtId="169" formatCode="[$-409]0.00"/>
    <numFmt numFmtId="170" formatCode="#,##0.00"/>
    <numFmt numFmtId="171" formatCode="[$-409]#,##0.00"/>
    <numFmt numFmtId="172" formatCode="0.0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Lucida Sans"/>
      <family val="2"/>
      <charset val="1"/>
    </font>
    <font>
      <u val="single"/>
      <sz val="10"/>
      <name val="Lucida Sans"/>
      <family val="2"/>
      <charset val="1"/>
    </font>
    <font>
      <sz val="12"/>
      <name val="Century Schoolbook"/>
      <family val="1"/>
      <charset val="1"/>
    </font>
    <font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2"/>
      <color rgb="FF000000"/>
      <name val="Century Schoolbook"/>
      <family val="1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5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9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1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0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2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eading 1 1" xfId="20"/>
    <cellStyle name="Result 1" xfId="21"/>
    <cellStyle name="Result2" xfId="22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348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pane xSplit="0" ySplit="1" topLeftCell="A337" activePane="bottomLeft" state="frozen"/>
      <selection pane="topLeft" activeCell="A1" activeCellId="0" sqref="A1"/>
      <selection pane="bottomLeft" activeCell="A347" activeCellId="0" sqref="A347"/>
    </sheetView>
  </sheetViews>
  <sheetFormatPr defaultColWidth="14.640625" defaultRowHeight="15" zeroHeight="false" outlineLevelRow="0" outlineLevelCol="0"/>
  <cols>
    <col collapsed="false" customWidth="true" hidden="false" outlineLevel="0" max="1" min="1" style="1" width="5.43"/>
    <col collapsed="false" customWidth="true" hidden="false" outlineLevel="0" max="2" min="2" style="2" width="18.92"/>
    <col collapsed="false" customWidth="true" hidden="false" outlineLevel="0" max="3" min="3" style="3" width="8.71"/>
    <col collapsed="false" customWidth="true" hidden="false" outlineLevel="0" max="4" min="4" style="3" width="16.56"/>
    <col collapsed="false" customWidth="false" hidden="false" outlineLevel="0" max="5" min="5" style="3" width="14.62"/>
    <col collapsed="false" customWidth="true" hidden="false" outlineLevel="0" max="6" min="6" style="4" width="19.31"/>
    <col collapsed="false" customWidth="true" hidden="false" outlineLevel="0" max="7" min="7" style="5" width="6.67"/>
    <col collapsed="false" customWidth="true" hidden="false" outlineLevel="0" max="8" min="8" style="5" width="3.89"/>
    <col collapsed="false" customWidth="true" hidden="false" outlineLevel="0" max="9" min="9" style="5" width="4.3"/>
    <col collapsed="false" customWidth="true" hidden="false" outlineLevel="0" max="10" min="10" style="6" width="7.41"/>
    <col collapsed="false" customWidth="true" hidden="false" outlineLevel="0" max="11" min="11" style="5" width="6.67"/>
    <col collapsed="false" customWidth="true" hidden="false" outlineLevel="0" max="12" min="12" style="5" width="5.16"/>
    <col collapsed="false" customWidth="true" hidden="false" outlineLevel="0" max="13" min="13" style="3" width="18.06"/>
    <col collapsed="false" customWidth="false" hidden="false" outlineLevel="0" max="14" min="14" style="3" width="14.62"/>
    <col collapsed="false" customWidth="true" hidden="false" outlineLevel="0" max="15" min="15" style="3" width="7.41"/>
    <col collapsed="false" customWidth="true" hidden="false" outlineLevel="0" max="16" min="16" style="3" width="32.61"/>
    <col collapsed="false" customWidth="true" hidden="false" outlineLevel="0" max="17" min="17" style="7" width="6.11"/>
    <col collapsed="false" customWidth="true" hidden="false" outlineLevel="0" max="18" min="18" style="5" width="12.78"/>
    <col collapsed="false" customWidth="true" hidden="false" outlineLevel="0" max="19" min="19" style="5" width="11.64"/>
    <col collapsed="false" customWidth="true" hidden="false" outlineLevel="0" max="20" min="20" style="5" width="7.68"/>
    <col collapsed="false" customWidth="true" hidden="false" outlineLevel="0" max="21" min="21" style="7" width="6.85"/>
    <col collapsed="false" customWidth="true" hidden="false" outlineLevel="0" max="22" min="22" style="7" width="9.07"/>
    <col collapsed="false" customWidth="true" hidden="false" outlineLevel="0" max="23" min="23" style="7" width="5.43"/>
    <col collapsed="false" customWidth="true" hidden="false" outlineLevel="0" max="24" min="24" style="7" width="6.23"/>
    <col collapsed="false" customWidth="true" hidden="false" outlineLevel="0" max="25" min="25" style="3" width="4.66"/>
    <col collapsed="false" customWidth="true" hidden="false" outlineLevel="0" max="26" min="26" style="7" width="4.97"/>
    <col collapsed="false" customWidth="true" hidden="false" outlineLevel="0" max="27" min="27" style="7" width="7.22"/>
    <col collapsed="false" customWidth="true" hidden="false" outlineLevel="0" max="28" min="28" style="5" width="6.11"/>
    <col collapsed="false" customWidth="true" hidden="false" outlineLevel="0" max="29" min="29" style="5" width="5.83"/>
    <col collapsed="false" customWidth="true" hidden="false" outlineLevel="0" max="30" min="30" style="5" width="8.52"/>
    <col collapsed="false" customWidth="true" hidden="false" outlineLevel="0" max="31" min="31" style="3" width="9.82"/>
    <col collapsed="false" customWidth="true" hidden="false" outlineLevel="0" max="32" min="32" style="7" width="9.44"/>
    <col collapsed="false" customWidth="true" hidden="false" outlineLevel="0" max="33" min="33" style="7" width="8.7"/>
    <col collapsed="false" customWidth="true" hidden="false" outlineLevel="0" max="34" min="34" style="8" width="8.89"/>
    <col collapsed="false" customWidth="true" hidden="false" outlineLevel="0" max="35" min="35" style="7" width="9.26"/>
    <col collapsed="false" customWidth="true" hidden="false" outlineLevel="0" max="36" min="36" style="7" width="8.7"/>
    <col collapsed="false" customWidth="true" hidden="false" outlineLevel="0" max="37" min="37" style="7" width="8.89"/>
    <col collapsed="false" customWidth="true" hidden="false" outlineLevel="0" max="39" min="38" style="7" width="9.07"/>
    <col collapsed="false" customWidth="true" hidden="false" outlineLevel="0" max="41" min="40" style="7" width="9.44"/>
    <col collapsed="false" customWidth="true" hidden="false" outlineLevel="0" max="42" min="42" style="3" width="8.71"/>
    <col collapsed="false" customWidth="true" hidden="false" outlineLevel="0" max="43" min="43" style="3" width="9.63"/>
    <col collapsed="false" customWidth="true" hidden="false" outlineLevel="0" max="44" min="44" style="3" width="5.55"/>
    <col collapsed="false" customWidth="true" hidden="false" outlineLevel="0" max="45" min="45" style="9" width="6.85"/>
    <col collapsed="false" customWidth="true" hidden="false" outlineLevel="0" max="46" min="46" style="7" width="6.74"/>
    <col collapsed="false" customWidth="true" hidden="false" outlineLevel="0" max="47" min="47" style="7" width="6.88"/>
    <col collapsed="false" customWidth="true" hidden="false" outlineLevel="0" max="48" min="48" style="7" width="6.61"/>
    <col collapsed="false" customWidth="true" hidden="false" outlineLevel="0" max="50" min="49" style="7" width="6.74"/>
    <col collapsed="false" customWidth="true" hidden="false" outlineLevel="0" max="51" min="51" style="3" width="24.82"/>
    <col collapsed="false" customWidth="true" hidden="false" outlineLevel="0" max="52" min="52" style="3" width="12.22"/>
    <col collapsed="false" customWidth="true" hidden="false" outlineLevel="0" max="53" min="53" style="3" width="11.19"/>
    <col collapsed="false" customWidth="true" hidden="false" outlineLevel="0" max="54" min="54" style="3" width="17.8"/>
    <col collapsed="false" customWidth="true" hidden="false" outlineLevel="0" max="66" min="55" style="3" width="8.71"/>
    <col collapsed="false" customWidth="false" hidden="false" outlineLevel="0" max="1022" min="67" style="3" width="14.62"/>
    <col collapsed="false" customWidth="true" hidden="false" outlineLevel="0" max="1023" min="1023" style="3" width="11.52"/>
    <col collapsed="false" customWidth="true" hidden="false" outlineLevel="0" max="1024" min="1024" style="10" width="11.52"/>
  </cols>
  <sheetData>
    <row r="1" customFormat="false" ht="43.75" hidden="false" customHeight="false" outlineLevel="0" collapsed="false">
      <c r="A1" s="11" t="s">
        <v>0</v>
      </c>
      <c r="B1" s="12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3" t="s">
        <v>12</v>
      </c>
      <c r="N1" s="4" t="s">
        <v>13</v>
      </c>
      <c r="O1" s="4" t="s">
        <v>14</v>
      </c>
      <c r="P1" s="4" t="s">
        <v>15</v>
      </c>
      <c r="Q1" s="8" t="s">
        <v>16</v>
      </c>
      <c r="R1" s="6" t="s">
        <v>17</v>
      </c>
      <c r="S1" s="6" t="s">
        <v>18</v>
      </c>
      <c r="T1" s="6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4" t="s">
        <v>24</v>
      </c>
      <c r="Z1" s="8" t="s">
        <v>25</v>
      </c>
      <c r="AA1" s="8" t="s">
        <v>26</v>
      </c>
      <c r="AB1" s="6" t="s">
        <v>27</v>
      </c>
      <c r="AC1" s="6" t="s">
        <v>28</v>
      </c>
      <c r="AD1" s="6" t="s">
        <v>29</v>
      </c>
      <c r="AE1" s="4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4" t="s">
        <v>41</v>
      </c>
      <c r="AQ1" s="4" t="s">
        <v>42</v>
      </c>
      <c r="AR1" s="8" t="s">
        <v>43</v>
      </c>
      <c r="AS1" s="13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4" t="s">
        <v>50</v>
      </c>
      <c r="AZ1" s="4" t="s">
        <v>51</v>
      </c>
      <c r="BA1" s="4" t="s">
        <v>52</v>
      </c>
      <c r="BB1" s="4" t="s">
        <v>53</v>
      </c>
      <c r="BC1" s="4"/>
    </row>
    <row r="2" customFormat="false" ht="16.9" hidden="false" customHeight="false" outlineLevel="0" collapsed="false">
      <c r="A2" s="11" t="n">
        <v>536</v>
      </c>
      <c r="B2" s="12" t="n">
        <v>43882.4951388889</v>
      </c>
      <c r="C2" s="4" t="n">
        <v>1</v>
      </c>
      <c r="D2" s="4"/>
      <c r="E2" s="4"/>
      <c r="F2" s="4" t="s">
        <v>54</v>
      </c>
      <c r="G2" s="6" t="n">
        <v>41</v>
      </c>
      <c r="H2" s="6" t="n">
        <v>19</v>
      </c>
      <c r="I2" s="6" t="n">
        <v>40</v>
      </c>
      <c r="J2" s="6" t="s">
        <v>55</v>
      </c>
      <c r="K2" s="6" t="n">
        <v>0</v>
      </c>
      <c r="L2" s="6" t="n">
        <v>0</v>
      </c>
      <c r="M2" s="3" t="s">
        <v>56</v>
      </c>
      <c r="N2" s="4" t="s">
        <v>57</v>
      </c>
      <c r="O2" s="4"/>
      <c r="P2" s="4" t="s">
        <v>58</v>
      </c>
      <c r="Q2" s="8" t="n">
        <v>5.19</v>
      </c>
      <c r="R2" s="6"/>
      <c r="S2" s="6"/>
      <c r="T2" s="6"/>
      <c r="U2" s="8" t="n">
        <v>1.55</v>
      </c>
      <c r="V2" s="8"/>
      <c r="W2" s="8"/>
      <c r="X2" s="8" t="n">
        <v>3.35</v>
      </c>
      <c r="Y2" s="4" t="n">
        <v>3</v>
      </c>
      <c r="Z2" s="8" t="n">
        <v>1.73</v>
      </c>
      <c r="AA2" s="8" t="n">
        <f aca="false">16+46/60</f>
        <v>16.7666666666667</v>
      </c>
      <c r="AB2" s="6" t="n">
        <v>220</v>
      </c>
      <c r="AC2" s="6" t="n">
        <v>667</v>
      </c>
      <c r="AD2" s="6" t="n">
        <v>101</v>
      </c>
      <c r="AE2" s="4" t="n">
        <v>150</v>
      </c>
      <c r="AF2" s="8" t="n">
        <f aca="false">16+11.7/60</f>
        <v>16.195</v>
      </c>
      <c r="AG2" s="8" t="n">
        <f aca="false">16+55.8/60</f>
        <v>16.93</v>
      </c>
      <c r="AH2" s="8" t="n">
        <f aca="false">16+53.8/60</f>
        <v>16.8966666666667</v>
      </c>
      <c r="AI2" s="8" t="n">
        <f aca="false">17+8.8/60</f>
        <v>17.1466666666667</v>
      </c>
      <c r="AJ2" s="8" t="n">
        <f aca="false">60/3.6</f>
        <v>16.6666666666667</v>
      </c>
      <c r="AK2" s="8"/>
      <c r="AL2" s="8"/>
      <c r="AM2" s="8"/>
      <c r="AN2" s="8"/>
      <c r="AO2" s="8"/>
      <c r="AP2" s="4" t="n">
        <v>1</v>
      </c>
      <c r="AQ2" s="4" t="n">
        <v>1</v>
      </c>
      <c r="AR2" s="4"/>
      <c r="AS2" s="14"/>
      <c r="AT2" s="8"/>
      <c r="AU2" s="8"/>
      <c r="AV2" s="8"/>
      <c r="AW2" s="8"/>
      <c r="AX2" s="8"/>
      <c r="AY2" s="4" t="s">
        <v>59</v>
      </c>
      <c r="AZ2" s="4" t="s">
        <v>60</v>
      </c>
      <c r="BA2" s="4" t="n">
        <v>0</v>
      </c>
      <c r="BB2" s="4"/>
      <c r="BC2" s="4"/>
    </row>
    <row r="3" customFormat="false" ht="16.9" hidden="false" customHeight="false" outlineLevel="0" collapsed="false">
      <c r="A3" s="11" t="n">
        <f aca="false">A2+1</f>
        <v>537</v>
      </c>
      <c r="B3" s="12" t="n">
        <v>43883.4951388889</v>
      </c>
      <c r="C3" s="4" t="n">
        <v>1</v>
      </c>
      <c r="D3" s="4"/>
      <c r="E3" s="4"/>
      <c r="F3" s="4" t="s">
        <v>61</v>
      </c>
      <c r="G3" s="6" t="n">
        <v>53</v>
      </c>
      <c r="H3" s="6" t="n">
        <v>35</v>
      </c>
      <c r="I3" s="6" t="n">
        <v>50</v>
      </c>
      <c r="J3" s="6" t="s">
        <v>62</v>
      </c>
      <c r="K3" s="6" t="n">
        <v>10</v>
      </c>
      <c r="L3" s="6" t="n">
        <v>0</v>
      </c>
      <c r="M3" s="3" t="s">
        <v>63</v>
      </c>
      <c r="N3" s="4" t="s">
        <v>57</v>
      </c>
      <c r="O3" s="4"/>
      <c r="P3" s="4" t="s">
        <v>64</v>
      </c>
      <c r="Q3" s="8" t="n">
        <v>5.62</v>
      </c>
      <c r="R3" s="6"/>
      <c r="S3" s="6"/>
      <c r="T3" s="6"/>
      <c r="U3" s="8" t="n">
        <v>1.53</v>
      </c>
      <c r="V3" s="8"/>
      <c r="W3" s="8"/>
      <c r="X3" s="8" t="n">
        <v>3.93</v>
      </c>
      <c r="Y3" s="4" t="n">
        <v>2</v>
      </c>
      <c r="Z3" s="8" t="n">
        <f aca="false">Q3/Y3</f>
        <v>2.81</v>
      </c>
      <c r="AA3" s="8" t="n">
        <v>16.35</v>
      </c>
      <c r="AB3" s="6" t="n">
        <v>125</v>
      </c>
      <c r="AC3" s="6" t="n">
        <v>943</v>
      </c>
      <c r="AD3" s="6" t="n">
        <v>124</v>
      </c>
      <c r="AE3" s="4" t="n">
        <v>140</v>
      </c>
      <c r="AF3" s="8" t="n">
        <v>15.62</v>
      </c>
      <c r="AG3" s="8" t="n">
        <v>16.3</v>
      </c>
      <c r="AH3" s="8" t="n">
        <v>16.08</v>
      </c>
      <c r="AI3" s="8" t="n">
        <v>15.83</v>
      </c>
      <c r="AJ3" s="8" t="n">
        <v>16.5</v>
      </c>
      <c r="AK3" s="8" t="n">
        <v>16.22</v>
      </c>
      <c r="AL3" s="8"/>
      <c r="AM3" s="8"/>
      <c r="AN3" s="8"/>
      <c r="AO3" s="8"/>
      <c r="AP3" s="4" t="n">
        <v>1</v>
      </c>
      <c r="AQ3" s="4" t="n">
        <v>0</v>
      </c>
      <c r="AR3" s="4"/>
      <c r="AS3" s="14"/>
      <c r="AT3" s="8"/>
      <c r="AU3" s="8"/>
      <c r="AV3" s="8"/>
      <c r="AW3" s="8"/>
      <c r="AX3" s="8"/>
      <c r="AY3" s="4" t="s">
        <v>59</v>
      </c>
      <c r="AZ3" s="4" t="s">
        <v>60</v>
      </c>
      <c r="BA3" s="4" t="n">
        <v>0</v>
      </c>
      <c r="BB3" s="4"/>
      <c r="BC3" s="4"/>
    </row>
    <row r="4" customFormat="false" ht="16.9" hidden="false" customHeight="false" outlineLevel="0" collapsed="false">
      <c r="A4" s="11" t="n">
        <v>538</v>
      </c>
      <c r="B4" s="12" t="n">
        <v>43884.4951388889</v>
      </c>
      <c r="C4" s="4" t="n">
        <v>1</v>
      </c>
      <c r="D4" s="4"/>
      <c r="E4" s="4"/>
      <c r="F4" s="4" t="s">
        <v>65</v>
      </c>
      <c r="G4" s="6" t="n">
        <v>57</v>
      </c>
      <c r="H4" s="6" t="n">
        <v>52</v>
      </c>
      <c r="I4" s="6" t="n">
        <v>83</v>
      </c>
      <c r="J4" s="6" t="s">
        <v>62</v>
      </c>
      <c r="K4" s="6" t="n">
        <v>14</v>
      </c>
      <c r="L4" s="6" t="n">
        <v>0</v>
      </c>
      <c r="M4" s="3" t="s">
        <v>63</v>
      </c>
      <c r="N4" s="4" t="s">
        <v>57</v>
      </c>
      <c r="O4" s="4"/>
      <c r="P4" s="4" t="s">
        <v>66</v>
      </c>
      <c r="Q4" s="8" t="n">
        <v>4.91</v>
      </c>
      <c r="R4" s="6"/>
      <c r="S4" s="6"/>
      <c r="T4" s="6"/>
      <c r="U4" s="8" t="n">
        <v>1.25</v>
      </c>
      <c r="V4" s="8"/>
      <c r="W4" s="8"/>
      <c r="X4" s="8" t="n">
        <v>3.93</v>
      </c>
      <c r="Y4" s="4" t="n">
        <v>2</v>
      </c>
      <c r="Z4" s="8" t="n">
        <v>2.46</v>
      </c>
      <c r="AA4" s="8" t="n">
        <v>17.28</v>
      </c>
      <c r="AB4" s="6" t="n">
        <v>269</v>
      </c>
      <c r="AC4" s="6" t="n">
        <v>648</v>
      </c>
      <c r="AD4" s="6" t="n">
        <v>96</v>
      </c>
      <c r="AE4" s="4" t="n">
        <v>146</v>
      </c>
      <c r="AF4" s="8" t="n">
        <v>17.03</v>
      </c>
      <c r="AG4" s="8" t="n">
        <v>16.62</v>
      </c>
      <c r="AH4" s="8" t="n">
        <v>17.78</v>
      </c>
      <c r="AI4" s="8" t="n">
        <v>16.75</v>
      </c>
      <c r="AJ4" s="8" t="n">
        <v>17.14</v>
      </c>
      <c r="AK4" s="8"/>
      <c r="AL4" s="8"/>
      <c r="AM4" s="8"/>
      <c r="AN4" s="8"/>
      <c r="AO4" s="8"/>
      <c r="AP4" s="4" t="n">
        <v>1</v>
      </c>
      <c r="AQ4" s="4" t="n">
        <v>0</v>
      </c>
      <c r="AR4" s="4"/>
      <c r="AS4" s="14"/>
      <c r="AT4" s="8"/>
      <c r="AU4" s="8"/>
      <c r="AV4" s="8"/>
      <c r="AW4" s="8"/>
      <c r="AX4" s="8"/>
      <c r="AY4" s="4" t="s">
        <v>59</v>
      </c>
      <c r="AZ4" s="4" t="s">
        <v>60</v>
      </c>
      <c r="BA4" s="4" t="n">
        <v>0</v>
      </c>
      <c r="BB4" s="4"/>
      <c r="BC4" s="4"/>
    </row>
    <row r="5" customFormat="false" ht="16.9" hidden="false" customHeight="false" outlineLevel="0" collapsed="false">
      <c r="A5" s="11" t="n">
        <v>539</v>
      </c>
      <c r="B5" s="12" t="n">
        <v>43885.4951388889</v>
      </c>
      <c r="C5" s="4" t="n">
        <v>1</v>
      </c>
      <c r="D5" s="4"/>
      <c r="E5" s="4"/>
      <c r="F5" s="4" t="s">
        <v>54</v>
      </c>
      <c r="G5" s="6" t="n">
        <v>61</v>
      </c>
      <c r="H5" s="6" t="n">
        <v>40</v>
      </c>
      <c r="I5" s="6" t="n">
        <v>46</v>
      </c>
      <c r="J5" s="6" t="s">
        <v>67</v>
      </c>
      <c r="K5" s="6" t="n">
        <v>22</v>
      </c>
      <c r="L5" s="6" t="n">
        <v>0</v>
      </c>
      <c r="M5" s="3" t="s">
        <v>63</v>
      </c>
      <c r="N5" s="4" t="s">
        <v>57</v>
      </c>
      <c r="O5" s="4"/>
      <c r="P5" s="4" t="s">
        <v>58</v>
      </c>
      <c r="Q5" s="8" t="n">
        <v>5.47</v>
      </c>
      <c r="R5" s="6"/>
      <c r="S5" s="6"/>
      <c r="T5" s="6" t="n">
        <v>12521</v>
      </c>
      <c r="U5" s="8" t="n">
        <v>1.58</v>
      </c>
      <c r="V5" s="8"/>
      <c r="W5" s="8"/>
      <c r="X5" s="8" t="n">
        <v>3.45</v>
      </c>
      <c r="Y5" s="4" t="n">
        <v>4</v>
      </c>
      <c r="Z5" s="8" t="n">
        <v>1.37</v>
      </c>
      <c r="AA5" s="8" t="n">
        <v>17.4</v>
      </c>
      <c r="AB5" s="6" t="n">
        <v>54</v>
      </c>
      <c r="AC5" s="6" t="n">
        <v>1095</v>
      </c>
      <c r="AD5" s="6" t="n">
        <v>126</v>
      </c>
      <c r="AE5" s="4" t="n">
        <v>147</v>
      </c>
      <c r="AF5" s="8" t="n">
        <v>19.12</v>
      </c>
      <c r="AG5" s="8" t="n">
        <v>20.33</v>
      </c>
      <c r="AH5" s="8" t="n">
        <v>21.63</v>
      </c>
      <c r="AI5" s="8" t="n">
        <v>20.35</v>
      </c>
      <c r="AJ5" s="8" t="n">
        <v>20</v>
      </c>
      <c r="AK5" s="8"/>
      <c r="AL5" s="8"/>
      <c r="AM5" s="8"/>
      <c r="AN5" s="8"/>
      <c r="AO5" s="8"/>
      <c r="AP5" s="4"/>
      <c r="AQ5" s="4" t="n">
        <v>1</v>
      </c>
      <c r="AR5" s="4"/>
      <c r="AS5" s="14"/>
      <c r="AT5" s="8"/>
      <c r="AU5" s="8"/>
      <c r="AV5" s="8"/>
      <c r="AW5" s="8"/>
      <c r="AX5" s="8"/>
      <c r="AY5" s="4" t="s">
        <v>59</v>
      </c>
      <c r="AZ5" s="4" t="s">
        <v>60</v>
      </c>
      <c r="BA5" s="4" t="n">
        <v>0</v>
      </c>
      <c r="BB5" s="4" t="s">
        <v>53</v>
      </c>
      <c r="BC5" s="4"/>
    </row>
    <row r="6" customFormat="false" ht="16.9" hidden="false" customHeight="false" outlineLevel="0" collapsed="false">
      <c r="A6" s="11" t="n">
        <f aca="false">A5+1</f>
        <v>540</v>
      </c>
      <c r="B6" s="12" t="n">
        <v>43886.4951388889</v>
      </c>
      <c r="C6" s="4" t="n">
        <v>1</v>
      </c>
      <c r="D6" s="4"/>
      <c r="E6" s="4"/>
      <c r="F6" s="4" t="s">
        <v>54</v>
      </c>
      <c r="G6" s="6" t="n">
        <v>54</v>
      </c>
      <c r="H6" s="6" t="n">
        <v>40</v>
      </c>
      <c r="I6" s="6" t="n">
        <v>59</v>
      </c>
      <c r="J6" s="6" t="s">
        <v>68</v>
      </c>
      <c r="K6" s="6" t="n">
        <v>15</v>
      </c>
      <c r="L6" s="6" t="n">
        <v>0</v>
      </c>
      <c r="M6" s="3" t="s">
        <v>63</v>
      </c>
      <c r="N6" s="4" t="s">
        <v>57</v>
      </c>
      <c r="O6" s="4"/>
      <c r="P6" s="4" t="s">
        <v>69</v>
      </c>
      <c r="Q6" s="8" t="n">
        <v>5.49</v>
      </c>
      <c r="R6" s="6"/>
      <c r="S6" s="6"/>
      <c r="T6" s="6"/>
      <c r="U6" s="8" t="n">
        <f aca="false">87/60</f>
        <v>1.45</v>
      </c>
      <c r="V6" s="8"/>
      <c r="W6" s="8"/>
      <c r="X6" s="8" t="n">
        <f aca="false">Q6/U6</f>
        <v>3.78620689655172</v>
      </c>
      <c r="Y6" s="4" t="n">
        <v>1</v>
      </c>
      <c r="Z6" s="8" t="n">
        <f aca="false">Q6/Y6</f>
        <v>5.49</v>
      </c>
      <c r="AA6" s="8" t="n">
        <f aca="false">15+45/60</f>
        <v>15.75</v>
      </c>
      <c r="AB6" s="6" t="n">
        <v>30</v>
      </c>
      <c r="AC6" s="6" t="n">
        <v>965</v>
      </c>
      <c r="AD6" s="6" t="n">
        <v>132</v>
      </c>
      <c r="AE6" s="4" t="n">
        <v>159</v>
      </c>
      <c r="AF6" s="8" t="n">
        <f aca="false">15+37/60</f>
        <v>15.6166666666667</v>
      </c>
      <c r="AG6" s="8" t="n">
        <f aca="false">15+50/60</f>
        <v>15.8333333333333</v>
      </c>
      <c r="AH6" s="8" t="n">
        <f aca="false">15+33/60</f>
        <v>15.55</v>
      </c>
      <c r="AI6" s="8" t="n">
        <f aca="false">15+27/60</f>
        <v>15.45</v>
      </c>
      <c r="AJ6" s="8" t="n">
        <f aca="false">16+11/60</f>
        <v>16.1833333333333</v>
      </c>
      <c r="AK6" s="8" t="n">
        <f aca="false">60/3.8</f>
        <v>15.7894736842105</v>
      </c>
      <c r="AL6" s="8"/>
      <c r="AM6" s="8"/>
      <c r="AN6" s="8"/>
      <c r="AO6" s="8"/>
      <c r="AP6" s="4" t="n">
        <v>0</v>
      </c>
      <c r="AQ6" s="4" t="n">
        <v>0</v>
      </c>
      <c r="AR6" s="4"/>
      <c r="AS6" s="14"/>
      <c r="AT6" s="8"/>
      <c r="AU6" s="8"/>
      <c r="AV6" s="8"/>
      <c r="AW6" s="8"/>
      <c r="AX6" s="8"/>
      <c r="AY6" s="4" t="s">
        <v>59</v>
      </c>
      <c r="AZ6" s="4" t="s">
        <v>60</v>
      </c>
      <c r="BA6" s="4" t="n">
        <v>0</v>
      </c>
      <c r="BB6" s="4"/>
      <c r="BC6" s="4"/>
    </row>
    <row r="7" customFormat="false" ht="16.9" hidden="false" customHeight="false" outlineLevel="0" collapsed="false">
      <c r="A7" s="11" t="n">
        <f aca="false">A6+1</f>
        <v>541</v>
      </c>
      <c r="B7" s="12" t="n">
        <v>43887.4951388889</v>
      </c>
      <c r="C7" s="4" t="n">
        <v>1</v>
      </c>
      <c r="D7" s="4"/>
      <c r="E7" s="4"/>
      <c r="F7" s="4" t="s">
        <v>61</v>
      </c>
      <c r="G7" s="6" t="n">
        <v>44</v>
      </c>
      <c r="H7" s="6" t="n">
        <v>23</v>
      </c>
      <c r="I7" s="6" t="n">
        <v>45</v>
      </c>
      <c r="J7" s="6" t="s">
        <v>70</v>
      </c>
      <c r="K7" s="6" t="n">
        <v>29</v>
      </c>
      <c r="L7" s="6" t="n">
        <v>23</v>
      </c>
      <c r="M7" s="3" t="s">
        <v>63</v>
      </c>
      <c r="N7" s="4" t="s">
        <v>57</v>
      </c>
      <c r="O7" s="4"/>
      <c r="P7" s="4" t="s">
        <v>58</v>
      </c>
      <c r="Q7" s="8" t="n">
        <v>2.86</v>
      </c>
      <c r="R7" s="6"/>
      <c r="S7" s="6"/>
      <c r="T7" s="6" t="n">
        <f aca="false">9769-843</f>
        <v>8926</v>
      </c>
      <c r="U7" s="8" t="n">
        <f aca="false">79/60</f>
        <v>1.31666666666667</v>
      </c>
      <c r="V7" s="8"/>
      <c r="W7" s="8"/>
      <c r="X7" s="8" t="n">
        <f aca="false">Q7/U7</f>
        <v>2.17215189873418</v>
      </c>
      <c r="Y7" s="4" t="n">
        <f aca="false">2</f>
        <v>2</v>
      </c>
      <c r="Z7" s="8" t="n">
        <f aca="false">Q7/Y7</f>
        <v>1.43</v>
      </c>
      <c r="AA7" s="8" t="n">
        <f aca="false">27+34/60</f>
        <v>27.5666666666667</v>
      </c>
      <c r="AB7" s="6" t="n">
        <v>54</v>
      </c>
      <c r="AC7" s="6" t="n">
        <v>649</v>
      </c>
      <c r="AD7" s="6" t="n">
        <v>110</v>
      </c>
      <c r="AE7" s="4" t="n">
        <v>146</v>
      </c>
      <c r="AF7" s="8" t="n">
        <f aca="false">16+46/60</f>
        <v>16.7666666666667</v>
      </c>
      <c r="AG7" s="8" t="n">
        <f aca="false">24+41/60</f>
        <v>24.6833333333333</v>
      </c>
      <c r="AH7" s="8" t="n">
        <f aca="false">37+16/60</f>
        <v>37.2666666666667</v>
      </c>
      <c r="AI7" s="8"/>
      <c r="AJ7" s="8"/>
      <c r="AK7" s="8"/>
      <c r="AL7" s="8"/>
      <c r="AM7" s="8"/>
      <c r="AN7" s="8"/>
      <c r="AO7" s="8"/>
      <c r="AP7" s="4" t="n">
        <v>0</v>
      </c>
      <c r="AQ7" s="4" t="n">
        <v>0</v>
      </c>
      <c r="AR7" s="4"/>
      <c r="AS7" s="14"/>
      <c r="AT7" s="8"/>
      <c r="AU7" s="8"/>
      <c r="AV7" s="8"/>
      <c r="AW7" s="8"/>
      <c r="AX7" s="8"/>
      <c r="AY7" s="4" t="s">
        <v>59</v>
      </c>
      <c r="AZ7" s="4" t="s">
        <v>60</v>
      </c>
      <c r="BA7" s="4" t="n">
        <v>0</v>
      </c>
      <c r="BB7" s="4"/>
      <c r="BC7" s="4"/>
    </row>
    <row r="8" customFormat="false" ht="16.9" hidden="false" customHeight="false" outlineLevel="0" collapsed="false">
      <c r="A8" s="11" t="n">
        <f aca="false">A7+1</f>
        <v>542</v>
      </c>
      <c r="B8" s="12" t="n">
        <v>43888.4951388889</v>
      </c>
      <c r="C8" s="4" t="n">
        <v>1</v>
      </c>
      <c r="D8" s="4"/>
      <c r="E8" s="4"/>
      <c r="F8" s="4" t="s">
        <v>71</v>
      </c>
      <c r="G8" s="6" t="n">
        <v>52</v>
      </c>
      <c r="H8" s="6" t="n">
        <v>22</v>
      </c>
      <c r="I8" s="6" t="n">
        <v>31</v>
      </c>
      <c r="J8" s="4" t="s">
        <v>72</v>
      </c>
      <c r="K8" s="6" t="n">
        <v>12</v>
      </c>
      <c r="L8" s="6" t="n">
        <v>0</v>
      </c>
      <c r="M8" s="3" t="s">
        <v>63</v>
      </c>
      <c r="N8" s="4" t="s">
        <v>73</v>
      </c>
      <c r="O8" s="4"/>
      <c r="P8" s="4" t="s">
        <v>74</v>
      </c>
      <c r="Q8" s="8" t="n">
        <v>4.61</v>
      </c>
      <c r="R8" s="6"/>
      <c r="S8" s="6"/>
      <c r="T8" s="6" t="n">
        <v>9972</v>
      </c>
      <c r="U8" s="8" t="n">
        <f aca="false">73/60</f>
        <v>1.21666666666667</v>
      </c>
      <c r="V8" s="8"/>
      <c r="W8" s="8"/>
      <c r="X8" s="8" t="n">
        <f aca="false">Q8/U8</f>
        <v>3.78904109589041</v>
      </c>
      <c r="Y8" s="4" t="n">
        <v>1</v>
      </c>
      <c r="Z8" s="8" t="n">
        <f aca="false">Q8/U8</f>
        <v>3.78904109589041</v>
      </c>
      <c r="AA8" s="8" t="n">
        <f aca="false">15+52/60</f>
        <v>15.8666666666667</v>
      </c>
      <c r="AB8" s="6" t="n">
        <v>174</v>
      </c>
      <c r="AC8" s="6" t="n">
        <v>630</v>
      </c>
      <c r="AD8" s="6" t="n">
        <v>106</v>
      </c>
      <c r="AE8" s="4" t="n">
        <v>148</v>
      </c>
      <c r="AF8" s="8" t="n">
        <f aca="false">15+26/60</f>
        <v>15.4333333333333</v>
      </c>
      <c r="AG8" s="8" t="n">
        <f aca="false">15+51/60</f>
        <v>15.85</v>
      </c>
      <c r="AH8" s="8" t="n">
        <f aca="false">16+10.1/60</f>
        <v>16.1683333333333</v>
      </c>
      <c r="AI8" s="8" t="n">
        <f aca="false">16+5/60</f>
        <v>16.0833333333333</v>
      </c>
      <c r="AJ8" s="8" t="n">
        <f aca="false">60/3.8</f>
        <v>15.7894736842105</v>
      </c>
      <c r="AK8" s="8"/>
      <c r="AL8" s="8"/>
      <c r="AM8" s="8"/>
      <c r="AN8" s="8"/>
      <c r="AO8" s="8"/>
      <c r="AP8" s="4" t="n">
        <v>0</v>
      </c>
      <c r="AQ8" s="4" t="n">
        <v>0</v>
      </c>
      <c r="AR8" s="4"/>
      <c r="AS8" s="14"/>
      <c r="AT8" s="8"/>
      <c r="AU8" s="8"/>
      <c r="AV8" s="8"/>
      <c r="AW8" s="8"/>
      <c r="AX8" s="8"/>
      <c r="AY8" s="4" t="s">
        <v>59</v>
      </c>
      <c r="AZ8" s="4" t="s">
        <v>60</v>
      </c>
      <c r="BA8" s="4" t="n">
        <v>0</v>
      </c>
      <c r="BB8" s="4"/>
      <c r="BC8" s="4"/>
    </row>
    <row r="9" customFormat="false" ht="16.9" hidden="false" customHeight="false" outlineLevel="0" collapsed="false">
      <c r="A9" s="11" t="n">
        <f aca="false">A8+1</f>
        <v>543</v>
      </c>
      <c r="B9" s="12" t="n">
        <f aca="false">B8+1</f>
        <v>43889.4951388889</v>
      </c>
      <c r="C9" s="4" t="n">
        <v>1</v>
      </c>
      <c r="D9" s="4"/>
      <c r="E9" s="4"/>
      <c r="F9" s="4" t="s">
        <v>71</v>
      </c>
      <c r="G9" s="6" t="n">
        <v>56</v>
      </c>
      <c r="H9" s="6" t="n">
        <v>30</v>
      </c>
      <c r="I9" s="6" t="n">
        <v>45</v>
      </c>
      <c r="J9" s="4" t="s">
        <v>75</v>
      </c>
      <c r="K9" s="6" t="n">
        <v>0</v>
      </c>
      <c r="L9" s="6" t="n">
        <v>0</v>
      </c>
      <c r="M9" s="3" t="s">
        <v>63</v>
      </c>
      <c r="N9" s="4" t="s">
        <v>73</v>
      </c>
      <c r="O9" s="4"/>
      <c r="P9" s="4" t="s">
        <v>76</v>
      </c>
      <c r="Q9" s="8" t="n">
        <v>4.24</v>
      </c>
      <c r="R9" s="6"/>
      <c r="S9" s="6"/>
      <c r="T9" s="6" t="n">
        <v>10059</v>
      </c>
      <c r="U9" s="8" t="n">
        <f aca="false">68/60</f>
        <v>1.13333333333333</v>
      </c>
      <c r="V9" s="8"/>
      <c r="W9" s="8"/>
      <c r="X9" s="8" t="n">
        <f aca="false">Q9/U9</f>
        <v>3.74117647058824</v>
      </c>
      <c r="Y9" s="4" t="n">
        <v>1</v>
      </c>
      <c r="Z9" s="8" t="n">
        <f aca="false">Q9/Y9</f>
        <v>4.24</v>
      </c>
      <c r="AA9" s="8" t="n">
        <f aca="false">15+56/60</f>
        <v>15.9333333333333</v>
      </c>
      <c r="AB9" s="6" t="n">
        <v>33</v>
      </c>
      <c r="AC9" s="6" t="n">
        <v>387</v>
      </c>
      <c r="AD9" s="6" t="n">
        <v>92</v>
      </c>
      <c r="AE9" s="4" t="n">
        <v>133</v>
      </c>
      <c r="AF9" s="8" t="n">
        <f aca="false">15+19/60</f>
        <v>15.3166666666667</v>
      </c>
      <c r="AG9" s="8" t="n">
        <f aca="false">15+58.5/60</f>
        <v>15.975</v>
      </c>
      <c r="AH9" s="8" t="n">
        <f aca="false">16+22.2/60</f>
        <v>16.37</v>
      </c>
      <c r="AI9" s="8" t="n">
        <f aca="false">15+56.1/60</f>
        <v>15.935</v>
      </c>
      <c r="AJ9" s="8" t="n">
        <f aca="false">60/3.8</f>
        <v>15.7894736842105</v>
      </c>
      <c r="AK9" s="8"/>
      <c r="AL9" s="8"/>
      <c r="AM9" s="8"/>
      <c r="AN9" s="8"/>
      <c r="AO9" s="8"/>
      <c r="AP9" s="4" t="n">
        <v>0</v>
      </c>
      <c r="AQ9" s="4" t="n">
        <v>0</v>
      </c>
      <c r="AR9" s="4"/>
      <c r="AS9" s="14"/>
      <c r="AT9" s="8"/>
      <c r="AU9" s="8"/>
      <c r="AV9" s="8"/>
      <c r="AW9" s="8"/>
      <c r="AX9" s="8"/>
      <c r="AY9" s="4" t="s">
        <v>59</v>
      </c>
      <c r="AZ9" s="4" t="s">
        <v>60</v>
      </c>
      <c r="BA9" s="4" t="n">
        <v>0</v>
      </c>
      <c r="BB9" s="4"/>
      <c r="BC9" s="4"/>
    </row>
    <row r="10" customFormat="false" ht="16.9" hidden="false" customHeight="false" outlineLevel="0" collapsed="false">
      <c r="A10" s="11" t="n">
        <v>543</v>
      </c>
      <c r="B10" s="12" t="n">
        <f aca="false">B9+1</f>
        <v>43890.4951388889</v>
      </c>
      <c r="C10" s="4" t="n">
        <v>0</v>
      </c>
      <c r="D10" s="4" t="s">
        <v>77</v>
      </c>
      <c r="E10" s="4"/>
      <c r="F10" s="4" t="s">
        <v>61</v>
      </c>
      <c r="G10" s="6" t="n">
        <v>69</v>
      </c>
      <c r="H10" s="6" t="n">
        <v>36</v>
      </c>
      <c r="I10" s="6" t="n">
        <v>39</v>
      </c>
      <c r="J10" s="6" t="s">
        <v>62</v>
      </c>
      <c r="K10" s="6" t="n">
        <v>12</v>
      </c>
      <c r="L10" s="6" t="n">
        <v>0</v>
      </c>
      <c r="M10" s="3" t="s">
        <v>63</v>
      </c>
      <c r="N10" s="4"/>
      <c r="O10" s="4"/>
      <c r="P10" s="4"/>
      <c r="Q10" s="8"/>
      <c r="R10" s="6"/>
      <c r="S10" s="6"/>
      <c r="T10" s="6"/>
      <c r="U10" s="8"/>
      <c r="V10" s="8"/>
      <c r="W10" s="8"/>
      <c r="X10" s="8"/>
      <c r="Y10" s="4"/>
      <c r="Z10" s="8"/>
      <c r="AA10" s="8"/>
      <c r="AB10" s="6"/>
      <c r="AC10" s="6"/>
      <c r="AD10" s="6"/>
      <c r="AE10" s="4"/>
      <c r="AF10" s="8"/>
      <c r="AG10" s="8"/>
      <c r="AI10" s="8"/>
      <c r="AJ10" s="8"/>
      <c r="AK10" s="8"/>
      <c r="AL10" s="8"/>
      <c r="AM10" s="8"/>
      <c r="AN10" s="8"/>
      <c r="AO10" s="8"/>
      <c r="AP10" s="4" t="n">
        <v>2</v>
      </c>
      <c r="AQ10" s="4" t="n">
        <v>1</v>
      </c>
      <c r="AR10" s="4"/>
      <c r="AS10" s="14"/>
      <c r="AT10" s="8"/>
      <c r="AU10" s="8"/>
      <c r="AV10" s="8"/>
      <c r="AW10" s="8"/>
      <c r="AX10" s="8"/>
      <c r="AY10" s="4" t="s">
        <v>59</v>
      </c>
      <c r="AZ10" s="4" t="s">
        <v>60</v>
      </c>
      <c r="BA10" s="4" t="n">
        <v>1</v>
      </c>
      <c r="BB10" s="4" t="s">
        <v>78</v>
      </c>
      <c r="BC10" s="4"/>
    </row>
    <row r="11" customFormat="false" ht="16.9" hidden="false" customHeight="false" outlineLevel="0" collapsed="false">
      <c r="A11" s="11" t="n">
        <f aca="false">A10+1</f>
        <v>544</v>
      </c>
      <c r="B11" s="12" t="n">
        <f aca="false">B10+1</f>
        <v>43891.4951388889</v>
      </c>
      <c r="C11" s="4" t="n">
        <v>0</v>
      </c>
      <c r="D11" s="4" t="s">
        <v>79</v>
      </c>
      <c r="E11" s="4"/>
      <c r="F11" s="4" t="s">
        <v>61</v>
      </c>
      <c r="G11" s="6" t="n">
        <v>73</v>
      </c>
      <c r="H11" s="6" t="n">
        <v>56</v>
      </c>
      <c r="I11" s="6" t="n">
        <v>55</v>
      </c>
      <c r="J11" s="4" t="s">
        <v>80</v>
      </c>
      <c r="K11" s="6" t="n">
        <v>20</v>
      </c>
      <c r="L11" s="6" t="n">
        <v>0</v>
      </c>
      <c r="M11" s="3" t="s">
        <v>63</v>
      </c>
      <c r="N11" s="4"/>
      <c r="O11" s="4"/>
      <c r="P11" s="4"/>
      <c r="Q11" s="8"/>
      <c r="R11" s="6"/>
      <c r="S11" s="6"/>
      <c r="T11" s="6"/>
      <c r="U11" s="8"/>
      <c r="V11" s="8"/>
      <c r="W11" s="8"/>
      <c r="X11" s="8"/>
      <c r="Y11" s="4"/>
      <c r="Z11" s="8"/>
      <c r="AA11" s="8"/>
      <c r="AB11" s="6"/>
      <c r="AC11" s="6"/>
      <c r="AD11" s="6"/>
      <c r="AE11" s="4"/>
      <c r="AF11" s="8"/>
      <c r="AG11" s="8"/>
      <c r="AI11" s="8"/>
      <c r="AJ11" s="8"/>
      <c r="AK11" s="8"/>
      <c r="AL11" s="8"/>
      <c r="AM11" s="8"/>
      <c r="AN11" s="8"/>
      <c r="AO11" s="8"/>
      <c r="AP11" s="4"/>
      <c r="AQ11" s="4"/>
      <c r="AR11" s="4"/>
      <c r="AS11" s="14"/>
      <c r="AT11" s="8"/>
      <c r="AU11" s="8"/>
      <c r="AV11" s="8"/>
      <c r="AW11" s="8"/>
      <c r="AX11" s="8"/>
      <c r="AY11" s="4"/>
      <c r="AZ11" s="4"/>
      <c r="BA11" s="4"/>
      <c r="BB11" s="4"/>
      <c r="BC11" s="4"/>
    </row>
    <row r="12" customFormat="false" ht="16.9" hidden="false" customHeight="false" outlineLevel="0" collapsed="false">
      <c r="A12" s="11" t="n">
        <f aca="false">A11+1</f>
        <v>545</v>
      </c>
      <c r="B12" s="12" t="n">
        <f aca="false">B11+1</f>
        <v>43892.4951388889</v>
      </c>
      <c r="C12" s="4" t="n">
        <v>0</v>
      </c>
      <c r="D12" s="4"/>
      <c r="E12" s="4"/>
      <c r="F12" s="4" t="s">
        <v>65</v>
      </c>
      <c r="G12" s="6" t="n">
        <v>70</v>
      </c>
      <c r="H12" s="6" t="n">
        <v>57</v>
      </c>
      <c r="I12" s="6" t="n">
        <v>63</v>
      </c>
      <c r="J12" s="4" t="s">
        <v>81</v>
      </c>
      <c r="K12" s="6" t="n">
        <v>9</v>
      </c>
      <c r="L12" s="6" t="n">
        <v>0</v>
      </c>
      <c r="M12" s="3" t="s">
        <v>63</v>
      </c>
      <c r="N12" s="4"/>
      <c r="O12" s="4"/>
      <c r="P12" s="4"/>
      <c r="Q12" s="8"/>
      <c r="R12" s="6"/>
      <c r="S12" s="6"/>
      <c r="T12" s="6"/>
      <c r="U12" s="8"/>
      <c r="V12" s="8"/>
      <c r="W12" s="8"/>
      <c r="X12" s="8"/>
      <c r="Y12" s="4"/>
      <c r="Z12" s="8"/>
      <c r="AA12" s="8"/>
      <c r="AB12" s="6"/>
      <c r="AC12" s="6"/>
      <c r="AD12" s="6"/>
      <c r="AE12" s="4"/>
      <c r="AF12" s="8"/>
      <c r="AG12" s="8"/>
      <c r="AI12" s="8"/>
      <c r="AJ12" s="8"/>
      <c r="AK12" s="8"/>
      <c r="AL12" s="8"/>
      <c r="AM12" s="8"/>
      <c r="AN12" s="8"/>
      <c r="AO12" s="8"/>
      <c r="AP12" s="4"/>
      <c r="AQ12" s="4"/>
      <c r="AR12" s="4"/>
      <c r="AS12" s="14"/>
      <c r="AT12" s="8"/>
      <c r="AU12" s="8"/>
      <c r="AV12" s="8"/>
      <c r="AW12" s="8"/>
      <c r="AX12" s="8"/>
      <c r="AY12" s="4"/>
      <c r="AZ12" s="4"/>
      <c r="BA12" s="4"/>
      <c r="BB12" s="4"/>
      <c r="BC12" s="4"/>
    </row>
    <row r="13" customFormat="false" ht="16.9" hidden="false" customHeight="false" outlineLevel="0" collapsed="false">
      <c r="A13" s="11" t="n">
        <f aca="false">A12+1</f>
        <v>546</v>
      </c>
      <c r="B13" s="12" t="n">
        <f aca="false">B12+1</f>
        <v>43893.4951388889</v>
      </c>
      <c r="C13" s="4" t="n">
        <v>0</v>
      </c>
      <c r="D13" s="4" t="s">
        <v>82</v>
      </c>
      <c r="E13" s="4"/>
      <c r="F13" s="4" t="s">
        <v>65</v>
      </c>
      <c r="G13" s="6" t="n">
        <v>62</v>
      </c>
      <c r="H13" s="6" t="n">
        <v>51</v>
      </c>
      <c r="I13" s="6" t="n">
        <v>65</v>
      </c>
      <c r="J13" s="6" t="s">
        <v>83</v>
      </c>
      <c r="K13" s="6" t="n">
        <v>8</v>
      </c>
      <c r="L13" s="6" t="n">
        <v>0</v>
      </c>
      <c r="M13" s="3" t="s">
        <v>63</v>
      </c>
      <c r="N13" s="4"/>
      <c r="O13" s="4"/>
      <c r="P13" s="4"/>
      <c r="Q13" s="8"/>
      <c r="R13" s="6"/>
      <c r="S13" s="6"/>
      <c r="T13" s="6"/>
      <c r="U13" s="8"/>
      <c r="V13" s="8"/>
      <c r="W13" s="8"/>
      <c r="X13" s="8"/>
      <c r="Y13" s="4"/>
      <c r="Z13" s="8"/>
      <c r="AA13" s="8"/>
      <c r="AB13" s="6"/>
      <c r="AC13" s="6"/>
      <c r="AD13" s="6"/>
      <c r="AE13" s="4"/>
      <c r="AF13" s="8"/>
      <c r="AG13" s="8"/>
      <c r="AI13" s="8"/>
      <c r="AJ13" s="8"/>
      <c r="AK13" s="8"/>
      <c r="AL13" s="8"/>
      <c r="AM13" s="8"/>
      <c r="AN13" s="8"/>
      <c r="AO13" s="8"/>
      <c r="AP13" s="4"/>
      <c r="AQ13" s="4"/>
      <c r="AR13" s="4"/>
      <c r="AS13" s="14"/>
      <c r="AT13" s="8"/>
      <c r="AU13" s="8"/>
      <c r="AV13" s="8"/>
      <c r="AW13" s="8"/>
      <c r="AX13" s="8"/>
      <c r="AY13" s="4"/>
      <c r="AZ13" s="4"/>
      <c r="BA13" s="4"/>
      <c r="BB13" s="4"/>
      <c r="BC13" s="4"/>
    </row>
    <row r="14" customFormat="false" ht="16.9" hidden="false" customHeight="false" outlineLevel="0" collapsed="false">
      <c r="A14" s="11" t="n">
        <f aca="false">A13+1</f>
        <v>547</v>
      </c>
      <c r="B14" s="12" t="n">
        <f aca="false">B13+1</f>
        <v>43894.4951388889</v>
      </c>
      <c r="C14" s="4" t="n">
        <v>1</v>
      </c>
      <c r="D14" s="4"/>
      <c r="E14" s="4"/>
      <c r="F14" s="15" t="s">
        <v>84</v>
      </c>
      <c r="G14" s="6" t="n">
        <v>57</v>
      </c>
      <c r="H14" s="6" t="n">
        <v>51</v>
      </c>
      <c r="I14" s="6" t="n">
        <v>81</v>
      </c>
      <c r="J14" s="4" t="s">
        <v>85</v>
      </c>
      <c r="K14" s="4" t="n">
        <v>16</v>
      </c>
      <c r="L14" s="6" t="n">
        <v>0</v>
      </c>
      <c r="M14" s="3" t="s">
        <v>63</v>
      </c>
      <c r="N14" s="4" t="s">
        <v>57</v>
      </c>
      <c r="O14" s="4"/>
      <c r="P14" s="4" t="s">
        <v>58</v>
      </c>
      <c r="Q14" s="8" t="n">
        <v>5.05</v>
      </c>
      <c r="R14" s="6"/>
      <c r="S14" s="6"/>
      <c r="T14" s="6" t="n">
        <v>11922</v>
      </c>
      <c r="U14" s="8" t="n">
        <f aca="false">92/60</f>
        <v>1.53333333333333</v>
      </c>
      <c r="V14" s="8"/>
      <c r="W14" s="8"/>
      <c r="X14" s="8" t="n">
        <f aca="false">Q14/U14</f>
        <v>3.29347826086956</v>
      </c>
      <c r="Y14" s="4" t="n">
        <v>3</v>
      </c>
      <c r="Z14" s="8" t="n">
        <f aca="false">Q14/Y14</f>
        <v>1.68333333333333</v>
      </c>
      <c r="AA14" s="8" t="n">
        <f aca="false">18+19/60</f>
        <v>18.3166666666667</v>
      </c>
      <c r="AB14" s="6" t="n">
        <v>54</v>
      </c>
      <c r="AC14" s="6" t="n">
        <v>415</v>
      </c>
      <c r="AD14" s="6" t="n">
        <v>84</v>
      </c>
      <c r="AE14" s="4" t="n">
        <v>107</v>
      </c>
      <c r="AF14" s="8" t="n">
        <f aca="false">18+24/60</f>
        <v>18.4</v>
      </c>
      <c r="AG14" s="8" t="n">
        <f aca="false">18+15.7/60</f>
        <v>18.2616666666667</v>
      </c>
      <c r="AH14" s="8" t="n">
        <f aca="false">18+50/60</f>
        <v>18.8333333333333</v>
      </c>
      <c r="AI14" s="8" t="n">
        <f aca="false">17+51.4/60</f>
        <v>17.8566666666667</v>
      </c>
      <c r="AJ14" s="8" t="n">
        <f aca="false">17+59/60</f>
        <v>17.9833333333333</v>
      </c>
      <c r="AK14" s="8" t="n">
        <f aca="false">60/2.6</f>
        <v>23.0769230769231</v>
      </c>
      <c r="AL14" s="8"/>
      <c r="AM14" s="8"/>
      <c r="AN14" s="8"/>
      <c r="AO14" s="8"/>
      <c r="AP14" s="4" t="n">
        <v>1</v>
      </c>
      <c r="AQ14" s="4" t="n">
        <v>0</v>
      </c>
      <c r="AR14" s="4"/>
      <c r="AS14" s="14"/>
      <c r="AT14" s="8"/>
      <c r="AU14" s="8"/>
      <c r="AV14" s="8"/>
      <c r="AW14" s="8"/>
      <c r="AX14" s="8"/>
      <c r="AY14" s="4" t="s">
        <v>59</v>
      </c>
      <c r="AZ14" s="4" t="s">
        <v>60</v>
      </c>
      <c r="BA14" s="4" t="n">
        <v>0</v>
      </c>
      <c r="BB14" s="4"/>
      <c r="BC14" s="4"/>
    </row>
    <row r="15" customFormat="false" ht="16.9" hidden="false" customHeight="false" outlineLevel="0" collapsed="false">
      <c r="A15" s="11" t="n">
        <f aca="false">A14+1</f>
        <v>548</v>
      </c>
      <c r="B15" s="12" t="n">
        <f aca="false">B14+1</f>
        <v>43895.4951388889</v>
      </c>
      <c r="C15" s="4" t="n">
        <v>1</v>
      </c>
      <c r="D15" s="4"/>
      <c r="E15" s="4"/>
      <c r="F15" s="4" t="s">
        <v>71</v>
      </c>
      <c r="G15" s="6" t="n">
        <v>67</v>
      </c>
      <c r="H15" s="6" t="n">
        <v>38</v>
      </c>
      <c r="I15" s="6" t="n">
        <v>36</v>
      </c>
      <c r="J15" s="6" t="s">
        <v>86</v>
      </c>
      <c r="K15" s="6" t="n">
        <v>9</v>
      </c>
      <c r="L15" s="6" t="n">
        <v>0</v>
      </c>
      <c r="M15" s="3" t="s">
        <v>63</v>
      </c>
      <c r="N15" s="4" t="s">
        <v>73</v>
      </c>
      <c r="O15" s="4"/>
      <c r="P15" s="4" t="s">
        <v>87</v>
      </c>
      <c r="Q15" s="8" t="n">
        <v>4.48</v>
      </c>
      <c r="R15" s="6"/>
      <c r="S15" s="6"/>
      <c r="T15" s="6" t="n">
        <f aca="false">10056-560</f>
        <v>9496</v>
      </c>
      <c r="U15" s="8" t="n">
        <f aca="false">72/60</f>
        <v>1.2</v>
      </c>
      <c r="V15" s="8"/>
      <c r="W15" s="8"/>
      <c r="X15" s="8" t="n">
        <f aca="false">Q15/U15</f>
        <v>3.73333333333333</v>
      </c>
      <c r="Y15" s="4" t="n">
        <v>1</v>
      </c>
      <c r="Z15" s="8" t="n">
        <f aca="false">Q15/Y15</f>
        <v>4.48</v>
      </c>
      <c r="AA15" s="8" t="n">
        <f aca="false">15+59/60</f>
        <v>15.9833333333333</v>
      </c>
      <c r="AB15" s="6" t="n">
        <v>105</v>
      </c>
      <c r="AC15" s="6" t="n">
        <v>515</v>
      </c>
      <c r="AD15" s="6" t="n">
        <v>78</v>
      </c>
      <c r="AE15" s="4" t="n">
        <v>143</v>
      </c>
      <c r="AF15" s="8" t="n">
        <f aca="false">15+21.4/60</f>
        <v>15.3566666666667</v>
      </c>
      <c r="AG15" s="8" t="n">
        <f aca="false">15+41.9/60</f>
        <v>15.6983333333333</v>
      </c>
      <c r="AH15" s="8" t="n">
        <f aca="false">16+4.8/60</f>
        <v>16.08</v>
      </c>
      <c r="AI15" s="8" t="n">
        <f aca="false">16+24.6/60</f>
        <v>16.41</v>
      </c>
      <c r="AJ15" s="8" t="n">
        <f aca="false">60/3.8</f>
        <v>15.7894736842105</v>
      </c>
      <c r="AK15" s="8"/>
      <c r="AL15" s="8"/>
      <c r="AM15" s="8"/>
      <c r="AN15" s="8"/>
      <c r="AO15" s="8"/>
      <c r="AP15" s="4" t="n">
        <v>1</v>
      </c>
      <c r="AQ15" s="4" t="n">
        <v>0</v>
      </c>
      <c r="AR15" s="4"/>
      <c r="AS15" s="14"/>
      <c r="AT15" s="8"/>
      <c r="AU15" s="8"/>
      <c r="AV15" s="8"/>
      <c r="AW15" s="8"/>
      <c r="AX15" s="8"/>
      <c r="AY15" s="4" t="s">
        <v>59</v>
      </c>
      <c r="AZ15" s="4" t="s">
        <v>60</v>
      </c>
      <c r="BA15" s="4" t="n">
        <v>0</v>
      </c>
      <c r="BB15" s="4"/>
      <c r="BC15" s="4"/>
    </row>
    <row r="16" customFormat="false" ht="16.9" hidden="false" customHeight="false" outlineLevel="0" collapsed="false">
      <c r="A16" s="11" t="n">
        <f aca="false">A15+1</f>
        <v>549</v>
      </c>
      <c r="B16" s="12" t="n">
        <f aca="false">B15+1</f>
        <v>43896.4951388889</v>
      </c>
      <c r="C16" s="4" t="n">
        <v>1</v>
      </c>
      <c r="D16" s="4"/>
      <c r="E16" s="4"/>
      <c r="F16" s="4" t="s">
        <v>61</v>
      </c>
      <c r="G16" s="6" t="n">
        <v>64</v>
      </c>
      <c r="H16" s="6" t="n">
        <v>22</v>
      </c>
      <c r="I16" s="6" t="n">
        <v>21</v>
      </c>
      <c r="J16" s="4" t="s">
        <v>85</v>
      </c>
      <c r="K16" s="6" t="n">
        <v>8</v>
      </c>
      <c r="L16" s="6" t="n">
        <v>0</v>
      </c>
      <c r="M16" s="3" t="s">
        <v>63</v>
      </c>
      <c r="N16" s="4" t="s">
        <v>73</v>
      </c>
      <c r="O16" s="4"/>
      <c r="P16" s="4" t="s">
        <v>64</v>
      </c>
      <c r="Q16" s="8" t="n">
        <v>5.8</v>
      </c>
      <c r="R16" s="6"/>
      <c r="S16" s="6"/>
      <c r="T16" s="6" t="n">
        <v>11898</v>
      </c>
      <c r="U16" s="8" t="n">
        <f aca="false">1+29/60</f>
        <v>1.48333333333333</v>
      </c>
      <c r="V16" s="8"/>
      <c r="W16" s="8"/>
      <c r="X16" s="8" t="n">
        <f aca="false">Q16/U16</f>
        <v>3.91011235955056</v>
      </c>
      <c r="Y16" s="4" t="n">
        <v>2</v>
      </c>
      <c r="Z16" s="8" t="n">
        <f aca="false">Q16/Y16</f>
        <v>2.9</v>
      </c>
      <c r="AA16" s="8" t="n">
        <f aca="false">15+21/60</f>
        <v>15.35</v>
      </c>
      <c r="AB16" s="6" t="n">
        <v>148</v>
      </c>
      <c r="AC16" s="6" t="n">
        <v>697</v>
      </c>
      <c r="AD16" s="6" t="n">
        <v>93</v>
      </c>
      <c r="AE16" s="4" t="n">
        <v>146</v>
      </c>
      <c r="AF16" s="8" t="n">
        <f aca="false">14+38.3/60</f>
        <v>14.6383333333333</v>
      </c>
      <c r="AG16" s="8" t="n">
        <f aca="false">15+15.3/60</f>
        <v>15.255</v>
      </c>
      <c r="AH16" s="8" t="n">
        <f aca="false">16+2/60</f>
        <v>16.0333333333333</v>
      </c>
      <c r="AI16" s="8" t="n">
        <f aca="false">14+50.8/60</f>
        <v>14.8466666666667</v>
      </c>
      <c r="AJ16" s="8" t="n">
        <f aca="false">15+32.4/60</f>
        <v>15.54</v>
      </c>
      <c r="AK16" s="8" t="n">
        <f aca="false">60/3.8</f>
        <v>15.7894736842105</v>
      </c>
      <c r="AL16" s="8"/>
      <c r="AM16" s="8"/>
      <c r="AN16" s="8"/>
      <c r="AO16" s="8"/>
      <c r="AP16" s="4" t="n">
        <v>1</v>
      </c>
      <c r="AQ16" s="4" t="n">
        <v>0</v>
      </c>
      <c r="AR16" s="4"/>
      <c r="AS16" s="14"/>
      <c r="AT16" s="8"/>
      <c r="AU16" s="8"/>
      <c r="AV16" s="8"/>
      <c r="AW16" s="8"/>
      <c r="AX16" s="8"/>
      <c r="AY16" s="4" t="s">
        <v>59</v>
      </c>
      <c r="AZ16" s="4" t="s">
        <v>60</v>
      </c>
      <c r="BA16" s="4" t="n">
        <v>0</v>
      </c>
      <c r="BB16" s="4"/>
      <c r="BC16" s="4"/>
    </row>
    <row r="17" customFormat="false" ht="16.9" hidden="false" customHeight="false" outlineLevel="0" collapsed="false">
      <c r="A17" s="11" t="n">
        <f aca="false">A16+1</f>
        <v>550</v>
      </c>
      <c r="B17" s="12" t="n">
        <f aca="false">B16+1</f>
        <v>43897.4951388889</v>
      </c>
      <c r="C17" s="4" t="n">
        <v>1</v>
      </c>
      <c r="D17" s="4"/>
      <c r="E17" s="4"/>
      <c r="F17" s="4" t="s">
        <v>65</v>
      </c>
      <c r="G17" s="6" t="n">
        <v>60</v>
      </c>
      <c r="H17" s="6" t="n">
        <v>38</v>
      </c>
      <c r="I17" s="6" t="n">
        <v>34</v>
      </c>
      <c r="J17" s="4" t="s">
        <v>88</v>
      </c>
      <c r="K17" s="6" t="n">
        <v>16</v>
      </c>
      <c r="L17" s="6" t="n">
        <v>0</v>
      </c>
      <c r="M17" s="3" t="s">
        <v>63</v>
      </c>
      <c r="N17" s="4" t="s">
        <v>73</v>
      </c>
      <c r="O17" s="4"/>
      <c r="P17" s="4" t="s">
        <v>89</v>
      </c>
      <c r="Q17" s="8" t="n">
        <v>4.47</v>
      </c>
      <c r="R17" s="6"/>
      <c r="S17" s="6"/>
      <c r="T17" s="6" t="n">
        <v>9834</v>
      </c>
      <c r="U17" s="8" t="n">
        <f aca="false">(60+11)/60</f>
        <v>1.18333333333333</v>
      </c>
      <c r="V17" s="8"/>
      <c r="W17" s="8"/>
      <c r="X17" s="8" t="n">
        <f aca="false">Q17/U17</f>
        <v>3.77746478873239</v>
      </c>
      <c r="Y17" s="4" t="n">
        <v>1</v>
      </c>
      <c r="Z17" s="8"/>
      <c r="AA17" s="8" t="n">
        <f aca="false">15+52/60</f>
        <v>15.8666666666667</v>
      </c>
      <c r="AB17" s="6" t="n">
        <v>226</v>
      </c>
      <c r="AC17" s="6" t="n">
        <v>497</v>
      </c>
      <c r="AD17" s="6" t="n">
        <v>80</v>
      </c>
      <c r="AE17" s="4" t="n">
        <v>107</v>
      </c>
      <c r="AF17" s="8" t="n">
        <f aca="false">15+51.3/60</f>
        <v>15.855</v>
      </c>
      <c r="AG17" s="8" t="n">
        <f aca="false">16+12/4/60</f>
        <v>16.05</v>
      </c>
      <c r="AH17" s="8" t="n">
        <f aca="false">15+58.2/60</f>
        <v>15.97</v>
      </c>
      <c r="AI17" s="8" t="n">
        <f aca="false">15+31/60</f>
        <v>15.5166666666667</v>
      </c>
      <c r="AJ17" s="8" t="n">
        <f aca="false">60/3.8</f>
        <v>15.7894736842105</v>
      </c>
      <c r="AK17" s="8"/>
      <c r="AL17" s="8"/>
      <c r="AM17" s="8"/>
      <c r="AN17" s="8"/>
      <c r="AO17" s="8"/>
      <c r="AP17" s="4" t="n">
        <v>0</v>
      </c>
      <c r="AQ17" s="4" t="n">
        <v>0</v>
      </c>
      <c r="AR17" s="4"/>
      <c r="AS17" s="14"/>
      <c r="AT17" s="8"/>
      <c r="AU17" s="8"/>
      <c r="AV17" s="8"/>
      <c r="AW17" s="8"/>
      <c r="AX17" s="8"/>
      <c r="AY17" s="4" t="s">
        <v>59</v>
      </c>
      <c r="AZ17" s="4" t="s">
        <v>60</v>
      </c>
      <c r="BA17" s="4" t="n">
        <v>0</v>
      </c>
      <c r="BB17" s="4"/>
      <c r="BC17" s="4"/>
    </row>
    <row r="18" customFormat="false" ht="16.9" hidden="false" customHeight="false" outlineLevel="0" collapsed="false">
      <c r="A18" s="11" t="n">
        <f aca="false">A17+1</f>
        <v>551</v>
      </c>
      <c r="B18" s="12" t="n">
        <f aca="false">B17+1</f>
        <v>43898.4951388889</v>
      </c>
      <c r="C18" s="4" t="n">
        <v>0</v>
      </c>
      <c r="D18" s="4" t="s">
        <v>79</v>
      </c>
      <c r="E18" s="4"/>
      <c r="F18" s="4" t="s">
        <v>65</v>
      </c>
      <c r="G18" s="6" t="n">
        <v>59</v>
      </c>
      <c r="H18" s="6" t="n">
        <v>51</v>
      </c>
      <c r="I18" s="6" t="n">
        <v>70</v>
      </c>
      <c r="J18" s="6" t="s">
        <v>62</v>
      </c>
      <c r="K18" s="6" t="n">
        <v>17</v>
      </c>
      <c r="L18" s="6" t="n">
        <v>29</v>
      </c>
      <c r="M18" s="3" t="s">
        <v>63</v>
      </c>
      <c r="N18" s="4"/>
      <c r="O18" s="4"/>
      <c r="P18" s="4"/>
      <c r="Q18" s="8"/>
      <c r="R18" s="6"/>
      <c r="S18" s="6"/>
      <c r="T18" s="6"/>
      <c r="U18" s="8"/>
      <c r="V18" s="8"/>
      <c r="W18" s="8"/>
      <c r="X18" s="8"/>
      <c r="Y18" s="4"/>
      <c r="Z18" s="8"/>
      <c r="AA18" s="8"/>
      <c r="AB18" s="6"/>
      <c r="AC18" s="6"/>
      <c r="AD18" s="6"/>
      <c r="AE18" s="4"/>
      <c r="AF18" s="8"/>
      <c r="AG18" s="8"/>
      <c r="AI18" s="8"/>
      <c r="AJ18" s="8"/>
      <c r="AK18" s="8"/>
      <c r="AL18" s="8"/>
      <c r="AM18" s="8"/>
      <c r="AN18" s="8"/>
      <c r="AO18" s="8"/>
      <c r="AP18" s="4"/>
      <c r="AQ18" s="4"/>
      <c r="AR18" s="4"/>
      <c r="AS18" s="14"/>
      <c r="AT18" s="8"/>
      <c r="AU18" s="8"/>
      <c r="AV18" s="8"/>
      <c r="AW18" s="8"/>
      <c r="AX18" s="8"/>
      <c r="AY18" s="4"/>
      <c r="AZ18" s="4"/>
      <c r="BA18" s="4"/>
      <c r="BB18" s="4"/>
      <c r="BC18" s="4"/>
    </row>
    <row r="19" customFormat="false" ht="16.9" hidden="false" customHeight="false" outlineLevel="0" collapsed="false">
      <c r="A19" s="11" t="n">
        <f aca="false">A18+1</f>
        <v>552</v>
      </c>
      <c r="B19" s="12" t="n">
        <f aca="false">B18+1</f>
        <v>43899.4951388889</v>
      </c>
      <c r="C19" s="4" t="n">
        <v>1</v>
      </c>
      <c r="D19" s="4"/>
      <c r="E19" s="4"/>
      <c r="F19" s="4" t="s">
        <v>90</v>
      </c>
      <c r="G19" s="6" t="n">
        <v>66</v>
      </c>
      <c r="H19" s="6" t="n">
        <v>63</v>
      </c>
      <c r="I19" s="6" t="n">
        <v>90</v>
      </c>
      <c r="J19" s="6" t="s">
        <v>62</v>
      </c>
      <c r="K19" s="6" t="n">
        <v>22</v>
      </c>
      <c r="L19" s="6" t="n">
        <v>0</v>
      </c>
      <c r="M19" s="3" t="s">
        <v>63</v>
      </c>
      <c r="N19" s="4" t="s">
        <v>57</v>
      </c>
      <c r="O19" s="4"/>
      <c r="P19" s="4" t="s">
        <v>58</v>
      </c>
      <c r="Q19" s="8" t="n">
        <v>3.83</v>
      </c>
      <c r="R19" s="6"/>
      <c r="S19" s="6"/>
      <c r="T19" s="6"/>
      <c r="U19" s="8" t="n">
        <f aca="false">(60+7)/60</f>
        <v>1.11666666666667</v>
      </c>
      <c r="V19" s="8"/>
      <c r="W19" s="8"/>
      <c r="X19" s="8" t="n">
        <f aca="false">Q19/U19</f>
        <v>3.42985074626866</v>
      </c>
      <c r="Y19" s="4" t="n">
        <v>2</v>
      </c>
      <c r="Z19" s="8" t="n">
        <f aca="false">Q19/Y19</f>
        <v>1.915</v>
      </c>
      <c r="AA19" s="8" t="n">
        <f aca="false">17+33/60</f>
        <v>17.55</v>
      </c>
      <c r="AB19" s="6" t="n">
        <v>54</v>
      </c>
      <c r="AC19" s="6" t="n">
        <v>290</v>
      </c>
      <c r="AD19" s="6"/>
      <c r="AE19" s="4"/>
      <c r="AF19" s="8"/>
      <c r="AG19" s="8"/>
      <c r="AI19" s="8"/>
      <c r="AJ19" s="8"/>
      <c r="AK19" s="8"/>
      <c r="AL19" s="8"/>
      <c r="AM19" s="8"/>
      <c r="AN19" s="8"/>
      <c r="AO19" s="8"/>
      <c r="AP19" s="4" t="n">
        <v>1</v>
      </c>
      <c r="AQ19" s="4" t="n">
        <v>0</v>
      </c>
      <c r="AR19" s="4"/>
      <c r="AS19" s="14"/>
      <c r="AT19" s="8"/>
      <c r="AU19" s="8"/>
      <c r="AV19" s="8"/>
      <c r="AW19" s="8"/>
      <c r="AX19" s="8"/>
      <c r="AY19" s="4" t="s">
        <v>59</v>
      </c>
      <c r="AZ19" s="4" t="s">
        <v>60</v>
      </c>
      <c r="BA19" s="4" t="n">
        <v>0</v>
      </c>
      <c r="BB19" s="4"/>
      <c r="BC19" s="4"/>
    </row>
    <row r="20" customFormat="false" ht="16.9" hidden="false" customHeight="false" outlineLevel="0" collapsed="false">
      <c r="A20" s="11" t="n">
        <f aca="false">A19+1</f>
        <v>553</v>
      </c>
      <c r="B20" s="12" t="n">
        <f aca="false">B19+1</f>
        <v>43900.4951388889</v>
      </c>
      <c r="C20" s="4" t="n">
        <v>1</v>
      </c>
      <c r="D20" s="4"/>
      <c r="E20" s="4"/>
      <c r="F20" s="4" t="s">
        <v>61</v>
      </c>
      <c r="G20" s="6" t="n">
        <v>69</v>
      </c>
      <c r="H20" s="6" t="n">
        <v>53</v>
      </c>
      <c r="I20" s="6" t="n">
        <v>57</v>
      </c>
      <c r="J20" s="6" t="s">
        <v>55</v>
      </c>
      <c r="K20" s="6" t="n">
        <v>3</v>
      </c>
      <c r="L20" s="6" t="n">
        <v>0</v>
      </c>
      <c r="M20" s="3" t="s">
        <v>63</v>
      </c>
      <c r="N20" s="4" t="s">
        <v>73</v>
      </c>
      <c r="O20" s="4"/>
      <c r="P20" s="4" t="s">
        <v>91</v>
      </c>
      <c r="Q20" s="8" t="n">
        <v>4.56</v>
      </c>
      <c r="R20" s="6"/>
      <c r="S20" s="6"/>
      <c r="T20" s="6" t="n">
        <f aca="false">10591-1210-25</f>
        <v>9356</v>
      </c>
      <c r="U20" s="8" t="n">
        <f aca="false">1+16/60+28/(60*60)</f>
        <v>1.27444444444444</v>
      </c>
      <c r="V20" s="8"/>
      <c r="W20" s="8"/>
      <c r="X20" s="8" t="n">
        <f aca="false">Q20/U20</f>
        <v>3.57802964254577</v>
      </c>
      <c r="Y20" s="4" t="n">
        <v>1</v>
      </c>
      <c r="Z20" s="8" t="n">
        <f aca="false">Q20/Y20</f>
        <v>4.56</v>
      </c>
      <c r="AA20" s="8" t="n">
        <f aca="false">16+46/60</f>
        <v>16.7666666666667</v>
      </c>
      <c r="AB20" s="6" t="n">
        <v>220</v>
      </c>
      <c r="AC20" s="6" t="n">
        <v>667</v>
      </c>
      <c r="AD20" s="6" t="n">
        <v>101</v>
      </c>
      <c r="AE20" s="4" t="n">
        <v>150</v>
      </c>
      <c r="AF20" s="8" t="n">
        <f aca="false">16+11.7/60</f>
        <v>16.195</v>
      </c>
      <c r="AG20" s="8" t="n">
        <f aca="false">16+55.8/60</f>
        <v>16.93</v>
      </c>
      <c r="AH20" s="8" t="n">
        <f aca="false">16+53.8/60</f>
        <v>16.8966666666667</v>
      </c>
      <c r="AI20" s="8" t="n">
        <f aca="false">17+8.8/60</f>
        <v>17.1466666666667</v>
      </c>
      <c r="AJ20" s="8" t="n">
        <f aca="false">60/3.6</f>
        <v>16.6666666666667</v>
      </c>
      <c r="AK20" s="8"/>
      <c r="AL20" s="8"/>
      <c r="AM20" s="8"/>
      <c r="AN20" s="8"/>
      <c r="AO20" s="8"/>
      <c r="AP20" s="4" t="n">
        <v>0</v>
      </c>
      <c r="AQ20" s="4" t="n">
        <v>0</v>
      </c>
      <c r="AR20" s="4"/>
      <c r="AS20" s="14"/>
      <c r="AT20" s="8"/>
      <c r="AU20" s="8"/>
      <c r="AV20" s="8"/>
      <c r="AW20" s="8"/>
      <c r="AX20" s="8"/>
      <c r="AY20" s="4" t="s">
        <v>59</v>
      </c>
      <c r="AZ20" s="4" t="s">
        <v>60</v>
      </c>
      <c r="BA20" s="4" t="n">
        <v>0</v>
      </c>
      <c r="BB20" s="4"/>
      <c r="BC20" s="4"/>
    </row>
    <row r="21" customFormat="false" ht="16.9" hidden="false" customHeight="false" outlineLevel="0" collapsed="false">
      <c r="A21" s="11" t="n">
        <f aca="false">A20+1</f>
        <v>554</v>
      </c>
      <c r="B21" s="12" t="n">
        <f aca="false">B20+1</f>
        <v>43901.4951388889</v>
      </c>
      <c r="C21" s="4" t="n">
        <v>1</v>
      </c>
      <c r="D21" s="4"/>
      <c r="E21" s="4"/>
      <c r="F21" s="4" t="s">
        <v>71</v>
      </c>
      <c r="G21" s="6" t="n">
        <v>81</v>
      </c>
      <c r="H21" s="6" t="n">
        <v>63</v>
      </c>
      <c r="I21" s="6" t="n">
        <v>52</v>
      </c>
      <c r="J21" s="6" t="s">
        <v>62</v>
      </c>
      <c r="K21" s="6" t="n">
        <v>14</v>
      </c>
      <c r="L21" s="6" t="n">
        <v>0</v>
      </c>
      <c r="M21" s="3" t="s">
        <v>63</v>
      </c>
      <c r="N21" s="4" t="s">
        <v>73</v>
      </c>
      <c r="O21" s="4"/>
      <c r="P21" s="4" t="s">
        <v>92</v>
      </c>
      <c r="Q21" s="8" t="n">
        <v>3.93</v>
      </c>
      <c r="R21" s="6"/>
      <c r="S21" s="6"/>
      <c r="T21" s="6" t="n">
        <v>9359</v>
      </c>
      <c r="U21" s="8" t="n">
        <f aca="false">67/60</f>
        <v>1.11666666666667</v>
      </c>
      <c r="V21" s="8"/>
      <c r="W21" s="8"/>
      <c r="X21" s="8" t="n">
        <f aca="false">Q21/U21</f>
        <v>3.51940298507463</v>
      </c>
      <c r="Y21" s="4" t="n">
        <v>1</v>
      </c>
      <c r="Z21" s="8" t="n">
        <f aca="false">Q21/Y21</f>
        <v>3.93</v>
      </c>
      <c r="AA21" s="8" t="n">
        <f aca="false">17+6/60</f>
        <v>17.1</v>
      </c>
      <c r="AB21" s="6" t="n">
        <v>194</v>
      </c>
      <c r="AC21" s="6" t="n">
        <v>910</v>
      </c>
      <c r="AD21" s="6" t="n">
        <v>135</v>
      </c>
      <c r="AE21" s="4" t="n">
        <v>159</v>
      </c>
      <c r="AF21" s="8" t="n">
        <f aca="false">17+22.9/60</f>
        <v>17.3816666666667</v>
      </c>
      <c r="AG21" s="8" t="n">
        <f aca="false">17+6.5/60</f>
        <v>17.1083333333333</v>
      </c>
      <c r="AH21" s="8" t="n">
        <f aca="false">16+32.4/60</f>
        <v>16.54</v>
      </c>
      <c r="AI21" s="8" t="n">
        <f aca="false">60/3.5</f>
        <v>17.1428571428571</v>
      </c>
      <c r="AJ21" s="8"/>
      <c r="AK21" s="8"/>
      <c r="AL21" s="8"/>
      <c r="AM21" s="8"/>
      <c r="AN21" s="8"/>
      <c r="AO21" s="8"/>
      <c r="AP21" s="4"/>
      <c r="AQ21" s="4"/>
      <c r="AR21" s="4"/>
      <c r="AS21" s="14"/>
      <c r="AT21" s="8"/>
      <c r="AU21" s="8"/>
      <c r="AV21" s="8"/>
      <c r="AW21" s="8"/>
      <c r="AX21" s="8"/>
      <c r="AY21" s="4"/>
      <c r="AZ21" s="4"/>
      <c r="BA21" s="4"/>
      <c r="BB21" s="4"/>
      <c r="BC21" s="4"/>
    </row>
    <row r="22" customFormat="false" ht="16.9" hidden="false" customHeight="false" outlineLevel="0" collapsed="false">
      <c r="A22" s="11" t="n">
        <f aca="false">A21+1</f>
        <v>555</v>
      </c>
      <c r="B22" s="12" t="n">
        <f aca="false">B21+1</f>
        <v>43902.4951388889</v>
      </c>
      <c r="C22" s="4" t="n">
        <v>1</v>
      </c>
      <c r="D22" s="4"/>
      <c r="E22" s="4"/>
      <c r="F22" s="4" t="s">
        <v>93</v>
      </c>
      <c r="G22" s="6" t="n">
        <v>82</v>
      </c>
      <c r="H22" s="6" t="n">
        <v>65</v>
      </c>
      <c r="I22" s="6" t="n">
        <v>56</v>
      </c>
      <c r="J22" s="6" t="s">
        <v>62</v>
      </c>
      <c r="K22" s="6" t="n">
        <v>14</v>
      </c>
      <c r="L22" s="6" t="n">
        <v>22</v>
      </c>
      <c r="M22" s="3" t="s">
        <v>63</v>
      </c>
      <c r="N22" s="4" t="s">
        <v>73</v>
      </c>
      <c r="O22" s="4"/>
      <c r="P22" s="4" t="s">
        <v>94</v>
      </c>
      <c r="Q22" s="8" t="n">
        <v>5.76</v>
      </c>
      <c r="R22" s="6"/>
      <c r="S22" s="6"/>
      <c r="T22" s="6"/>
      <c r="U22" s="8" t="n">
        <f aca="false">(94+44/60)/60</f>
        <v>1.57888888888889</v>
      </c>
      <c r="V22" s="8"/>
      <c r="W22" s="8"/>
      <c r="X22" s="8" t="n">
        <f aca="false">Q22/U22</f>
        <v>3.64813511611541</v>
      </c>
      <c r="Y22" s="4" t="n">
        <v>1</v>
      </c>
      <c r="Z22" s="8" t="n">
        <f aca="false">Q22/Y22</f>
        <v>5.76</v>
      </c>
      <c r="AA22" s="8" t="n">
        <f aca="false">16+27/60</f>
        <v>16.45</v>
      </c>
      <c r="AB22" s="6" t="n">
        <v>272</v>
      </c>
      <c r="AC22" s="6" t="n">
        <v>1270</v>
      </c>
      <c r="AD22" s="6" t="n">
        <v>138</v>
      </c>
      <c r="AE22" s="4" t="n">
        <v>162</v>
      </c>
      <c r="AF22" s="8" t="n">
        <f aca="false">15+19.3/60</f>
        <v>15.3216666666667</v>
      </c>
      <c r="AG22" s="8" t="n">
        <f aca="false">15+35.2/60</f>
        <v>15.5866666666667</v>
      </c>
      <c r="AH22" s="8" t="n">
        <f aca="false">15+23.2/60</f>
        <v>15.3866666666667</v>
      </c>
      <c r="AI22" s="8" t="n">
        <f aca="false">16+19.5/60</f>
        <v>16.325</v>
      </c>
      <c r="AJ22" s="8" t="n">
        <f aca="false">18+16.5/60</f>
        <v>18.275</v>
      </c>
      <c r="AK22" s="8" t="n">
        <f aca="false">60/3.3</f>
        <v>18.1818181818182</v>
      </c>
      <c r="AL22" s="8"/>
      <c r="AM22" s="8"/>
      <c r="AN22" s="8"/>
      <c r="AO22" s="8"/>
      <c r="AP22" s="4" t="n">
        <v>2</v>
      </c>
      <c r="AQ22" s="4" t="n">
        <v>0</v>
      </c>
      <c r="AR22" s="4"/>
      <c r="AS22" s="14"/>
      <c r="AT22" s="8"/>
      <c r="AU22" s="8"/>
      <c r="AV22" s="8"/>
      <c r="AW22" s="8"/>
      <c r="AX22" s="8"/>
      <c r="AY22" s="4" t="s">
        <v>59</v>
      </c>
      <c r="AZ22" s="4" t="s">
        <v>60</v>
      </c>
      <c r="BA22" s="4" t="n">
        <v>0</v>
      </c>
      <c r="BB22" s="4"/>
      <c r="BC22" s="4"/>
    </row>
    <row r="23" customFormat="false" ht="16.9" hidden="false" customHeight="false" outlineLevel="0" collapsed="false">
      <c r="A23" s="11" t="n">
        <f aca="false">A22+1</f>
        <v>556</v>
      </c>
      <c r="B23" s="12" t="n">
        <f aca="false">B22+1</f>
        <v>43903.4951388889</v>
      </c>
      <c r="C23" s="4" t="n">
        <v>0</v>
      </c>
      <c r="D23" s="4" t="s">
        <v>95</v>
      </c>
      <c r="E23" s="4"/>
      <c r="F23" s="4" t="s">
        <v>96</v>
      </c>
      <c r="G23" s="6" t="n">
        <v>59</v>
      </c>
      <c r="H23" s="6" t="n">
        <v>58</v>
      </c>
      <c r="I23" s="6" t="n">
        <v>96</v>
      </c>
      <c r="J23" s="6" t="s">
        <v>97</v>
      </c>
      <c r="K23" s="6" t="n">
        <v>9</v>
      </c>
      <c r="L23" s="6" t="n">
        <v>0</v>
      </c>
      <c r="M23" s="3" t="s">
        <v>96</v>
      </c>
      <c r="N23" s="4"/>
      <c r="O23" s="4"/>
      <c r="P23" s="4"/>
      <c r="Q23" s="8"/>
      <c r="R23" s="6"/>
      <c r="S23" s="6"/>
      <c r="T23" s="6"/>
      <c r="U23" s="8"/>
      <c r="V23" s="8"/>
      <c r="W23" s="8"/>
      <c r="X23" s="8"/>
      <c r="Y23" s="4"/>
      <c r="Z23" s="8"/>
      <c r="AA23" s="8"/>
      <c r="AB23" s="6"/>
      <c r="AC23" s="6"/>
      <c r="AD23" s="6"/>
      <c r="AE23" s="4"/>
      <c r="AF23" s="8"/>
      <c r="AG23" s="8"/>
      <c r="AI23" s="8"/>
      <c r="AJ23" s="8"/>
      <c r="AK23" s="8"/>
      <c r="AL23" s="8"/>
      <c r="AM23" s="8"/>
      <c r="AN23" s="8"/>
      <c r="AO23" s="8"/>
      <c r="AP23" s="4"/>
      <c r="AQ23" s="4"/>
      <c r="AR23" s="4"/>
      <c r="AS23" s="14"/>
      <c r="AT23" s="8"/>
      <c r="AU23" s="8"/>
      <c r="AV23" s="8"/>
      <c r="AW23" s="8"/>
      <c r="AX23" s="8"/>
      <c r="AY23" s="4"/>
      <c r="AZ23" s="4"/>
      <c r="BA23" s="4"/>
      <c r="BB23" s="4"/>
      <c r="BC23" s="4"/>
    </row>
    <row r="24" customFormat="false" ht="16.9" hidden="false" customHeight="false" outlineLevel="0" collapsed="false">
      <c r="A24" s="11" t="n">
        <f aca="false">A23+1</f>
        <v>557</v>
      </c>
      <c r="B24" s="12" t="n">
        <v>43904.5333333333</v>
      </c>
      <c r="C24" s="4" t="n">
        <v>1</v>
      </c>
      <c r="D24" s="4"/>
      <c r="E24" s="4"/>
      <c r="F24" s="4" t="s">
        <v>98</v>
      </c>
      <c r="G24" s="6" t="n">
        <v>58</v>
      </c>
      <c r="H24" s="6" t="n">
        <v>58</v>
      </c>
      <c r="I24" s="6" t="n">
        <v>100</v>
      </c>
      <c r="J24" s="4" t="s">
        <v>99</v>
      </c>
      <c r="K24" s="6" t="n">
        <v>10</v>
      </c>
      <c r="L24" s="6" t="n">
        <v>0</v>
      </c>
      <c r="M24" s="3" t="s">
        <v>100</v>
      </c>
      <c r="N24" s="4" t="s">
        <v>57</v>
      </c>
      <c r="O24" s="4"/>
      <c r="P24" s="4" t="s">
        <v>58</v>
      </c>
      <c r="Q24" s="8" t="n">
        <v>3.18</v>
      </c>
      <c r="R24" s="6"/>
      <c r="S24" s="6"/>
      <c r="T24" s="6"/>
      <c r="U24" s="8" t="n">
        <f aca="false">(60+3+47/60)/60</f>
        <v>1.06305555555556</v>
      </c>
      <c r="V24" s="8"/>
      <c r="W24" s="8"/>
      <c r="X24" s="8" t="n">
        <f aca="false">Q24/U24</f>
        <v>2.99137705774758</v>
      </c>
      <c r="Y24" s="4" t="n">
        <v>2</v>
      </c>
      <c r="Z24" s="8" t="n">
        <f aca="false">Q24/Y24</f>
        <v>1.59</v>
      </c>
      <c r="AA24" s="8" t="n">
        <f aca="false">20+3/60</f>
        <v>20.05</v>
      </c>
      <c r="AB24" s="6" t="n">
        <f aca="false">2*54/3</f>
        <v>36</v>
      </c>
      <c r="AC24" s="6" t="n">
        <v>351</v>
      </c>
      <c r="AD24" s="6" t="n">
        <v>90</v>
      </c>
      <c r="AE24" s="4" t="n">
        <v>118</v>
      </c>
      <c r="AF24" s="8" t="n">
        <f aca="false">19+41/60</f>
        <v>19.6833333333333</v>
      </c>
      <c r="AG24" s="8" t="n">
        <f aca="false">19+29.6/60</f>
        <v>19.4933333333333</v>
      </c>
      <c r="AH24" s="8" t="n">
        <f aca="false">21+7.8/60</f>
        <v>21.13</v>
      </c>
      <c r="AI24" s="8" t="n">
        <f aca="false">60/3.2</f>
        <v>18.75</v>
      </c>
      <c r="AJ24" s="8"/>
      <c r="AK24" s="8"/>
      <c r="AL24" s="8"/>
      <c r="AM24" s="8"/>
      <c r="AN24" s="8"/>
      <c r="AO24" s="8"/>
      <c r="AP24" s="4" t="n">
        <v>1</v>
      </c>
      <c r="AQ24" s="4" t="n">
        <v>0</v>
      </c>
      <c r="AR24" s="4"/>
      <c r="AS24" s="14"/>
      <c r="AT24" s="8"/>
      <c r="AU24" s="8"/>
      <c r="AV24" s="8"/>
      <c r="AW24" s="8"/>
      <c r="AX24" s="8"/>
      <c r="AY24" s="4"/>
      <c r="AZ24" s="4"/>
      <c r="BA24" s="4"/>
      <c r="BB24" s="4"/>
      <c r="BC24" s="4"/>
    </row>
    <row r="25" customFormat="false" ht="16.9" hidden="false" customHeight="false" outlineLevel="0" collapsed="false">
      <c r="A25" s="11" t="n">
        <f aca="false">A24+1</f>
        <v>558</v>
      </c>
      <c r="B25" s="12" t="n">
        <v>43905.5368055556</v>
      </c>
      <c r="C25" s="4" t="n">
        <v>0</v>
      </c>
      <c r="D25" s="4"/>
      <c r="E25" s="4"/>
      <c r="F25" s="4" t="s">
        <v>90</v>
      </c>
      <c r="G25" s="6" t="n">
        <v>55</v>
      </c>
      <c r="H25" s="6" t="n">
        <v>52</v>
      </c>
      <c r="I25" s="6" t="n">
        <v>89</v>
      </c>
      <c r="J25" s="6" t="s">
        <v>101</v>
      </c>
      <c r="K25" s="6" t="n">
        <v>7</v>
      </c>
      <c r="L25" s="6" t="n">
        <v>0</v>
      </c>
      <c r="M25" s="3" t="s">
        <v>63</v>
      </c>
      <c r="N25" s="4"/>
      <c r="O25" s="4"/>
      <c r="P25" s="4"/>
      <c r="Q25" s="8"/>
      <c r="R25" s="6"/>
      <c r="S25" s="6"/>
      <c r="T25" s="6"/>
      <c r="U25" s="8"/>
      <c r="V25" s="8"/>
      <c r="W25" s="8"/>
      <c r="X25" s="8"/>
      <c r="Y25" s="4"/>
      <c r="Z25" s="8"/>
      <c r="AA25" s="8"/>
      <c r="AB25" s="6"/>
      <c r="AC25" s="6"/>
      <c r="AD25" s="6"/>
      <c r="AE25" s="4"/>
      <c r="AF25" s="8"/>
      <c r="AG25" s="8"/>
      <c r="AI25" s="8"/>
      <c r="AJ25" s="8"/>
      <c r="AK25" s="8"/>
      <c r="AL25" s="8"/>
      <c r="AM25" s="8"/>
      <c r="AN25" s="8"/>
      <c r="AO25" s="8"/>
      <c r="AP25" s="4"/>
      <c r="AQ25" s="4"/>
      <c r="AR25" s="4"/>
      <c r="AS25" s="14"/>
      <c r="AT25" s="8"/>
      <c r="AU25" s="8"/>
      <c r="AV25" s="8"/>
      <c r="AW25" s="8"/>
      <c r="AX25" s="8"/>
      <c r="AY25" s="4"/>
      <c r="AZ25" s="4"/>
      <c r="BA25" s="4" t="n">
        <v>1</v>
      </c>
      <c r="BB25" s="4" t="s">
        <v>102</v>
      </c>
      <c r="BC25" s="4"/>
    </row>
    <row r="26" customFormat="false" ht="16.9" hidden="false" customHeight="false" outlineLevel="0" collapsed="false">
      <c r="A26" s="11" t="n">
        <f aca="false">A25+1</f>
        <v>559</v>
      </c>
      <c r="B26" s="12" t="n">
        <v>43906.5013888889</v>
      </c>
      <c r="C26" s="4" t="n">
        <v>1</v>
      </c>
      <c r="D26" s="4"/>
      <c r="E26" s="4"/>
      <c r="F26" s="15" t="s">
        <v>90</v>
      </c>
      <c r="G26" s="6" t="n">
        <v>61</v>
      </c>
      <c r="H26" s="6" t="n">
        <v>56</v>
      </c>
      <c r="I26" s="6" t="n">
        <v>83</v>
      </c>
      <c r="J26" s="4" t="s">
        <v>80</v>
      </c>
      <c r="K26" s="6" t="n">
        <v>3</v>
      </c>
      <c r="L26" s="6" t="n">
        <v>0</v>
      </c>
      <c r="M26" s="3" t="s">
        <v>63</v>
      </c>
      <c r="N26" s="4" t="s">
        <v>73</v>
      </c>
      <c r="O26" s="4"/>
      <c r="P26" s="4" t="s">
        <v>64</v>
      </c>
      <c r="Q26" s="8" t="n">
        <v>6.13</v>
      </c>
      <c r="R26" s="6"/>
      <c r="S26" s="6"/>
      <c r="T26" s="6" t="n">
        <v>12444</v>
      </c>
      <c r="U26" s="8" t="n">
        <f aca="false">96/60</f>
        <v>1.6</v>
      </c>
      <c r="V26" s="8"/>
      <c r="W26" s="8"/>
      <c r="X26" s="8" t="n">
        <f aca="false">Q26/U26</f>
        <v>3.83125</v>
      </c>
      <c r="Y26" s="4" t="n">
        <v>2</v>
      </c>
      <c r="Z26" s="8" t="n">
        <f aca="false">Q26/Y26</f>
        <v>3.065</v>
      </c>
      <c r="AA26" s="8" t="n">
        <f aca="false">15+36/60</f>
        <v>15.6</v>
      </c>
      <c r="AB26" s="6" t="n">
        <v>167</v>
      </c>
      <c r="AC26" s="6" t="n">
        <v>686</v>
      </c>
      <c r="AD26" s="6" t="n">
        <v>86</v>
      </c>
      <c r="AE26" s="4" t="n">
        <v>135</v>
      </c>
      <c r="AF26" s="8" t="n">
        <f aca="false">15+16.8/60</f>
        <v>15.28</v>
      </c>
      <c r="AG26" s="8" t="n">
        <f aca="false">15+28.3/60</f>
        <v>15.4716666666667</v>
      </c>
      <c r="AH26" s="8" t="n">
        <f aca="false">15+54.6/60</f>
        <v>15.91</v>
      </c>
      <c r="AI26" s="8" t="n">
        <f aca="false">16+16.3/60</f>
        <v>16.2716666666667</v>
      </c>
      <c r="AJ26" s="8" t="n">
        <f aca="false">15+20.2/60</f>
        <v>15.3366666666667</v>
      </c>
      <c r="AK26" s="8" t="n">
        <f aca="false">60/3.8</f>
        <v>15.7894736842105</v>
      </c>
      <c r="AL26" s="8"/>
      <c r="AM26" s="8"/>
      <c r="AN26" s="8"/>
      <c r="AO26" s="8"/>
      <c r="AP26" s="4" t="n">
        <v>1</v>
      </c>
      <c r="AQ26" s="4" t="n">
        <v>1</v>
      </c>
      <c r="AR26" s="4"/>
      <c r="AS26" s="14"/>
      <c r="AT26" s="8"/>
      <c r="AU26" s="8"/>
      <c r="AV26" s="8"/>
      <c r="AW26" s="8"/>
      <c r="AX26" s="8"/>
      <c r="AY26" s="4" t="s">
        <v>59</v>
      </c>
      <c r="AZ26" s="4" t="s">
        <v>60</v>
      </c>
      <c r="BA26" s="4" t="n">
        <v>0</v>
      </c>
      <c r="BB26" s="4"/>
      <c r="BC26" s="4"/>
    </row>
    <row r="27" customFormat="false" ht="16.9" hidden="false" customHeight="false" outlineLevel="0" collapsed="false">
      <c r="A27" s="11" t="n">
        <f aca="false">A26+1</f>
        <v>560</v>
      </c>
      <c r="B27" s="12" t="n">
        <v>43907.5298611111</v>
      </c>
      <c r="C27" s="4" t="n">
        <v>1</v>
      </c>
      <c r="D27" s="4"/>
      <c r="E27" s="4"/>
      <c r="F27" s="15" t="s">
        <v>103</v>
      </c>
      <c r="G27" s="6" t="n">
        <v>79</v>
      </c>
      <c r="H27" s="6" t="n">
        <v>79</v>
      </c>
      <c r="I27" s="6" t="n">
        <v>100</v>
      </c>
      <c r="J27" s="6" t="s">
        <v>62</v>
      </c>
      <c r="K27" s="6" t="n">
        <v>16</v>
      </c>
      <c r="L27" s="6" t="n">
        <v>0</v>
      </c>
      <c r="M27" s="3" t="s">
        <v>63</v>
      </c>
      <c r="N27" s="4" t="s">
        <v>73</v>
      </c>
      <c r="O27" s="4"/>
      <c r="P27" s="4" t="s">
        <v>66</v>
      </c>
      <c r="Q27" s="8" t="n">
        <v>4.56</v>
      </c>
      <c r="R27" s="6"/>
      <c r="S27" s="6"/>
      <c r="T27" s="6" t="n">
        <v>9920</v>
      </c>
      <c r="U27" s="8" t="n">
        <f aca="false">(60+17+36/60)/60</f>
        <v>1.29333333333333</v>
      </c>
      <c r="V27" s="8"/>
      <c r="W27" s="8"/>
      <c r="X27" s="8" t="n">
        <f aca="false">Q27/U27</f>
        <v>3.52577319587629</v>
      </c>
      <c r="Y27" s="4" t="n">
        <v>1</v>
      </c>
      <c r="Z27" s="8" t="n">
        <f aca="false">Q27/Y27</f>
        <v>4.56</v>
      </c>
      <c r="AA27" s="8" t="n">
        <f aca="false">17+1/60</f>
        <v>17.0166666666667</v>
      </c>
      <c r="AB27" s="6" t="n">
        <v>325</v>
      </c>
      <c r="AC27" s="6" t="n">
        <v>995</v>
      </c>
      <c r="AD27" s="6" t="n">
        <v>133</v>
      </c>
      <c r="AE27" s="4" t="n">
        <v>156</v>
      </c>
      <c r="AF27" s="8" t="n">
        <f aca="false">16+13/60</f>
        <v>16.2166666666667</v>
      </c>
      <c r="AG27" s="8" t="n">
        <f aca="false">16+20.9/60</f>
        <v>16.3483333333333</v>
      </c>
      <c r="AH27" s="8" t="n">
        <f aca="false">16+36.9/60</f>
        <v>16.615</v>
      </c>
      <c r="AI27" s="8" t="n">
        <f aca="false">17+53.1/60</f>
        <v>17.885</v>
      </c>
      <c r="AJ27" s="8" t="n">
        <f aca="false">60/3.2</f>
        <v>18.75</v>
      </c>
      <c r="AK27" s="8"/>
      <c r="AL27" s="8"/>
      <c r="AM27" s="8"/>
      <c r="AN27" s="8"/>
      <c r="AO27" s="8"/>
      <c r="AP27" s="4" t="n">
        <v>1</v>
      </c>
      <c r="AQ27" s="4" t="n">
        <v>0</v>
      </c>
      <c r="AR27" s="4"/>
      <c r="AS27" s="14"/>
      <c r="AT27" s="8"/>
      <c r="AU27" s="8"/>
      <c r="AV27" s="8"/>
      <c r="AW27" s="8"/>
      <c r="AX27" s="8"/>
      <c r="AY27" s="4" t="s">
        <v>59</v>
      </c>
      <c r="AZ27" s="4" t="s">
        <v>60</v>
      </c>
      <c r="BA27" s="4" t="n">
        <v>0</v>
      </c>
      <c r="BB27" s="4"/>
      <c r="BC27" s="4"/>
    </row>
    <row r="28" customFormat="false" ht="16.9" hidden="false" customHeight="false" outlineLevel="0" collapsed="false">
      <c r="A28" s="11" t="n">
        <f aca="false">A27+1</f>
        <v>561</v>
      </c>
      <c r="B28" s="12" t="n">
        <v>43908.5416666667</v>
      </c>
      <c r="C28" s="4" t="n">
        <v>0</v>
      </c>
      <c r="D28" s="4" t="s">
        <v>104</v>
      </c>
      <c r="E28" s="4"/>
      <c r="F28" s="15" t="s">
        <v>61</v>
      </c>
      <c r="G28" s="6" t="n">
        <v>78</v>
      </c>
      <c r="H28" s="6" t="n">
        <v>68</v>
      </c>
      <c r="I28" s="6" t="n">
        <v>71</v>
      </c>
      <c r="J28" s="6" t="s">
        <v>62</v>
      </c>
      <c r="K28" s="6" t="n">
        <v>16</v>
      </c>
      <c r="L28" s="6" t="n">
        <v>0</v>
      </c>
      <c r="M28" s="3" t="s">
        <v>63</v>
      </c>
      <c r="N28" s="4"/>
      <c r="O28" s="4"/>
      <c r="P28" s="4"/>
      <c r="Q28" s="8"/>
      <c r="R28" s="6"/>
      <c r="S28" s="6"/>
      <c r="T28" s="6"/>
      <c r="U28" s="8"/>
      <c r="V28" s="8"/>
      <c r="W28" s="8"/>
      <c r="X28" s="8"/>
      <c r="Y28" s="4"/>
      <c r="Z28" s="8"/>
      <c r="AA28" s="8"/>
      <c r="AB28" s="6"/>
      <c r="AC28" s="6"/>
      <c r="AD28" s="6"/>
      <c r="AE28" s="4"/>
      <c r="AF28" s="8"/>
      <c r="AG28" s="8"/>
      <c r="AI28" s="8"/>
      <c r="AJ28" s="8"/>
      <c r="AK28" s="8"/>
      <c r="AL28" s="8"/>
      <c r="AM28" s="8"/>
      <c r="AN28" s="8"/>
      <c r="AO28" s="8"/>
      <c r="AP28" s="4"/>
      <c r="AQ28" s="4"/>
      <c r="AR28" s="4"/>
      <c r="AS28" s="14"/>
      <c r="AT28" s="8"/>
      <c r="AU28" s="8"/>
      <c r="AV28" s="8"/>
      <c r="AW28" s="8"/>
      <c r="AX28" s="8"/>
      <c r="AY28" s="4"/>
      <c r="AZ28" s="4"/>
      <c r="BA28" s="4" t="n">
        <v>1</v>
      </c>
      <c r="BB28" s="4" t="s">
        <v>105</v>
      </c>
      <c r="BC28" s="4"/>
    </row>
    <row r="29" customFormat="false" ht="16.9" hidden="false" customHeight="false" outlineLevel="0" collapsed="false">
      <c r="A29" s="11" t="n">
        <f aca="false">A28+1</f>
        <v>562</v>
      </c>
      <c r="B29" s="12" t="n">
        <v>43909.5381944444</v>
      </c>
      <c r="C29" s="4" t="n">
        <v>0</v>
      </c>
      <c r="D29" s="4" t="s">
        <v>104</v>
      </c>
      <c r="E29" s="4"/>
      <c r="F29" s="15" t="s">
        <v>106</v>
      </c>
      <c r="G29" s="11" t="n">
        <v>76</v>
      </c>
      <c r="H29" s="6" t="n">
        <v>66</v>
      </c>
      <c r="I29" s="6" t="n">
        <v>71</v>
      </c>
      <c r="J29" s="6" t="s">
        <v>62</v>
      </c>
      <c r="K29" s="6" t="n">
        <v>26</v>
      </c>
      <c r="L29" s="6" t="n">
        <v>33</v>
      </c>
      <c r="M29" s="3" t="s">
        <v>107</v>
      </c>
      <c r="N29" s="4" t="s">
        <v>57</v>
      </c>
      <c r="O29" s="4"/>
      <c r="P29" s="4" t="s">
        <v>87</v>
      </c>
      <c r="Q29" s="8" t="n">
        <v>4.53</v>
      </c>
      <c r="R29" s="6"/>
      <c r="S29" s="6"/>
      <c r="T29" s="6" t="n">
        <v>9714</v>
      </c>
      <c r="U29" s="8" t="n">
        <f aca="false">72/60</f>
        <v>1.2</v>
      </c>
      <c r="V29" s="8"/>
      <c r="W29" s="8"/>
      <c r="X29" s="8" t="n">
        <f aca="false">Q29/U29</f>
        <v>3.775</v>
      </c>
      <c r="Y29" s="4" t="n">
        <v>1</v>
      </c>
      <c r="Z29" s="8" t="n">
        <f aca="false">Q29/Y29</f>
        <v>4.53</v>
      </c>
      <c r="AA29" s="8" t="n">
        <f aca="false">16+1/60</f>
        <v>16.0166666666667</v>
      </c>
      <c r="AB29" s="6" t="n">
        <v>85</v>
      </c>
      <c r="AC29" s="6" t="n">
        <v>595</v>
      </c>
      <c r="AD29" s="6" t="n">
        <v>110</v>
      </c>
      <c r="AE29" s="4" t="n">
        <v>136</v>
      </c>
      <c r="AF29" s="8" t="n">
        <f aca="false">15+39.1/60</f>
        <v>15.6516666666667</v>
      </c>
      <c r="AG29" s="8" t="n">
        <f aca="false">15+59.3/60</f>
        <v>15.9883333333333</v>
      </c>
      <c r="AH29" s="8" t="n">
        <f aca="false">15+57.9/60</f>
        <v>15.965</v>
      </c>
      <c r="AI29" s="8" t="n">
        <f aca="false">16+14.4/60</f>
        <v>16.24</v>
      </c>
      <c r="AJ29" s="8" t="n">
        <f aca="false">60/3.7</f>
        <v>16.2162162162162</v>
      </c>
      <c r="AK29" s="8"/>
      <c r="AL29" s="8"/>
      <c r="AM29" s="8"/>
      <c r="AN29" s="8"/>
      <c r="AO29" s="8"/>
      <c r="AP29" s="4" t="n">
        <v>0</v>
      </c>
      <c r="AQ29" s="4" t="n">
        <v>0</v>
      </c>
      <c r="AR29" s="4"/>
      <c r="AS29" s="14"/>
      <c r="AT29" s="8"/>
      <c r="AU29" s="8"/>
      <c r="AV29" s="8"/>
      <c r="AW29" s="8"/>
      <c r="AX29" s="8"/>
      <c r="AY29" s="4" t="s">
        <v>59</v>
      </c>
      <c r="AZ29" s="4" t="s">
        <v>60</v>
      </c>
      <c r="BA29" s="4" t="n">
        <v>0</v>
      </c>
      <c r="BB29" s="4"/>
      <c r="BC29" s="4"/>
    </row>
    <row r="30" customFormat="false" ht="16.9" hidden="false" customHeight="false" outlineLevel="0" collapsed="false">
      <c r="A30" s="11" t="n">
        <f aca="false">A29+1</f>
        <v>563</v>
      </c>
      <c r="B30" s="12" t="n">
        <v>43910.61875</v>
      </c>
      <c r="C30" s="4" t="n">
        <v>1</v>
      </c>
      <c r="D30" s="4"/>
      <c r="E30" s="4"/>
      <c r="F30" s="4" t="s">
        <v>65</v>
      </c>
      <c r="G30" s="6" t="n">
        <v>50</v>
      </c>
      <c r="H30" s="6" t="n">
        <v>42</v>
      </c>
      <c r="I30" s="6" t="n">
        <v>73</v>
      </c>
      <c r="J30" s="4" t="s">
        <v>86</v>
      </c>
      <c r="K30" s="6" t="n">
        <v>18</v>
      </c>
      <c r="L30" s="6" t="n">
        <v>28</v>
      </c>
      <c r="M30" s="3" t="s">
        <v>63</v>
      </c>
      <c r="N30" s="4" t="s">
        <v>57</v>
      </c>
      <c r="O30" s="4"/>
      <c r="P30" s="4" t="s">
        <v>89</v>
      </c>
      <c r="Q30" s="8" t="n">
        <v>5.29</v>
      </c>
      <c r="R30" s="6"/>
      <c r="S30" s="6"/>
      <c r="T30" s="6" t="n">
        <v>11153</v>
      </c>
      <c r="U30" s="8" t="n">
        <f aca="false">86/60</f>
        <v>1.43333333333333</v>
      </c>
      <c r="V30" s="8"/>
      <c r="W30" s="8"/>
      <c r="X30" s="8" t="n">
        <f aca="false">Q30/U30</f>
        <v>3.6906976744186</v>
      </c>
      <c r="Y30" s="4" t="n">
        <v>1</v>
      </c>
      <c r="Z30" s="8" t="n">
        <f aca="false">Q30/Y30</f>
        <v>5.29</v>
      </c>
      <c r="AA30" s="8" t="n">
        <f aca="false">16+13/60</f>
        <v>16.2166666666667</v>
      </c>
      <c r="AB30" s="6" t="n">
        <v>243</v>
      </c>
      <c r="AC30" s="6" t="n">
        <v>617</v>
      </c>
      <c r="AD30" s="6" t="n">
        <v>99</v>
      </c>
      <c r="AE30" s="4" t="n">
        <v>130</v>
      </c>
      <c r="AF30" s="8" t="n">
        <f aca="false">15+55.2/60</f>
        <v>15.92</v>
      </c>
      <c r="AG30" s="8" t="n">
        <f aca="false">16+43.7/60</f>
        <v>16.7283333333333</v>
      </c>
      <c r="AH30" s="8" t="n">
        <f aca="false">16+18.3/60</f>
        <v>16.305</v>
      </c>
      <c r="AI30" s="8" t="n">
        <f aca="false">15+49.8/60</f>
        <v>15.83</v>
      </c>
      <c r="AJ30" s="8" t="n">
        <f aca="false">60/3.7</f>
        <v>16.2162162162162</v>
      </c>
      <c r="AK30" s="8"/>
      <c r="AL30" s="8"/>
      <c r="AM30" s="8"/>
      <c r="AN30" s="8"/>
      <c r="AO30" s="8"/>
      <c r="AP30" s="4" t="n">
        <v>0</v>
      </c>
      <c r="AQ30" s="4" t="n">
        <v>1</v>
      </c>
      <c r="AR30" s="4"/>
      <c r="AS30" s="14"/>
      <c r="AT30" s="8"/>
      <c r="AU30" s="8"/>
      <c r="AV30" s="8"/>
      <c r="AW30" s="8"/>
      <c r="AX30" s="8"/>
      <c r="AY30" s="4" t="s">
        <v>59</v>
      </c>
      <c r="AZ30" s="4" t="s">
        <v>60</v>
      </c>
      <c r="BA30" s="4" t="n">
        <v>0</v>
      </c>
      <c r="BB30" s="4"/>
      <c r="BC30" s="4"/>
    </row>
    <row r="31" customFormat="false" ht="16.9" hidden="false" customHeight="false" outlineLevel="0" collapsed="false">
      <c r="A31" s="11" t="n">
        <v>43911.4951388889</v>
      </c>
      <c r="B31" s="12" t="n">
        <v>43911.6277777778</v>
      </c>
      <c r="C31" s="4" t="n">
        <v>1</v>
      </c>
      <c r="D31" s="4"/>
      <c r="E31" s="4"/>
      <c r="F31" s="4" t="s">
        <v>61</v>
      </c>
      <c r="G31" s="6" t="n">
        <v>49</v>
      </c>
      <c r="H31" s="6" t="n">
        <v>49</v>
      </c>
      <c r="I31" s="6" t="n">
        <v>71</v>
      </c>
      <c r="J31" s="6" t="s">
        <v>101</v>
      </c>
      <c r="K31" s="6" t="n">
        <v>7</v>
      </c>
      <c r="L31" s="6" t="n">
        <v>0</v>
      </c>
      <c r="M31" s="3" t="s">
        <v>63</v>
      </c>
      <c r="N31" s="4" t="s">
        <v>57</v>
      </c>
      <c r="O31" s="4"/>
      <c r="P31" s="4" t="s">
        <v>91</v>
      </c>
      <c r="Q31" s="8" t="n">
        <v>5.13</v>
      </c>
      <c r="R31" s="6"/>
      <c r="S31" s="6"/>
      <c r="T31" s="6" t="n">
        <v>10892</v>
      </c>
      <c r="U31" s="8" t="n">
        <f aca="false">82/60</f>
        <v>1.36666666666667</v>
      </c>
      <c r="V31" s="8"/>
      <c r="W31" s="8"/>
      <c r="X31" s="8" t="n">
        <f aca="false">Q31/U31</f>
        <v>3.75365853658537</v>
      </c>
      <c r="Y31" s="4" t="n">
        <v>1</v>
      </c>
      <c r="Z31" s="8" t="n">
        <f aca="false">Q31/Y31</f>
        <v>5.13</v>
      </c>
      <c r="AA31" s="8" t="n">
        <f aca="false">16+5/60</f>
        <v>16.0833333333333</v>
      </c>
      <c r="AB31" s="6" t="n">
        <v>217</v>
      </c>
      <c r="AC31" s="6" t="n">
        <v>673</v>
      </c>
      <c r="AD31" s="6" t="n">
        <v>104</v>
      </c>
      <c r="AE31" s="4" t="n">
        <v>143</v>
      </c>
      <c r="AF31" s="8" t="n">
        <f aca="false">15+56.6/60</f>
        <v>15.9433333333333</v>
      </c>
      <c r="AG31" s="8" t="n">
        <f aca="false">15+55.7/60</f>
        <v>15.9283333333333</v>
      </c>
      <c r="AH31" s="8" t="n">
        <f aca="false">16+6.8/60</f>
        <v>16.1133333333333</v>
      </c>
      <c r="AI31" s="8" t="n">
        <f aca="false">16+28.8/60</f>
        <v>16.48</v>
      </c>
      <c r="AJ31" s="8" t="n">
        <f aca="false">60/3.7</f>
        <v>16.2162162162162</v>
      </c>
      <c r="AK31" s="8"/>
      <c r="AL31" s="8"/>
      <c r="AM31" s="8"/>
      <c r="AN31" s="8"/>
      <c r="AO31" s="8"/>
      <c r="AP31" s="4" t="n">
        <v>0</v>
      </c>
      <c r="AQ31" s="4" t="n">
        <v>1</v>
      </c>
      <c r="AR31" s="4"/>
      <c r="AS31" s="14"/>
      <c r="AT31" s="8"/>
      <c r="AU31" s="8"/>
      <c r="AV31" s="8"/>
      <c r="AW31" s="8"/>
      <c r="AX31" s="8"/>
      <c r="AY31" s="4" t="s">
        <v>59</v>
      </c>
      <c r="AZ31" s="4" t="s">
        <v>60</v>
      </c>
      <c r="BA31" s="4" t="n">
        <v>0</v>
      </c>
      <c r="BB31" s="4"/>
      <c r="BC31" s="4"/>
    </row>
    <row r="32" customFormat="false" ht="16.9" hidden="false" customHeight="false" outlineLevel="0" collapsed="false">
      <c r="A32" s="11" t="n">
        <f aca="false">A31+1</f>
        <v>43912.4951388889</v>
      </c>
      <c r="B32" s="12" t="n">
        <v>43912.6277777778</v>
      </c>
      <c r="C32" s="4" t="n">
        <v>1</v>
      </c>
      <c r="D32" s="4"/>
      <c r="E32" s="4"/>
      <c r="F32" s="15" t="s">
        <v>90</v>
      </c>
      <c r="G32" s="6" t="n">
        <v>56</v>
      </c>
      <c r="H32" s="6" t="n">
        <v>55</v>
      </c>
      <c r="I32" s="6" t="n">
        <v>97</v>
      </c>
      <c r="J32" s="6" t="s">
        <v>108</v>
      </c>
      <c r="K32" s="6" t="n">
        <v>7</v>
      </c>
      <c r="L32" s="6" t="n">
        <v>0</v>
      </c>
      <c r="M32" s="3" t="s">
        <v>63</v>
      </c>
      <c r="N32" s="4" t="s">
        <v>57</v>
      </c>
      <c r="O32" s="4"/>
      <c r="P32" s="4" t="s">
        <v>109</v>
      </c>
      <c r="Q32" s="8" t="n">
        <v>4.76</v>
      </c>
      <c r="R32" s="6"/>
      <c r="S32" s="6"/>
      <c r="T32" s="6" t="n">
        <v>9868</v>
      </c>
      <c r="U32" s="8" t="n">
        <f aca="false">75/60</f>
        <v>1.25</v>
      </c>
      <c r="V32" s="8"/>
      <c r="W32" s="8"/>
      <c r="X32" s="8" t="n">
        <f aca="false">Q32/U32</f>
        <v>3.808</v>
      </c>
      <c r="Y32" s="4" t="n">
        <v>1</v>
      </c>
      <c r="Z32" s="8" t="n">
        <f aca="false">Q32/Y32</f>
        <v>4.76</v>
      </c>
      <c r="AA32" s="8" t="n">
        <f aca="false">15+46/60</f>
        <v>15.7666666666667</v>
      </c>
      <c r="AB32" s="6" t="n">
        <v>95</v>
      </c>
      <c r="AC32" s="6" t="n">
        <v>513</v>
      </c>
      <c r="AD32" s="6" t="n">
        <v>80</v>
      </c>
      <c r="AE32" s="4" t="n">
        <v>111</v>
      </c>
      <c r="AF32" s="8" t="n">
        <f aca="false">15+19.9/60</f>
        <v>15.3316666666667</v>
      </c>
      <c r="AG32" s="8" t="n">
        <f aca="false">15+38/60</f>
        <v>15.6333333333333</v>
      </c>
      <c r="AH32" s="8" t="n">
        <f aca="false">15+54.7/60</f>
        <v>15.9116666666667</v>
      </c>
      <c r="AI32" s="8" t="n">
        <f aca="false">15+37.4/60</f>
        <v>15.6233333333333</v>
      </c>
      <c r="AJ32" s="8" t="n">
        <f aca="false">60/3.8</f>
        <v>15.7894736842105</v>
      </c>
      <c r="AK32" s="8"/>
      <c r="AL32" s="8"/>
      <c r="AM32" s="8"/>
      <c r="AN32" s="8"/>
      <c r="AO32" s="8"/>
      <c r="AP32" s="4" t="n">
        <v>0</v>
      </c>
      <c r="AQ32" s="4" t="n">
        <v>0</v>
      </c>
      <c r="AR32" s="4"/>
      <c r="AS32" s="14"/>
      <c r="AT32" s="8"/>
      <c r="AU32" s="8"/>
      <c r="AV32" s="8"/>
      <c r="AW32" s="8"/>
      <c r="AX32" s="8"/>
      <c r="AY32" s="4" t="s">
        <v>59</v>
      </c>
      <c r="AZ32" s="4" t="s">
        <v>60</v>
      </c>
      <c r="BA32" s="4" t="n">
        <v>0</v>
      </c>
      <c r="BB32" s="4"/>
      <c r="BC32" s="4"/>
    </row>
    <row r="33" customFormat="false" ht="16.9" hidden="false" customHeight="false" outlineLevel="0" collapsed="false">
      <c r="A33" s="11" t="n">
        <f aca="false">A32+1</f>
        <v>43913.4951388889</v>
      </c>
      <c r="B33" s="12" t="n">
        <v>43944.5895833333</v>
      </c>
      <c r="C33" s="4" t="n">
        <v>1</v>
      </c>
      <c r="D33" s="4"/>
      <c r="E33" s="4"/>
      <c r="F33" s="4" t="s">
        <v>71</v>
      </c>
      <c r="G33" s="6" t="n">
        <v>66</v>
      </c>
      <c r="H33" s="6" t="n">
        <v>62</v>
      </c>
      <c r="I33" s="6" t="n">
        <v>88</v>
      </c>
      <c r="J33" s="6" t="s">
        <v>110</v>
      </c>
      <c r="K33" s="6" t="n">
        <v>8</v>
      </c>
      <c r="L33" s="6" t="n">
        <v>0</v>
      </c>
      <c r="M33" s="3" t="s">
        <v>63</v>
      </c>
      <c r="N33" s="4" t="s">
        <v>73</v>
      </c>
      <c r="O33" s="4"/>
      <c r="P33" s="4" t="s">
        <v>64</v>
      </c>
      <c r="Q33" s="8" t="n">
        <v>4.75</v>
      </c>
      <c r="R33" s="6"/>
      <c r="S33" s="6"/>
      <c r="T33" s="6"/>
      <c r="U33" s="8" t="n">
        <f aca="false">(60+15)/60</f>
        <v>1.25</v>
      </c>
      <c r="V33" s="8"/>
      <c r="W33" s="8"/>
      <c r="X33" s="8" t="n">
        <f aca="false">Q33/U33</f>
        <v>3.8</v>
      </c>
      <c r="Y33" s="4" t="n">
        <v>2</v>
      </c>
      <c r="Z33" s="8" t="n">
        <f aca="false">Q33/Y33</f>
        <v>2.375</v>
      </c>
      <c r="AA33" s="8" t="n">
        <f aca="false">15+53/60</f>
        <v>15.8833333333333</v>
      </c>
      <c r="AB33" s="6" t="n">
        <v>125</v>
      </c>
      <c r="AC33" s="6" t="n">
        <v>706</v>
      </c>
      <c r="AD33" s="6" t="n">
        <v>106</v>
      </c>
      <c r="AE33" s="4" t="n">
        <v>150</v>
      </c>
      <c r="AF33" s="8" t="n">
        <f aca="false">15+5.2/60</f>
        <v>15.0866666666667</v>
      </c>
      <c r="AG33" s="8" t="n">
        <f aca="false">15+48/60</f>
        <v>15.8</v>
      </c>
      <c r="AH33" s="8" t="n">
        <f aca="false">16+12.7/60</f>
        <v>16.2116666666667</v>
      </c>
      <c r="AI33" s="8" t="n">
        <f aca="false">15+37.3/60</f>
        <v>15.6216666666667</v>
      </c>
      <c r="AJ33" s="8" t="n">
        <f aca="false">60/3.6</f>
        <v>16.6666666666667</v>
      </c>
      <c r="AK33" s="8"/>
      <c r="AL33" s="8"/>
      <c r="AM33" s="8"/>
      <c r="AN33" s="8"/>
      <c r="AO33" s="8"/>
      <c r="AP33" s="4" t="n">
        <v>2</v>
      </c>
      <c r="AQ33" s="4" t="n">
        <v>0</v>
      </c>
      <c r="AR33" s="4"/>
      <c r="AS33" s="14"/>
      <c r="AT33" s="8"/>
      <c r="AU33" s="8"/>
      <c r="AV33" s="8"/>
      <c r="AW33" s="8"/>
      <c r="AX33" s="8"/>
      <c r="AY33" s="4" t="s">
        <v>59</v>
      </c>
      <c r="AZ33" s="4" t="s">
        <v>60</v>
      </c>
      <c r="BA33" s="4" t="n">
        <v>0</v>
      </c>
      <c r="BB33" s="4"/>
      <c r="BC33" s="4"/>
    </row>
    <row r="34" customFormat="false" ht="16.9" hidden="false" customHeight="false" outlineLevel="0" collapsed="false">
      <c r="A34" s="11" t="n">
        <f aca="false">A33+1</f>
        <v>43914.4951388889</v>
      </c>
      <c r="B34" s="12" t="n">
        <v>43914.6076388889</v>
      </c>
      <c r="C34" s="4" t="n">
        <v>1</v>
      </c>
      <c r="D34" s="4"/>
      <c r="E34" s="4"/>
      <c r="F34" s="4" t="s">
        <v>71</v>
      </c>
      <c r="G34" s="6" t="n">
        <v>83</v>
      </c>
      <c r="H34" s="6" t="n">
        <v>54</v>
      </c>
      <c r="I34" s="6" t="n">
        <v>34</v>
      </c>
      <c r="J34" s="4" t="s">
        <v>111</v>
      </c>
      <c r="K34" s="6" t="n">
        <v>20</v>
      </c>
      <c r="L34" s="6" t="n">
        <v>0</v>
      </c>
      <c r="M34" s="3" t="s">
        <v>63</v>
      </c>
      <c r="N34" s="4" t="s">
        <v>73</v>
      </c>
      <c r="O34" s="4"/>
      <c r="P34" s="4" t="s">
        <v>66</v>
      </c>
      <c r="Q34" s="8" t="n">
        <v>4.61</v>
      </c>
      <c r="R34" s="6"/>
      <c r="S34" s="6"/>
      <c r="T34" s="6"/>
      <c r="U34" s="8" t="n">
        <f aca="false">(60+17+20/60)/60</f>
        <v>1.28888888888889</v>
      </c>
      <c r="V34" s="8"/>
      <c r="W34" s="8"/>
      <c r="X34" s="8" t="n">
        <f aca="false">Q34/U34</f>
        <v>3.57672413793103</v>
      </c>
      <c r="Y34" s="4" t="n">
        <v>1</v>
      </c>
      <c r="Z34" s="8" t="n">
        <f aca="false">Q34/Y34</f>
        <v>4.61</v>
      </c>
      <c r="AA34" s="8" t="n">
        <f aca="false">16+48/60</f>
        <v>16.8</v>
      </c>
      <c r="AB34" s="6" t="n">
        <v>256</v>
      </c>
      <c r="AC34" s="6" t="n">
        <v>980</v>
      </c>
      <c r="AD34" s="6" t="n">
        <v>131</v>
      </c>
      <c r="AE34" s="4" t="n">
        <v>159</v>
      </c>
      <c r="AF34" s="8" t="n">
        <f aca="false">15+37.8/60</f>
        <v>15.63</v>
      </c>
      <c r="AG34" s="8" t="n">
        <f aca="false">16+18.2/60</f>
        <v>16.3033333333333</v>
      </c>
      <c r="AH34" s="8" t="n">
        <f aca="false">15+56.2/60</f>
        <v>15.9366666666667</v>
      </c>
      <c r="AI34" s="8" t="n">
        <f aca="false">17+53.6/60</f>
        <v>17.8933333333333</v>
      </c>
      <c r="AJ34" s="8" t="n">
        <f aca="false">60/3.1</f>
        <v>19.3548387096774</v>
      </c>
      <c r="AK34" s="8"/>
      <c r="AL34" s="8"/>
      <c r="AM34" s="8"/>
      <c r="AN34" s="8"/>
      <c r="AO34" s="8"/>
      <c r="AP34" s="4" t="n">
        <v>5</v>
      </c>
      <c r="AQ34" s="4" t="n">
        <v>0</v>
      </c>
      <c r="AR34" s="4"/>
      <c r="AS34" s="14"/>
      <c r="AT34" s="8"/>
      <c r="AU34" s="8"/>
      <c r="AV34" s="8"/>
      <c r="AW34" s="8"/>
      <c r="AX34" s="8"/>
      <c r="AY34" s="4" t="s">
        <v>59</v>
      </c>
      <c r="AZ34" s="4" t="s">
        <v>60</v>
      </c>
      <c r="BA34" s="4" t="n">
        <v>0</v>
      </c>
      <c r="BB34" s="4"/>
      <c r="BC34" s="4"/>
    </row>
    <row r="35" customFormat="false" ht="16.9" hidden="false" customHeight="false" outlineLevel="0" collapsed="false">
      <c r="A35" s="11" t="n">
        <f aca="false">A34+1</f>
        <v>43915.4951388889</v>
      </c>
      <c r="B35" s="12" t="n">
        <v>43915.4840277778</v>
      </c>
      <c r="C35" s="4" t="n">
        <v>1</v>
      </c>
      <c r="D35" s="4"/>
      <c r="E35" s="4"/>
      <c r="F35" s="4" t="s">
        <v>71</v>
      </c>
      <c r="G35" s="6" t="n">
        <v>83</v>
      </c>
      <c r="H35" s="6" t="n">
        <v>51</v>
      </c>
      <c r="I35" s="6" t="n">
        <v>33</v>
      </c>
      <c r="J35" s="6" t="s">
        <v>62</v>
      </c>
      <c r="K35" s="6" t="n">
        <v>16</v>
      </c>
      <c r="L35" s="6" t="n">
        <v>0</v>
      </c>
      <c r="M35" s="3" t="s">
        <v>63</v>
      </c>
      <c r="N35" s="4" t="s">
        <v>73</v>
      </c>
      <c r="O35" s="4"/>
      <c r="P35" s="4" t="s">
        <v>69</v>
      </c>
      <c r="Q35" s="8" t="n">
        <v>4.87</v>
      </c>
      <c r="R35" s="6"/>
      <c r="S35" s="6"/>
      <c r="T35" s="6" t="n">
        <v>11631</v>
      </c>
      <c r="U35" s="8" t="n">
        <f aca="false">1+25/60</f>
        <v>1.41666666666667</v>
      </c>
      <c r="V35" s="8"/>
      <c r="W35" s="8"/>
      <c r="X35" s="8" t="n">
        <f aca="false">Q35/U35</f>
        <v>3.43764705882353</v>
      </c>
      <c r="Y35" s="4" t="n">
        <v>1</v>
      </c>
      <c r="Z35" s="8" t="n">
        <f aca="false">Q35/Y35</f>
        <v>4.87</v>
      </c>
      <c r="AA35" s="8" t="n">
        <f aca="false">17+27/60</f>
        <v>17.45</v>
      </c>
      <c r="AB35" s="6" t="n">
        <v>249</v>
      </c>
      <c r="AC35" s="6" t="n">
        <v>777</v>
      </c>
      <c r="AD35" s="6" t="n">
        <v>109</v>
      </c>
      <c r="AE35" s="4" t="n">
        <v>150</v>
      </c>
      <c r="AF35" s="8" t="n">
        <f aca="false">16+53.3/60</f>
        <v>16.8883333333333</v>
      </c>
      <c r="AG35" s="8" t="n">
        <f aca="false">16+27/60</f>
        <v>16.45</v>
      </c>
      <c r="AH35" s="8" t="n">
        <f aca="false">17+25.8/60</f>
        <v>17.43</v>
      </c>
      <c r="AI35" s="8" t="n">
        <f aca="false">17+1/60</f>
        <v>17.0166666666667</v>
      </c>
      <c r="AJ35" s="8" t="n">
        <f aca="false">60/3</f>
        <v>20</v>
      </c>
      <c r="AK35" s="8"/>
      <c r="AL35" s="8"/>
      <c r="AM35" s="8"/>
      <c r="AN35" s="8"/>
      <c r="AO35" s="8"/>
      <c r="AP35" s="4" t="n">
        <v>5</v>
      </c>
      <c r="AQ35" s="4" t="n">
        <v>0</v>
      </c>
      <c r="AR35" s="4"/>
      <c r="AS35" s="14"/>
      <c r="AT35" s="8"/>
      <c r="AU35" s="8"/>
      <c r="AV35" s="8"/>
      <c r="AW35" s="8"/>
      <c r="AX35" s="8"/>
      <c r="AY35" s="4" t="s">
        <v>59</v>
      </c>
      <c r="AZ35" s="4" t="s">
        <v>60</v>
      </c>
      <c r="BA35" s="4" t="n">
        <v>0</v>
      </c>
      <c r="BB35" s="4"/>
      <c r="BC35" s="4"/>
    </row>
    <row r="36" customFormat="false" ht="16.9" hidden="false" customHeight="false" outlineLevel="0" collapsed="false">
      <c r="A36" s="11" t="n">
        <f aca="false">A35+1</f>
        <v>43916.4951388889</v>
      </c>
      <c r="B36" s="12" t="n">
        <v>43916.6263888889</v>
      </c>
      <c r="C36" s="4" t="n">
        <v>1</v>
      </c>
      <c r="D36" s="4"/>
      <c r="E36" s="4"/>
      <c r="F36" s="4" t="s">
        <v>106</v>
      </c>
      <c r="G36" s="11" t="n">
        <v>82</v>
      </c>
      <c r="H36" s="6" t="n">
        <v>67</v>
      </c>
      <c r="I36" s="6" t="n">
        <v>60</v>
      </c>
      <c r="J36" s="6" t="s">
        <v>62</v>
      </c>
      <c r="K36" s="6" t="n">
        <v>18</v>
      </c>
      <c r="L36" s="6" t="n">
        <v>0</v>
      </c>
      <c r="M36" s="3" t="s">
        <v>63</v>
      </c>
      <c r="N36" s="4" t="s">
        <v>57</v>
      </c>
      <c r="O36" s="4"/>
      <c r="P36" s="4" t="s">
        <v>87</v>
      </c>
      <c r="Q36" s="8" t="n">
        <v>4.41</v>
      </c>
      <c r="R36" s="6"/>
      <c r="S36" s="6"/>
      <c r="T36" s="6" t="n">
        <v>9542</v>
      </c>
      <c r="U36" s="8" t="n">
        <f aca="false">75/60</f>
        <v>1.25</v>
      </c>
      <c r="V36" s="8"/>
      <c r="W36" s="8"/>
      <c r="X36" s="8" t="n">
        <f aca="false">Q36/U36</f>
        <v>3.528</v>
      </c>
      <c r="Y36" s="4" t="n">
        <v>1</v>
      </c>
      <c r="Z36" s="8" t="n">
        <f aca="false">Q36/Y36</f>
        <v>4.41</v>
      </c>
      <c r="AA36" s="8" t="n">
        <f aca="false">16+59/60</f>
        <v>16.9833333333333</v>
      </c>
      <c r="AB36" s="6" t="n">
        <v>190</v>
      </c>
      <c r="AC36" s="6" t="n">
        <v>473</v>
      </c>
      <c r="AD36" s="6" t="n">
        <v>71</v>
      </c>
      <c r="AE36" s="4" t="n">
        <v>111</v>
      </c>
      <c r="AF36" s="8" t="n">
        <f aca="false">16+7.9/60</f>
        <v>16.1316666666667</v>
      </c>
      <c r="AG36" s="8" t="n">
        <f aca="false">16+28.5/60</f>
        <v>16.475</v>
      </c>
      <c r="AH36" s="8" t="n">
        <f aca="false">16+49.9/60</f>
        <v>16.8316666666667</v>
      </c>
      <c r="AI36" s="8" t="n">
        <f aca="false">18+0.7/60</f>
        <v>18.0116666666667</v>
      </c>
      <c r="AJ36" s="8" t="n">
        <f aca="false">60/3.3</f>
        <v>18.1818181818182</v>
      </c>
      <c r="AK36" s="8"/>
      <c r="AL36" s="8"/>
      <c r="AM36" s="8"/>
      <c r="AN36" s="8"/>
      <c r="AO36" s="8"/>
      <c r="AP36" s="4" t="n">
        <v>3</v>
      </c>
      <c r="AQ36" s="4" t="n">
        <v>0</v>
      </c>
      <c r="AR36" s="4"/>
      <c r="AS36" s="14"/>
      <c r="AT36" s="8"/>
      <c r="AU36" s="8"/>
      <c r="AV36" s="8"/>
      <c r="AW36" s="8"/>
      <c r="AX36" s="8"/>
      <c r="AY36" s="4" t="s">
        <v>59</v>
      </c>
      <c r="AZ36" s="4" t="s">
        <v>60</v>
      </c>
      <c r="BA36" s="4" t="n">
        <v>0</v>
      </c>
      <c r="BB36" s="4"/>
      <c r="BC36" s="4"/>
    </row>
    <row r="37" customFormat="false" ht="16.9" hidden="false" customHeight="false" outlineLevel="0" collapsed="false">
      <c r="A37" s="11" t="n">
        <f aca="false">A36+1</f>
        <v>43917.4951388889</v>
      </c>
      <c r="B37" s="12" t="n">
        <v>43917.5736111111</v>
      </c>
      <c r="C37" s="4" t="n">
        <v>1</v>
      </c>
      <c r="D37" s="4"/>
      <c r="E37" s="4"/>
      <c r="F37" s="4" t="s">
        <v>65</v>
      </c>
      <c r="G37" s="6" t="n">
        <v>80</v>
      </c>
      <c r="H37" s="6" t="n">
        <v>66</v>
      </c>
      <c r="I37" s="6" t="n">
        <v>62</v>
      </c>
      <c r="J37" s="4" t="s">
        <v>80</v>
      </c>
      <c r="K37" s="6" t="n">
        <v>21</v>
      </c>
      <c r="L37" s="6" t="n">
        <v>31</v>
      </c>
      <c r="M37" s="3" t="s">
        <v>63</v>
      </c>
      <c r="N37" s="4" t="s">
        <v>73</v>
      </c>
      <c r="O37" s="4"/>
      <c r="P37" s="4" t="s">
        <v>112</v>
      </c>
      <c r="Q37" s="8" t="n">
        <v>6.55</v>
      </c>
      <c r="R37" s="6"/>
      <c r="S37" s="6"/>
      <c r="T37" s="6" t="n">
        <v>11504</v>
      </c>
      <c r="U37" s="8" t="n">
        <f aca="false">1+46/60</f>
        <v>1.76666666666667</v>
      </c>
      <c r="V37" s="8"/>
      <c r="W37" s="8"/>
      <c r="X37" s="8" t="n">
        <f aca="false">Q37/U37</f>
        <v>3.70754716981132</v>
      </c>
      <c r="Y37" s="4" t="n">
        <v>1</v>
      </c>
      <c r="Z37" s="8" t="n">
        <f aca="false">Q37/Y37</f>
        <v>6.55</v>
      </c>
      <c r="AA37" s="8" t="n">
        <f aca="false">16+13/60</f>
        <v>16.2166666666667</v>
      </c>
      <c r="AB37" s="6" t="n">
        <v>69</v>
      </c>
      <c r="AC37" s="6" t="n">
        <v>1364</v>
      </c>
      <c r="AD37" s="6" t="n">
        <v>133</v>
      </c>
      <c r="AE37" s="4" t="n">
        <v>156</v>
      </c>
      <c r="AF37" s="8" t="n">
        <f aca="false">15+17.3/60</f>
        <v>15.2883333333333</v>
      </c>
      <c r="AG37" s="8" t="n">
        <f aca="false">16+31.1/60</f>
        <v>16.5183333333333</v>
      </c>
      <c r="AH37" s="8" t="n">
        <f aca="false">16+33</f>
        <v>49</v>
      </c>
      <c r="AI37" s="8" t="n">
        <f aca="false">16+33.6/60</f>
        <v>16.56</v>
      </c>
      <c r="AJ37" s="8" t="n">
        <f aca="false">17+91.3/60</f>
        <v>18.5216666666667</v>
      </c>
      <c r="AK37" s="8" t="n">
        <f aca="false">16+3.7/60</f>
        <v>16.0616666666667</v>
      </c>
      <c r="AL37" s="8" t="n">
        <f aca="false">60/3.7</f>
        <v>16.2162162162162</v>
      </c>
      <c r="AM37" s="8"/>
      <c r="AN37" s="8"/>
      <c r="AO37" s="8"/>
      <c r="AP37" s="4" t="n">
        <v>3</v>
      </c>
      <c r="AQ37" s="4" t="n">
        <v>0</v>
      </c>
      <c r="AR37" s="4"/>
      <c r="AS37" s="14"/>
      <c r="AT37" s="8"/>
      <c r="AU37" s="8"/>
      <c r="AV37" s="8"/>
      <c r="AW37" s="8"/>
      <c r="AX37" s="8"/>
      <c r="AY37" s="4" t="s">
        <v>59</v>
      </c>
      <c r="AZ37" s="4" t="s">
        <v>60</v>
      </c>
      <c r="BA37" s="4" t="n">
        <v>0</v>
      </c>
      <c r="BB37" s="4"/>
      <c r="BC37" s="4"/>
    </row>
    <row r="38" customFormat="false" ht="16.9" hidden="false" customHeight="false" outlineLevel="0" collapsed="false">
      <c r="A38" s="11" t="n">
        <f aca="false">A37+1</f>
        <v>43918.4951388889</v>
      </c>
      <c r="B38" s="12" t="n">
        <v>43918.4951388889</v>
      </c>
      <c r="C38" s="4" t="n">
        <v>0</v>
      </c>
      <c r="D38" s="4" t="s">
        <v>79</v>
      </c>
      <c r="E38" s="4"/>
      <c r="F38" s="15" t="s">
        <v>61</v>
      </c>
      <c r="G38" s="6" t="n">
        <v>68</v>
      </c>
      <c r="H38" s="6" t="n">
        <v>30</v>
      </c>
      <c r="I38" s="6" t="n">
        <v>20</v>
      </c>
      <c r="J38" s="6" t="s">
        <v>113</v>
      </c>
      <c r="K38" s="6" t="n">
        <v>18</v>
      </c>
      <c r="L38" s="6" t="n">
        <v>28</v>
      </c>
      <c r="M38" s="3" t="s">
        <v>63</v>
      </c>
      <c r="N38" s="4"/>
      <c r="O38" s="4"/>
      <c r="P38" s="4"/>
      <c r="Q38" s="8"/>
      <c r="R38" s="6"/>
      <c r="S38" s="6"/>
      <c r="T38" s="6"/>
      <c r="U38" s="8"/>
      <c r="V38" s="8"/>
      <c r="W38" s="8"/>
      <c r="X38" s="8"/>
      <c r="Y38" s="4"/>
      <c r="Z38" s="8"/>
      <c r="AA38" s="8"/>
      <c r="AB38" s="6"/>
      <c r="AC38" s="6"/>
      <c r="AD38" s="6"/>
      <c r="AE38" s="4"/>
      <c r="AF38" s="8"/>
      <c r="AG38" s="8"/>
      <c r="AI38" s="8"/>
      <c r="AJ38" s="8"/>
      <c r="AK38" s="8"/>
      <c r="AL38" s="8"/>
      <c r="AM38" s="8"/>
      <c r="AN38" s="8"/>
      <c r="AO38" s="8"/>
      <c r="AP38" s="4"/>
      <c r="AQ38" s="4"/>
      <c r="AR38" s="4"/>
      <c r="AS38" s="14"/>
      <c r="AT38" s="8"/>
      <c r="AU38" s="8"/>
      <c r="AV38" s="8"/>
      <c r="AW38" s="8"/>
      <c r="AX38" s="8"/>
      <c r="AY38" s="4"/>
      <c r="AZ38" s="4"/>
      <c r="BA38" s="4"/>
      <c r="BB38" s="4"/>
      <c r="BC38" s="4"/>
    </row>
    <row r="39" customFormat="false" ht="16.9" hidden="false" customHeight="false" outlineLevel="0" collapsed="false">
      <c r="A39" s="11" t="n">
        <f aca="false">A38+1</f>
        <v>43919.4951388889</v>
      </c>
      <c r="B39" s="12" t="n">
        <v>43919.5</v>
      </c>
      <c r="C39" s="4" t="n">
        <v>0</v>
      </c>
      <c r="D39" s="4" t="s">
        <v>95</v>
      </c>
      <c r="E39" s="4"/>
      <c r="F39" s="15" t="s">
        <v>65</v>
      </c>
      <c r="G39" s="6" t="n">
        <v>68</v>
      </c>
      <c r="H39" s="6" t="n">
        <v>41</v>
      </c>
      <c r="I39" s="6" t="n">
        <v>78</v>
      </c>
      <c r="J39" s="6" t="s">
        <v>101</v>
      </c>
      <c r="K39" s="6" t="n">
        <v>6</v>
      </c>
      <c r="L39" s="4" t="n">
        <v>0</v>
      </c>
      <c r="M39" s="3" t="s">
        <v>107</v>
      </c>
      <c r="N39" s="4"/>
      <c r="O39" s="4"/>
      <c r="P39" s="4"/>
      <c r="Q39" s="8"/>
      <c r="R39" s="6"/>
      <c r="S39" s="6"/>
      <c r="T39" s="6"/>
      <c r="U39" s="8"/>
      <c r="V39" s="8"/>
      <c r="W39" s="8"/>
      <c r="X39" s="8"/>
      <c r="Y39" s="4"/>
      <c r="Z39" s="8"/>
      <c r="AA39" s="8"/>
      <c r="AB39" s="6"/>
      <c r="AC39" s="6"/>
      <c r="AD39" s="6"/>
      <c r="AE39" s="4"/>
      <c r="AF39" s="8"/>
      <c r="AG39" s="8"/>
      <c r="AI39" s="8"/>
      <c r="AJ39" s="8"/>
      <c r="AK39" s="8"/>
      <c r="AL39" s="8"/>
      <c r="AM39" s="8"/>
      <c r="AN39" s="8"/>
      <c r="AO39" s="8"/>
      <c r="AP39" s="4"/>
      <c r="AQ39" s="4"/>
      <c r="AR39" s="4"/>
      <c r="AS39" s="14"/>
      <c r="AT39" s="8"/>
      <c r="AU39" s="8"/>
      <c r="AV39" s="8"/>
      <c r="AW39" s="8"/>
      <c r="AX39" s="8"/>
      <c r="AY39" s="4"/>
      <c r="AZ39" s="4"/>
      <c r="BA39" s="4"/>
      <c r="BB39" s="4"/>
      <c r="BC39" s="4"/>
    </row>
    <row r="40" customFormat="false" ht="16.9" hidden="false" customHeight="false" outlineLevel="0" collapsed="false">
      <c r="A40" s="11" t="n">
        <f aca="false">A39+1</f>
        <v>43920.4951388889</v>
      </c>
      <c r="B40" s="12" t="n">
        <v>43920.65</v>
      </c>
      <c r="C40" s="4" t="n">
        <v>1</v>
      </c>
      <c r="D40" s="4"/>
      <c r="E40" s="4"/>
      <c r="F40" s="4" t="s">
        <v>84</v>
      </c>
      <c r="G40" s="6" t="n">
        <v>55</v>
      </c>
      <c r="H40" s="6" t="n">
        <v>53</v>
      </c>
      <c r="I40" s="6" t="n">
        <v>97</v>
      </c>
      <c r="J40" s="4" t="s">
        <v>114</v>
      </c>
      <c r="K40" s="6" t="n">
        <v>18</v>
      </c>
      <c r="L40" s="6" t="n">
        <v>26</v>
      </c>
      <c r="M40" s="3" t="s">
        <v>84</v>
      </c>
      <c r="N40" s="4" t="s">
        <v>57</v>
      </c>
      <c r="O40" s="4"/>
      <c r="P40" s="4" t="s">
        <v>64</v>
      </c>
      <c r="Q40" s="8" t="n">
        <v>6.48</v>
      </c>
      <c r="R40" s="6"/>
      <c r="S40" s="6"/>
      <c r="T40" s="6" t="n">
        <v>13160</v>
      </c>
      <c r="U40" s="8" t="n">
        <f aca="false">101/60</f>
        <v>1.68333333333333</v>
      </c>
      <c r="V40" s="8"/>
      <c r="W40" s="8"/>
      <c r="X40" s="8" t="n">
        <f aca="false">Q40/U40</f>
        <v>3.84950495049505</v>
      </c>
      <c r="Y40" s="4" t="n">
        <v>1</v>
      </c>
      <c r="Z40" s="8" t="n">
        <f aca="false">Q40/Y40</f>
        <v>6.48</v>
      </c>
      <c r="AA40" s="8" t="n">
        <f aca="false">16+13/60</f>
        <v>16.2166666666667</v>
      </c>
      <c r="AB40" s="6" t="n">
        <v>180</v>
      </c>
      <c r="AC40" s="6" t="n">
        <v>1124</v>
      </c>
      <c r="AD40" s="6" t="n">
        <v>126</v>
      </c>
      <c r="AE40" s="4" t="n">
        <v>152</v>
      </c>
      <c r="AF40" s="8" t="n">
        <f aca="false">15+44.8/60</f>
        <v>15.7466666666667</v>
      </c>
      <c r="AG40" s="8" t="n">
        <f aca="false">15+20.8/60</f>
        <v>15.3466666666667</v>
      </c>
      <c r="AH40" s="8" t="n">
        <f aca="false">15+37.9/60</f>
        <v>15.6316666666667</v>
      </c>
      <c r="AI40" s="8" t="n">
        <f aca="false">15+55.5/60</f>
        <v>15.925</v>
      </c>
      <c r="AJ40" s="8" t="n">
        <f aca="false">15+19/60</f>
        <v>15.3166666666667</v>
      </c>
      <c r="AK40" s="8" t="n">
        <f aca="false">15+29.2/60</f>
        <v>15.4866666666667</v>
      </c>
      <c r="AL40" s="8" t="n">
        <f aca="false">60/3.9</f>
        <v>15.3846153846154</v>
      </c>
      <c r="AM40" s="8"/>
      <c r="AN40" s="8"/>
      <c r="AO40" s="8"/>
      <c r="AP40" s="4" t="n">
        <v>1</v>
      </c>
      <c r="AQ40" s="4" t="n">
        <v>0</v>
      </c>
      <c r="AR40" s="4"/>
      <c r="AS40" s="14"/>
      <c r="AT40" s="8"/>
      <c r="AU40" s="8"/>
      <c r="AV40" s="8"/>
      <c r="AW40" s="8"/>
      <c r="AX40" s="8"/>
      <c r="AY40" s="4" t="s">
        <v>59</v>
      </c>
      <c r="AZ40" s="4" t="s">
        <v>60</v>
      </c>
      <c r="BA40" s="4" t="n">
        <v>0</v>
      </c>
      <c r="BB40" s="4"/>
      <c r="BC40" s="4"/>
    </row>
    <row r="41" customFormat="false" ht="16.9" hidden="false" customHeight="false" outlineLevel="0" collapsed="false">
      <c r="A41" s="11" t="n">
        <f aca="false">A40+1</f>
        <v>43921.4951388889</v>
      </c>
      <c r="B41" s="12" t="n">
        <v>43921.5986111111</v>
      </c>
      <c r="C41" s="4" t="n">
        <v>1</v>
      </c>
      <c r="D41" s="4"/>
      <c r="E41" s="4"/>
      <c r="F41" s="4" t="s">
        <v>115</v>
      </c>
      <c r="G41" s="6" t="n">
        <v>74</v>
      </c>
      <c r="H41" s="6" t="n">
        <v>56</v>
      </c>
      <c r="I41" s="6" t="n">
        <v>55</v>
      </c>
      <c r="J41" s="6" t="s">
        <v>62</v>
      </c>
      <c r="K41" s="6" t="n">
        <v>23</v>
      </c>
      <c r="L41" s="6" t="n">
        <v>29</v>
      </c>
      <c r="M41" s="3" t="s">
        <v>63</v>
      </c>
      <c r="N41" s="4" t="s">
        <v>73</v>
      </c>
      <c r="O41" s="4"/>
      <c r="P41" s="4" t="s">
        <v>94</v>
      </c>
      <c r="Q41" s="8" t="n">
        <v>6.14</v>
      </c>
      <c r="R41" s="6"/>
      <c r="S41" s="6"/>
      <c r="T41" s="6" t="n">
        <v>12629</v>
      </c>
      <c r="U41" s="8" t="n">
        <f aca="false">94/60</f>
        <v>1.56666666666667</v>
      </c>
      <c r="V41" s="8"/>
      <c r="W41" s="8"/>
      <c r="X41" s="8" t="n">
        <f aca="false">Q41/U41</f>
        <v>3.91914893617021</v>
      </c>
      <c r="Y41" s="4" t="n">
        <v>1</v>
      </c>
      <c r="Z41" s="8" t="n">
        <f aca="false">Q41/Y41</f>
        <v>6.14</v>
      </c>
      <c r="AA41" s="8" t="n">
        <f aca="false">15+15/60</f>
        <v>15.25</v>
      </c>
      <c r="AB41" s="6" t="n">
        <v>72</v>
      </c>
      <c r="AC41" s="6" t="n">
        <v>668</v>
      </c>
      <c r="AD41" s="6" t="n">
        <v>84</v>
      </c>
      <c r="AE41" s="4" t="n">
        <v>107</v>
      </c>
      <c r="AF41" s="8" t="n">
        <f aca="false">15+33.4/60</f>
        <v>15.5566666666667</v>
      </c>
      <c r="AG41" s="8" t="n">
        <f aca="false">15+6.8/60</f>
        <v>15.1133333333333</v>
      </c>
      <c r="AH41" s="8" t="n">
        <f aca="false">15+17.2/60</f>
        <v>15.2866666666667</v>
      </c>
      <c r="AI41" s="8" t="n">
        <f aca="false">15+10.1/60</f>
        <v>15.1683333333333</v>
      </c>
      <c r="AJ41" s="8" t="n">
        <f aca="false">15+21.9/60</f>
        <v>15.365</v>
      </c>
      <c r="AK41" s="8" t="n">
        <f aca="false">15+21.9/60</f>
        <v>15.365</v>
      </c>
      <c r="AL41" s="8" t="n">
        <f aca="false">60/4</f>
        <v>15</v>
      </c>
      <c r="AM41" s="8"/>
      <c r="AN41" s="8"/>
      <c r="AO41" s="8"/>
      <c r="AP41" s="4" t="n">
        <v>1</v>
      </c>
      <c r="AQ41" s="4" t="n">
        <v>0</v>
      </c>
      <c r="AR41" s="4"/>
      <c r="AS41" s="14"/>
      <c r="AT41" s="8"/>
      <c r="AU41" s="8"/>
      <c r="AV41" s="8"/>
      <c r="AW41" s="8"/>
      <c r="AX41" s="8"/>
      <c r="AY41" s="4" t="s">
        <v>59</v>
      </c>
      <c r="AZ41" s="4" t="s">
        <v>60</v>
      </c>
      <c r="BA41" s="4" t="n">
        <v>0</v>
      </c>
      <c r="BB41" s="4"/>
      <c r="BC41" s="4"/>
    </row>
    <row r="42" customFormat="false" ht="16.9" hidden="false" customHeight="false" outlineLevel="0" collapsed="false">
      <c r="A42" s="11" t="n">
        <f aca="false">A41+1</f>
        <v>43922.4951388889</v>
      </c>
      <c r="B42" s="12" t="n">
        <v>43922.5944444445</v>
      </c>
      <c r="C42" s="4" t="n">
        <v>1</v>
      </c>
      <c r="D42" s="4"/>
      <c r="E42" s="4"/>
      <c r="F42" s="4" t="s">
        <v>61</v>
      </c>
      <c r="G42" s="6" t="n">
        <v>70</v>
      </c>
      <c r="H42" s="6" t="n">
        <v>50</v>
      </c>
      <c r="I42" s="6" t="n">
        <v>49</v>
      </c>
      <c r="J42" s="6" t="s">
        <v>62</v>
      </c>
      <c r="K42" s="6" t="n">
        <v>14</v>
      </c>
      <c r="L42" s="6" t="n">
        <v>0</v>
      </c>
      <c r="M42" s="3" t="s">
        <v>63</v>
      </c>
      <c r="N42" s="4" t="s">
        <v>73</v>
      </c>
      <c r="O42" s="4"/>
      <c r="P42" s="4" t="s">
        <v>87</v>
      </c>
      <c r="Q42" s="8" t="n">
        <v>4.5</v>
      </c>
      <c r="R42" s="6"/>
      <c r="S42" s="6"/>
      <c r="T42" s="6"/>
      <c r="U42" s="8" t="n">
        <f aca="false">72/60</f>
        <v>1.2</v>
      </c>
      <c r="V42" s="8"/>
      <c r="W42" s="8"/>
      <c r="X42" s="8" t="n">
        <f aca="false">Q42/U42</f>
        <v>3.75</v>
      </c>
      <c r="Y42" s="4" t="n">
        <v>1</v>
      </c>
      <c r="Z42" s="8" t="n">
        <f aca="false">Q42/Y42</f>
        <v>4.5</v>
      </c>
      <c r="AA42" s="8" t="n">
        <f aca="false">15+59/60</f>
        <v>15.9833333333333</v>
      </c>
      <c r="AB42" s="6" t="n">
        <v>102</v>
      </c>
      <c r="AC42" s="6" t="n">
        <v>570</v>
      </c>
      <c r="AD42" s="6" t="n">
        <v>101</v>
      </c>
      <c r="AE42" s="4" t="n">
        <v>136</v>
      </c>
      <c r="AF42" s="8" t="n">
        <f aca="false">15+52/60</f>
        <v>15.8666666666667</v>
      </c>
      <c r="AG42" s="8" t="n">
        <f aca="false">15+59.6/60</f>
        <v>15.9933333333333</v>
      </c>
      <c r="AH42" s="8" t="n">
        <f aca="false">16+30.4/60</f>
        <v>16.5066666666667</v>
      </c>
      <c r="AI42" s="8" t="n">
        <f aca="false">16+28/60</f>
        <v>16.4666666666667</v>
      </c>
      <c r="AJ42" s="8" t="n">
        <f aca="false">60/3.7</f>
        <v>16.2162162162162</v>
      </c>
      <c r="AK42" s="8"/>
      <c r="AL42" s="8"/>
      <c r="AM42" s="8"/>
      <c r="AN42" s="8"/>
      <c r="AO42" s="8"/>
      <c r="AP42" s="4" t="n">
        <v>0</v>
      </c>
      <c r="AQ42" s="4" t="n">
        <v>0</v>
      </c>
      <c r="AR42" s="4"/>
      <c r="AS42" s="14"/>
      <c r="AT42" s="8"/>
      <c r="AU42" s="8"/>
      <c r="AV42" s="8"/>
      <c r="AW42" s="8"/>
      <c r="AX42" s="8"/>
      <c r="AY42" s="4" t="s">
        <v>59</v>
      </c>
      <c r="AZ42" s="4" t="s">
        <v>60</v>
      </c>
      <c r="BA42" s="4" t="n">
        <v>0</v>
      </c>
      <c r="BB42" s="4"/>
      <c r="BC42" s="4"/>
    </row>
    <row r="43" customFormat="false" ht="16.9" hidden="false" customHeight="false" outlineLevel="0" collapsed="false">
      <c r="A43" s="11" t="n">
        <f aca="false">A42+1</f>
        <v>43923.4951388889</v>
      </c>
      <c r="B43" s="12" t="n">
        <v>43923.4951388889</v>
      </c>
      <c r="C43" s="4" t="n">
        <v>0</v>
      </c>
      <c r="D43" s="4" t="s">
        <v>95</v>
      </c>
      <c r="E43" s="4"/>
      <c r="F43" s="4" t="s">
        <v>90</v>
      </c>
      <c r="G43" s="6" t="n">
        <v>66</v>
      </c>
      <c r="H43" s="6" t="n">
        <v>63</v>
      </c>
      <c r="I43" s="6" t="n">
        <v>81</v>
      </c>
      <c r="J43" s="4" t="s">
        <v>62</v>
      </c>
      <c r="K43" s="6" t="n">
        <v>17</v>
      </c>
      <c r="L43" s="6" t="n">
        <v>24</v>
      </c>
      <c r="M43" s="3" t="s">
        <v>107</v>
      </c>
      <c r="N43" s="4"/>
      <c r="O43" s="4"/>
      <c r="P43" s="4"/>
      <c r="Q43" s="8"/>
      <c r="R43" s="6"/>
      <c r="S43" s="6"/>
      <c r="T43" s="6"/>
      <c r="U43" s="8"/>
      <c r="V43" s="8"/>
      <c r="W43" s="8"/>
      <c r="X43" s="8"/>
      <c r="Y43" s="4"/>
      <c r="Z43" s="8"/>
      <c r="AA43" s="8"/>
      <c r="AB43" s="6"/>
      <c r="AC43" s="6"/>
      <c r="AD43" s="6"/>
      <c r="AE43" s="4"/>
      <c r="AF43" s="8"/>
      <c r="AG43" s="8"/>
      <c r="AI43" s="8"/>
      <c r="AJ43" s="8"/>
      <c r="AK43" s="8"/>
      <c r="AL43" s="8"/>
      <c r="AM43" s="8"/>
      <c r="AN43" s="8"/>
      <c r="AO43" s="8"/>
      <c r="AP43" s="4"/>
      <c r="AQ43" s="4"/>
      <c r="AR43" s="4"/>
      <c r="AS43" s="14"/>
      <c r="AT43" s="8"/>
      <c r="AU43" s="8"/>
      <c r="AV43" s="8"/>
      <c r="AW43" s="8"/>
      <c r="AX43" s="8"/>
      <c r="AY43" s="4"/>
      <c r="AZ43" s="4"/>
      <c r="BA43" s="4"/>
      <c r="BB43" s="4"/>
      <c r="BC43" s="4"/>
    </row>
    <row r="44" customFormat="false" ht="16.9" hidden="false" customHeight="false" outlineLevel="0" collapsed="false">
      <c r="A44" s="11" t="n">
        <f aca="false">A43+1</f>
        <v>43924.4951388889</v>
      </c>
      <c r="B44" s="12" t="n">
        <v>43924.4951388889</v>
      </c>
      <c r="C44" s="4" t="n">
        <v>0</v>
      </c>
      <c r="D44" s="4" t="s">
        <v>95</v>
      </c>
      <c r="E44" s="4"/>
      <c r="F44" s="4" t="s">
        <v>65</v>
      </c>
      <c r="G44" s="6" t="n">
        <v>45</v>
      </c>
      <c r="H44" s="6" t="n">
        <v>42</v>
      </c>
      <c r="I44" s="6" t="n">
        <v>96</v>
      </c>
      <c r="J44" s="6" t="s">
        <v>83</v>
      </c>
      <c r="K44" s="6" t="n">
        <v>20</v>
      </c>
      <c r="L44" s="6" t="n">
        <v>30</v>
      </c>
      <c r="M44" s="3" t="s">
        <v>107</v>
      </c>
      <c r="N44" s="4"/>
      <c r="O44" s="4"/>
      <c r="P44" s="4"/>
      <c r="Q44" s="8"/>
      <c r="R44" s="6"/>
      <c r="S44" s="6"/>
      <c r="T44" s="6"/>
      <c r="U44" s="8"/>
      <c r="V44" s="8"/>
      <c r="W44" s="8"/>
      <c r="X44" s="8"/>
      <c r="Y44" s="4"/>
      <c r="Z44" s="8"/>
      <c r="AA44" s="8"/>
      <c r="AB44" s="6"/>
      <c r="AC44" s="6"/>
      <c r="AD44" s="6"/>
      <c r="AE44" s="4"/>
      <c r="AF44" s="8"/>
      <c r="AG44" s="8"/>
      <c r="AI44" s="8"/>
      <c r="AJ44" s="8"/>
      <c r="AK44" s="8"/>
      <c r="AL44" s="8"/>
      <c r="AM44" s="8"/>
      <c r="AN44" s="8"/>
      <c r="AO44" s="8"/>
      <c r="AP44" s="4"/>
      <c r="AQ44" s="4"/>
      <c r="AR44" s="4"/>
      <c r="AS44" s="14"/>
      <c r="AT44" s="8"/>
      <c r="AU44" s="8"/>
      <c r="AV44" s="8"/>
      <c r="AW44" s="8"/>
      <c r="AX44" s="8"/>
      <c r="AY44" s="4"/>
      <c r="AZ44" s="4"/>
      <c r="BA44" s="4"/>
      <c r="BB44" s="4"/>
      <c r="BC44" s="4"/>
    </row>
    <row r="45" customFormat="false" ht="16.9" hidden="false" customHeight="false" outlineLevel="0" collapsed="false">
      <c r="A45" s="11" t="n">
        <f aca="false">A44+1</f>
        <v>43925.4951388889</v>
      </c>
      <c r="B45" s="12" t="n">
        <v>43925.4951388889</v>
      </c>
      <c r="C45" s="4" t="n">
        <v>0</v>
      </c>
      <c r="D45" s="4" t="s">
        <v>116</v>
      </c>
      <c r="E45" s="4"/>
      <c r="F45" s="4" t="s">
        <v>103</v>
      </c>
      <c r="G45" s="6" t="n">
        <v>40</v>
      </c>
      <c r="H45" s="6" t="n">
        <v>38</v>
      </c>
      <c r="I45" s="6" t="n">
        <v>93</v>
      </c>
      <c r="J45" s="6" t="s">
        <v>101</v>
      </c>
      <c r="K45" s="6" t="n">
        <v>0</v>
      </c>
      <c r="L45" s="6" t="n">
        <v>0</v>
      </c>
      <c r="M45" s="3" t="s">
        <v>103</v>
      </c>
      <c r="N45" s="4"/>
      <c r="O45" s="4"/>
      <c r="P45" s="4"/>
      <c r="Q45" s="8"/>
      <c r="R45" s="6"/>
      <c r="S45" s="6"/>
      <c r="T45" s="6"/>
      <c r="U45" s="8"/>
      <c r="V45" s="8"/>
      <c r="W45" s="8"/>
      <c r="X45" s="8"/>
      <c r="Y45" s="4"/>
      <c r="Z45" s="8"/>
      <c r="AA45" s="8"/>
      <c r="AB45" s="6"/>
      <c r="AC45" s="6"/>
      <c r="AD45" s="6"/>
      <c r="AE45" s="4"/>
      <c r="AF45" s="8"/>
      <c r="AG45" s="8"/>
      <c r="AI45" s="8"/>
      <c r="AJ45" s="8"/>
      <c r="AK45" s="8"/>
      <c r="AL45" s="8"/>
      <c r="AM45" s="8"/>
      <c r="AN45" s="8"/>
      <c r="AO45" s="8"/>
      <c r="AP45" s="4"/>
      <c r="AQ45" s="4"/>
      <c r="AR45" s="4"/>
      <c r="AS45" s="14"/>
      <c r="AT45" s="8"/>
      <c r="AU45" s="8"/>
      <c r="AV45" s="8"/>
      <c r="AW45" s="8"/>
      <c r="AX45" s="8"/>
      <c r="AY45" s="4"/>
      <c r="AZ45" s="4"/>
      <c r="BA45" s="4"/>
      <c r="BB45" s="4"/>
      <c r="BC45" s="4"/>
    </row>
    <row r="46" customFormat="false" ht="16.9" hidden="false" customHeight="false" outlineLevel="0" collapsed="false">
      <c r="A46" s="11" t="n">
        <f aca="false">A45+1</f>
        <v>43926.4951388889</v>
      </c>
      <c r="B46" s="12" t="n">
        <v>43926.5236111111</v>
      </c>
      <c r="C46" s="4" t="n">
        <v>1</v>
      </c>
      <c r="D46" s="4"/>
      <c r="E46" s="4"/>
      <c r="F46" s="4" t="s">
        <v>65</v>
      </c>
      <c r="G46" s="6" t="n">
        <v>55</v>
      </c>
      <c r="H46" s="6" t="n">
        <v>51</v>
      </c>
      <c r="I46" s="6" t="n">
        <v>86</v>
      </c>
      <c r="J46" s="6" t="s">
        <v>117</v>
      </c>
      <c r="K46" s="6" t="n">
        <v>6</v>
      </c>
      <c r="L46" s="6" t="n">
        <v>0</v>
      </c>
      <c r="M46" s="3" t="s">
        <v>63</v>
      </c>
      <c r="N46" s="4" t="s">
        <v>73</v>
      </c>
      <c r="O46" s="4"/>
      <c r="P46" s="4" t="s">
        <v>89</v>
      </c>
      <c r="Q46" s="8" t="n">
        <v>5.12</v>
      </c>
      <c r="R46" s="6"/>
      <c r="S46" s="6"/>
      <c r="T46" s="6"/>
      <c r="U46" s="8" t="n">
        <f aca="false">(60+23)/60</f>
        <v>1.38333333333333</v>
      </c>
      <c r="V46" s="8"/>
      <c r="W46" s="8"/>
      <c r="X46" s="8" t="n">
        <f aca="false">Q46/U46</f>
        <v>3.70120481927711</v>
      </c>
      <c r="Y46" s="4" t="n">
        <v>1</v>
      </c>
      <c r="Z46" s="8" t="n">
        <f aca="false">Q46/Y46</f>
        <v>5.12</v>
      </c>
      <c r="AA46" s="8" t="n">
        <f aca="false">16+8/60</f>
        <v>16.1333333333333</v>
      </c>
      <c r="AB46" s="6" t="n">
        <v>203</v>
      </c>
      <c r="AC46" s="6" t="n">
        <v>842</v>
      </c>
      <c r="AD46" s="6" t="n">
        <v>120</v>
      </c>
      <c r="AE46" s="4" t="n">
        <v>151</v>
      </c>
      <c r="AF46" s="8" t="n">
        <f aca="false">15+49.1/60</f>
        <v>15.8183333333333</v>
      </c>
      <c r="AG46" s="8" t="n">
        <f aca="false">16+46.2/60</f>
        <v>16.77</v>
      </c>
      <c r="AH46" s="8" t="n">
        <f aca="false">16+5/60</f>
        <v>16.0833333333333</v>
      </c>
      <c r="AI46" s="8" t="n">
        <f aca="false">16+5.4/60</f>
        <v>16.09</v>
      </c>
      <c r="AJ46" s="8" t="n">
        <f aca="false">16+9/60</f>
        <v>16.15</v>
      </c>
      <c r="AK46" s="8" t="n">
        <f aca="false">60/4.3</f>
        <v>13.953488372093</v>
      </c>
      <c r="AL46" s="8"/>
      <c r="AM46" s="8"/>
      <c r="AN46" s="8"/>
      <c r="AO46" s="8"/>
      <c r="AP46" s="4" t="n">
        <v>0</v>
      </c>
      <c r="AQ46" s="4" t="n">
        <v>0</v>
      </c>
      <c r="AR46" s="4"/>
      <c r="AS46" s="14"/>
      <c r="AT46" s="8"/>
      <c r="AU46" s="8"/>
      <c r="AV46" s="8"/>
      <c r="AW46" s="8"/>
      <c r="AX46" s="8"/>
      <c r="AY46" s="4" t="s">
        <v>59</v>
      </c>
      <c r="AZ46" s="4" t="s">
        <v>60</v>
      </c>
      <c r="BA46" s="4" t="n">
        <v>0</v>
      </c>
      <c r="BB46" s="4"/>
      <c r="BC46" s="4"/>
    </row>
    <row r="47" customFormat="false" ht="16.9" hidden="false" customHeight="false" outlineLevel="0" collapsed="false">
      <c r="A47" s="11" t="n">
        <f aca="false">A46+1</f>
        <v>43927.4951388889</v>
      </c>
      <c r="B47" s="12" t="n">
        <v>43927.6222222222</v>
      </c>
      <c r="C47" s="4" t="n">
        <v>1</v>
      </c>
      <c r="D47" s="4"/>
      <c r="E47" s="4"/>
      <c r="F47" s="4" t="s">
        <v>65</v>
      </c>
      <c r="G47" s="6" t="n">
        <v>70</v>
      </c>
      <c r="H47" s="6" t="n">
        <v>64</v>
      </c>
      <c r="I47" s="6" t="n">
        <v>81</v>
      </c>
      <c r="J47" s="6" t="s">
        <v>62</v>
      </c>
      <c r="K47" s="6" t="n">
        <v>13</v>
      </c>
      <c r="L47" s="6" t="n">
        <v>0</v>
      </c>
      <c r="M47" s="3" t="s">
        <v>63</v>
      </c>
      <c r="N47" s="4" t="s">
        <v>57</v>
      </c>
      <c r="O47" s="4"/>
      <c r="P47" s="4" t="s">
        <v>91</v>
      </c>
      <c r="Q47" s="8" t="n">
        <v>4.78</v>
      </c>
      <c r="R47" s="6"/>
      <c r="S47" s="6"/>
      <c r="T47" s="6" t="n">
        <v>10730</v>
      </c>
      <c r="U47" s="8" t="n">
        <f aca="false">(60+23)/60</f>
        <v>1.38333333333333</v>
      </c>
      <c r="V47" s="8"/>
      <c r="W47" s="8"/>
      <c r="X47" s="8" t="n">
        <f aca="false">Q47/U47</f>
        <v>3.45542168674699</v>
      </c>
      <c r="Y47" s="4" t="n">
        <v>1</v>
      </c>
      <c r="Z47" s="8" t="n">
        <f aca="false">Q47/Y47</f>
        <v>4.78</v>
      </c>
      <c r="AA47" s="8" t="n">
        <f aca="false">17+2/60</f>
        <v>17.0333333333333</v>
      </c>
      <c r="AB47" s="6" t="n">
        <v>190</v>
      </c>
      <c r="AC47" s="6" t="n">
        <v>1000</v>
      </c>
      <c r="AD47" s="6" t="n">
        <v>134</v>
      </c>
      <c r="AE47" s="4" t="n">
        <v>164</v>
      </c>
      <c r="AF47" s="8" t="n">
        <f aca="false">15+58.8/60</f>
        <v>15.98</v>
      </c>
      <c r="AG47" s="8" t="n">
        <f aca="false">15+59.1/60</f>
        <v>15.985</v>
      </c>
      <c r="AH47" s="8" t="n">
        <f aca="false">17+38.5/60</f>
        <v>17.6416666666667</v>
      </c>
      <c r="AI47" s="8" t="n">
        <f aca="false">17+38.5/60</f>
        <v>17.6416666666667</v>
      </c>
      <c r="AJ47" s="8" t="n">
        <f aca="false">60/3.5</f>
        <v>17.1428571428571</v>
      </c>
      <c r="AK47" s="8"/>
      <c r="AL47" s="8"/>
      <c r="AM47" s="8"/>
      <c r="AN47" s="8"/>
      <c r="AO47" s="8"/>
      <c r="AP47" s="4" t="n">
        <v>5</v>
      </c>
      <c r="AQ47" s="4" t="n">
        <v>1</v>
      </c>
      <c r="AR47" s="4"/>
      <c r="AS47" s="14"/>
      <c r="AT47" s="8"/>
      <c r="AU47" s="8"/>
      <c r="AV47" s="8"/>
      <c r="AW47" s="8"/>
      <c r="AX47" s="8"/>
      <c r="AY47" s="4" t="s">
        <v>59</v>
      </c>
      <c r="AZ47" s="4" t="s">
        <v>60</v>
      </c>
      <c r="BA47" s="4" t="n">
        <v>0</v>
      </c>
      <c r="BB47" s="4"/>
      <c r="BC47" s="4"/>
    </row>
    <row r="48" customFormat="false" ht="16.9" hidden="false" customHeight="false" outlineLevel="0" collapsed="false">
      <c r="A48" s="11" t="n">
        <f aca="false">A47+1</f>
        <v>43928.4951388889</v>
      </c>
      <c r="B48" s="12" t="n">
        <v>43928.4868055556</v>
      </c>
      <c r="C48" s="4" t="n">
        <v>1</v>
      </c>
      <c r="D48" s="4"/>
      <c r="E48" s="4"/>
      <c r="F48" s="4" t="s">
        <v>61</v>
      </c>
      <c r="G48" s="6" t="n">
        <v>83</v>
      </c>
      <c r="H48" s="6" t="n">
        <v>67</v>
      </c>
      <c r="I48" s="6" t="n">
        <v>58</v>
      </c>
      <c r="J48" s="4" t="s">
        <v>80</v>
      </c>
      <c r="K48" s="6" t="n">
        <v>14</v>
      </c>
      <c r="L48" s="6" t="n">
        <v>20</v>
      </c>
      <c r="M48" s="3" t="s">
        <v>63</v>
      </c>
      <c r="N48" s="4" t="s">
        <v>73</v>
      </c>
      <c r="O48" s="4"/>
      <c r="P48" s="4" t="s">
        <v>118</v>
      </c>
      <c r="Q48" s="8" t="n">
        <v>3.52</v>
      </c>
      <c r="R48" s="6"/>
      <c r="S48" s="6"/>
      <c r="T48" s="6"/>
      <c r="U48" s="8" t="n">
        <f aca="false">78/60</f>
        <v>1.3</v>
      </c>
      <c r="V48" s="8"/>
      <c r="W48" s="8"/>
      <c r="X48" s="8" t="n">
        <f aca="false">(60+23)/60</f>
        <v>1.38333333333333</v>
      </c>
      <c r="Y48" s="4" t="n">
        <v>2</v>
      </c>
      <c r="Z48" s="8" t="n">
        <v>1</v>
      </c>
      <c r="AA48" s="8" t="n">
        <f aca="false">22+6/60</f>
        <v>22.1</v>
      </c>
      <c r="AB48" s="6" t="n">
        <v>59</v>
      </c>
      <c r="AC48" s="6" t="n">
        <v>688</v>
      </c>
      <c r="AD48" s="6" t="n">
        <v>115</v>
      </c>
      <c r="AE48" s="6" t="n">
        <v>142</v>
      </c>
      <c r="AF48" s="8" t="n">
        <f aca="false">20+23.6/60</f>
        <v>20.3933333333333</v>
      </c>
      <c r="AG48" s="8" t="n">
        <f aca="false">24+49.2/60</f>
        <v>24.82</v>
      </c>
      <c r="AH48" s="8" t="n">
        <f aca="false">21+18.9/60</f>
        <v>21.315</v>
      </c>
      <c r="AI48" s="8" t="n">
        <f aca="false">60/2.7</f>
        <v>22.2222222222222</v>
      </c>
      <c r="AJ48" s="8"/>
      <c r="AK48" s="8"/>
      <c r="AL48" s="8"/>
      <c r="AM48" s="8"/>
      <c r="AN48" s="8"/>
      <c r="AO48" s="8"/>
      <c r="AP48" s="4" t="n">
        <v>0</v>
      </c>
      <c r="AQ48" s="4" t="n">
        <v>0</v>
      </c>
      <c r="AR48" s="4"/>
      <c r="AS48" s="14"/>
      <c r="AT48" s="8"/>
      <c r="AU48" s="8"/>
      <c r="AV48" s="8"/>
      <c r="AW48" s="8"/>
      <c r="AX48" s="8"/>
      <c r="AY48" s="4" t="s">
        <v>59</v>
      </c>
      <c r="AZ48" s="4" t="s">
        <v>60</v>
      </c>
      <c r="BA48" s="4" t="n">
        <v>0</v>
      </c>
      <c r="BB48" s="4"/>
      <c r="BC48" s="4"/>
    </row>
    <row r="49" customFormat="false" ht="16.9" hidden="false" customHeight="false" outlineLevel="0" collapsed="false">
      <c r="A49" s="11" t="n">
        <f aca="false">A48+1</f>
        <v>43929.4951388889</v>
      </c>
      <c r="B49" s="12" t="n">
        <v>43929.5513888889</v>
      </c>
      <c r="C49" s="4" t="n">
        <v>1</v>
      </c>
      <c r="D49" s="4"/>
      <c r="E49" s="4"/>
      <c r="F49" s="4" t="s">
        <v>71</v>
      </c>
      <c r="G49" s="11" t="n">
        <v>93</v>
      </c>
      <c r="H49" s="6" t="n">
        <v>59</v>
      </c>
      <c r="I49" s="6" t="n">
        <v>32</v>
      </c>
      <c r="J49" s="4" t="s">
        <v>81</v>
      </c>
      <c r="K49" s="6" t="n">
        <v>16</v>
      </c>
      <c r="L49" s="6" t="n">
        <v>23</v>
      </c>
      <c r="M49" s="3" t="s">
        <v>63</v>
      </c>
      <c r="N49" s="4" t="s">
        <v>57</v>
      </c>
      <c r="O49" s="4"/>
      <c r="P49" s="4" t="s">
        <v>119</v>
      </c>
      <c r="Q49" s="8" t="n">
        <v>4.8</v>
      </c>
      <c r="R49" s="6"/>
      <c r="S49" s="6"/>
      <c r="T49" s="6" t="n">
        <v>10730</v>
      </c>
      <c r="U49" s="8" t="n">
        <f aca="false">(60+14)/60</f>
        <v>1.23333333333333</v>
      </c>
      <c r="V49" s="8"/>
      <c r="W49" s="8"/>
      <c r="X49" s="8" t="n">
        <f aca="false">Q49/U49</f>
        <v>3.89189189189189</v>
      </c>
      <c r="Y49" s="4" t="n">
        <v>1</v>
      </c>
      <c r="Z49" s="8" t="n">
        <f aca="false">Q49/Y49</f>
        <v>4.8</v>
      </c>
      <c r="AA49" s="8" t="n">
        <f aca="false">15+24/60</f>
        <v>15.4</v>
      </c>
      <c r="AB49" s="6" t="n">
        <v>43</v>
      </c>
      <c r="AC49" s="6" t="n">
        <v>555</v>
      </c>
      <c r="AD49" s="6" t="n">
        <v>107</v>
      </c>
      <c r="AE49" s="6" t="n">
        <v>133</v>
      </c>
      <c r="AF49" s="8" t="n">
        <f aca="false">15+15.9/60</f>
        <v>15.265</v>
      </c>
      <c r="AG49" s="8" t="n">
        <f aca="false">15+35.7/60</f>
        <v>15.595</v>
      </c>
      <c r="AH49" s="8" t="n">
        <f aca="false">15+33.1/60</f>
        <v>15.5516666666667</v>
      </c>
      <c r="AI49" s="8" t="n">
        <f aca="false">15+15.3/60</f>
        <v>15.255</v>
      </c>
      <c r="AJ49" s="8" t="n">
        <f aca="false">60/3.9</f>
        <v>15.3846153846154</v>
      </c>
      <c r="AK49" s="8"/>
      <c r="AL49" s="8"/>
      <c r="AM49" s="8"/>
      <c r="AN49" s="8"/>
      <c r="AO49" s="8"/>
      <c r="AP49" s="4" t="n">
        <v>0</v>
      </c>
      <c r="AQ49" s="4" t="n">
        <v>1</v>
      </c>
      <c r="AR49" s="4"/>
      <c r="AS49" s="14"/>
      <c r="AT49" s="8"/>
      <c r="AU49" s="8"/>
      <c r="AV49" s="8"/>
      <c r="AW49" s="8"/>
      <c r="AX49" s="8"/>
      <c r="AY49" s="4" t="s">
        <v>59</v>
      </c>
      <c r="AZ49" s="4" t="s">
        <v>60</v>
      </c>
      <c r="BA49" s="4" t="n">
        <v>0</v>
      </c>
      <c r="BB49" s="4"/>
      <c r="BC49" s="4"/>
    </row>
    <row r="50" customFormat="false" ht="16.9" hidden="false" customHeight="false" outlineLevel="0" collapsed="false">
      <c r="A50" s="11" t="n">
        <f aca="false">A49+1</f>
        <v>43930.4951388889</v>
      </c>
      <c r="B50" s="12" t="n">
        <v>43930.5715277778</v>
      </c>
      <c r="C50" s="4" t="n">
        <v>1</v>
      </c>
      <c r="D50" s="4"/>
      <c r="E50" s="4"/>
      <c r="F50" s="4" t="s">
        <v>65</v>
      </c>
      <c r="G50" s="6" t="n">
        <v>76</v>
      </c>
      <c r="H50" s="6" t="n">
        <v>45</v>
      </c>
      <c r="I50" s="6" t="n">
        <v>43</v>
      </c>
      <c r="J50" s="4" t="s">
        <v>86</v>
      </c>
      <c r="K50" s="4" t="n">
        <v>10</v>
      </c>
      <c r="L50" s="6" t="n">
        <v>0</v>
      </c>
      <c r="M50" s="3" t="s">
        <v>63</v>
      </c>
      <c r="N50" s="4" t="s">
        <v>73</v>
      </c>
      <c r="O50" s="4"/>
      <c r="P50" s="4" t="s">
        <v>87</v>
      </c>
      <c r="Q50" s="8" t="n">
        <v>4.48</v>
      </c>
      <c r="R50" s="6"/>
      <c r="S50" s="6"/>
      <c r="T50" s="6" t="n">
        <f aca="false">10135-726</f>
        <v>9409</v>
      </c>
      <c r="U50" s="8" t="n">
        <f aca="false">71/60</f>
        <v>1.18333333333333</v>
      </c>
      <c r="V50" s="8"/>
      <c r="W50" s="8"/>
      <c r="X50" s="8" t="n">
        <f aca="false">Q50/U50</f>
        <v>3.78591549295775</v>
      </c>
      <c r="Y50" s="4" t="n">
        <v>1</v>
      </c>
      <c r="Z50" s="8" t="n">
        <f aca="false">Q50/Y50</f>
        <v>4.48</v>
      </c>
      <c r="AA50" s="8" t="n">
        <f aca="false">15+46/60</f>
        <v>15.7666666666667</v>
      </c>
      <c r="AB50" s="6" t="n">
        <v>98</v>
      </c>
      <c r="AC50" s="6" t="n">
        <v>628</v>
      </c>
      <c r="AD50" s="6" t="n">
        <f aca="false">111</f>
        <v>111</v>
      </c>
      <c r="AE50" s="6" t="n">
        <v>144</v>
      </c>
      <c r="AF50" s="8" t="n">
        <f aca="false">15+42.1/60</f>
        <v>15.7016666666667</v>
      </c>
      <c r="AG50" s="8" t="n">
        <f aca="false">15+34.9/60</f>
        <v>15.5816666666667</v>
      </c>
      <c r="AH50" s="8" t="n">
        <f aca="false">15+24.4/60</f>
        <v>15.4066666666667</v>
      </c>
      <c r="AI50" s="8" t="n">
        <f aca="false">16+23.6/60</f>
        <v>16.3933333333333</v>
      </c>
      <c r="AJ50" s="8" t="n">
        <f aca="false">60/3.8</f>
        <v>15.7894736842105</v>
      </c>
      <c r="AK50" s="8"/>
      <c r="AL50" s="8"/>
      <c r="AM50" s="8"/>
      <c r="AN50" s="8"/>
      <c r="AO50" s="8"/>
      <c r="AP50" s="4" t="n">
        <v>1</v>
      </c>
      <c r="AQ50" s="4" t="n">
        <v>1</v>
      </c>
      <c r="AR50" s="4"/>
      <c r="AS50" s="14"/>
      <c r="AT50" s="8"/>
      <c r="AU50" s="8"/>
      <c r="AV50" s="8"/>
      <c r="AW50" s="8"/>
      <c r="AX50" s="8"/>
      <c r="AY50" s="4" t="s">
        <v>59</v>
      </c>
      <c r="AZ50" s="4" t="s">
        <v>60</v>
      </c>
      <c r="BA50" s="4" t="n">
        <v>0</v>
      </c>
      <c r="BB50" s="4"/>
      <c r="BC50" s="4"/>
    </row>
    <row r="51" customFormat="false" ht="16.9" hidden="false" customHeight="false" outlineLevel="0" collapsed="false">
      <c r="A51" s="11" t="n">
        <f aca="false">A50+1</f>
        <v>43931.4951388889</v>
      </c>
      <c r="B51" s="12" t="n">
        <v>43931.4951388889</v>
      </c>
      <c r="C51" s="4" t="n">
        <v>0</v>
      </c>
      <c r="D51" s="4" t="s">
        <v>79</v>
      </c>
      <c r="E51" s="4"/>
      <c r="F51" s="4" t="s">
        <v>120</v>
      </c>
      <c r="G51" s="6" t="n">
        <v>69</v>
      </c>
      <c r="H51" s="6" t="n">
        <v>37</v>
      </c>
      <c r="I51" s="6" t="n">
        <v>31</v>
      </c>
      <c r="J51" s="6" t="s">
        <v>121</v>
      </c>
      <c r="K51" s="6" t="n">
        <v>8</v>
      </c>
      <c r="L51" s="6" t="n">
        <v>0</v>
      </c>
      <c r="M51" s="3" t="s">
        <v>63</v>
      </c>
      <c r="N51" s="4"/>
      <c r="O51" s="4"/>
      <c r="P51" s="4"/>
      <c r="Q51" s="8"/>
      <c r="R51" s="6"/>
      <c r="S51" s="6"/>
      <c r="T51" s="6"/>
      <c r="U51" s="8"/>
      <c r="V51" s="8"/>
      <c r="W51" s="8"/>
      <c r="X51" s="8"/>
      <c r="Y51" s="4"/>
      <c r="Z51" s="8"/>
      <c r="AA51" s="8"/>
      <c r="AB51" s="6"/>
      <c r="AC51" s="6"/>
      <c r="AD51" s="6"/>
      <c r="AE51" s="4"/>
      <c r="AF51" s="8"/>
      <c r="AG51" s="8"/>
      <c r="AI51" s="8"/>
      <c r="AJ51" s="8"/>
      <c r="AK51" s="8"/>
      <c r="AL51" s="8"/>
      <c r="AM51" s="8"/>
      <c r="AN51" s="8"/>
      <c r="AO51" s="8"/>
      <c r="AP51" s="4"/>
      <c r="AQ51" s="4"/>
      <c r="AR51" s="4"/>
      <c r="AS51" s="14"/>
      <c r="AT51" s="8"/>
      <c r="AU51" s="8"/>
      <c r="AV51" s="8"/>
      <c r="AW51" s="8"/>
      <c r="AX51" s="8"/>
      <c r="AY51" s="4"/>
      <c r="AZ51" s="4"/>
      <c r="BA51" s="4"/>
      <c r="BB51" s="4"/>
      <c r="BC51" s="4"/>
    </row>
    <row r="52" customFormat="false" ht="16.9" hidden="false" customHeight="false" outlineLevel="0" collapsed="false">
      <c r="A52" s="11" t="n">
        <f aca="false">A51+1</f>
        <v>43932.4951388889</v>
      </c>
      <c r="B52" s="12" t="n">
        <v>43932.4951388889</v>
      </c>
      <c r="C52" s="4" t="n">
        <v>0</v>
      </c>
      <c r="D52" s="4" t="s">
        <v>122</v>
      </c>
      <c r="E52" s="4"/>
      <c r="F52" s="4" t="s">
        <v>106</v>
      </c>
      <c r="G52" s="6" t="n">
        <v>68</v>
      </c>
      <c r="H52" s="6" t="n">
        <v>57</v>
      </c>
      <c r="I52" s="6" t="n">
        <v>68</v>
      </c>
      <c r="J52" s="4" t="s">
        <v>88</v>
      </c>
      <c r="K52" s="6" t="n">
        <v>13</v>
      </c>
      <c r="L52" s="6" t="n">
        <v>0</v>
      </c>
      <c r="M52" s="3" t="s">
        <v>63</v>
      </c>
      <c r="N52" s="4"/>
      <c r="O52" s="4"/>
      <c r="P52" s="4"/>
      <c r="Q52" s="8"/>
      <c r="R52" s="6"/>
      <c r="S52" s="6"/>
      <c r="T52" s="6"/>
      <c r="U52" s="8"/>
      <c r="V52" s="8"/>
      <c r="W52" s="8"/>
      <c r="X52" s="8"/>
      <c r="Y52" s="4"/>
      <c r="Z52" s="8"/>
      <c r="AA52" s="8"/>
      <c r="AB52" s="6"/>
      <c r="AC52" s="6"/>
      <c r="AD52" s="6"/>
      <c r="AE52" s="4"/>
      <c r="AF52" s="8"/>
      <c r="AG52" s="8"/>
      <c r="AI52" s="8"/>
      <c r="AJ52" s="8"/>
      <c r="AK52" s="8"/>
      <c r="AL52" s="8"/>
      <c r="AM52" s="8"/>
      <c r="AN52" s="8"/>
      <c r="AO52" s="8"/>
      <c r="AP52" s="4"/>
      <c r="AQ52" s="4"/>
      <c r="AR52" s="4"/>
      <c r="AS52" s="14"/>
      <c r="AT52" s="8"/>
      <c r="AU52" s="8"/>
      <c r="AV52" s="8"/>
      <c r="AW52" s="8"/>
      <c r="AX52" s="8"/>
      <c r="AY52" s="4"/>
      <c r="AZ52" s="4"/>
      <c r="BA52" s="4"/>
      <c r="BB52" s="4"/>
      <c r="BC52" s="4"/>
    </row>
    <row r="53" customFormat="false" ht="16.9" hidden="false" customHeight="false" outlineLevel="0" collapsed="false">
      <c r="A53" s="11" t="n">
        <f aca="false">A52+1</f>
        <v>43933.4951388889</v>
      </c>
      <c r="B53" s="12" t="n">
        <v>43933.5736111111</v>
      </c>
      <c r="C53" s="4" t="n">
        <v>1</v>
      </c>
      <c r="D53" s="4"/>
      <c r="E53" s="4"/>
      <c r="F53" s="4" t="s">
        <v>71</v>
      </c>
      <c r="G53" s="6" t="n">
        <v>80</v>
      </c>
      <c r="H53" s="6" t="n">
        <v>57</v>
      </c>
      <c r="I53" s="6" t="n">
        <v>45</v>
      </c>
      <c r="J53" s="6" t="s">
        <v>81</v>
      </c>
      <c r="K53" s="6" t="n">
        <v>16</v>
      </c>
      <c r="L53" s="6" t="n">
        <v>29</v>
      </c>
      <c r="M53" s="3" t="s">
        <v>63</v>
      </c>
      <c r="N53" s="4" t="s">
        <v>57</v>
      </c>
      <c r="O53" s="4"/>
      <c r="P53" s="4" t="s">
        <v>123</v>
      </c>
      <c r="Q53" s="8" t="n">
        <v>4.48</v>
      </c>
      <c r="R53" s="6"/>
      <c r="S53" s="6"/>
      <c r="T53" s="6" t="n">
        <v>9655</v>
      </c>
      <c r="U53" s="8" t="n">
        <f aca="false">74/60</f>
        <v>1.23333333333333</v>
      </c>
      <c r="V53" s="8"/>
      <c r="W53" s="8"/>
      <c r="X53" s="8" t="n">
        <f aca="false">Q53/U53</f>
        <v>3.63243243243243</v>
      </c>
      <c r="Y53" s="4" t="n">
        <v>1</v>
      </c>
      <c r="Z53" s="8" t="n">
        <f aca="false">Q53/Y53</f>
        <v>4.48</v>
      </c>
      <c r="AA53" s="8" t="n">
        <f aca="false">16+20/60</f>
        <v>16.3333333333333</v>
      </c>
      <c r="AB53" s="6" t="n">
        <v>223</v>
      </c>
      <c r="AC53" s="6" t="n">
        <v>850</v>
      </c>
      <c r="AD53" s="6" t="n">
        <v>132</v>
      </c>
      <c r="AE53" s="6" t="n">
        <v>150</v>
      </c>
      <c r="AF53" s="8" t="n">
        <f aca="false">15+52/60</f>
        <v>15.8666666666667</v>
      </c>
      <c r="AG53" s="8" t="n">
        <f aca="false">15+53.3/60</f>
        <v>15.8883333333333</v>
      </c>
      <c r="AH53" s="8" t="n">
        <f aca="false">16+29.4/60</f>
        <v>16.49</v>
      </c>
      <c r="AI53" s="8" t="n">
        <f aca="false">16+50.6/60</f>
        <v>16.8433333333333</v>
      </c>
      <c r="AJ53" s="8" t="n">
        <f aca="false">60/3.7</f>
        <v>16.2162162162162</v>
      </c>
      <c r="AK53" s="8"/>
      <c r="AL53" s="8"/>
      <c r="AM53" s="8"/>
      <c r="AN53" s="8"/>
      <c r="AO53" s="8"/>
      <c r="AP53" s="4" t="n">
        <v>0</v>
      </c>
      <c r="AQ53" s="4" t="n">
        <v>0</v>
      </c>
      <c r="AR53" s="4"/>
      <c r="AS53" s="14"/>
      <c r="AT53" s="8"/>
      <c r="AU53" s="8"/>
      <c r="AV53" s="8"/>
      <c r="AW53" s="8"/>
      <c r="AX53" s="8"/>
      <c r="AY53" s="4" t="s">
        <v>59</v>
      </c>
      <c r="AZ53" s="4" t="s">
        <v>60</v>
      </c>
      <c r="BA53" s="4" t="n">
        <v>0</v>
      </c>
      <c r="BB53" s="4"/>
      <c r="BC53" s="4"/>
    </row>
    <row r="54" customFormat="false" ht="16.9" hidden="false" customHeight="false" outlineLevel="0" collapsed="false">
      <c r="A54" s="11" t="n">
        <f aca="false">A53+1</f>
        <v>43934.4951388889</v>
      </c>
      <c r="B54" s="12" t="n">
        <v>43934.5513888889</v>
      </c>
      <c r="C54" s="4" t="n">
        <v>1</v>
      </c>
      <c r="D54" s="4"/>
      <c r="E54" s="4"/>
      <c r="F54" s="4" t="s">
        <v>71</v>
      </c>
      <c r="G54" s="6" t="n">
        <v>52</v>
      </c>
      <c r="H54" s="6" t="n">
        <v>33</v>
      </c>
      <c r="I54" s="6" t="n">
        <v>49</v>
      </c>
      <c r="J54" s="6" t="s">
        <v>83</v>
      </c>
      <c r="K54" s="6" t="n">
        <v>14</v>
      </c>
      <c r="L54" s="6" t="n">
        <v>23</v>
      </c>
      <c r="M54" s="3" t="s">
        <v>63</v>
      </c>
      <c r="N54" s="4" t="s">
        <v>73</v>
      </c>
      <c r="O54" s="4"/>
      <c r="P54" s="4" t="s">
        <v>64</v>
      </c>
      <c r="Q54" s="8" t="n">
        <v>3.48</v>
      </c>
      <c r="R54" s="6"/>
      <c r="S54" s="6"/>
      <c r="T54" s="6" t="n">
        <v>7199</v>
      </c>
      <c r="U54" s="8" t="n">
        <f aca="false">(52+34/60)/60</f>
        <v>0.876111111111111</v>
      </c>
      <c r="V54" s="8"/>
      <c r="W54" s="8"/>
      <c r="X54" s="8" t="n">
        <f aca="false">Q54/U54</f>
        <v>3.9720989220038</v>
      </c>
      <c r="Y54" s="4" t="n">
        <v>1</v>
      </c>
      <c r="Z54" s="8" t="n">
        <f aca="false">Q54/Y54</f>
        <v>3.48</v>
      </c>
      <c r="AA54" s="8" t="n">
        <f aca="false">15+7/60</f>
        <v>15.1166666666667</v>
      </c>
      <c r="AB54" s="6" t="n">
        <v>92</v>
      </c>
      <c r="AC54" s="6" t="n">
        <v>572</v>
      </c>
      <c r="AD54" s="6" t="n">
        <v>134</v>
      </c>
      <c r="AE54" s="6" t="n">
        <v>149</v>
      </c>
      <c r="AF54" s="8" t="n">
        <f aca="false">14+22.5/60</f>
        <v>14.375</v>
      </c>
      <c r="AG54" s="8" t="n">
        <f aca="false">15+3.9/60</f>
        <v>15.065</v>
      </c>
      <c r="AH54" s="8" t="n">
        <f aca="false">15+26.8/60</f>
        <v>15.4466666666667</v>
      </c>
      <c r="AI54" s="8" t="n">
        <f aca="false">60/3.7</f>
        <v>16.2162162162162</v>
      </c>
      <c r="AJ54" s="8"/>
      <c r="AK54" s="8"/>
      <c r="AL54" s="8"/>
      <c r="AM54" s="8"/>
      <c r="AN54" s="8"/>
      <c r="AO54" s="8"/>
      <c r="AP54" s="4" t="n">
        <v>0</v>
      </c>
      <c r="AQ54" s="4" t="n">
        <v>0</v>
      </c>
      <c r="AR54" s="4"/>
      <c r="AS54" s="14"/>
      <c r="AT54" s="8"/>
      <c r="AU54" s="8"/>
      <c r="AV54" s="8"/>
      <c r="AW54" s="8"/>
      <c r="AX54" s="8"/>
      <c r="AY54" s="4" t="s">
        <v>59</v>
      </c>
      <c r="AZ54" s="4" t="s">
        <v>60</v>
      </c>
      <c r="BA54" s="4" t="n">
        <v>0</v>
      </c>
      <c r="BB54" s="4"/>
      <c r="BC54" s="4"/>
    </row>
    <row r="55" customFormat="false" ht="16.9" hidden="false" customHeight="false" outlineLevel="0" collapsed="false">
      <c r="A55" s="11" t="n">
        <f aca="false">A54+1</f>
        <v>43935.4951388889</v>
      </c>
      <c r="B55" s="12" t="n">
        <v>43935.5604166667</v>
      </c>
      <c r="C55" s="4" t="n">
        <v>1</v>
      </c>
      <c r="D55" s="4"/>
      <c r="E55" s="4"/>
      <c r="F55" s="4" t="s">
        <v>71</v>
      </c>
      <c r="G55" s="6" t="n">
        <v>53</v>
      </c>
      <c r="H55" s="6" t="n">
        <v>33</v>
      </c>
      <c r="I55" s="6" t="n">
        <v>47</v>
      </c>
      <c r="J55" s="6" t="s">
        <v>83</v>
      </c>
      <c r="K55" s="6" t="n">
        <v>19</v>
      </c>
      <c r="L55" s="6" t="n">
        <v>28</v>
      </c>
      <c r="M55" s="3" t="s">
        <v>63</v>
      </c>
      <c r="N55" s="4" t="s">
        <v>73</v>
      </c>
      <c r="O55" s="4"/>
      <c r="P55" s="4" t="s">
        <v>69</v>
      </c>
      <c r="Q55" s="8" t="n">
        <v>5.74</v>
      </c>
      <c r="R55" s="6"/>
      <c r="S55" s="6"/>
      <c r="T55" s="6" t="n">
        <v>12068</v>
      </c>
      <c r="U55" s="8" t="n">
        <f aca="false">91/60</f>
        <v>1.51666666666667</v>
      </c>
      <c r="V55" s="8"/>
      <c r="W55" s="8"/>
      <c r="X55" s="8" t="n">
        <f aca="false">Q55/U55</f>
        <v>3.78461538461538</v>
      </c>
      <c r="Y55" s="4" t="n">
        <v>1</v>
      </c>
      <c r="Z55" s="8" t="n">
        <f aca="false">Q55/Y55</f>
        <v>5.74</v>
      </c>
      <c r="AA55" s="8" t="n">
        <f aca="false">15+53/60</f>
        <v>15.8833333333333</v>
      </c>
      <c r="AB55" s="6" t="n">
        <v>66</v>
      </c>
      <c r="AC55" s="6" t="n">
        <v>648</v>
      </c>
      <c r="AD55" s="6" t="n">
        <v>92</v>
      </c>
      <c r="AE55" s="6" t="n">
        <v>135</v>
      </c>
      <c r="AF55" s="8" t="n">
        <f aca="false">15+48.5/60</f>
        <v>15.8083333333333</v>
      </c>
      <c r="AG55" s="8" t="n">
        <f aca="false">15+48.8/60</f>
        <v>15.8133333333333</v>
      </c>
      <c r="AH55" s="8" t="n">
        <f aca="false">15+26.9/60</f>
        <v>15.4483333333333</v>
      </c>
      <c r="AI55" s="8" t="n">
        <f aca="false">15+47</f>
        <v>62</v>
      </c>
      <c r="AJ55" s="8" t="n">
        <f aca="false">15+49.2/60</f>
        <v>15.82</v>
      </c>
      <c r="AK55" s="8" t="n">
        <f aca="false">60/3.8</f>
        <v>15.7894736842105</v>
      </c>
      <c r="AL55" s="8"/>
      <c r="AM55" s="8"/>
      <c r="AN55" s="8"/>
      <c r="AO55" s="8"/>
      <c r="AP55" s="4" t="n">
        <v>3</v>
      </c>
      <c r="AQ55" s="4" t="n">
        <v>0</v>
      </c>
      <c r="AR55" s="4"/>
      <c r="AS55" s="14"/>
      <c r="AT55" s="8"/>
      <c r="AU55" s="8"/>
      <c r="AV55" s="8"/>
      <c r="AW55" s="8"/>
      <c r="AX55" s="8"/>
      <c r="AY55" s="4" t="s">
        <v>59</v>
      </c>
      <c r="AZ55" s="4" t="s">
        <v>60</v>
      </c>
      <c r="BA55" s="4" t="n">
        <v>0</v>
      </c>
      <c r="BB55" s="4"/>
      <c r="BC55" s="4"/>
    </row>
    <row r="56" customFormat="false" ht="16.9" hidden="false" customHeight="false" outlineLevel="0" collapsed="false">
      <c r="A56" s="11" t="n">
        <f aca="false">A55+1</f>
        <v>43936.4951388889</v>
      </c>
      <c r="B56" s="12" t="n">
        <v>43936.6347222222</v>
      </c>
      <c r="C56" s="4" t="n">
        <v>1</v>
      </c>
      <c r="D56" s="4"/>
      <c r="E56" s="4"/>
      <c r="F56" s="4" t="s">
        <v>71</v>
      </c>
      <c r="G56" s="6" t="n">
        <v>61</v>
      </c>
      <c r="H56" s="6" t="n">
        <v>36</v>
      </c>
      <c r="I56" s="6" t="n">
        <v>39</v>
      </c>
      <c r="J56" s="6" t="s">
        <v>117</v>
      </c>
      <c r="K56" s="6" t="n">
        <v>5</v>
      </c>
      <c r="L56" s="6" t="n">
        <v>0</v>
      </c>
      <c r="M56" s="3" t="s">
        <v>63</v>
      </c>
      <c r="N56" s="4" t="s">
        <v>73</v>
      </c>
      <c r="O56" s="4"/>
      <c r="P56" s="4" t="s">
        <v>74</v>
      </c>
      <c r="Q56" s="8" t="n">
        <v>4.47</v>
      </c>
      <c r="R56" s="6"/>
      <c r="S56" s="6"/>
      <c r="T56" s="6" t="n">
        <v>9272</v>
      </c>
      <c r="U56" s="8" t="n">
        <f aca="false">(71-3)/60</f>
        <v>1.13333333333333</v>
      </c>
      <c r="V56" s="8"/>
      <c r="W56" s="8"/>
      <c r="X56" s="8" t="n">
        <f aca="false">Q56/U56</f>
        <v>3.94411764705882</v>
      </c>
      <c r="Y56" s="4" t="n">
        <v>1</v>
      </c>
      <c r="Z56" s="8" t="n">
        <f aca="false">Q56/Y56</f>
        <v>4.47</v>
      </c>
      <c r="AA56" s="8" t="n">
        <f aca="false">15+55/60</f>
        <v>15.9166666666667</v>
      </c>
      <c r="AB56" s="6" t="n">
        <v>177</v>
      </c>
      <c r="AC56" s="6" t="n">
        <v>632</v>
      </c>
      <c r="AD56" s="6" t="n">
        <v>100</v>
      </c>
      <c r="AE56" s="6" t="n">
        <v>152</v>
      </c>
      <c r="AF56" s="8" t="n">
        <f aca="false">15+55.2/60</f>
        <v>15.92</v>
      </c>
      <c r="AG56" s="8" t="n">
        <f aca="false">16+14.3/60</f>
        <v>16.2383333333333</v>
      </c>
      <c r="AH56" s="8" t="n">
        <f aca="false">15+48.2/60</f>
        <v>15.8033333333333</v>
      </c>
      <c r="AI56" s="8" t="n">
        <f aca="false">15+41.1/60</f>
        <v>15.685</v>
      </c>
      <c r="AJ56" s="8" t="n">
        <f aca="false">60/3.8</f>
        <v>15.7894736842105</v>
      </c>
      <c r="AK56" s="8"/>
      <c r="AL56" s="8"/>
      <c r="AM56" s="8"/>
      <c r="AN56" s="8"/>
      <c r="AO56" s="8"/>
      <c r="AP56" s="4" t="n">
        <v>3</v>
      </c>
      <c r="AQ56" s="4" t="n">
        <v>1</v>
      </c>
      <c r="AR56" s="4"/>
      <c r="AS56" s="14"/>
      <c r="AT56" s="8"/>
      <c r="AU56" s="8"/>
      <c r="AV56" s="8"/>
      <c r="AW56" s="8"/>
      <c r="AX56" s="8"/>
      <c r="AY56" s="4" t="s">
        <v>59</v>
      </c>
      <c r="AZ56" s="4" t="s">
        <v>60</v>
      </c>
      <c r="BA56" s="4" t="n">
        <v>0</v>
      </c>
      <c r="BB56" s="4"/>
      <c r="BC56" s="4"/>
    </row>
    <row r="57" customFormat="false" ht="16.9" hidden="false" customHeight="false" outlineLevel="0" collapsed="false">
      <c r="A57" s="11" t="n">
        <f aca="false">A56+1</f>
        <v>43937.4951388889</v>
      </c>
      <c r="B57" s="12" t="n">
        <v>43937.5597222222</v>
      </c>
      <c r="C57" s="4" t="n">
        <v>1</v>
      </c>
      <c r="D57" s="4"/>
      <c r="E57" s="4"/>
      <c r="F57" s="4" t="s">
        <v>120</v>
      </c>
      <c r="G57" s="6" t="n">
        <v>73</v>
      </c>
      <c r="H57" s="6" t="n">
        <v>47</v>
      </c>
      <c r="I57" s="6" t="n">
        <v>39</v>
      </c>
      <c r="J57" s="6" t="s">
        <v>62</v>
      </c>
      <c r="K57" s="6" t="n">
        <v>18</v>
      </c>
      <c r="L57" s="6" t="n">
        <v>26</v>
      </c>
      <c r="M57" s="3" t="s">
        <v>63</v>
      </c>
      <c r="N57" s="4" t="s">
        <v>57</v>
      </c>
      <c r="O57" s="4"/>
      <c r="P57" s="4" t="s">
        <v>118</v>
      </c>
      <c r="Q57" s="8" t="n">
        <v>2.56</v>
      </c>
      <c r="R57" s="6"/>
      <c r="S57" s="6"/>
      <c r="T57" s="6"/>
      <c r="U57" s="8" t="n">
        <f aca="false">(45+45/60)/60</f>
        <v>0.7625</v>
      </c>
      <c r="V57" s="8"/>
      <c r="W57" s="8"/>
      <c r="X57" s="8" t="n">
        <f aca="false">Q57/U57</f>
        <v>3.35737704918033</v>
      </c>
      <c r="Y57" s="4" t="n">
        <v>1</v>
      </c>
      <c r="Z57" s="8" t="n">
        <f aca="false">Q57/Y57</f>
        <v>2.56</v>
      </c>
      <c r="AA57" s="8" t="n">
        <f aca="false">17+54/60</f>
        <v>17.9</v>
      </c>
      <c r="AB57" s="6" t="n">
        <v>26.2</v>
      </c>
      <c r="AC57" s="6" t="n">
        <v>427</v>
      </c>
      <c r="AD57" s="6" t="n">
        <v>116</v>
      </c>
      <c r="AE57" s="6" t="n">
        <v>140</v>
      </c>
      <c r="AF57" s="8" t="n">
        <f aca="false">18+5.9/10</f>
        <v>18.59</v>
      </c>
      <c r="AG57" s="8" t="n">
        <f aca="false">17+9/60</f>
        <v>17.15</v>
      </c>
      <c r="AH57" s="8" t="n">
        <f aca="false">60/3.2</f>
        <v>18.75</v>
      </c>
      <c r="AI57" s="8"/>
      <c r="AJ57" s="8"/>
      <c r="AK57" s="8"/>
      <c r="AL57" s="8"/>
      <c r="AM57" s="8"/>
      <c r="AN57" s="8"/>
      <c r="AO57" s="8"/>
      <c r="AP57" s="4" t="n">
        <v>0</v>
      </c>
      <c r="AQ57" s="4" t="n">
        <v>0</v>
      </c>
      <c r="AR57" s="4"/>
      <c r="AS57" s="14"/>
      <c r="AT57" s="8"/>
      <c r="AU57" s="8"/>
      <c r="AV57" s="8"/>
      <c r="AW57" s="8"/>
      <c r="AX57" s="8"/>
      <c r="AY57" s="4" t="s">
        <v>59</v>
      </c>
      <c r="AZ57" s="4" t="s">
        <v>60</v>
      </c>
      <c r="BA57" s="4" t="n">
        <v>0</v>
      </c>
      <c r="BB57" s="4"/>
      <c r="BC57" s="4"/>
    </row>
    <row r="58" customFormat="false" ht="16.9" hidden="false" customHeight="false" outlineLevel="0" collapsed="false">
      <c r="A58" s="11" t="n">
        <f aca="false">A57+1</f>
        <v>43938.4951388889</v>
      </c>
      <c r="B58" s="12" t="n">
        <v>43938.5472222222</v>
      </c>
      <c r="C58" s="4" t="n">
        <v>1</v>
      </c>
      <c r="D58" s="4"/>
      <c r="E58" s="4"/>
      <c r="F58" s="4" t="s">
        <v>90</v>
      </c>
      <c r="G58" s="6" t="n">
        <v>54</v>
      </c>
      <c r="H58" s="6" t="n">
        <v>44</v>
      </c>
      <c r="I58" s="6" t="n">
        <v>49</v>
      </c>
      <c r="J58" s="6" t="s">
        <v>86</v>
      </c>
      <c r="K58" s="6" t="n">
        <v>14</v>
      </c>
      <c r="L58" s="6" t="n">
        <v>0</v>
      </c>
      <c r="M58" s="3" t="s">
        <v>63</v>
      </c>
      <c r="N58" s="4" t="s">
        <v>73</v>
      </c>
      <c r="O58" s="4"/>
      <c r="P58" s="4" t="s">
        <v>112</v>
      </c>
      <c r="Q58" s="8" t="n">
        <v>5.92</v>
      </c>
      <c r="R58" s="6" t="n">
        <v>794</v>
      </c>
      <c r="S58" s="6" t="n">
        <v>14362</v>
      </c>
      <c r="T58" s="6" t="n">
        <f aca="false">S58-R58</f>
        <v>13568</v>
      </c>
      <c r="U58" s="8" t="n">
        <f aca="false">95/60</f>
        <v>1.58333333333333</v>
      </c>
      <c r="V58" s="8"/>
      <c r="W58" s="8"/>
      <c r="X58" s="8" t="n">
        <f aca="false">Q58/U58</f>
        <v>3.73894736842105</v>
      </c>
      <c r="Y58" s="4" t="n">
        <v>1</v>
      </c>
      <c r="Z58" s="8" t="n">
        <f aca="false">Q58/Y58</f>
        <v>5.92</v>
      </c>
      <c r="AA58" s="8" t="n">
        <f aca="false">16+5/60</f>
        <v>16.0833333333333</v>
      </c>
      <c r="AB58" s="6" t="n">
        <v>62</v>
      </c>
      <c r="AC58" s="6" t="n">
        <v>1308</v>
      </c>
      <c r="AD58" s="6" t="n">
        <v>142</v>
      </c>
      <c r="AE58" s="6" t="n">
        <v>158</v>
      </c>
      <c r="AF58" s="8" t="n">
        <f aca="false">15+5.9/60</f>
        <v>15.0983333333333</v>
      </c>
      <c r="AG58" s="8" t="n">
        <f aca="false">15+1.1/60</f>
        <v>15.0183333333333</v>
      </c>
      <c r="AH58" s="8" t="n">
        <f aca="false">15+11.2/60</f>
        <v>15.1866666666667</v>
      </c>
      <c r="AI58" s="8" t="n">
        <f aca="false">17+2.4/60</f>
        <v>17.04</v>
      </c>
      <c r="AJ58" s="8" t="n">
        <f aca="false">17+5.5/60</f>
        <v>17.0916666666667</v>
      </c>
      <c r="AK58" s="8" t="n">
        <f aca="false">60/3.5</f>
        <v>17.1428571428571</v>
      </c>
      <c r="AL58" s="8"/>
      <c r="AM58" s="8"/>
      <c r="AN58" s="8"/>
      <c r="AO58" s="8"/>
      <c r="AP58" s="4" t="n">
        <v>3</v>
      </c>
      <c r="AQ58" s="4" t="n">
        <v>0</v>
      </c>
      <c r="AR58" s="4"/>
      <c r="AS58" s="14"/>
      <c r="AT58" s="8"/>
      <c r="AU58" s="8"/>
      <c r="AV58" s="8"/>
      <c r="AW58" s="8"/>
      <c r="AX58" s="8"/>
      <c r="AY58" s="4" t="s">
        <v>59</v>
      </c>
      <c r="AZ58" s="4" t="s">
        <v>60</v>
      </c>
      <c r="BA58" s="4" t="n">
        <v>0</v>
      </c>
      <c r="BB58" s="4"/>
      <c r="BC58" s="4"/>
    </row>
    <row r="59" customFormat="false" ht="16.9" hidden="false" customHeight="false" outlineLevel="0" collapsed="false">
      <c r="A59" s="11" t="n">
        <f aca="false">A58+1</f>
        <v>43939.4951388889</v>
      </c>
      <c r="B59" s="12" t="n">
        <f aca="false">B58+1</f>
        <v>43939.5472222222</v>
      </c>
      <c r="C59" s="4" t="n">
        <v>1</v>
      </c>
      <c r="D59" s="4"/>
      <c r="E59" s="4"/>
      <c r="F59" s="4" t="s">
        <v>106</v>
      </c>
      <c r="G59" s="6" t="n">
        <v>67</v>
      </c>
      <c r="H59" s="6" t="n">
        <v>41</v>
      </c>
      <c r="I59" s="6" t="n">
        <v>49</v>
      </c>
      <c r="J59" s="4" t="s">
        <v>124</v>
      </c>
      <c r="K59" s="4" t="n">
        <v>3</v>
      </c>
      <c r="L59" s="6" t="n">
        <v>0</v>
      </c>
      <c r="M59" s="3" t="s">
        <v>63</v>
      </c>
      <c r="N59" s="4" t="s">
        <v>57</v>
      </c>
      <c r="O59" s="4"/>
      <c r="P59" s="4" t="s">
        <v>109</v>
      </c>
      <c r="Q59" s="8" t="n">
        <v>4.84</v>
      </c>
      <c r="R59" s="6" t="n">
        <v>800</v>
      </c>
      <c r="S59" s="6" t="n">
        <v>11138</v>
      </c>
      <c r="T59" s="6" t="n">
        <f aca="false">S59-R59</f>
        <v>10338</v>
      </c>
      <c r="U59" s="8" t="n">
        <f aca="false">78/60</f>
        <v>1.3</v>
      </c>
      <c r="V59" s="8"/>
      <c r="W59" s="8"/>
      <c r="X59" s="8" t="n">
        <f aca="false">Q59/U59</f>
        <v>3.72307692307692</v>
      </c>
      <c r="Y59" s="4" t="n">
        <v>1</v>
      </c>
      <c r="Z59" s="8" t="n">
        <f aca="false">Q59/Y59</f>
        <v>4.84</v>
      </c>
      <c r="AA59" s="8" t="n">
        <f aca="false">16+9/60</f>
        <v>16.15</v>
      </c>
      <c r="AB59" s="6" t="n">
        <v>138</v>
      </c>
      <c r="AC59" s="6" t="n">
        <v>871</v>
      </c>
      <c r="AD59" s="6" t="n">
        <v>127</v>
      </c>
      <c r="AE59" s="6" t="n">
        <v>144</v>
      </c>
      <c r="AF59" s="8" t="n">
        <f aca="false">15+25.7/60</f>
        <v>15.4283333333333</v>
      </c>
      <c r="AG59" s="8" t="n">
        <f aca="false">15+41.1/60</f>
        <v>15.685</v>
      </c>
      <c r="AH59" s="8" t="n">
        <f aca="false">15+50.5/60</f>
        <v>15.8416666666667</v>
      </c>
      <c r="AI59" s="8" t="n">
        <f aca="false">16+41.1/60</f>
        <v>16.685</v>
      </c>
      <c r="AJ59" s="8" t="n">
        <f aca="false">14+35.9/60</f>
        <v>14.5983333333333</v>
      </c>
      <c r="AK59" s="8"/>
      <c r="AL59" s="8"/>
      <c r="AM59" s="8"/>
      <c r="AN59" s="8"/>
      <c r="AO59" s="8"/>
      <c r="AP59" s="4" t="n">
        <v>2</v>
      </c>
      <c r="AQ59" s="4" t="n">
        <v>0</v>
      </c>
      <c r="AR59" s="4"/>
      <c r="AS59" s="14"/>
      <c r="AT59" s="8"/>
      <c r="AU59" s="8"/>
      <c r="AV59" s="8"/>
      <c r="AW59" s="8"/>
      <c r="AX59" s="8"/>
      <c r="AY59" s="4" t="s">
        <v>59</v>
      </c>
      <c r="AZ59" s="4" t="s">
        <v>60</v>
      </c>
      <c r="BA59" s="4" t="n">
        <v>0</v>
      </c>
      <c r="BB59" s="4"/>
      <c r="BC59" s="4"/>
    </row>
    <row r="60" customFormat="false" ht="16.9" hidden="false" customHeight="false" outlineLevel="0" collapsed="false">
      <c r="A60" s="11" t="n">
        <f aca="false">A59+1</f>
        <v>43940.4951388889</v>
      </c>
      <c r="B60" s="12" t="n">
        <v>43940.5625</v>
      </c>
      <c r="C60" s="4" t="n">
        <v>1</v>
      </c>
      <c r="D60" s="4"/>
      <c r="E60" s="4"/>
      <c r="F60" s="4" t="s">
        <v>106</v>
      </c>
      <c r="G60" s="6" t="n">
        <v>76</v>
      </c>
      <c r="H60" s="6" t="n">
        <v>69</v>
      </c>
      <c r="I60" s="6" t="n">
        <v>79</v>
      </c>
      <c r="J60" s="6" t="s">
        <v>97</v>
      </c>
      <c r="K60" s="4" t="n">
        <v>7</v>
      </c>
      <c r="L60" s="6" t="n">
        <v>0</v>
      </c>
      <c r="M60" s="3" t="s">
        <v>63</v>
      </c>
      <c r="N60" s="4" t="s">
        <v>73</v>
      </c>
      <c r="O60" s="4"/>
      <c r="P60" s="4" t="s">
        <v>64</v>
      </c>
      <c r="Q60" s="8" t="n">
        <v>4.46</v>
      </c>
      <c r="R60" s="6" t="n">
        <v>934</v>
      </c>
      <c r="S60" s="6" t="n">
        <v>10304</v>
      </c>
      <c r="T60" s="6" t="n">
        <f aca="false">S60-R60</f>
        <v>9370</v>
      </c>
      <c r="U60" s="8" t="n">
        <f aca="false">71/60</f>
        <v>1.18333333333333</v>
      </c>
      <c r="V60" s="8"/>
      <c r="W60" s="8"/>
      <c r="X60" s="8" t="n">
        <f aca="false">Q60/U60</f>
        <v>3.76901408450704</v>
      </c>
      <c r="Y60" s="4" t="n">
        <v>1</v>
      </c>
      <c r="Z60" s="8" t="n">
        <f aca="false">Q60/Y60</f>
        <v>4.46</v>
      </c>
      <c r="AA60" s="8" t="n">
        <f aca="false">15+55/60</f>
        <v>15.9166666666667</v>
      </c>
      <c r="AB60" s="6" t="n">
        <v>125</v>
      </c>
      <c r="AC60" s="6" t="n">
        <v>839</v>
      </c>
      <c r="AD60" s="6" t="n">
        <v>132</v>
      </c>
      <c r="AE60" s="6" t="n">
        <v>145</v>
      </c>
      <c r="AF60" s="8" t="n">
        <f aca="false">14+56.6/60</f>
        <v>14.9433333333333</v>
      </c>
      <c r="AG60" s="8" t="n">
        <f aca="false">16+18.7/60</f>
        <v>16.3116666666667</v>
      </c>
      <c r="AH60" s="8" t="n">
        <f aca="false">16+3.4/60</f>
        <v>16.0566666666667</v>
      </c>
      <c r="AI60" s="8" t="n">
        <f aca="false">16+0.082/60</f>
        <v>16.0013666666667</v>
      </c>
      <c r="AJ60" s="8" t="n">
        <f aca="false">60/3.7</f>
        <v>16.2162162162162</v>
      </c>
      <c r="AK60" s="8"/>
      <c r="AL60" s="8"/>
      <c r="AM60" s="8"/>
      <c r="AN60" s="8"/>
      <c r="AO60" s="8"/>
      <c r="AP60" s="4" t="n">
        <v>0</v>
      </c>
      <c r="AQ60" s="4" t="n">
        <v>0</v>
      </c>
      <c r="AR60" s="4"/>
      <c r="AS60" s="14"/>
      <c r="AT60" s="8"/>
      <c r="AU60" s="8"/>
      <c r="AV60" s="8"/>
      <c r="AW60" s="8"/>
      <c r="AX60" s="8"/>
      <c r="AY60" s="4" t="s">
        <v>59</v>
      </c>
      <c r="AZ60" s="4" t="s">
        <v>60</v>
      </c>
      <c r="BA60" s="4" t="n">
        <v>0</v>
      </c>
      <c r="BB60" s="4"/>
      <c r="BC60" s="4"/>
    </row>
    <row r="61" customFormat="false" ht="16.9" hidden="false" customHeight="false" outlineLevel="0" collapsed="false">
      <c r="A61" s="11" t="n">
        <f aca="false">A60+1</f>
        <v>43941.4951388889</v>
      </c>
      <c r="B61" s="12" t="n">
        <v>43941.6125</v>
      </c>
      <c r="C61" s="4" t="n">
        <v>1</v>
      </c>
      <c r="D61" s="4"/>
      <c r="E61" s="4"/>
      <c r="F61" s="4" t="s">
        <v>54</v>
      </c>
      <c r="G61" s="6" t="n">
        <v>76</v>
      </c>
      <c r="H61" s="6" t="n">
        <v>57</v>
      </c>
      <c r="I61" s="6" t="n">
        <v>52</v>
      </c>
      <c r="J61" s="6" t="s">
        <v>110</v>
      </c>
      <c r="K61" s="6" t="n">
        <v>7</v>
      </c>
      <c r="L61" s="6" t="n">
        <v>0</v>
      </c>
      <c r="M61" s="3" t="s">
        <v>63</v>
      </c>
      <c r="N61" s="4" t="s">
        <v>73</v>
      </c>
      <c r="O61" s="4"/>
      <c r="P61" s="4"/>
      <c r="Q61" s="8"/>
      <c r="R61" s="6"/>
      <c r="S61" s="6"/>
      <c r="T61" s="6"/>
      <c r="U61" s="8"/>
      <c r="V61" s="8"/>
      <c r="W61" s="8"/>
      <c r="X61" s="8"/>
      <c r="Y61" s="4"/>
      <c r="Z61" s="8"/>
      <c r="AA61" s="8"/>
      <c r="AB61" s="6"/>
      <c r="AC61" s="6"/>
      <c r="AD61" s="6"/>
      <c r="AE61" s="6"/>
      <c r="AF61" s="8"/>
      <c r="AG61" s="8"/>
      <c r="AI61" s="8"/>
      <c r="AJ61" s="8"/>
      <c r="AK61" s="8"/>
      <c r="AL61" s="8"/>
      <c r="AM61" s="8"/>
      <c r="AN61" s="8"/>
      <c r="AO61" s="8"/>
      <c r="AP61" s="4"/>
      <c r="AQ61" s="4"/>
      <c r="AR61" s="4"/>
      <c r="AS61" s="14"/>
      <c r="AT61" s="8"/>
      <c r="AU61" s="8"/>
      <c r="AV61" s="8"/>
      <c r="AW61" s="8"/>
      <c r="AX61" s="8"/>
      <c r="AY61" s="4"/>
      <c r="AZ61" s="4"/>
      <c r="BA61" s="4" t="n">
        <v>1</v>
      </c>
      <c r="BB61" s="4" t="s">
        <v>105</v>
      </c>
      <c r="BC61" s="4"/>
    </row>
    <row r="62" customFormat="false" ht="16.9" hidden="false" customHeight="false" outlineLevel="0" collapsed="false">
      <c r="A62" s="11" t="n">
        <v>595</v>
      </c>
      <c r="B62" s="12" t="n">
        <v>43942.5069444444</v>
      </c>
      <c r="C62" s="4" t="n">
        <v>1</v>
      </c>
      <c r="D62" s="4"/>
      <c r="E62" s="4"/>
      <c r="F62" s="4" t="s">
        <v>71</v>
      </c>
      <c r="G62" s="6" t="n">
        <v>76</v>
      </c>
      <c r="H62" s="6" t="n">
        <v>56</v>
      </c>
      <c r="I62" s="6" t="n">
        <v>50</v>
      </c>
      <c r="J62" s="6" t="s">
        <v>62</v>
      </c>
      <c r="K62" s="6" t="n">
        <v>22</v>
      </c>
      <c r="L62" s="6" t="n">
        <v>30</v>
      </c>
      <c r="M62" s="3" t="s">
        <v>107</v>
      </c>
      <c r="N62" s="4" t="s">
        <v>57</v>
      </c>
      <c r="O62" s="4"/>
      <c r="P62" s="4" t="s">
        <v>66</v>
      </c>
      <c r="Q62" s="8" t="n">
        <v>4.61</v>
      </c>
      <c r="R62" s="6" t="n">
        <f aca="false">AVERAGE(R58:R60)</f>
        <v>842.666666666667</v>
      </c>
      <c r="S62" s="6" t="n">
        <v>11299</v>
      </c>
      <c r="T62" s="6" t="n">
        <f aca="false">S62-R62</f>
        <v>10456.3333333333</v>
      </c>
      <c r="U62" s="8" t="n">
        <f aca="false">78/60</f>
        <v>1.3</v>
      </c>
      <c r="V62" s="8"/>
      <c r="W62" s="8"/>
      <c r="X62" s="8" t="n">
        <f aca="false">Q62/U62</f>
        <v>3.54615384615385</v>
      </c>
      <c r="Y62" s="4" t="n">
        <v>1</v>
      </c>
      <c r="Z62" s="8" t="n">
        <f aca="false">Q62/Y62</f>
        <v>4.61</v>
      </c>
      <c r="AA62" s="8" t="n">
        <f aca="false">17+1/60</f>
        <v>17.0166666666667</v>
      </c>
      <c r="AB62" s="6" t="n">
        <v>118</v>
      </c>
      <c r="AC62" s="6" t="n">
        <v>506</v>
      </c>
      <c r="AD62" s="6" t="n">
        <v>73</v>
      </c>
      <c r="AE62" s="6" t="n">
        <v>103</v>
      </c>
      <c r="AF62" s="8" t="n">
        <f aca="false">15.5</f>
        <v>15.5</v>
      </c>
      <c r="AG62" s="8" t="n">
        <f aca="false">16+18/60</f>
        <v>16.3</v>
      </c>
      <c r="AH62" s="8" t="n">
        <f aca="false">17+1/60</f>
        <v>17.0166666666667</v>
      </c>
      <c r="AI62" s="8" t="n">
        <f aca="false">17+46/60</f>
        <v>17.7666666666667</v>
      </c>
      <c r="AJ62" s="8" t="n">
        <f aca="false">60/3.1</f>
        <v>19.3548387096774</v>
      </c>
      <c r="AK62" s="8"/>
      <c r="AL62" s="8"/>
      <c r="AM62" s="8"/>
      <c r="AN62" s="8"/>
      <c r="AO62" s="8"/>
      <c r="AP62" s="4" t="n">
        <v>5</v>
      </c>
      <c r="AQ62" s="4" t="n">
        <v>0</v>
      </c>
      <c r="AR62" s="4"/>
      <c r="AS62" s="14"/>
      <c r="AT62" s="8"/>
      <c r="AU62" s="8"/>
      <c r="AV62" s="8"/>
      <c r="AW62" s="8"/>
      <c r="AX62" s="8"/>
      <c r="AY62" s="4" t="s">
        <v>59</v>
      </c>
      <c r="AZ62" s="4" t="s">
        <v>60</v>
      </c>
      <c r="BA62" s="4" t="n">
        <v>0</v>
      </c>
      <c r="BB62" s="4"/>
      <c r="BC62" s="4"/>
    </row>
    <row r="63" customFormat="false" ht="16.9" hidden="false" customHeight="false" outlineLevel="0" collapsed="false">
      <c r="A63" s="11" t="n">
        <v>596</v>
      </c>
      <c r="B63" s="12" t="n">
        <v>43943.4375</v>
      </c>
      <c r="C63" s="4" t="n">
        <v>0</v>
      </c>
      <c r="D63" s="4" t="s">
        <v>125</v>
      </c>
      <c r="E63" s="4"/>
      <c r="F63" s="4" t="s">
        <v>90</v>
      </c>
      <c r="G63" s="6" t="n">
        <v>74</v>
      </c>
      <c r="H63" s="6" t="n">
        <v>59</v>
      </c>
      <c r="I63" s="6" t="n">
        <v>59</v>
      </c>
      <c r="J63" s="6" t="s">
        <v>62</v>
      </c>
      <c r="K63" s="6" t="n">
        <v>12</v>
      </c>
      <c r="L63" s="6" t="n">
        <v>0</v>
      </c>
      <c r="M63" s="3" t="s">
        <v>107</v>
      </c>
      <c r="N63" s="4"/>
      <c r="O63" s="4"/>
      <c r="P63" s="4"/>
      <c r="Q63" s="8"/>
      <c r="R63" s="6"/>
      <c r="S63" s="6"/>
      <c r="T63" s="6"/>
      <c r="U63" s="8"/>
      <c r="V63" s="8"/>
      <c r="W63" s="8"/>
      <c r="X63" s="8"/>
      <c r="Y63" s="4"/>
      <c r="Z63" s="8"/>
      <c r="AA63" s="8"/>
      <c r="AB63" s="6"/>
      <c r="AC63" s="6"/>
      <c r="AD63" s="6"/>
      <c r="AE63" s="4"/>
      <c r="AF63" s="8"/>
      <c r="AG63" s="8"/>
      <c r="AI63" s="8"/>
      <c r="AJ63" s="8"/>
      <c r="AK63" s="8"/>
      <c r="AL63" s="8"/>
      <c r="AM63" s="8"/>
      <c r="AN63" s="8"/>
      <c r="AO63" s="8"/>
      <c r="AP63" s="4"/>
      <c r="AQ63" s="4"/>
      <c r="AR63" s="4"/>
      <c r="AS63" s="14"/>
      <c r="AT63" s="8"/>
      <c r="AU63" s="8"/>
      <c r="AV63" s="8"/>
      <c r="AW63" s="8"/>
      <c r="AX63" s="8"/>
      <c r="AY63" s="4"/>
      <c r="AZ63" s="4"/>
      <c r="BA63" s="4"/>
      <c r="BB63" s="4"/>
      <c r="BC63" s="4"/>
    </row>
    <row r="64" customFormat="false" ht="16.9" hidden="false" customHeight="false" outlineLevel="0" collapsed="false">
      <c r="A64" s="11" t="n">
        <f aca="false">A63+1</f>
        <v>597</v>
      </c>
      <c r="B64" s="12" t="n">
        <v>43944.48125</v>
      </c>
      <c r="C64" s="4" t="n">
        <v>1</v>
      </c>
      <c r="D64" s="4"/>
      <c r="E64" s="4"/>
      <c r="F64" s="4" t="s">
        <v>90</v>
      </c>
      <c r="G64" s="6" t="n">
        <v>73</v>
      </c>
      <c r="H64" s="6" t="n">
        <v>62</v>
      </c>
      <c r="I64" s="6" t="n">
        <v>68</v>
      </c>
      <c r="J64" s="6" t="s">
        <v>62</v>
      </c>
      <c r="K64" s="6" t="n">
        <v>9</v>
      </c>
      <c r="L64" s="6" t="n">
        <v>0</v>
      </c>
      <c r="M64" s="3" t="s">
        <v>63</v>
      </c>
      <c r="N64" s="4" t="s">
        <v>57</v>
      </c>
      <c r="O64" s="4"/>
      <c r="P64" s="4" t="s">
        <v>112</v>
      </c>
      <c r="Q64" s="8" t="n">
        <v>6.01</v>
      </c>
      <c r="R64" s="6" t="n">
        <f aca="false">AVERAGE(R58:R62)</f>
        <v>842.666666666667</v>
      </c>
      <c r="S64" s="6" t="n">
        <v>13876</v>
      </c>
      <c r="T64" s="6" t="n">
        <f aca="false">S64-R64</f>
        <v>13033.3333333333</v>
      </c>
      <c r="U64" s="8" t="n">
        <f aca="false">93/60</f>
        <v>1.55</v>
      </c>
      <c r="V64" s="8"/>
      <c r="W64" s="8"/>
      <c r="X64" s="8" t="n">
        <f aca="false">Q64/U64</f>
        <v>3.87741935483871</v>
      </c>
      <c r="Y64" s="4" t="n">
        <v>1</v>
      </c>
      <c r="Z64" s="8" t="n">
        <f aca="false">Q64/Y64</f>
        <v>6.01</v>
      </c>
      <c r="AA64" s="8" t="n">
        <f aca="false">15+28/60</f>
        <v>15.4666666666667</v>
      </c>
      <c r="AB64" s="6" t="n">
        <v>49</v>
      </c>
      <c r="AC64" s="6" t="n">
        <v>802</v>
      </c>
      <c r="AD64" s="6" t="n">
        <v>94</v>
      </c>
      <c r="AE64" s="6" t="n">
        <v>156</v>
      </c>
      <c r="AF64" s="8" t="n">
        <f aca="false">15+30.2/60</f>
        <v>15.5033333333333</v>
      </c>
      <c r="AG64" s="8" t="n">
        <f aca="false">15+34.4/60</f>
        <v>15.5733333333333</v>
      </c>
      <c r="AH64" s="8" t="n">
        <f aca="false">15+36.1/60</f>
        <v>15.6016666666667</v>
      </c>
      <c r="AI64" s="8" t="n">
        <f aca="false">15+40.6/60</f>
        <v>15.6766666666667</v>
      </c>
      <c r="AJ64" s="8" t="n">
        <f aca="false">15+18.1/60</f>
        <v>15.3016666666667</v>
      </c>
      <c r="AK64" s="8" t="n">
        <f aca="false">15+7.9/60</f>
        <v>15.1316666666667</v>
      </c>
      <c r="AL64" s="8" t="n">
        <f aca="false">60/3.9</f>
        <v>15.3846153846154</v>
      </c>
      <c r="AM64" s="8"/>
      <c r="AN64" s="8"/>
      <c r="AO64" s="8"/>
      <c r="AP64" s="4" t="n">
        <v>1</v>
      </c>
      <c r="AQ64" s="4" t="n">
        <v>1</v>
      </c>
      <c r="AR64" s="4"/>
      <c r="AS64" s="14"/>
      <c r="AT64" s="8"/>
      <c r="AU64" s="8"/>
      <c r="AV64" s="8"/>
      <c r="AW64" s="8"/>
      <c r="AX64" s="8"/>
      <c r="AY64" s="4" t="s">
        <v>59</v>
      </c>
      <c r="AZ64" s="4" t="s">
        <v>60</v>
      </c>
      <c r="BA64" s="4" t="n">
        <v>0</v>
      </c>
      <c r="BB64" s="4"/>
      <c r="BC64" s="4"/>
    </row>
    <row r="65" customFormat="false" ht="16.9" hidden="false" customHeight="false" outlineLevel="0" collapsed="false">
      <c r="A65" s="11" t="n">
        <f aca="false">A64+1</f>
        <v>598</v>
      </c>
      <c r="B65" s="12" t="n">
        <v>43945.4743055556</v>
      </c>
      <c r="C65" s="4" t="n">
        <v>1</v>
      </c>
      <c r="D65" s="4"/>
      <c r="E65" s="4"/>
      <c r="F65" s="4" t="s">
        <v>90</v>
      </c>
      <c r="G65" s="6" t="n">
        <v>66</v>
      </c>
      <c r="H65" s="6" t="n">
        <v>61</v>
      </c>
      <c r="I65" s="6" t="n">
        <v>84</v>
      </c>
      <c r="J65" s="6" t="s">
        <v>83</v>
      </c>
      <c r="K65" s="6" t="n">
        <v>5</v>
      </c>
      <c r="L65" s="6" t="n">
        <v>0</v>
      </c>
      <c r="M65" s="3" t="s">
        <v>63</v>
      </c>
      <c r="N65" s="4" t="s">
        <v>73</v>
      </c>
      <c r="O65" s="4"/>
      <c r="P65" s="4" t="s">
        <v>123</v>
      </c>
      <c r="Q65" s="8" t="n">
        <v>5.36</v>
      </c>
      <c r="R65" s="6" t="n">
        <f aca="false">R64</f>
        <v>842.666666666667</v>
      </c>
      <c r="S65" s="6"/>
      <c r="T65" s="6"/>
      <c r="U65" s="8" t="n">
        <f aca="false">88/60</f>
        <v>1.46666666666667</v>
      </c>
      <c r="V65" s="8"/>
      <c r="W65" s="8"/>
      <c r="X65" s="8" t="n">
        <f aca="false">Q65/U65</f>
        <v>3.65454545454546</v>
      </c>
      <c r="Y65" s="4" t="n">
        <v>1</v>
      </c>
      <c r="Z65" s="8" t="n">
        <f aca="false">Q65/Y65</f>
        <v>5.36</v>
      </c>
      <c r="AA65" s="8" t="n">
        <f aca="false">16+21/60</f>
        <v>16.35</v>
      </c>
      <c r="AB65" s="6" t="n">
        <v>184</v>
      </c>
      <c r="AC65" s="6" t="n">
        <v>802</v>
      </c>
      <c r="AD65" s="6" t="n">
        <v>104</v>
      </c>
      <c r="AE65" s="6" t="n">
        <v>156</v>
      </c>
      <c r="AF65" s="8" t="n">
        <f aca="false">16+23.8/60</f>
        <v>16.3966666666667</v>
      </c>
      <c r="AG65" s="8" t="n">
        <f aca="false">15+43.3/60</f>
        <v>15.7216666666667</v>
      </c>
      <c r="AH65" s="8" t="n">
        <f aca="false">16+9.8/60</f>
        <v>16.1633333333333</v>
      </c>
      <c r="AI65" s="8" t="n">
        <f aca="false">15+51.5/60</f>
        <v>15.8583333333333</v>
      </c>
      <c r="AJ65" s="8" t="n">
        <f aca="false">17+17.3/60</f>
        <v>17.2883333333333</v>
      </c>
      <c r="AK65" s="8" t="n">
        <f aca="false">60/3.7</f>
        <v>16.2162162162162</v>
      </c>
      <c r="AL65" s="8"/>
      <c r="AM65" s="8"/>
      <c r="AN65" s="8"/>
      <c r="AO65" s="8"/>
      <c r="AP65" s="4" t="n">
        <v>0</v>
      </c>
      <c r="AQ65" s="4" t="n">
        <v>0</v>
      </c>
      <c r="AR65" s="4"/>
      <c r="AS65" s="14"/>
      <c r="AT65" s="8"/>
      <c r="AU65" s="8"/>
      <c r="AV65" s="8"/>
      <c r="AW65" s="8"/>
      <c r="AX65" s="8"/>
      <c r="AY65" s="4" t="s">
        <v>59</v>
      </c>
      <c r="AZ65" s="4" t="s">
        <v>60</v>
      </c>
      <c r="BA65" s="4" t="n">
        <v>0</v>
      </c>
      <c r="BB65" s="4"/>
      <c r="BC65" s="4"/>
    </row>
    <row r="66" customFormat="false" ht="16.9" hidden="false" customHeight="false" outlineLevel="0" collapsed="false">
      <c r="A66" s="11" t="n">
        <f aca="false">A65+1</f>
        <v>599</v>
      </c>
      <c r="B66" s="12" t="n">
        <v>43946.5166666667</v>
      </c>
      <c r="C66" s="4" t="n">
        <v>1</v>
      </c>
      <c r="D66" s="4"/>
      <c r="E66" s="4"/>
      <c r="F66" s="4" t="s">
        <v>71</v>
      </c>
      <c r="G66" s="6" t="n">
        <v>74</v>
      </c>
      <c r="H66" s="6" t="n">
        <v>42</v>
      </c>
      <c r="I66" s="6" t="n">
        <v>30</v>
      </c>
      <c r="J66" s="6" t="s">
        <v>121</v>
      </c>
      <c r="K66" s="6" t="n">
        <v>10</v>
      </c>
      <c r="L66" s="6" t="n">
        <v>0</v>
      </c>
      <c r="M66" s="3" t="s">
        <v>63</v>
      </c>
      <c r="N66" s="4" t="s">
        <v>57</v>
      </c>
      <c r="O66" s="4"/>
      <c r="P66" s="4" t="s">
        <v>94</v>
      </c>
      <c r="Q66" s="8" t="n">
        <v>7.82</v>
      </c>
      <c r="R66" s="6" t="n">
        <v>749</v>
      </c>
      <c r="S66" s="6" t="n">
        <v>17135</v>
      </c>
      <c r="T66" s="6" t="n">
        <f aca="false">S66-R66</f>
        <v>16386</v>
      </c>
      <c r="U66" s="8" t="n">
        <f aca="false">120/60</f>
        <v>2</v>
      </c>
      <c r="V66" s="8"/>
      <c r="W66" s="8"/>
      <c r="X66" s="8" t="n">
        <f aca="false">Q66/U66</f>
        <v>3.91</v>
      </c>
      <c r="Y66" s="4" t="n">
        <v>1</v>
      </c>
      <c r="Z66" s="8" t="n">
        <f aca="false">Q66/Y66</f>
        <v>7.82</v>
      </c>
      <c r="AA66" s="8" t="n">
        <f aca="false">15+23/60</f>
        <v>15.3833333333333</v>
      </c>
      <c r="AB66" s="6" t="n">
        <v>92</v>
      </c>
      <c r="AC66" s="6" t="n">
        <v>1585</v>
      </c>
      <c r="AD66" s="6" t="n">
        <v>135</v>
      </c>
      <c r="AE66" s="6" t="n">
        <v>156</v>
      </c>
      <c r="AF66" s="8" t="n">
        <f aca="false">15+24/60</f>
        <v>15.4</v>
      </c>
      <c r="AG66" s="8" t="n">
        <f aca="false">14+41.8/60</f>
        <v>14.6966666666667</v>
      </c>
      <c r="AH66" s="8" t="n">
        <f aca="false">14+39.5/60</f>
        <v>14.6583333333333</v>
      </c>
      <c r="AI66" s="8" t="n">
        <f aca="false">15+5.8/60</f>
        <v>15.0966666666667</v>
      </c>
      <c r="AJ66" s="8" t="n">
        <f aca="false">15+48.2/60</f>
        <v>15.8033333333333</v>
      </c>
      <c r="AK66" s="8" t="n">
        <f aca="false">15+6.5/60</f>
        <v>15.1083333333333</v>
      </c>
      <c r="AL66" s="8" t="n">
        <f aca="false">15+59.2/60</f>
        <v>15.9866666666667</v>
      </c>
      <c r="AM66" s="8" t="n">
        <f aca="false">60/3.9</f>
        <v>15.3846153846154</v>
      </c>
      <c r="AN66" s="8"/>
      <c r="AO66" s="8"/>
      <c r="AP66" s="4" t="n">
        <v>4</v>
      </c>
      <c r="AQ66" s="4" t="n">
        <v>0</v>
      </c>
      <c r="AR66" s="4"/>
      <c r="AS66" s="14"/>
      <c r="AT66" s="8"/>
      <c r="AU66" s="8"/>
      <c r="AV66" s="8"/>
      <c r="AW66" s="8"/>
      <c r="AX66" s="8"/>
      <c r="AY66" s="4" t="s">
        <v>59</v>
      </c>
      <c r="AZ66" s="4" t="s">
        <v>60</v>
      </c>
      <c r="BA66" s="4" t="n">
        <v>0</v>
      </c>
      <c r="BB66" s="4"/>
      <c r="BC66" s="4"/>
    </row>
    <row r="67" customFormat="false" ht="16.9" hidden="false" customHeight="false" outlineLevel="0" collapsed="false">
      <c r="A67" s="11" t="n">
        <f aca="false">A66+1</f>
        <v>600</v>
      </c>
      <c r="B67" s="12" t="n">
        <v>43947.5180555556</v>
      </c>
      <c r="C67" s="4" t="n">
        <v>1</v>
      </c>
      <c r="D67" s="4"/>
      <c r="E67" s="4"/>
      <c r="F67" s="4" t="s">
        <v>93</v>
      </c>
      <c r="G67" s="6" t="n">
        <v>85</v>
      </c>
      <c r="H67" s="6" t="n">
        <v>35</v>
      </c>
      <c r="I67" s="6" t="n">
        <v>33</v>
      </c>
      <c r="J67" s="6" t="s">
        <v>62</v>
      </c>
      <c r="K67" s="6" t="n">
        <v>8</v>
      </c>
      <c r="L67" s="6" t="n">
        <v>0</v>
      </c>
      <c r="M67" s="3" t="s">
        <v>63</v>
      </c>
      <c r="N67" s="4" t="s">
        <v>73</v>
      </c>
      <c r="O67" s="4"/>
      <c r="P67" s="4" t="s">
        <v>69</v>
      </c>
      <c r="Q67" s="8" t="n">
        <v>7.11</v>
      </c>
      <c r="R67" s="6" t="n">
        <v>1025</v>
      </c>
      <c r="S67" s="6" t="n">
        <v>16621</v>
      </c>
      <c r="T67" s="6" t="n">
        <f aca="false">S67-R67</f>
        <v>15596</v>
      </c>
      <c r="U67" s="8" t="n">
        <f aca="false">(60+56)/60</f>
        <v>1.93333333333333</v>
      </c>
      <c r="V67" s="8"/>
      <c r="W67" s="8"/>
      <c r="X67" s="8" t="n">
        <f aca="false">Q67/U67</f>
        <v>3.67758620689655</v>
      </c>
      <c r="Y67" s="4" t="n">
        <v>1</v>
      </c>
      <c r="Z67" s="8" t="n">
        <f aca="false">Q67/Y67</f>
        <v>7.11</v>
      </c>
      <c r="AA67" s="8" t="n">
        <f aca="false">16+15/60</f>
        <v>16.25</v>
      </c>
      <c r="AB67" s="6" t="n">
        <v>62</v>
      </c>
      <c r="AC67" s="6" t="n">
        <v>1131</v>
      </c>
      <c r="AD67" s="6" t="n">
        <v>112</v>
      </c>
      <c r="AE67" s="6" t="n">
        <v>147</v>
      </c>
      <c r="AF67" s="8" t="n">
        <f aca="false">15+29.1/60</f>
        <v>15.485</v>
      </c>
      <c r="AG67" s="8" t="n">
        <f aca="false">15+46.1/60</f>
        <v>15.7683333333333</v>
      </c>
      <c r="AH67" s="8" t="n">
        <f aca="false">16+8.2/60</f>
        <v>16.1366666666667</v>
      </c>
      <c r="AI67" s="8" t="n">
        <f aca="false">16+20/60</f>
        <v>16.3333333333333</v>
      </c>
      <c r="AJ67" s="8" t="n">
        <f aca="false">16+22.4/60</f>
        <v>16.3733333333333</v>
      </c>
      <c r="AK67" s="8" t="n">
        <f aca="false">17+8.8/60</f>
        <v>17.1466666666667</v>
      </c>
      <c r="AL67" s="8" t="n">
        <f aca="false">16+32.7/60</f>
        <v>16.545</v>
      </c>
      <c r="AM67" s="8" t="n">
        <f aca="false">60/3.8</f>
        <v>15.7894736842105</v>
      </c>
      <c r="AN67" s="8"/>
      <c r="AO67" s="8"/>
      <c r="AP67" s="4" t="n">
        <v>3</v>
      </c>
      <c r="AQ67" s="4" t="n">
        <v>1</v>
      </c>
      <c r="AR67" s="4"/>
      <c r="AS67" s="14"/>
      <c r="AT67" s="8"/>
      <c r="AU67" s="8"/>
      <c r="AV67" s="8"/>
      <c r="AW67" s="8"/>
      <c r="AX67" s="8"/>
      <c r="AY67" s="4" t="s">
        <v>59</v>
      </c>
      <c r="AZ67" s="4" t="s">
        <v>60</v>
      </c>
      <c r="BA67" s="4" t="n">
        <v>0</v>
      </c>
      <c r="BB67" s="4"/>
      <c r="BC67" s="4"/>
    </row>
    <row r="68" customFormat="false" ht="16.9" hidden="false" customHeight="false" outlineLevel="0" collapsed="false">
      <c r="A68" s="11" t="n">
        <f aca="false">A67+1</f>
        <v>601</v>
      </c>
      <c r="B68" s="12" t="n">
        <v>43948.5444444444</v>
      </c>
      <c r="C68" s="4" t="n">
        <v>1</v>
      </c>
      <c r="D68" s="4"/>
      <c r="E68" s="4"/>
      <c r="F68" s="4" t="s">
        <v>90</v>
      </c>
      <c r="G68" s="6" t="n">
        <v>81</v>
      </c>
      <c r="H68" s="6" t="n">
        <v>59</v>
      </c>
      <c r="I68" s="6" t="n">
        <v>47</v>
      </c>
      <c r="J68" s="6" t="s">
        <v>72</v>
      </c>
      <c r="K68" s="6" t="n">
        <v>12</v>
      </c>
      <c r="L68" s="6" t="n">
        <v>0</v>
      </c>
      <c r="M68" s="3" t="s">
        <v>63</v>
      </c>
      <c r="N68" s="4" t="s">
        <v>57</v>
      </c>
      <c r="O68" s="4"/>
      <c r="P68" s="4" t="s">
        <v>91</v>
      </c>
      <c r="Q68" s="8" t="n">
        <v>5.41</v>
      </c>
      <c r="R68" s="6" t="n">
        <f aca="false">AVERAGE(R58:R67)</f>
        <v>853.75</v>
      </c>
      <c r="S68" s="6" t="n">
        <v>12500</v>
      </c>
      <c r="T68" s="6" t="n">
        <f aca="false">S68-R68</f>
        <v>11646.25</v>
      </c>
      <c r="U68" s="8" t="n">
        <f aca="false">92/60</f>
        <v>1.53333333333333</v>
      </c>
      <c r="V68" s="8"/>
      <c r="W68" s="8"/>
      <c r="X68" s="8" t="n">
        <f aca="false">Q68/U68</f>
        <v>3.52826086956522</v>
      </c>
      <c r="Y68" s="4" t="n">
        <v>1</v>
      </c>
      <c r="Z68" s="8" t="n">
        <f aca="false">Q68/Y68</f>
        <v>5.41</v>
      </c>
      <c r="AA68" s="8" t="n">
        <f aca="false">16+59/60</f>
        <v>16.9833333333333</v>
      </c>
      <c r="AB68" s="6" t="n">
        <v>243</v>
      </c>
      <c r="AC68" s="6" t="n">
        <v>1092</v>
      </c>
      <c r="AD68" s="6" t="n">
        <v>126</v>
      </c>
      <c r="AE68" s="6" t="n">
        <v>149</v>
      </c>
      <c r="AF68" s="8" t="n">
        <f aca="false">15+51.6/60</f>
        <v>15.86</v>
      </c>
      <c r="AG68" s="8" t="n">
        <f aca="false">16+23.2/60</f>
        <v>16.3866666666667</v>
      </c>
      <c r="AH68" s="8" t="n">
        <f aca="false">16+31.3/60</f>
        <v>16.5216666666667</v>
      </c>
      <c r="AI68" s="8" t="n">
        <f aca="false">17+48.3/60</f>
        <v>17.805</v>
      </c>
      <c r="AJ68" s="8" t="n">
        <f aca="false">17+48.3/60</f>
        <v>17.805</v>
      </c>
      <c r="AK68" s="8" t="n">
        <f aca="false">60/3.5</f>
        <v>17.1428571428571</v>
      </c>
      <c r="AL68" s="8"/>
      <c r="AM68" s="8"/>
      <c r="AN68" s="8"/>
      <c r="AO68" s="8"/>
      <c r="AP68" s="4" t="n">
        <v>3</v>
      </c>
      <c r="AQ68" s="4" t="n">
        <v>2</v>
      </c>
      <c r="AR68" s="4"/>
      <c r="AS68" s="14"/>
      <c r="AT68" s="8"/>
      <c r="AU68" s="8"/>
      <c r="AV68" s="8"/>
      <c r="AW68" s="8"/>
      <c r="AX68" s="8"/>
      <c r="AY68" s="4" t="s">
        <v>59</v>
      </c>
      <c r="AZ68" s="4" t="s">
        <v>60</v>
      </c>
      <c r="BA68" s="4" t="n">
        <v>0</v>
      </c>
      <c r="BB68" s="4"/>
      <c r="BC68" s="4"/>
    </row>
    <row r="69" customFormat="false" ht="16.9" hidden="false" customHeight="false" outlineLevel="0" collapsed="false">
      <c r="A69" s="11" t="n">
        <f aca="false">A68+1</f>
        <v>602</v>
      </c>
      <c r="B69" s="12" t="n">
        <v>43949.4819444444</v>
      </c>
      <c r="C69" s="4" t="n">
        <v>1</v>
      </c>
      <c r="D69" s="4"/>
      <c r="E69" s="4"/>
      <c r="F69" s="4" t="s">
        <v>93</v>
      </c>
      <c r="G69" s="6" t="n">
        <v>78</v>
      </c>
      <c r="H69" s="6" t="n">
        <v>64</v>
      </c>
      <c r="I69" s="6" t="n">
        <v>64</v>
      </c>
      <c r="J69" s="6" t="s">
        <v>108</v>
      </c>
      <c r="K69" s="6" t="n">
        <v>12</v>
      </c>
      <c r="L69" s="6" t="n">
        <v>0</v>
      </c>
      <c r="M69" s="3" t="s">
        <v>63</v>
      </c>
      <c r="N69" s="4" t="s">
        <v>73</v>
      </c>
      <c r="O69" s="4"/>
      <c r="P69" s="4" t="s">
        <v>89</v>
      </c>
      <c r="Q69" s="8" t="n">
        <v>5.18</v>
      </c>
      <c r="R69" s="6" t="n">
        <v>918</v>
      </c>
      <c r="S69" s="6" t="n">
        <v>12208</v>
      </c>
      <c r="T69" s="6" t="n">
        <f aca="false">S69-R69</f>
        <v>11290</v>
      </c>
      <c r="U69" s="8" t="n">
        <f aca="false">90/60</f>
        <v>1.5</v>
      </c>
      <c r="V69" s="8"/>
      <c r="W69" s="8"/>
      <c r="X69" s="8" t="n">
        <f aca="false">Q69/U69</f>
        <v>3.45333333333333</v>
      </c>
      <c r="Y69" s="4" t="n">
        <v>1</v>
      </c>
      <c r="Z69" s="8" t="n">
        <f aca="false">Q69/Y69</f>
        <v>5.18</v>
      </c>
      <c r="AA69" s="8" t="n">
        <f aca="false">17+20/60</f>
        <v>17.3333333333333</v>
      </c>
      <c r="AB69" s="6" t="n">
        <v>200</v>
      </c>
      <c r="AC69" s="6" t="n">
        <v>1154</v>
      </c>
      <c r="AD69" s="6" t="n">
        <v>133</v>
      </c>
      <c r="AE69" s="6" t="n">
        <v>153</v>
      </c>
      <c r="AF69" s="8" t="n">
        <f aca="false">16+4.6/60</f>
        <v>16.0766666666667</v>
      </c>
      <c r="AG69" s="8" t="n">
        <f aca="false">16+49.2/60</f>
        <v>16.82</v>
      </c>
      <c r="AH69" s="8" t="n">
        <f aca="false">16+55.5/60</f>
        <v>16.925</v>
      </c>
      <c r="AI69" s="8" t="n">
        <v>17</v>
      </c>
      <c r="AJ69" s="8" t="n">
        <f aca="false">19+35/60</f>
        <v>19.5833333333333</v>
      </c>
      <c r="AK69" s="8" t="n">
        <f aca="false">60/3.5</f>
        <v>17.1428571428571</v>
      </c>
      <c r="AL69" s="8"/>
      <c r="AM69" s="8"/>
      <c r="AN69" s="8"/>
      <c r="AO69" s="8"/>
      <c r="AP69" s="4" t="n">
        <v>5</v>
      </c>
      <c r="AQ69" s="4" t="n">
        <v>1</v>
      </c>
      <c r="AR69" s="4"/>
      <c r="AS69" s="14"/>
      <c r="AT69" s="8"/>
      <c r="AU69" s="8"/>
      <c r="AV69" s="8"/>
      <c r="AW69" s="8"/>
      <c r="AX69" s="8"/>
      <c r="AY69" s="4" t="s">
        <v>59</v>
      </c>
      <c r="AZ69" s="4" t="s">
        <v>60</v>
      </c>
      <c r="BA69" s="4" t="n">
        <v>0</v>
      </c>
      <c r="BB69" s="4"/>
      <c r="BC69" s="4"/>
    </row>
    <row r="70" customFormat="false" ht="16.9" hidden="false" customHeight="false" outlineLevel="0" collapsed="false">
      <c r="A70" s="11" t="n">
        <f aca="false">A69+1</f>
        <v>603</v>
      </c>
      <c r="B70" s="12" t="n">
        <v>43950.4604166667</v>
      </c>
      <c r="C70" s="4" t="n">
        <v>1</v>
      </c>
      <c r="D70" s="4"/>
      <c r="E70" s="4"/>
      <c r="F70" s="4" t="s">
        <v>65</v>
      </c>
      <c r="G70" s="6" t="n">
        <v>75</v>
      </c>
      <c r="H70" s="6" t="n">
        <v>63</v>
      </c>
      <c r="I70" s="6" t="n">
        <v>62</v>
      </c>
      <c r="J70" s="6" t="s">
        <v>62</v>
      </c>
      <c r="K70" s="6" t="n">
        <v>20</v>
      </c>
      <c r="L70" s="6" t="n">
        <v>29</v>
      </c>
      <c r="M70" s="3" t="s">
        <v>63</v>
      </c>
      <c r="N70" s="4" t="s">
        <v>57</v>
      </c>
      <c r="O70" s="4"/>
      <c r="P70" s="4" t="s">
        <v>87</v>
      </c>
      <c r="Q70" s="8" t="n">
        <v>5.24</v>
      </c>
      <c r="R70" s="6" t="n">
        <f aca="false">AVERAGE(R64:R69)</f>
        <v>871.847222222222</v>
      </c>
      <c r="S70" s="6" t="n">
        <v>12034</v>
      </c>
      <c r="T70" s="6" t="n">
        <f aca="false">S70-R70</f>
        <v>11162.1527777778</v>
      </c>
      <c r="U70" s="8" t="n">
        <f aca="false">85/60</f>
        <v>1.41666666666667</v>
      </c>
      <c r="V70" s="8"/>
      <c r="W70" s="8"/>
      <c r="X70" s="8" t="n">
        <f aca="false">Q70/U70</f>
        <v>3.69882352941176</v>
      </c>
      <c r="Y70" s="4" t="n">
        <v>1</v>
      </c>
      <c r="Z70" s="8" t="n">
        <f aca="false">Q70/Y70</f>
        <v>5.24</v>
      </c>
      <c r="AA70" s="8" t="n">
        <f aca="false">16+9/60</f>
        <v>16.15</v>
      </c>
      <c r="AB70" s="6" t="n">
        <v>112</v>
      </c>
      <c r="AC70" s="6" t="n">
        <v>663</v>
      </c>
      <c r="AD70" s="6" t="n">
        <v>93</v>
      </c>
      <c r="AE70" s="6" t="n">
        <v>134</v>
      </c>
      <c r="AF70" s="8" t="n">
        <f aca="false">15+54/60</f>
        <v>15.9</v>
      </c>
      <c r="AG70" s="8" t="n">
        <f aca="false">15+46.2/60</f>
        <v>15.77</v>
      </c>
      <c r="AH70" s="8" t="n">
        <f aca="false">15+50.9/60</f>
        <v>15.8483333333333</v>
      </c>
      <c r="AI70" s="8" t="n">
        <f aca="false">16+27.2/60</f>
        <v>16.4533333333333</v>
      </c>
      <c r="AJ70" s="8" t="n">
        <f aca="false">16+51/60</f>
        <v>16.85</v>
      </c>
      <c r="AK70" s="8" t="n">
        <f aca="false">60/3.8</f>
        <v>15.7894736842105</v>
      </c>
      <c r="AL70" s="8"/>
      <c r="AM70" s="8"/>
      <c r="AN70" s="8"/>
      <c r="AO70" s="8"/>
      <c r="AP70" s="4" t="n">
        <v>0</v>
      </c>
      <c r="AQ70" s="4" t="n">
        <v>0</v>
      </c>
      <c r="AR70" s="4"/>
      <c r="AS70" s="14"/>
      <c r="AT70" s="8"/>
      <c r="AU70" s="8"/>
      <c r="AV70" s="8"/>
      <c r="AW70" s="8"/>
      <c r="AX70" s="8"/>
      <c r="AY70" s="4" t="s">
        <v>59</v>
      </c>
      <c r="AZ70" s="4" t="s">
        <v>60</v>
      </c>
      <c r="BA70" s="4" t="n">
        <v>0</v>
      </c>
      <c r="BB70" s="4"/>
      <c r="BC70" s="4"/>
    </row>
    <row r="71" customFormat="false" ht="16.9" hidden="false" customHeight="false" outlineLevel="0" collapsed="false">
      <c r="A71" s="11" t="n">
        <f aca="false">A70+1</f>
        <v>604</v>
      </c>
      <c r="B71" s="12" t="n">
        <v>43951.49375</v>
      </c>
      <c r="C71" s="4" t="n">
        <v>1</v>
      </c>
      <c r="D71" s="4"/>
      <c r="E71" s="4"/>
      <c r="F71" s="4" t="s">
        <v>71</v>
      </c>
      <c r="G71" s="6" t="n">
        <v>76</v>
      </c>
      <c r="H71" s="6" t="n">
        <v>46</v>
      </c>
      <c r="I71" s="6" t="n">
        <v>35</v>
      </c>
      <c r="J71" s="6" t="s">
        <v>55</v>
      </c>
      <c r="K71" s="6" t="n">
        <v>3</v>
      </c>
      <c r="L71" s="6" t="n">
        <v>0</v>
      </c>
      <c r="M71" s="3" t="s">
        <v>63</v>
      </c>
      <c r="N71" s="4" t="s">
        <v>73</v>
      </c>
      <c r="O71" s="4"/>
      <c r="P71" s="4" t="s">
        <v>66</v>
      </c>
      <c r="Q71" s="8" t="n">
        <v>5.64</v>
      </c>
      <c r="R71" s="6" t="n">
        <v>1124</v>
      </c>
      <c r="S71" s="6" t="n">
        <v>13003</v>
      </c>
      <c r="T71" s="6" t="n">
        <f aca="false">S71-R71</f>
        <v>11879</v>
      </c>
      <c r="U71" s="8" t="n">
        <f aca="false">92/60</f>
        <v>1.53333333333333</v>
      </c>
      <c r="V71" s="8"/>
      <c r="W71" s="8"/>
      <c r="X71" s="8" t="n">
        <f aca="false">Q71/U71</f>
        <v>3.67826086956522</v>
      </c>
      <c r="Y71" s="4" t="n">
        <v>1</v>
      </c>
      <c r="Z71" s="8" t="n">
        <f aca="false">Q71/Y71</f>
        <v>5.64</v>
      </c>
      <c r="AA71" s="8" t="n">
        <f aca="false">16+19/60</f>
        <v>16.3166666666667</v>
      </c>
      <c r="AB71" s="6" t="n">
        <v>220</v>
      </c>
      <c r="AC71" s="6" t="n">
        <v>1024</v>
      </c>
      <c r="AD71" s="6" t="n">
        <v>122</v>
      </c>
      <c r="AE71" s="6" t="n">
        <v>147</v>
      </c>
      <c r="AF71" s="8" t="n">
        <f aca="false">16+23.8/60</f>
        <v>16.3966666666667</v>
      </c>
      <c r="AG71" s="8" t="n">
        <f aca="false">15+29.7/60</f>
        <v>15.495</v>
      </c>
      <c r="AH71" s="8" t="n">
        <f aca="false">16+4.6/60</f>
        <v>16.0766666666667</v>
      </c>
      <c r="AI71" s="8" t="n">
        <f aca="false">16+41.7/60</f>
        <v>16.695</v>
      </c>
      <c r="AJ71" s="8" t="n">
        <f aca="false">16+16.9/60</f>
        <v>16.2816666666667</v>
      </c>
      <c r="AK71" s="8" t="n">
        <f aca="false">60/3.5</f>
        <v>17.1428571428571</v>
      </c>
      <c r="AL71" s="8"/>
      <c r="AM71" s="8"/>
      <c r="AN71" s="8"/>
      <c r="AO71" s="8"/>
      <c r="AP71" s="4" t="n">
        <v>0</v>
      </c>
      <c r="AQ71" s="4" t="n">
        <v>1</v>
      </c>
      <c r="AR71" s="4"/>
      <c r="AS71" s="14"/>
      <c r="AT71" s="8"/>
      <c r="AU71" s="8"/>
      <c r="AV71" s="8"/>
      <c r="AW71" s="8"/>
      <c r="AX71" s="8"/>
      <c r="AY71" s="4" t="s">
        <v>59</v>
      </c>
      <c r="AZ71" s="4" t="s">
        <v>60</v>
      </c>
      <c r="BA71" s="4" t="n">
        <v>0</v>
      </c>
      <c r="BB71" s="4"/>
      <c r="BC71" s="4"/>
    </row>
    <row r="72" customFormat="false" ht="16.9" hidden="false" customHeight="false" outlineLevel="0" collapsed="false">
      <c r="A72" s="11" t="n">
        <f aca="false">A71+1</f>
        <v>605</v>
      </c>
      <c r="B72" s="12" t="n">
        <v>43952.3652777778</v>
      </c>
      <c r="C72" s="4" t="n">
        <v>1</v>
      </c>
      <c r="D72" s="4"/>
      <c r="E72" s="4"/>
      <c r="F72" s="4" t="s">
        <v>71</v>
      </c>
      <c r="G72" s="6" t="n">
        <v>76</v>
      </c>
      <c r="H72" s="6" t="n">
        <v>54</v>
      </c>
      <c r="I72" s="6" t="n">
        <v>46</v>
      </c>
      <c r="J72" s="4" t="s">
        <v>80</v>
      </c>
      <c r="K72" s="6" t="n">
        <v>21</v>
      </c>
      <c r="L72" s="6" t="n">
        <v>35</v>
      </c>
      <c r="M72" s="3" t="s">
        <v>63</v>
      </c>
      <c r="N72" s="4" t="s">
        <v>73</v>
      </c>
      <c r="O72" s="4"/>
      <c r="P72" s="4" t="s">
        <v>112</v>
      </c>
      <c r="Q72" s="8" t="n">
        <v>6</v>
      </c>
      <c r="R72" s="6" t="n">
        <v>867</v>
      </c>
      <c r="S72" s="6" t="n">
        <v>13450</v>
      </c>
      <c r="T72" s="6" t="n">
        <f aca="false">S72-R72</f>
        <v>12583</v>
      </c>
      <c r="U72" s="8" t="n">
        <f aca="false">93/60</f>
        <v>1.55</v>
      </c>
      <c r="V72" s="8"/>
      <c r="W72" s="8"/>
      <c r="X72" s="8" t="n">
        <f aca="false">Q72/U72</f>
        <v>3.87096774193548</v>
      </c>
      <c r="Y72" s="4" t="n">
        <v>1</v>
      </c>
      <c r="Z72" s="8" t="n">
        <f aca="false">Q72/Y72</f>
        <v>6</v>
      </c>
      <c r="AA72" s="8" t="n">
        <f aca="false">15+30/60</f>
        <v>15.5</v>
      </c>
      <c r="AB72" s="6" t="n">
        <v>46</v>
      </c>
      <c r="AC72" s="6" t="n">
        <v>602</v>
      </c>
      <c r="AD72" s="6" t="n">
        <v>76</v>
      </c>
      <c r="AE72" s="6" t="n">
        <v>119</v>
      </c>
      <c r="AF72" s="8" t="n">
        <f aca="false">15+35.8/60</f>
        <v>15.5966666666667</v>
      </c>
      <c r="AG72" s="8" t="n">
        <f aca="false">15+17.4/60</f>
        <v>15.29</v>
      </c>
      <c r="AH72" s="8" t="n">
        <f aca="false">15+48.2/60</f>
        <v>15.8033333333333</v>
      </c>
      <c r="AI72" s="8" t="n">
        <f aca="false">15+12/60</f>
        <v>15.2</v>
      </c>
      <c r="AJ72" s="8" t="n">
        <f aca="false">15+57.9/60</f>
        <v>15.965</v>
      </c>
      <c r="AK72" s="8" t="n">
        <f aca="false">15+57.9/60</f>
        <v>15.965</v>
      </c>
      <c r="AL72" s="8"/>
      <c r="AM72" s="8"/>
      <c r="AN72" s="8"/>
      <c r="AO72" s="8"/>
      <c r="AP72" s="4" t="n">
        <v>1</v>
      </c>
      <c r="AQ72" s="4" t="n">
        <v>0</v>
      </c>
      <c r="AR72" s="4"/>
      <c r="AS72" s="14"/>
      <c r="AT72" s="8"/>
      <c r="AU72" s="8"/>
      <c r="AV72" s="8"/>
      <c r="AW72" s="8"/>
      <c r="AX72" s="8"/>
      <c r="AY72" s="4" t="s">
        <v>59</v>
      </c>
      <c r="AZ72" s="4" t="s">
        <v>60</v>
      </c>
      <c r="BA72" s="4" t="n">
        <v>0</v>
      </c>
      <c r="BB72" s="4"/>
      <c r="BC72" s="4"/>
    </row>
    <row r="73" customFormat="false" ht="16.9" hidden="false" customHeight="false" outlineLevel="0" collapsed="false">
      <c r="A73" s="11" t="n">
        <f aca="false">A72+1</f>
        <v>606</v>
      </c>
      <c r="B73" s="12" t="n">
        <v>43953.3715277778</v>
      </c>
      <c r="C73" s="4" t="n">
        <v>1</v>
      </c>
      <c r="D73" s="4"/>
      <c r="E73" s="4"/>
      <c r="F73" s="4" t="s">
        <v>93</v>
      </c>
      <c r="G73" s="6" t="n">
        <v>80</v>
      </c>
      <c r="H73" s="6" t="n">
        <v>70</v>
      </c>
      <c r="I73" s="6" t="n">
        <v>71</v>
      </c>
      <c r="J73" s="6" t="s">
        <v>62</v>
      </c>
      <c r="K73" s="6" t="n">
        <v>24</v>
      </c>
      <c r="L73" s="6" t="n">
        <v>33</v>
      </c>
      <c r="M73" s="3" t="s">
        <v>63</v>
      </c>
      <c r="N73" s="4" t="s">
        <v>57</v>
      </c>
      <c r="O73" s="4"/>
      <c r="P73" s="4" t="s">
        <v>69</v>
      </c>
      <c r="Q73" s="8" t="n">
        <v>6.52</v>
      </c>
      <c r="R73" s="6" t="n">
        <f aca="false">AVERAGE(R62:R72)</f>
        <v>893.659722222222</v>
      </c>
      <c r="S73" s="6" t="n">
        <v>14258</v>
      </c>
      <c r="T73" s="6" t="n">
        <f aca="false">S73-R73</f>
        <v>13364.3402777778</v>
      </c>
      <c r="U73" s="8" t="n">
        <f aca="false">100/60</f>
        <v>1.66666666666667</v>
      </c>
      <c r="V73" s="8"/>
      <c r="W73" s="8"/>
      <c r="X73" s="8" t="n">
        <f aca="false">Q73/U73</f>
        <v>3.912</v>
      </c>
      <c r="Y73" s="4" t="n">
        <v>1</v>
      </c>
      <c r="Z73" s="8" t="n">
        <f aca="false">Q73/Y73</f>
        <v>6.52</v>
      </c>
      <c r="AA73" s="8" t="n">
        <f aca="false">15+20/30</f>
        <v>15.6666666666667</v>
      </c>
      <c r="AB73" s="6" t="n">
        <v>89</v>
      </c>
      <c r="AC73" s="6" t="n">
        <v>708</v>
      </c>
      <c r="AD73" s="6" t="n">
        <v>80</v>
      </c>
      <c r="AE73" s="6" t="n">
        <v>117</v>
      </c>
      <c r="AF73" s="8" t="n">
        <f aca="false">15+23.6/60</f>
        <v>15.3933333333333</v>
      </c>
      <c r="AG73" s="8" t="n">
        <f aca="false">15+7.1/60</f>
        <v>15.1183333333333</v>
      </c>
      <c r="AH73" s="8" t="n">
        <f aca="false">14+58.5/60</f>
        <v>14.975</v>
      </c>
      <c r="AI73" s="8" t="n">
        <f aca="false">15+21.2/60</f>
        <v>15.3533333333333</v>
      </c>
      <c r="AJ73" s="8" t="n">
        <f aca="false">15+14.3/60</f>
        <v>15.2383333333333</v>
      </c>
      <c r="AK73" s="8" t="n">
        <f aca="false">15+34/60</f>
        <v>15.5666666666667</v>
      </c>
      <c r="AL73" s="8" t="n">
        <f aca="false">60/3.9</f>
        <v>15.3846153846154</v>
      </c>
      <c r="AM73" s="8"/>
      <c r="AN73" s="8"/>
      <c r="AO73" s="8"/>
      <c r="AP73" s="4" t="n">
        <v>0</v>
      </c>
      <c r="AQ73" s="4" t="n">
        <v>0</v>
      </c>
      <c r="AR73" s="4"/>
      <c r="AS73" s="14"/>
      <c r="AT73" s="8"/>
      <c r="AU73" s="8"/>
      <c r="AV73" s="8"/>
      <c r="AW73" s="8"/>
      <c r="AX73" s="8"/>
      <c r="AY73" s="4" t="s">
        <v>59</v>
      </c>
      <c r="AZ73" s="4" t="s">
        <v>60</v>
      </c>
      <c r="BA73" s="4" t="n">
        <v>0</v>
      </c>
      <c r="BB73" s="4"/>
      <c r="BC73" s="4"/>
    </row>
    <row r="74" customFormat="false" ht="16.9" hidden="false" customHeight="false" outlineLevel="0" collapsed="false">
      <c r="A74" s="11" t="n">
        <f aca="false">A73+1</f>
        <v>607</v>
      </c>
      <c r="B74" s="12" t="n">
        <v>43954.4965277778</v>
      </c>
      <c r="C74" s="4" t="n">
        <v>1</v>
      </c>
      <c r="D74" s="4"/>
      <c r="E74" s="4"/>
      <c r="F74" s="4" t="s">
        <v>71</v>
      </c>
      <c r="G74" s="6" t="n">
        <v>86</v>
      </c>
      <c r="H74" s="6" t="n">
        <v>67</v>
      </c>
      <c r="I74" s="6" t="n">
        <v>53</v>
      </c>
      <c r="J74" s="6" t="s">
        <v>62</v>
      </c>
      <c r="K74" s="6" t="n">
        <v>20</v>
      </c>
      <c r="L74" s="6" t="n">
        <v>25</v>
      </c>
      <c r="M74" s="3" t="s">
        <v>63</v>
      </c>
      <c r="N74" s="4" t="s">
        <v>57</v>
      </c>
      <c r="O74" s="4"/>
      <c r="P74" s="4" t="s">
        <v>64</v>
      </c>
      <c r="Q74" s="8" t="n">
        <v>5.38</v>
      </c>
      <c r="R74" s="6" t="n">
        <v>1074</v>
      </c>
      <c r="S74" s="6" t="n">
        <v>12286</v>
      </c>
      <c r="T74" s="6" t="n">
        <f aca="false">S74-R74</f>
        <v>11212</v>
      </c>
      <c r="U74" s="8" t="n">
        <f aca="false">87/60</f>
        <v>1.45</v>
      </c>
      <c r="V74" s="8"/>
      <c r="W74" s="8"/>
      <c r="X74" s="8" t="n">
        <f aca="false">Q74/U74</f>
        <v>3.71034482758621</v>
      </c>
      <c r="Y74" s="4" t="n">
        <v>4</v>
      </c>
      <c r="Z74" s="8" t="n">
        <f aca="false">Q74/Y74</f>
        <v>1.345</v>
      </c>
      <c r="AA74" s="8" t="n">
        <f aca="false">16+14/60</f>
        <v>16.2333333333333</v>
      </c>
      <c r="AB74" s="6" t="n">
        <v>112</v>
      </c>
      <c r="AC74" s="6" t="n">
        <v>1081</v>
      </c>
      <c r="AD74" s="6" t="n">
        <v>125</v>
      </c>
      <c r="AE74" s="6" t="n">
        <v>143</v>
      </c>
      <c r="AF74" s="8" t="n">
        <f aca="false">15+25.3/60</f>
        <v>15.4216666666667</v>
      </c>
      <c r="AG74" s="8" t="n">
        <f aca="false">16+16.4/60</f>
        <v>16.2733333333333</v>
      </c>
      <c r="AH74" s="8" t="n">
        <f aca="false">16+17.7/60</f>
        <v>16.295</v>
      </c>
      <c r="AI74" s="8" t="n">
        <f aca="false">16+12/7/60</f>
        <v>16.0285714285714</v>
      </c>
      <c r="AJ74" s="8" t="n">
        <f aca="false">60/3.7</f>
        <v>16.2162162162162</v>
      </c>
      <c r="AK74" s="8"/>
      <c r="AL74" s="8"/>
      <c r="AM74" s="8"/>
      <c r="AN74" s="8"/>
      <c r="AO74" s="8"/>
      <c r="AP74" s="4" t="n">
        <v>0</v>
      </c>
      <c r="AQ74" s="4" t="n">
        <v>0</v>
      </c>
      <c r="AR74" s="4"/>
      <c r="AS74" s="14"/>
      <c r="AT74" s="8"/>
      <c r="AU74" s="8"/>
      <c r="AV74" s="8"/>
      <c r="AW74" s="8"/>
      <c r="AX74" s="8"/>
      <c r="AY74" s="4" t="s">
        <v>59</v>
      </c>
      <c r="AZ74" s="4" t="s">
        <v>60</v>
      </c>
      <c r="BA74" s="4" t="n">
        <v>0</v>
      </c>
      <c r="BB74" s="4"/>
      <c r="BC74" s="4"/>
    </row>
    <row r="75" customFormat="false" ht="16.9" hidden="false" customHeight="false" outlineLevel="0" collapsed="false">
      <c r="A75" s="11" t="n">
        <f aca="false">A74+1</f>
        <v>608</v>
      </c>
      <c r="B75" s="12" t="n">
        <v>43955.3930555556</v>
      </c>
      <c r="C75" s="4" t="n">
        <v>1</v>
      </c>
      <c r="D75" s="4"/>
      <c r="E75" s="4"/>
      <c r="F75" s="4" t="s">
        <v>71</v>
      </c>
      <c r="G75" s="6" t="n">
        <f aca="false">(78+81)/2</f>
        <v>79.5</v>
      </c>
      <c r="H75" s="6" t="n">
        <v>68</v>
      </c>
      <c r="I75" s="6" t="n">
        <v>64</v>
      </c>
      <c r="J75" s="6" t="s">
        <v>62</v>
      </c>
      <c r="K75" s="6" t="n">
        <f aca="false">(17+22)/2</f>
        <v>19.5</v>
      </c>
      <c r="L75" s="6" t="n">
        <v>0</v>
      </c>
      <c r="M75" s="3" t="s">
        <v>63</v>
      </c>
      <c r="N75" s="4" t="s">
        <v>73</v>
      </c>
      <c r="O75" s="4"/>
      <c r="P75" s="4" t="s">
        <v>94</v>
      </c>
      <c r="Q75" s="8" t="n">
        <v>7.91</v>
      </c>
      <c r="R75" s="6" t="n">
        <v>444</v>
      </c>
      <c r="S75" s="6"/>
      <c r="T75" s="6"/>
      <c r="U75" s="8" t="n">
        <f aca="false">(120+12)/60</f>
        <v>2.2</v>
      </c>
      <c r="V75" s="8"/>
      <c r="W75" s="8"/>
      <c r="X75" s="8" t="n">
        <f aca="false">Q75/U75</f>
        <v>3.59545454545455</v>
      </c>
      <c r="Y75" s="4" t="n">
        <v>1</v>
      </c>
      <c r="Z75" s="8" t="n">
        <f aca="false">Q75/Y75</f>
        <v>7.91</v>
      </c>
      <c r="AA75" s="8" t="n">
        <f aca="false">16+38/60</f>
        <v>16.6333333333333</v>
      </c>
      <c r="AB75" s="6" t="n">
        <v>76</v>
      </c>
      <c r="AC75" s="6" t="n">
        <v>847</v>
      </c>
      <c r="AD75" s="6" t="n">
        <v>72</v>
      </c>
      <c r="AE75" s="6" t="n">
        <v>117</v>
      </c>
      <c r="AF75" s="8" t="n">
        <f aca="false">16+23.1/60</f>
        <v>16.385</v>
      </c>
      <c r="AG75" s="8" t="n">
        <f aca="false">16+53.7/60</f>
        <v>16.895</v>
      </c>
      <c r="AH75" s="8" t="n">
        <f aca="false">16+36.3/60</f>
        <v>16.605</v>
      </c>
      <c r="AI75" s="8" t="n">
        <f aca="false">16+26/60</f>
        <v>16.4333333333333</v>
      </c>
      <c r="AJ75" s="8" t="n">
        <f aca="false">16+14.5/60</f>
        <v>16.2416666666667</v>
      </c>
      <c r="AK75" s="8" t="n">
        <f aca="false">16+13.7/60</f>
        <v>16.2283333333333</v>
      </c>
      <c r="AL75" s="8" t="n">
        <f aca="false">17+3/60</f>
        <v>17.05</v>
      </c>
      <c r="AM75" s="8" t="n">
        <f aca="false">60/3.5</f>
        <v>17.1428571428571</v>
      </c>
      <c r="AN75" s="8"/>
      <c r="AO75" s="8"/>
      <c r="AP75" s="4" t="n">
        <v>1</v>
      </c>
      <c r="AQ75" s="4" t="n">
        <v>1</v>
      </c>
      <c r="AR75" s="4"/>
      <c r="AS75" s="14"/>
      <c r="AT75" s="8"/>
      <c r="AU75" s="8"/>
      <c r="AV75" s="8"/>
      <c r="AW75" s="8"/>
      <c r="AX75" s="8"/>
      <c r="AY75" s="4" t="s">
        <v>59</v>
      </c>
      <c r="AZ75" s="4" t="s">
        <v>60</v>
      </c>
      <c r="BA75" s="4" t="n">
        <v>0</v>
      </c>
      <c r="BB75" s="4"/>
      <c r="BC75" s="4"/>
    </row>
    <row r="76" customFormat="false" ht="16.9" hidden="false" customHeight="false" outlineLevel="0" collapsed="false">
      <c r="A76" s="11" t="n">
        <f aca="false">A75+1</f>
        <v>609</v>
      </c>
      <c r="B76" s="12" t="n">
        <v>43956.5055555556</v>
      </c>
      <c r="C76" s="4" t="n">
        <v>1</v>
      </c>
      <c r="D76" s="4"/>
      <c r="E76" s="4"/>
      <c r="F76" s="4" t="s">
        <v>106</v>
      </c>
      <c r="G76" s="6" t="n">
        <v>76</v>
      </c>
      <c r="H76" s="6" t="n">
        <v>66</v>
      </c>
      <c r="I76" s="6" t="n">
        <v>53</v>
      </c>
      <c r="J76" s="6" t="s">
        <v>62</v>
      </c>
      <c r="K76" s="6" t="n">
        <v>24</v>
      </c>
      <c r="L76" s="6" t="n">
        <v>33</v>
      </c>
      <c r="M76" s="3" t="s">
        <v>63</v>
      </c>
      <c r="N76" s="4" t="s">
        <v>57</v>
      </c>
      <c r="O76" s="4"/>
      <c r="P76" s="4" t="s">
        <v>64</v>
      </c>
      <c r="Q76" s="8" t="n">
        <v>4.61</v>
      </c>
      <c r="R76" s="6" t="n">
        <v>1419</v>
      </c>
      <c r="S76" s="6" t="n">
        <v>11400</v>
      </c>
      <c r="T76" s="6" t="n">
        <f aca="false">S76-R76</f>
        <v>9981</v>
      </c>
      <c r="U76" s="8" t="n">
        <f aca="false">95/60</f>
        <v>1.58333333333333</v>
      </c>
      <c r="V76" s="8"/>
      <c r="W76" s="8"/>
      <c r="X76" s="8" t="n">
        <f aca="false">Q76/U76</f>
        <v>2.91157894736842</v>
      </c>
      <c r="Y76" s="4" t="n">
        <v>1</v>
      </c>
      <c r="Z76" s="8" t="n">
        <f aca="false">Q76/Y76</f>
        <v>4.61</v>
      </c>
      <c r="AA76" s="8" t="n">
        <f aca="false">16+18/60</f>
        <v>16.3</v>
      </c>
      <c r="AB76" s="6" t="n">
        <v>164</v>
      </c>
      <c r="AC76" s="6" t="n">
        <v>526</v>
      </c>
      <c r="AD76" s="6" t="n">
        <v>87</v>
      </c>
      <c r="AE76" s="6" t="n">
        <v>139</v>
      </c>
      <c r="AF76" s="8" t="n">
        <f aca="false">15+58.4/60</f>
        <v>15.9733333333333</v>
      </c>
      <c r="AG76" s="8" t="n">
        <f aca="false">16+20.7/60</f>
        <v>16.345</v>
      </c>
      <c r="AH76" s="8" t="n">
        <f aca="false">16+49.5/60</f>
        <v>16.825</v>
      </c>
      <c r="AI76" s="8" t="n">
        <f aca="false">15+59/60</f>
        <v>15.9833333333333</v>
      </c>
      <c r="AJ76" s="8" t="n">
        <f aca="false">60/3.7</f>
        <v>16.2162162162162</v>
      </c>
      <c r="AK76" s="8"/>
      <c r="AL76" s="8"/>
      <c r="AM76" s="8"/>
      <c r="AN76" s="8"/>
      <c r="AO76" s="8"/>
      <c r="AP76" s="4" t="n">
        <v>0</v>
      </c>
      <c r="AQ76" s="4" t="n">
        <v>0</v>
      </c>
      <c r="AR76" s="4"/>
      <c r="AS76" s="14"/>
      <c r="AT76" s="8"/>
      <c r="AU76" s="8"/>
      <c r="AV76" s="8"/>
      <c r="AW76" s="8"/>
      <c r="AX76" s="8"/>
      <c r="AY76" s="4" t="s">
        <v>59</v>
      </c>
      <c r="AZ76" s="4" t="s">
        <v>60</v>
      </c>
      <c r="BA76" s="4" t="n">
        <v>0</v>
      </c>
      <c r="BB76" s="4"/>
      <c r="BC76" s="4"/>
    </row>
    <row r="77" customFormat="false" ht="16.9" hidden="false" customHeight="false" outlineLevel="0" collapsed="false">
      <c r="A77" s="11" t="n">
        <f aca="false">A76+1</f>
        <v>610</v>
      </c>
      <c r="B77" s="12" t="n">
        <v>43957.4145833333</v>
      </c>
      <c r="C77" s="4" t="n">
        <v>1</v>
      </c>
      <c r="D77" s="4"/>
      <c r="E77" s="4"/>
      <c r="F77" s="4" t="s">
        <v>71</v>
      </c>
      <c r="G77" s="6" t="n">
        <v>78</v>
      </c>
      <c r="H77" s="6" t="n">
        <v>47</v>
      </c>
      <c r="I77" s="6" t="n">
        <v>33</v>
      </c>
      <c r="J77" s="6" t="s">
        <v>97</v>
      </c>
      <c r="K77" s="6" t="n">
        <v>6</v>
      </c>
      <c r="L77" s="6" t="n">
        <v>0</v>
      </c>
      <c r="M77" s="3" t="s">
        <v>63</v>
      </c>
      <c r="N77" s="4" t="s">
        <v>73</v>
      </c>
      <c r="O77" s="4"/>
      <c r="P77" s="4" t="s">
        <v>119</v>
      </c>
      <c r="Q77" s="8" t="n">
        <v>6.65</v>
      </c>
      <c r="R77" s="6" t="n">
        <v>1581</v>
      </c>
      <c r="S77" s="6" t="n">
        <v>15491</v>
      </c>
      <c r="T77" s="6" t="n">
        <f aca="false">S77-R77</f>
        <v>13910</v>
      </c>
      <c r="U77" s="8" t="n">
        <f aca="false">106/60</f>
        <v>1.76666666666667</v>
      </c>
      <c r="V77" s="8"/>
      <c r="W77" s="8"/>
      <c r="X77" s="8" t="n">
        <f aca="false">Q77/U77</f>
        <v>3.76415094339623</v>
      </c>
      <c r="Y77" s="4" t="n">
        <v>1</v>
      </c>
      <c r="Z77" s="8" t="n">
        <f aca="false">Q77/Y77</f>
        <v>6.65</v>
      </c>
      <c r="AA77" s="8" t="n">
        <f aca="false">15+54/60</f>
        <v>15.9</v>
      </c>
      <c r="AB77" s="6" t="n">
        <v>26</v>
      </c>
      <c r="AC77" s="6" t="n">
        <v>708</v>
      </c>
      <c r="AD77" s="6" t="n">
        <v>72</v>
      </c>
      <c r="AE77" s="6" t="n">
        <v>115</v>
      </c>
      <c r="AF77" s="8" t="n">
        <f aca="false">15+16.5/60</f>
        <v>15.275</v>
      </c>
      <c r="AG77" s="8" t="n">
        <f aca="false">16+18.2/60</f>
        <v>16.3033333333333</v>
      </c>
      <c r="AH77" s="8" t="n">
        <f aca="false">16+7.8/60</f>
        <v>16.13</v>
      </c>
      <c r="AI77" s="8" t="n">
        <f aca="false">16+6.6/60</f>
        <v>16.11</v>
      </c>
      <c r="AJ77" s="8" t="n">
        <f aca="false">16+14/60</f>
        <v>16.2333333333333</v>
      </c>
      <c r="AK77" s="8" t="n">
        <f aca="false">15+22.6/60</f>
        <v>15.3766666666667</v>
      </c>
      <c r="AL77" s="8" t="n">
        <f aca="false">60/3.8</f>
        <v>15.7894736842105</v>
      </c>
      <c r="AM77" s="8"/>
      <c r="AN77" s="8"/>
      <c r="AO77" s="8"/>
      <c r="AP77" s="4" t="n">
        <v>0</v>
      </c>
      <c r="AQ77" s="4" t="n">
        <v>0</v>
      </c>
      <c r="AR77" s="4"/>
      <c r="AS77" s="14"/>
      <c r="AT77" s="8"/>
      <c r="AU77" s="8"/>
      <c r="AV77" s="8"/>
      <c r="AW77" s="8"/>
      <c r="AX77" s="8"/>
      <c r="AY77" s="4" t="s">
        <v>59</v>
      </c>
      <c r="AZ77" s="4" t="s">
        <v>60</v>
      </c>
      <c r="BA77" s="4" t="n">
        <v>0</v>
      </c>
      <c r="BB77" s="4"/>
      <c r="BC77" s="4"/>
    </row>
    <row r="78" customFormat="false" ht="16.9" hidden="false" customHeight="false" outlineLevel="0" collapsed="false">
      <c r="A78" s="11" t="n">
        <f aca="false">A77+1</f>
        <v>611</v>
      </c>
      <c r="B78" s="12" t="n">
        <v>43958.4680555556</v>
      </c>
      <c r="C78" s="4" t="n">
        <v>1</v>
      </c>
      <c r="D78" s="4"/>
      <c r="E78" s="4"/>
      <c r="F78" s="4" t="s">
        <v>106</v>
      </c>
      <c r="G78" s="6" t="n">
        <v>80</v>
      </c>
      <c r="H78" s="6" t="n">
        <v>55</v>
      </c>
      <c r="I78" s="6" t="n">
        <v>45</v>
      </c>
      <c r="J78" s="4" t="s">
        <v>88</v>
      </c>
      <c r="K78" s="6" t="n">
        <v>22</v>
      </c>
      <c r="L78" s="6" t="n">
        <v>31</v>
      </c>
      <c r="M78" s="3" t="s">
        <v>63</v>
      </c>
      <c r="N78" s="4" t="s">
        <v>57</v>
      </c>
      <c r="O78" s="4"/>
      <c r="P78" s="4" t="s">
        <v>66</v>
      </c>
      <c r="Q78" s="8" t="n">
        <v>5.65</v>
      </c>
      <c r="R78" s="6" t="n">
        <v>774</v>
      </c>
      <c r="S78" s="6" t="n">
        <v>12767</v>
      </c>
      <c r="T78" s="6" t="n">
        <f aca="false">S78-R78</f>
        <v>11993</v>
      </c>
      <c r="U78" s="8" t="n">
        <f aca="false">91/60</f>
        <v>1.51666666666667</v>
      </c>
      <c r="V78" s="8"/>
      <c r="W78" s="8"/>
      <c r="X78" s="8" t="n">
        <f aca="false">Q78/U78</f>
        <v>3.72527472527473</v>
      </c>
      <c r="Y78" s="4" t="n">
        <v>1</v>
      </c>
      <c r="Z78" s="8" t="n">
        <f aca="false">Q78/Y78</f>
        <v>5.65</v>
      </c>
      <c r="AA78" s="8" t="n">
        <f aca="false">16+5/60</f>
        <v>16.0833333333333</v>
      </c>
      <c r="AB78" s="6" t="n">
        <v>253</v>
      </c>
      <c r="AC78" s="6" t="n">
        <v>1265</v>
      </c>
      <c r="AD78" s="6" t="n">
        <v>131</v>
      </c>
      <c r="AE78" s="6" t="n">
        <v>152</v>
      </c>
      <c r="AF78" s="8" t="n">
        <f aca="false">15+36.8/60</f>
        <v>15.6133333333333</v>
      </c>
      <c r="AG78" s="8" t="n">
        <f aca="false">16+32.2/60</f>
        <v>16.5366666666667</v>
      </c>
      <c r="AH78" s="8" t="n">
        <f aca="false">15+55/60</f>
        <v>15.9166666666667</v>
      </c>
      <c r="AI78" s="8" t="n">
        <f aca="false">17+3.3/60</f>
        <v>17.055</v>
      </c>
      <c r="AJ78" s="8" t="n">
        <f aca="false">15+37.6/60</f>
        <v>15.6266666666667</v>
      </c>
      <c r="AK78" s="8" t="n">
        <f aca="false">60/3.7</f>
        <v>16.2162162162162</v>
      </c>
      <c r="AL78" s="8"/>
      <c r="AM78" s="8"/>
      <c r="AN78" s="8"/>
      <c r="AO78" s="8"/>
      <c r="AP78" s="4" t="n">
        <v>0</v>
      </c>
      <c r="AQ78" s="4" t="n">
        <v>0</v>
      </c>
      <c r="AR78" s="4"/>
      <c r="AS78" s="14"/>
      <c r="AT78" s="8"/>
      <c r="AU78" s="8"/>
      <c r="AV78" s="8"/>
      <c r="AW78" s="8"/>
      <c r="AX78" s="8"/>
      <c r="AY78" s="4" t="s">
        <v>59</v>
      </c>
      <c r="AZ78" s="4" t="s">
        <v>60</v>
      </c>
      <c r="BA78" s="4" t="n">
        <v>0</v>
      </c>
      <c r="BB78" s="4"/>
      <c r="BC78" s="4"/>
    </row>
    <row r="79" customFormat="false" ht="16.9" hidden="false" customHeight="false" outlineLevel="0" collapsed="false">
      <c r="A79" s="11" t="n">
        <f aca="false">A78+1</f>
        <v>612</v>
      </c>
      <c r="B79" s="12" t="n">
        <v>43959.5680555556</v>
      </c>
      <c r="C79" s="4" t="n">
        <v>1</v>
      </c>
      <c r="D79" s="4"/>
      <c r="E79" s="4"/>
      <c r="F79" s="4" t="s">
        <v>90</v>
      </c>
      <c r="G79" s="6" t="n">
        <v>72</v>
      </c>
      <c r="H79" s="6" t="n">
        <v>50</v>
      </c>
      <c r="I79" s="6" t="n">
        <v>44</v>
      </c>
      <c r="J79" s="6" t="s">
        <v>83</v>
      </c>
      <c r="K79" s="6" t="n">
        <v>21</v>
      </c>
      <c r="L79" s="6" t="n">
        <v>33</v>
      </c>
      <c r="M79" s="3" t="s">
        <v>63</v>
      </c>
      <c r="N79" s="4" t="s">
        <v>57</v>
      </c>
      <c r="O79" s="4"/>
      <c r="P79" s="4" t="s">
        <v>87</v>
      </c>
      <c r="Q79" s="8" t="n">
        <v>5.58</v>
      </c>
      <c r="R79" s="6" t="n">
        <v>1020</v>
      </c>
      <c r="S79" s="6"/>
      <c r="T79" s="6"/>
      <c r="U79" s="8" t="n">
        <f aca="false">92/60</f>
        <v>1.53333333333333</v>
      </c>
      <c r="V79" s="8"/>
      <c r="W79" s="8"/>
      <c r="X79" s="8" t="n">
        <f aca="false">Q79/U79</f>
        <v>3.63913043478261</v>
      </c>
      <c r="Y79" s="4" t="n">
        <v>1</v>
      </c>
      <c r="Z79" s="8" t="n">
        <f aca="false">Q79/Y79</f>
        <v>5.58</v>
      </c>
      <c r="AA79" s="8" t="n">
        <f aca="false">16+32/60</f>
        <v>16.5333333333333</v>
      </c>
      <c r="AB79" s="6" t="n">
        <v>144</v>
      </c>
      <c r="AC79" s="6" t="n">
        <v>630</v>
      </c>
      <c r="AD79" s="6" t="n">
        <v>85</v>
      </c>
      <c r="AE79" s="6" t="n">
        <v>117</v>
      </c>
      <c r="AF79" s="8" t="n">
        <f aca="false">16+17.6/60</f>
        <v>16.2933333333333</v>
      </c>
      <c r="AG79" s="8" t="n">
        <f aca="false">16+41.8/60</f>
        <v>16.6966666666667</v>
      </c>
      <c r="AH79" s="8" t="n">
        <f aca="false">16+21.4/60</f>
        <v>16.3566666666667</v>
      </c>
      <c r="AI79" s="8" t="n">
        <f aca="false">16+46.3/60</f>
        <v>16.7716666666667</v>
      </c>
      <c r="AJ79" s="8" t="n">
        <f aca="false">16+49.8/60</f>
        <v>16.83</v>
      </c>
      <c r="AK79" s="8" t="n">
        <v>8</v>
      </c>
      <c r="AL79" s="8"/>
      <c r="AM79" s="8"/>
      <c r="AN79" s="8"/>
      <c r="AO79" s="8"/>
      <c r="AP79" s="4" t="n">
        <v>0</v>
      </c>
      <c r="AQ79" s="4" t="n">
        <v>0</v>
      </c>
      <c r="AR79" s="4"/>
      <c r="AS79" s="14"/>
      <c r="AT79" s="8"/>
      <c r="AU79" s="8"/>
      <c r="AV79" s="8"/>
      <c r="AW79" s="8"/>
      <c r="AX79" s="8"/>
      <c r="AY79" s="4" t="s">
        <v>59</v>
      </c>
      <c r="AZ79" s="4" t="s">
        <v>60</v>
      </c>
      <c r="BA79" s="4" t="n">
        <v>0</v>
      </c>
      <c r="BB79" s="4"/>
      <c r="BC79" s="4"/>
    </row>
    <row r="80" customFormat="false" ht="16.9" hidden="false" customHeight="false" outlineLevel="0" collapsed="false">
      <c r="A80" s="11" t="n">
        <f aca="false">A79+1</f>
        <v>613</v>
      </c>
      <c r="B80" s="12" t="n">
        <v>43960.6645833333</v>
      </c>
      <c r="C80" s="4" t="n">
        <v>1</v>
      </c>
      <c r="D80" s="4"/>
      <c r="E80" s="4"/>
      <c r="F80" s="4" t="s">
        <v>71</v>
      </c>
      <c r="G80" s="6" t="n">
        <v>73</v>
      </c>
      <c r="H80" s="6" t="n">
        <v>47</v>
      </c>
      <c r="I80" s="6" t="n">
        <v>44</v>
      </c>
      <c r="J80" s="4" t="s">
        <v>114</v>
      </c>
      <c r="K80" s="6" t="n">
        <v>5</v>
      </c>
      <c r="L80" s="6" t="n">
        <v>0</v>
      </c>
      <c r="M80" s="3" t="s">
        <v>63</v>
      </c>
      <c r="N80" s="4" t="s">
        <v>73</v>
      </c>
      <c r="O80" s="4"/>
      <c r="P80" s="4" t="s">
        <v>126</v>
      </c>
      <c r="Q80" s="8" t="n">
        <v>4.58</v>
      </c>
      <c r="R80" s="6"/>
      <c r="S80" s="6"/>
      <c r="T80" s="6"/>
      <c r="U80" s="8" t="n">
        <f aca="false">74/60</f>
        <v>1.23333333333333</v>
      </c>
      <c r="V80" s="8"/>
      <c r="W80" s="8"/>
      <c r="X80" s="8" t="n">
        <f aca="false">Q80/U80</f>
        <v>3.71351351351351</v>
      </c>
      <c r="Y80" s="4" t="n">
        <v>1</v>
      </c>
      <c r="Z80" s="8" t="n">
        <f aca="false">Q80/Y80</f>
        <v>4.58</v>
      </c>
      <c r="AA80" s="8" t="n">
        <f aca="false">19+1/60</f>
        <v>19.0166666666667</v>
      </c>
      <c r="AB80" s="6" t="n">
        <v>7</v>
      </c>
      <c r="AC80" s="6" t="n">
        <v>810</v>
      </c>
      <c r="AD80" s="6" t="n">
        <v>118</v>
      </c>
      <c r="AE80" s="6" t="n">
        <v>136</v>
      </c>
      <c r="AF80" s="8" t="n">
        <f aca="false">16+1.8/60</f>
        <v>16.03</v>
      </c>
      <c r="AG80" s="8" t="n">
        <f aca="false">16+26/60</f>
        <v>16.4333333333333</v>
      </c>
      <c r="AH80" s="8" t="n">
        <f aca="false">16+9.8/60</f>
        <v>16.1633333333333</v>
      </c>
      <c r="AI80" s="8" t="n">
        <f aca="false">60/3.7</f>
        <v>16.2162162162162</v>
      </c>
      <c r="AJ80" s="8"/>
      <c r="AK80" s="8"/>
      <c r="AL80" s="8"/>
      <c r="AM80" s="8"/>
      <c r="AN80" s="8"/>
      <c r="AO80" s="8"/>
      <c r="AP80" s="4"/>
      <c r="AQ80" s="4"/>
      <c r="AR80" s="4"/>
      <c r="AS80" s="14"/>
      <c r="AT80" s="8"/>
      <c r="AU80" s="8"/>
      <c r="AV80" s="8"/>
      <c r="AW80" s="8"/>
      <c r="AX80" s="8"/>
      <c r="AY80" s="4"/>
      <c r="AZ80" s="4"/>
      <c r="BA80" s="4"/>
      <c r="BB80" s="4"/>
      <c r="BC80" s="4"/>
    </row>
    <row r="81" customFormat="false" ht="16.9" hidden="false" customHeight="false" outlineLevel="0" collapsed="false">
      <c r="A81" s="11" t="n">
        <f aca="false">A80+1</f>
        <v>614</v>
      </c>
      <c r="B81" s="12" t="n">
        <v>43961.6</v>
      </c>
      <c r="C81" s="4" t="n">
        <v>1</v>
      </c>
      <c r="D81" s="4"/>
      <c r="E81" s="4"/>
      <c r="F81" s="4" t="s">
        <v>71</v>
      </c>
      <c r="G81" s="6" t="n">
        <v>76</v>
      </c>
      <c r="H81" s="6" t="n">
        <v>49</v>
      </c>
      <c r="I81" s="6" t="n">
        <v>38</v>
      </c>
      <c r="J81" s="6" t="s">
        <v>110</v>
      </c>
      <c r="K81" s="6" t="n">
        <v>9</v>
      </c>
      <c r="L81" s="6" t="n">
        <v>0</v>
      </c>
      <c r="M81" s="3" t="s">
        <v>63</v>
      </c>
      <c r="N81" s="4" t="s">
        <v>73</v>
      </c>
      <c r="O81" s="4"/>
      <c r="P81" s="4" t="s">
        <v>94</v>
      </c>
      <c r="Q81" s="8" t="n">
        <v>8.9</v>
      </c>
      <c r="R81" s="6" t="n">
        <v>1203</v>
      </c>
      <c r="S81" s="6" t="n">
        <v>19953</v>
      </c>
      <c r="T81" s="6" t="n">
        <f aca="false">S81-R81</f>
        <v>18750</v>
      </c>
      <c r="U81" s="8" t="n">
        <f aca="false">(120+24)/60</f>
        <v>2.4</v>
      </c>
      <c r="V81" s="8"/>
      <c r="W81" s="8"/>
      <c r="X81" s="8" t="n">
        <f aca="false">Q81/U81</f>
        <v>3.70833333333333</v>
      </c>
      <c r="Y81" s="4" t="n">
        <v>1</v>
      </c>
      <c r="Z81" s="8" t="n">
        <f aca="false">Q81/Y81</f>
        <v>8.9</v>
      </c>
      <c r="AA81" s="8" t="n">
        <f aca="false">16+12/60</f>
        <v>16.2</v>
      </c>
      <c r="AB81" s="6" t="n">
        <v>108</v>
      </c>
      <c r="AC81" s="6" t="n">
        <v>973</v>
      </c>
      <c r="AD81" s="6" t="n">
        <v>84</v>
      </c>
      <c r="AE81" s="6" t="n">
        <v>112</v>
      </c>
      <c r="AF81" s="8" t="n">
        <f aca="false">16+20.4/60</f>
        <v>16.34</v>
      </c>
      <c r="AG81" s="8" t="n">
        <f aca="false">15+38.5/60</f>
        <v>15.6416666666667</v>
      </c>
      <c r="AH81" s="8" t="n">
        <f aca="false">15+29.4/60</f>
        <v>15.49</v>
      </c>
      <c r="AI81" s="8" t="n">
        <f aca="false">15+53.7/60</f>
        <v>15.895</v>
      </c>
      <c r="AJ81" s="8" t="n">
        <f aca="false">16+54.6/60</f>
        <v>16.91</v>
      </c>
      <c r="AK81" s="8" t="n">
        <f aca="false">15+49.8/60</f>
        <v>15.83</v>
      </c>
      <c r="AL81" s="8" t="n">
        <f aca="false">15+58.2/60</f>
        <v>15.97</v>
      </c>
      <c r="AM81" s="8" t="n">
        <f aca="false">16+26.7/60</f>
        <v>16.445</v>
      </c>
      <c r="AN81" s="8" t="n">
        <f aca="false">60/3.4</f>
        <v>17.6470588235294</v>
      </c>
      <c r="AO81" s="8"/>
      <c r="AP81" s="4" t="n">
        <v>3</v>
      </c>
      <c r="AQ81" s="4"/>
      <c r="AR81" s="4"/>
      <c r="AS81" s="14"/>
      <c r="AT81" s="8"/>
      <c r="AU81" s="8"/>
      <c r="AV81" s="8"/>
      <c r="AW81" s="8"/>
      <c r="AX81" s="8"/>
      <c r="AY81" s="4" t="s">
        <v>59</v>
      </c>
      <c r="AZ81" s="4" t="s">
        <v>60</v>
      </c>
      <c r="BA81" s="4" t="n">
        <v>0</v>
      </c>
      <c r="BB81" s="4"/>
      <c r="BC81" s="4"/>
    </row>
    <row r="82" customFormat="false" ht="16.9" hidden="false" customHeight="false" outlineLevel="0" collapsed="false">
      <c r="A82" s="11" t="n">
        <f aca="false">A81+1</f>
        <v>615</v>
      </c>
      <c r="B82" s="12" t="n">
        <v>43962.3819444445</v>
      </c>
      <c r="C82" s="4" t="n">
        <v>1</v>
      </c>
      <c r="D82" s="4"/>
      <c r="E82" s="4"/>
      <c r="F82" s="4" t="s">
        <v>71</v>
      </c>
      <c r="G82" s="6" t="n">
        <v>74</v>
      </c>
      <c r="H82" s="6" t="n">
        <v>52</v>
      </c>
      <c r="I82" s="6" t="n">
        <v>44</v>
      </c>
      <c r="J82" s="6" t="s">
        <v>62</v>
      </c>
      <c r="K82" s="6" t="n">
        <v>12</v>
      </c>
      <c r="L82" s="6" t="n">
        <v>18</v>
      </c>
      <c r="M82" s="3" t="s">
        <v>63</v>
      </c>
      <c r="N82" s="4" t="s">
        <v>57</v>
      </c>
      <c r="O82" s="4"/>
      <c r="P82" s="4" t="s">
        <v>64</v>
      </c>
      <c r="Q82" s="8" t="n">
        <v>3.37</v>
      </c>
      <c r="R82" s="6" t="n">
        <v>1529</v>
      </c>
      <c r="S82" s="6" t="n">
        <v>14380</v>
      </c>
      <c r="T82" s="6" t="n">
        <f aca="false">S82-R82</f>
        <v>12851</v>
      </c>
      <c r="U82" s="8" t="n">
        <f aca="false">54/60</f>
        <v>0.9</v>
      </c>
      <c r="V82" s="8"/>
      <c r="W82" s="8"/>
      <c r="X82" s="8" t="n">
        <f aca="false">Q82/U82</f>
        <v>3.74444444444444</v>
      </c>
      <c r="Y82" s="4" t="n">
        <v>1</v>
      </c>
      <c r="Z82" s="8" t="n">
        <f aca="false">X82/U82</f>
        <v>4.16049382716049</v>
      </c>
      <c r="AA82" s="8" t="n">
        <f aca="false">16+0/60</f>
        <v>16</v>
      </c>
      <c r="AB82" s="6" t="n">
        <v>103</v>
      </c>
      <c r="AC82" s="6" t="n">
        <v>516</v>
      </c>
      <c r="AD82" s="6" t="n">
        <v>108</v>
      </c>
      <c r="AE82" s="6" t="n">
        <v>134</v>
      </c>
      <c r="AF82" s="8" t="n">
        <f aca="false">16+15.8/60</f>
        <v>16.2633333333333</v>
      </c>
      <c r="AG82" s="8" t="n">
        <f aca="false">15+36.2/60</f>
        <v>15.6033333333333</v>
      </c>
      <c r="AH82" s="8" t="n">
        <f aca="false">15+52.7/60</f>
        <v>15.8783333333333</v>
      </c>
      <c r="AI82" s="8" t="n">
        <f aca="false">60/3.6</f>
        <v>16.6666666666667</v>
      </c>
      <c r="AJ82" s="8"/>
      <c r="AK82" s="8"/>
      <c r="AL82" s="8"/>
      <c r="AM82" s="8"/>
      <c r="AN82" s="8"/>
      <c r="AO82" s="8"/>
      <c r="AP82" s="4" t="n">
        <v>0</v>
      </c>
      <c r="AQ82" s="4" t="n">
        <v>0</v>
      </c>
      <c r="AR82" s="4"/>
      <c r="AS82" s="14"/>
      <c r="AT82" s="8"/>
      <c r="AU82" s="8"/>
      <c r="AV82" s="8"/>
      <c r="AW82" s="8"/>
      <c r="AX82" s="8"/>
      <c r="AY82" s="4" t="s">
        <v>59</v>
      </c>
      <c r="AZ82" s="4" t="s">
        <v>60</v>
      </c>
      <c r="BA82" s="4" t="n">
        <v>0</v>
      </c>
      <c r="BB82" s="4"/>
      <c r="BC82" s="4"/>
    </row>
    <row r="83" customFormat="false" ht="16.9" hidden="false" customHeight="false" outlineLevel="0" collapsed="false">
      <c r="A83" s="11" t="n">
        <f aca="false">A82+1</f>
        <v>616</v>
      </c>
      <c r="B83" s="12" t="n">
        <v>43963.4951388889</v>
      </c>
      <c r="C83" s="4" t="n">
        <v>0</v>
      </c>
      <c r="D83" s="4" t="s">
        <v>95</v>
      </c>
      <c r="E83" s="4"/>
      <c r="F83" s="4" t="s">
        <v>127</v>
      </c>
      <c r="G83" s="6" t="n">
        <v>71</v>
      </c>
      <c r="H83" s="6" t="n">
        <v>53</v>
      </c>
      <c r="I83" s="6" t="n">
        <v>53</v>
      </c>
      <c r="J83" s="6" t="s">
        <v>128</v>
      </c>
      <c r="K83" s="6" t="n">
        <v>0</v>
      </c>
      <c r="L83" s="6" t="n">
        <v>0</v>
      </c>
      <c r="M83" s="3" t="s">
        <v>129</v>
      </c>
      <c r="N83" s="4"/>
      <c r="O83" s="4"/>
      <c r="P83" s="4"/>
      <c r="Q83" s="8"/>
      <c r="R83" s="6"/>
      <c r="S83" s="6"/>
      <c r="T83" s="6"/>
      <c r="U83" s="8"/>
      <c r="V83" s="8"/>
      <c r="W83" s="8"/>
      <c r="X83" s="8"/>
      <c r="Y83" s="4" t="n">
        <v>1</v>
      </c>
      <c r="Z83" s="8"/>
      <c r="AA83" s="8"/>
      <c r="AB83" s="6"/>
      <c r="AC83" s="6"/>
      <c r="AD83" s="6"/>
      <c r="AE83" s="4"/>
      <c r="AF83" s="8"/>
      <c r="AG83" s="8"/>
      <c r="AI83" s="8"/>
      <c r="AJ83" s="8"/>
      <c r="AK83" s="8"/>
      <c r="AL83" s="8"/>
      <c r="AM83" s="8"/>
      <c r="AN83" s="8"/>
      <c r="AO83" s="8"/>
      <c r="AP83" s="4"/>
      <c r="AQ83" s="4"/>
      <c r="AR83" s="4"/>
      <c r="AS83" s="14"/>
      <c r="AT83" s="8"/>
      <c r="AU83" s="8"/>
      <c r="AV83" s="8"/>
      <c r="AW83" s="8"/>
      <c r="AX83" s="8"/>
      <c r="AY83" s="4"/>
      <c r="AZ83" s="4"/>
      <c r="BA83" s="4"/>
      <c r="BB83" s="4"/>
      <c r="BC83" s="4"/>
    </row>
    <row r="84" customFormat="false" ht="16.9" hidden="false" customHeight="false" outlineLevel="0" collapsed="false">
      <c r="A84" s="11" t="n">
        <f aca="false">A83+1</f>
        <v>617</v>
      </c>
      <c r="B84" s="12" t="n">
        <v>43964.4951388889</v>
      </c>
      <c r="C84" s="4" t="n">
        <v>1</v>
      </c>
      <c r="D84" s="4"/>
      <c r="E84" s="4"/>
      <c r="F84" s="4" t="s">
        <v>90</v>
      </c>
      <c r="G84" s="6" t="n">
        <v>79</v>
      </c>
      <c r="H84" s="6" t="n">
        <v>56</v>
      </c>
      <c r="I84" s="6" t="n">
        <v>43</v>
      </c>
      <c r="J84" s="6" t="s">
        <v>72</v>
      </c>
      <c r="K84" s="6" t="n">
        <v>12</v>
      </c>
      <c r="L84" s="6" t="n">
        <v>0</v>
      </c>
      <c r="M84" s="3" t="s">
        <v>129</v>
      </c>
      <c r="N84" s="4" t="s">
        <v>57</v>
      </c>
      <c r="O84" s="4"/>
      <c r="P84" s="4" t="s">
        <v>66</v>
      </c>
      <c r="Q84" s="8" t="n">
        <v>5.64</v>
      </c>
      <c r="R84" s="6" t="n">
        <v>313</v>
      </c>
      <c r="S84" s="6" t="n">
        <v>12562</v>
      </c>
      <c r="T84" s="6" t="n">
        <f aca="false">S84-R84</f>
        <v>12249</v>
      </c>
      <c r="U84" s="8" t="n">
        <f aca="false">94/60</f>
        <v>1.56666666666667</v>
      </c>
      <c r="V84" s="8"/>
      <c r="W84" s="8"/>
      <c r="X84" s="8" t="n">
        <f aca="false">Q84/U84</f>
        <v>3.6</v>
      </c>
      <c r="Y84" s="4" t="n">
        <v>1</v>
      </c>
      <c r="Z84" s="8" t="n">
        <f aca="false">Q84/Y84</f>
        <v>5.64</v>
      </c>
      <c r="AA84" s="8" t="n">
        <f aca="false">16+39/60</f>
        <v>16.65</v>
      </c>
      <c r="AB84" s="6" t="n">
        <v>217</v>
      </c>
      <c r="AC84" s="6" t="n">
        <v>624</v>
      </c>
      <c r="AD84" s="6" t="n">
        <v>78</v>
      </c>
      <c r="AE84" s="6" t="n">
        <v>109</v>
      </c>
      <c r="AF84" s="8" t="n">
        <f aca="false">16+11.1/60</f>
        <v>16.185</v>
      </c>
      <c r="AG84" s="8" t="n">
        <f aca="false">16+6.2/60</f>
        <v>16.1033333333333</v>
      </c>
      <c r="AH84" s="8" t="n">
        <f aca="false">16+27.2/60</f>
        <v>16.4533333333333</v>
      </c>
      <c r="AI84" s="8" t="n">
        <f aca="false">18+3/0.5/60</f>
        <v>18.1</v>
      </c>
      <c r="AJ84" s="8" t="n">
        <f aca="false">16+41.5/60</f>
        <v>16.6916666666667</v>
      </c>
      <c r="AK84" s="8" t="n">
        <f aca="false">60/3.7</f>
        <v>16.2162162162162</v>
      </c>
      <c r="AL84" s="8"/>
      <c r="AM84" s="8"/>
      <c r="AN84" s="8"/>
      <c r="AO84" s="8"/>
      <c r="AP84" s="4" t="n">
        <v>5</v>
      </c>
      <c r="AQ84" s="4" t="n">
        <v>0</v>
      </c>
      <c r="AR84" s="4"/>
      <c r="AS84" s="14"/>
      <c r="AT84" s="8"/>
      <c r="AU84" s="8"/>
      <c r="AV84" s="8"/>
      <c r="AW84" s="8"/>
      <c r="AX84" s="8"/>
      <c r="AY84" s="4" t="s">
        <v>59</v>
      </c>
      <c r="AZ84" s="4" t="s">
        <v>60</v>
      </c>
      <c r="BA84" s="4" t="n">
        <v>0</v>
      </c>
      <c r="BB84" s="4"/>
      <c r="BC84" s="4"/>
    </row>
    <row r="85" customFormat="false" ht="16.9" hidden="false" customHeight="false" outlineLevel="0" collapsed="false">
      <c r="A85" s="11" t="n">
        <f aca="false">A84+1</f>
        <v>618</v>
      </c>
      <c r="B85" s="12" t="n">
        <v>43965.5013888889</v>
      </c>
      <c r="C85" s="4" t="n">
        <v>1</v>
      </c>
      <c r="D85" s="4"/>
      <c r="E85" s="4"/>
      <c r="F85" s="4" t="s">
        <v>106</v>
      </c>
      <c r="G85" s="6" t="n">
        <v>67</v>
      </c>
      <c r="H85" s="6" t="n">
        <v>58</v>
      </c>
      <c r="I85" s="6" t="n">
        <v>45</v>
      </c>
      <c r="J85" s="6" t="s">
        <v>130</v>
      </c>
      <c r="K85" s="6" t="n">
        <v>12</v>
      </c>
      <c r="L85" s="6" t="n">
        <v>0</v>
      </c>
      <c r="M85" s="3" t="s">
        <v>63</v>
      </c>
      <c r="N85" s="4" t="s">
        <v>73</v>
      </c>
      <c r="O85" s="4"/>
      <c r="P85" s="4" t="s">
        <v>112</v>
      </c>
      <c r="Q85" s="8" t="n">
        <v>6.01</v>
      </c>
      <c r="R85" s="6" t="n">
        <v>1116</v>
      </c>
      <c r="S85" s="6" t="n">
        <v>14151</v>
      </c>
      <c r="T85" s="6" t="n">
        <f aca="false">S85-R85</f>
        <v>13035</v>
      </c>
      <c r="U85" s="8" t="n">
        <f aca="false">95/60</f>
        <v>1.58333333333333</v>
      </c>
      <c r="V85" s="8" t="n">
        <f aca="false">1+51/60</f>
        <v>1.85</v>
      </c>
      <c r="W85" s="8" t="n">
        <f aca="false">V85-U85</f>
        <v>0.266666666666667</v>
      </c>
      <c r="X85" s="8" t="n">
        <f aca="false">Q85/U85</f>
        <v>3.79578947368421</v>
      </c>
      <c r="Y85" s="4" t="n">
        <v>1</v>
      </c>
      <c r="Z85" s="8" t="n">
        <f aca="false">Q85/Y85</f>
        <v>6.01</v>
      </c>
      <c r="AA85" s="8" t="n">
        <f aca="false">15+43/60</f>
        <v>15.7166666666667</v>
      </c>
      <c r="AB85" s="6" t="n">
        <v>92</v>
      </c>
      <c r="AC85" s="6" t="n">
        <v>1206</v>
      </c>
      <c r="AD85" s="6" t="n">
        <v>133</v>
      </c>
      <c r="AE85" s="6" t="n">
        <v>169</v>
      </c>
      <c r="AF85" s="8" t="n">
        <f aca="false">15+8.1/60</f>
        <v>15.135</v>
      </c>
      <c r="AG85" s="8" t="n">
        <f aca="false">15+8.2/60</f>
        <v>15.1366666666667</v>
      </c>
      <c r="AH85" s="8" t="n">
        <f aca="false">15+27.2/60</f>
        <v>15.4533333333333</v>
      </c>
      <c r="AI85" s="8" t="n">
        <f aca="false">16+17.7/60</f>
        <v>16.295</v>
      </c>
      <c r="AJ85" s="8" t="n">
        <f aca="false">16+7.7/60</f>
        <v>16.1283333333333</v>
      </c>
      <c r="AK85" s="8" t="n">
        <f aca="false">16+5.6/60</f>
        <v>16.0933333333333</v>
      </c>
      <c r="AL85" s="8" t="n">
        <f aca="false">60/3.8</f>
        <v>15.7894736842105</v>
      </c>
      <c r="AM85" s="8"/>
      <c r="AN85" s="8"/>
      <c r="AO85" s="8"/>
      <c r="AP85" s="4" t="n">
        <v>6</v>
      </c>
      <c r="AQ85" s="4" t="n">
        <v>0</v>
      </c>
      <c r="AR85" s="4"/>
      <c r="AS85" s="14"/>
      <c r="AT85" s="8"/>
      <c r="AU85" s="8"/>
      <c r="AV85" s="8"/>
      <c r="AW85" s="8"/>
      <c r="AX85" s="8"/>
      <c r="AY85" s="4"/>
      <c r="AZ85" s="4"/>
      <c r="BA85" s="4"/>
      <c r="BB85" s="4"/>
      <c r="BC85" s="4"/>
    </row>
    <row r="86" customFormat="false" ht="16.9" hidden="false" customHeight="false" outlineLevel="0" collapsed="false">
      <c r="A86" s="11" t="n">
        <f aca="false">A85+1</f>
        <v>619</v>
      </c>
      <c r="B86" s="12" t="n">
        <v>43966.4847222222</v>
      </c>
      <c r="C86" s="4" t="n">
        <v>1</v>
      </c>
      <c r="D86" s="4"/>
      <c r="E86" s="4"/>
      <c r="F86" s="4" t="s">
        <v>90</v>
      </c>
      <c r="G86" s="6" t="n">
        <v>81</v>
      </c>
      <c r="H86" s="6" t="n">
        <v>58</v>
      </c>
      <c r="I86" s="6" t="n">
        <v>45</v>
      </c>
      <c r="J86" s="6" t="s">
        <v>72</v>
      </c>
      <c r="K86" s="6" t="n">
        <v>12</v>
      </c>
      <c r="L86" s="6" t="n">
        <v>21</v>
      </c>
      <c r="M86" s="3" t="s">
        <v>129</v>
      </c>
      <c r="N86" s="4" t="s">
        <v>57</v>
      </c>
      <c r="O86" s="4"/>
      <c r="P86" s="4" t="s">
        <v>94</v>
      </c>
      <c r="Q86" s="8" t="n">
        <v>7.53</v>
      </c>
      <c r="R86" s="6" t="n">
        <v>1129</v>
      </c>
      <c r="S86" s="6" t="n">
        <v>17488</v>
      </c>
      <c r="T86" s="6" t="n">
        <v>16539</v>
      </c>
      <c r="U86" s="8" t="n">
        <f aca="false">120/60</f>
        <v>2</v>
      </c>
      <c r="V86" s="8" t="n">
        <f aca="false">2+22/60</f>
        <v>2.36666666666667</v>
      </c>
      <c r="W86" s="8" t="n">
        <f aca="false">V86-U86</f>
        <v>0.366666666666667</v>
      </c>
      <c r="X86" s="8" t="n">
        <f aca="false">Q86/U86</f>
        <v>3.765</v>
      </c>
      <c r="Y86" s="4" t="n">
        <v>1</v>
      </c>
      <c r="Z86" s="8" t="n">
        <f aca="false">Q86/Y86</f>
        <v>7.53</v>
      </c>
      <c r="AA86" s="8" t="n">
        <f aca="false">15+55/60</f>
        <v>15.9166666666667</v>
      </c>
      <c r="AB86" s="6" t="n">
        <v>371</v>
      </c>
      <c r="AC86" s="6" t="n">
        <v>983</v>
      </c>
      <c r="AD86" s="6" t="n">
        <v>107</v>
      </c>
      <c r="AE86" s="6" t="n">
        <v>139</v>
      </c>
      <c r="AF86" s="8" t="n">
        <f aca="false">15+24/60</f>
        <v>15.4</v>
      </c>
      <c r="AG86" s="8" t="n">
        <f aca="false">15+18.6/60</f>
        <v>15.31</v>
      </c>
      <c r="AH86" s="8" t="n">
        <f aca="false">15+12.2/60</f>
        <v>15.2033333333333</v>
      </c>
      <c r="AI86" s="8" t="n">
        <f aca="false">16+4.6/60</f>
        <v>16.0766666666667</v>
      </c>
      <c r="AJ86" s="8" t="n">
        <f aca="false">15+56.6</f>
        <v>71.6</v>
      </c>
      <c r="AK86" s="8" t="n">
        <f aca="false">16+19.8/60</f>
        <v>16.33</v>
      </c>
      <c r="AL86" s="8" t="n">
        <f aca="false">16+42.6/60</f>
        <v>16.71</v>
      </c>
      <c r="AM86" s="8" t="n">
        <f aca="false">60/3.8</f>
        <v>15.7894736842105</v>
      </c>
      <c r="AN86" s="8"/>
      <c r="AO86" s="8"/>
      <c r="AP86" s="4" t="n">
        <v>7</v>
      </c>
      <c r="AQ86" s="4" t="n">
        <v>0</v>
      </c>
      <c r="AR86" s="4"/>
      <c r="AS86" s="14"/>
      <c r="AT86" s="8"/>
      <c r="AU86" s="8"/>
      <c r="AV86" s="8"/>
      <c r="AW86" s="8"/>
      <c r="AX86" s="8"/>
      <c r="AY86" s="4" t="s">
        <v>59</v>
      </c>
      <c r="AZ86" s="4" t="s">
        <v>60</v>
      </c>
      <c r="BA86" s="4" t="n">
        <v>0</v>
      </c>
      <c r="BB86" s="4"/>
      <c r="BC86" s="4"/>
    </row>
    <row r="87" customFormat="false" ht="16.9" hidden="false" customHeight="false" outlineLevel="0" collapsed="false">
      <c r="A87" s="11" t="n">
        <f aca="false">A86+1</f>
        <v>620</v>
      </c>
      <c r="B87" s="12" t="n">
        <v>43967.4951388889</v>
      </c>
      <c r="C87" s="4" t="n">
        <v>0</v>
      </c>
      <c r="D87" s="4" t="s">
        <v>95</v>
      </c>
      <c r="E87" s="4"/>
      <c r="F87" s="4" t="s">
        <v>90</v>
      </c>
      <c r="G87" s="6" t="n">
        <v>84</v>
      </c>
      <c r="H87" s="6" t="n">
        <v>61</v>
      </c>
      <c r="I87" s="6" t="n">
        <v>49</v>
      </c>
      <c r="J87" s="6" t="s">
        <v>108</v>
      </c>
      <c r="K87" s="6" t="n">
        <v>12</v>
      </c>
      <c r="L87" s="6" t="n">
        <v>0</v>
      </c>
      <c r="M87" s="3" t="s">
        <v>129</v>
      </c>
      <c r="N87" s="4"/>
      <c r="O87" s="4"/>
      <c r="P87" s="4"/>
      <c r="Q87" s="8"/>
      <c r="R87" s="6"/>
      <c r="S87" s="6"/>
      <c r="T87" s="6"/>
      <c r="U87" s="8"/>
      <c r="V87" s="8"/>
      <c r="W87" s="8"/>
      <c r="X87" s="8"/>
      <c r="Y87" s="4"/>
      <c r="Z87" s="8"/>
      <c r="AA87" s="8"/>
      <c r="AB87" s="6"/>
      <c r="AC87" s="6"/>
      <c r="AD87" s="6"/>
      <c r="AE87" s="4"/>
      <c r="AF87" s="8"/>
      <c r="AG87" s="8"/>
      <c r="AI87" s="8"/>
      <c r="AJ87" s="8"/>
      <c r="AK87" s="8"/>
      <c r="AL87" s="8"/>
      <c r="AM87" s="8"/>
      <c r="AN87" s="8"/>
      <c r="AO87" s="8"/>
      <c r="AP87" s="4"/>
      <c r="AQ87" s="4"/>
      <c r="AR87" s="4"/>
      <c r="AS87" s="14"/>
      <c r="AT87" s="8"/>
      <c r="AU87" s="8"/>
      <c r="AV87" s="8"/>
      <c r="AW87" s="8"/>
      <c r="AX87" s="8"/>
      <c r="AY87" s="4"/>
      <c r="AZ87" s="4"/>
      <c r="BA87" s="4"/>
      <c r="BB87" s="4"/>
      <c r="BC87" s="4"/>
    </row>
    <row r="88" customFormat="false" ht="16.9" hidden="false" customHeight="false" outlineLevel="0" collapsed="false">
      <c r="A88" s="11" t="n">
        <f aca="false">A87+1</f>
        <v>621</v>
      </c>
      <c r="B88" s="12" t="n">
        <v>43968.5048611111</v>
      </c>
      <c r="C88" s="4" t="n">
        <v>1</v>
      </c>
      <c r="D88" s="4"/>
      <c r="E88" s="4"/>
      <c r="F88" s="4" t="s">
        <v>71</v>
      </c>
      <c r="G88" s="6" t="n">
        <v>83</v>
      </c>
      <c r="H88" s="6" t="n">
        <v>64</v>
      </c>
      <c r="I88" s="6" t="n">
        <v>54</v>
      </c>
      <c r="J88" s="6" t="s">
        <v>62</v>
      </c>
      <c r="K88" s="6" t="n">
        <v>21</v>
      </c>
      <c r="L88" s="6" t="n">
        <v>0</v>
      </c>
      <c r="M88" s="3" t="s">
        <v>63</v>
      </c>
      <c r="N88" s="4" t="s">
        <v>73</v>
      </c>
      <c r="O88" s="4"/>
      <c r="P88" s="4" t="s">
        <v>64</v>
      </c>
      <c r="Q88" s="8" t="n">
        <v>5.18</v>
      </c>
      <c r="R88" s="6" t="n">
        <f aca="false">AVERAGE(R64:R79)</f>
        <v>956.224392361111</v>
      </c>
      <c r="S88" s="6" t="n">
        <v>11451</v>
      </c>
      <c r="T88" s="6" t="n">
        <f aca="false">S88-R88</f>
        <v>10494.7756076389</v>
      </c>
      <c r="U88" s="8" t="n">
        <f aca="false">83/60</f>
        <v>1.38333333333333</v>
      </c>
      <c r="V88" s="8" t="n">
        <f aca="false">88/60</f>
        <v>1.46666666666667</v>
      </c>
      <c r="W88" s="8" t="n">
        <f aca="false">V88-U88</f>
        <v>0.0833333333333333</v>
      </c>
      <c r="X88" s="8" t="n">
        <f aca="false">Q88/U88</f>
        <v>3.74457831325301</v>
      </c>
      <c r="Y88" s="4" t="n">
        <v>1</v>
      </c>
      <c r="Z88" s="8" t="n">
        <f aca="false">Q88/Y88</f>
        <v>5.18</v>
      </c>
      <c r="AA88" s="8" t="n">
        <f aca="false">16+1/60</f>
        <v>16.0166666666667</v>
      </c>
      <c r="AB88" s="6" t="n">
        <v>562</v>
      </c>
      <c r="AC88" s="6" t="n">
        <v>859</v>
      </c>
      <c r="AD88" s="6" t="n">
        <v>117</v>
      </c>
      <c r="AE88" s="6" t="n">
        <v>154</v>
      </c>
      <c r="AF88" s="8" t="n">
        <f aca="false">15+24.8/60</f>
        <v>15.4133333333333</v>
      </c>
      <c r="AG88" s="8" t="n">
        <f aca="false">15+55.7/60</f>
        <v>15.9283333333333</v>
      </c>
      <c r="AH88" s="8" t="n">
        <f aca="false">15+40.5/60</f>
        <v>15.675</v>
      </c>
      <c r="AI88" s="8" t="n">
        <f aca="false">16+35.5/60</f>
        <v>16.5916666666667</v>
      </c>
      <c r="AJ88" s="8" t="n">
        <f aca="false">16+31.8/60</f>
        <v>16.53</v>
      </c>
      <c r="AK88" s="8" t="n">
        <f aca="false">80/3.8</f>
        <v>21.0526315789474</v>
      </c>
      <c r="AL88" s="8"/>
      <c r="AM88" s="8"/>
      <c r="AN88" s="8"/>
      <c r="AO88" s="8"/>
      <c r="AP88" s="4" t="n">
        <v>1</v>
      </c>
      <c r="AQ88" s="4" t="n">
        <v>0</v>
      </c>
      <c r="AR88" s="4"/>
      <c r="AS88" s="13" t="n">
        <f aca="false">60*U88-SUM(AT88:AX88)</f>
        <v>0</v>
      </c>
      <c r="AT88" s="8" t="n">
        <f aca="false">4+50/60</f>
        <v>4.83333333333333</v>
      </c>
      <c r="AU88" s="8" t="n">
        <f aca="false">13+36/60</f>
        <v>13.6</v>
      </c>
      <c r="AV88" s="8" t="n">
        <f aca="false">20+25/60</f>
        <v>20.4166666666667</v>
      </c>
      <c r="AW88" s="8" t="n">
        <f aca="false">30+52/60</f>
        <v>30.8666666666667</v>
      </c>
      <c r="AX88" s="8" t="n">
        <f aca="false">13+17/60</f>
        <v>13.2833333333333</v>
      </c>
      <c r="AY88" s="4" t="s">
        <v>59</v>
      </c>
      <c r="AZ88" s="4" t="s">
        <v>60</v>
      </c>
      <c r="BA88" s="4" t="n">
        <v>0</v>
      </c>
      <c r="BB88" s="4"/>
      <c r="BC88" s="4"/>
    </row>
    <row r="89" customFormat="false" ht="16.9" hidden="false" customHeight="false" outlineLevel="0" collapsed="false">
      <c r="A89" s="11" t="n">
        <f aca="false">A88+1</f>
        <v>622</v>
      </c>
      <c r="B89" s="12" t="n">
        <v>43969.6291666667</v>
      </c>
      <c r="C89" s="4" t="n">
        <v>1</v>
      </c>
      <c r="D89" s="4"/>
      <c r="E89" s="4"/>
      <c r="F89" s="4" t="s">
        <v>71</v>
      </c>
      <c r="G89" s="6" t="n">
        <v>69</v>
      </c>
      <c r="H89" s="6" t="n">
        <v>66</v>
      </c>
      <c r="I89" s="6" t="n">
        <v>90</v>
      </c>
      <c r="J89" s="6" t="s">
        <v>72</v>
      </c>
      <c r="K89" s="6" t="n">
        <v>9</v>
      </c>
      <c r="L89" s="6" t="n">
        <v>0</v>
      </c>
      <c r="M89" s="3" t="s">
        <v>63</v>
      </c>
      <c r="N89" s="4" t="s">
        <v>57</v>
      </c>
      <c r="O89" s="4"/>
      <c r="P89" s="4" t="s">
        <v>126</v>
      </c>
      <c r="Q89" s="8" t="n">
        <v>5.38</v>
      </c>
      <c r="R89" s="6" t="n">
        <f aca="false">AVERAGE(R58:R88)</f>
        <v>958.326205261752</v>
      </c>
      <c r="S89" s="6" t="n">
        <v>13259</v>
      </c>
      <c r="T89" s="6" t="n">
        <f aca="false">S89-R89</f>
        <v>12300.6737947382</v>
      </c>
      <c r="U89" s="8" t="n">
        <f aca="false">91/60</f>
        <v>1.51666666666667</v>
      </c>
      <c r="V89" s="8" t="n">
        <v>1.66666666666667</v>
      </c>
      <c r="W89" s="8" t="n">
        <f aca="false">V89-U89</f>
        <v>0.150000000000003</v>
      </c>
      <c r="X89" s="8" t="n">
        <f aca="false">Q89/U89</f>
        <v>3.54725274725275</v>
      </c>
      <c r="Y89" s="4" t="n">
        <v>1</v>
      </c>
      <c r="Z89" s="8" t="n">
        <f aca="false">Q89/Y89</f>
        <v>5.38</v>
      </c>
      <c r="AA89" s="8" t="n">
        <f aca="false">16+51/60</f>
        <v>16.85</v>
      </c>
      <c r="AB89" s="6" t="n">
        <v>354</v>
      </c>
      <c r="AC89" s="6" t="n">
        <v>1038</v>
      </c>
      <c r="AD89" s="6" t="n">
        <v>122</v>
      </c>
      <c r="AE89" s="6" t="n">
        <v>144</v>
      </c>
      <c r="AF89" s="8" t="n">
        <f aca="false">15+39.2/60</f>
        <v>15.6533333333333</v>
      </c>
      <c r="AG89" s="8" t="n">
        <f aca="false">16+40.2/60</f>
        <v>16.67</v>
      </c>
      <c r="AH89" s="8" t="n">
        <f aca="false">17+1.7/60</f>
        <v>17.0283333333333</v>
      </c>
      <c r="AI89" s="8" t="n">
        <f aca="false">17+20/60</f>
        <v>17.3333333333333</v>
      </c>
      <c r="AJ89" s="8" t="n">
        <f aca="false">17+0.9/60</f>
        <v>17.015</v>
      </c>
      <c r="AK89" s="8" t="n">
        <f aca="false">60/3.6</f>
        <v>16.6666666666667</v>
      </c>
      <c r="AL89" s="8"/>
      <c r="AM89" s="8"/>
      <c r="AN89" s="8"/>
      <c r="AO89" s="8"/>
      <c r="AP89" s="4" t="n">
        <v>4</v>
      </c>
      <c r="AQ89" s="4" t="n">
        <v>0</v>
      </c>
      <c r="AR89" s="4"/>
      <c r="AS89" s="13" t="n">
        <f aca="false">60*U89-SUM(AT89:AX89)</f>
        <v>0.466666666666654</v>
      </c>
      <c r="AT89" s="8" t="n">
        <f aca="false">7+18/60</f>
        <v>7.3</v>
      </c>
      <c r="AU89" s="8" t="n">
        <f aca="false">8+18/60</f>
        <v>8.3</v>
      </c>
      <c r="AV89" s="8" t="n">
        <v>1</v>
      </c>
      <c r="AW89" s="8" t="n">
        <f aca="false">54+50/60</f>
        <v>54.8333333333333</v>
      </c>
      <c r="AX89" s="8" t="n">
        <f aca="false">19+6/60</f>
        <v>19.1</v>
      </c>
      <c r="AY89" s="4" t="s">
        <v>59</v>
      </c>
      <c r="AZ89" s="4" t="s">
        <v>60</v>
      </c>
      <c r="BA89" s="4" t="n">
        <v>0</v>
      </c>
      <c r="BB89" s="4"/>
      <c r="BC89" s="4"/>
    </row>
    <row r="90" customFormat="false" ht="16.9" hidden="false" customHeight="false" outlineLevel="0" collapsed="false">
      <c r="A90" s="11" t="n">
        <f aca="false">A89+1</f>
        <v>623</v>
      </c>
      <c r="B90" s="12" t="n">
        <v>43970.3638888889</v>
      </c>
      <c r="C90" s="4" t="n">
        <v>1</v>
      </c>
      <c r="D90" s="4"/>
      <c r="E90" s="4"/>
      <c r="F90" s="4" t="s">
        <v>71</v>
      </c>
      <c r="G90" s="6" t="n">
        <f aca="false">AVERAGE(77,81,85)</f>
        <v>81</v>
      </c>
      <c r="H90" s="6" t="n">
        <v>67</v>
      </c>
      <c r="I90" s="6" t="n">
        <f aca="false">AVERAGE(69,72,57)</f>
        <v>66</v>
      </c>
      <c r="J90" s="6" t="s">
        <v>130</v>
      </c>
      <c r="K90" s="6" t="n">
        <v>9</v>
      </c>
      <c r="L90" s="6" t="n">
        <v>0</v>
      </c>
      <c r="M90" s="3" t="s">
        <v>63</v>
      </c>
      <c r="N90" s="4" t="s">
        <v>73</v>
      </c>
      <c r="O90" s="4"/>
      <c r="P90" s="4" t="s">
        <v>112</v>
      </c>
      <c r="Q90" s="8" t="n">
        <v>6.41</v>
      </c>
      <c r="R90" s="6" t="n">
        <v>991</v>
      </c>
      <c r="S90" s="6" t="n">
        <v>14461</v>
      </c>
      <c r="T90" s="6" t="n">
        <f aca="false">S90-R90</f>
        <v>13470</v>
      </c>
      <c r="U90" s="8" t="n">
        <f aca="false">(99+29/60)/60</f>
        <v>1.65805555555556</v>
      </c>
      <c r="V90" s="8" t="n">
        <f aca="false">(60+44+9/60)/60</f>
        <v>1.73583333333333</v>
      </c>
      <c r="W90" s="8" t="n">
        <f aca="false">V90-U90</f>
        <v>0.0777777777777777</v>
      </c>
      <c r="X90" s="8" t="n">
        <f aca="false">Q90/U90</f>
        <v>3.86597420003351</v>
      </c>
      <c r="Y90" s="4" t="n">
        <v>1</v>
      </c>
      <c r="Z90" s="8" t="n">
        <f aca="false">Q90/Y90</f>
        <v>6.41</v>
      </c>
      <c r="AA90" s="8" t="n">
        <f aca="false">15+31/60</f>
        <v>15.5166666666667</v>
      </c>
      <c r="AB90" s="6" t="n">
        <v>213</v>
      </c>
      <c r="AC90" s="6" t="n">
        <v>1071</v>
      </c>
      <c r="AD90" s="6" t="n">
        <v>121</v>
      </c>
      <c r="AE90" s="6" t="n">
        <v>143</v>
      </c>
      <c r="AF90" s="8" t="n">
        <f aca="false">16+11/60</f>
        <v>16.1833333333333</v>
      </c>
      <c r="AG90" s="8" t="n">
        <f aca="false">15+23.9/60</f>
        <v>15.3983333333333</v>
      </c>
      <c r="AH90" s="8" t="n">
        <f aca="false">15+44.7/60</f>
        <v>15.745</v>
      </c>
      <c r="AI90" s="8" t="n">
        <f aca="false">15+44.7/60</f>
        <v>15.745</v>
      </c>
      <c r="AJ90" s="8" t="n">
        <f aca="false">15+5.3/70</f>
        <v>15.0757142857143</v>
      </c>
      <c r="AK90" s="8" t="n">
        <f aca="false">15+4.3/60</f>
        <v>15.0716666666667</v>
      </c>
      <c r="AL90" s="8" t="n">
        <f aca="false">60/3.9</f>
        <v>15.3846153846154</v>
      </c>
      <c r="AM90" s="8"/>
      <c r="AN90" s="8"/>
      <c r="AO90" s="8"/>
      <c r="AP90" s="4" t="n">
        <v>1</v>
      </c>
      <c r="AQ90" s="4" t="n">
        <v>0</v>
      </c>
      <c r="AR90" s="4"/>
      <c r="AS90" s="13" t="n">
        <f aca="false">60*U90-SUM(AT90:AX90)</f>
        <v>0</v>
      </c>
      <c r="AT90" s="8" t="n">
        <f aca="false">1+16/60</f>
        <v>1.26666666666667</v>
      </c>
      <c r="AU90" s="8" t="n">
        <f aca="false">14+28/60</f>
        <v>14.4666666666667</v>
      </c>
      <c r="AV90" s="8" t="n">
        <f aca="false">16+20/60</f>
        <v>16.3333333333333</v>
      </c>
      <c r="AW90" s="8" t="n">
        <f aca="false">58+46/60</f>
        <v>58.7666666666667</v>
      </c>
      <c r="AX90" s="8" t="n">
        <f aca="false">8+39/60</f>
        <v>8.65</v>
      </c>
      <c r="AY90" s="4" t="s">
        <v>59</v>
      </c>
      <c r="AZ90" s="4" t="s">
        <v>60</v>
      </c>
      <c r="BA90" s="4" t="n">
        <v>0</v>
      </c>
      <c r="BB90" s="4"/>
      <c r="BC90" s="4"/>
    </row>
    <row r="91" customFormat="false" ht="16.9" hidden="false" customHeight="false" outlineLevel="0" collapsed="false">
      <c r="A91" s="11" t="n">
        <f aca="false">A90+1</f>
        <v>624</v>
      </c>
      <c r="B91" s="12" t="n">
        <v>43971.3534722222</v>
      </c>
      <c r="C91" s="4" t="n">
        <v>1</v>
      </c>
      <c r="D91" s="4"/>
      <c r="E91" s="4"/>
      <c r="F91" s="4" t="s">
        <v>90</v>
      </c>
      <c r="G91" s="6" t="n">
        <v>74</v>
      </c>
      <c r="H91" s="6" t="n">
        <v>64</v>
      </c>
      <c r="I91" s="6" t="n">
        <v>71</v>
      </c>
      <c r="J91" s="4" t="s">
        <v>114</v>
      </c>
      <c r="K91" s="6" t="n">
        <v>14</v>
      </c>
      <c r="L91" s="6" t="n">
        <v>0</v>
      </c>
      <c r="M91" s="3" t="s">
        <v>63</v>
      </c>
      <c r="N91" s="4" t="s">
        <v>73</v>
      </c>
      <c r="O91" s="4"/>
      <c r="P91" s="4" t="s">
        <v>69</v>
      </c>
      <c r="Q91" s="8" t="n">
        <v>8.06</v>
      </c>
      <c r="R91" s="6" t="n">
        <v>1526</v>
      </c>
      <c r="S91" s="6" t="n">
        <v>18458</v>
      </c>
      <c r="T91" s="6" t="n">
        <f aca="false">S91-R91</f>
        <v>16932</v>
      </c>
      <c r="U91" s="8" t="n">
        <f aca="false">(123+3/60)/60</f>
        <v>2.05083333333333</v>
      </c>
      <c r="V91" s="8" t="n">
        <f aca="false">(133+31/60)/60</f>
        <v>2.22527777777778</v>
      </c>
      <c r="W91" s="8" t="n">
        <f aca="false">V91-U91</f>
        <v>0.174444444444445</v>
      </c>
      <c r="X91" s="8" t="n">
        <f aca="false">Q91/U91</f>
        <v>3.93010971149939</v>
      </c>
      <c r="Y91" s="4" t="n">
        <v>1</v>
      </c>
      <c r="Z91" s="8" t="n">
        <f aca="false">Q91/Y91</f>
        <v>8.06</v>
      </c>
      <c r="AA91" s="8" t="n">
        <f aca="false">15+18/60</f>
        <v>15.3</v>
      </c>
      <c r="AB91" s="6" t="n">
        <v>830</v>
      </c>
      <c r="AC91" s="6" t="n">
        <v>1021</v>
      </c>
      <c r="AD91" s="6" t="n">
        <v>102</v>
      </c>
      <c r="AE91" s="6" t="n">
        <v>154</v>
      </c>
      <c r="AF91" s="8" t="n">
        <f aca="false">15+46/60</f>
        <v>15.7666666666667</v>
      </c>
      <c r="AG91" s="8" t="n">
        <f aca="false">16+2.7/60</f>
        <v>16.045</v>
      </c>
      <c r="AH91" s="8" t="n">
        <f aca="false">15+10.5/60</f>
        <v>15.175</v>
      </c>
      <c r="AI91" s="8" t="n">
        <f aca="false">15+16.2/60</f>
        <v>15.27</v>
      </c>
      <c r="AJ91" s="8" t="n">
        <f aca="false">14+46.9/60</f>
        <v>14.7816666666667</v>
      </c>
      <c r="AK91" s="8" t="n">
        <f aca="false">15+12.3/60</f>
        <v>15.205</v>
      </c>
      <c r="AL91" s="8" t="n">
        <f aca="false">15+33.9/60</f>
        <v>15.565</v>
      </c>
      <c r="AM91" s="8" t="n">
        <f aca="false">15+26.9/60</f>
        <v>15.4483333333333</v>
      </c>
      <c r="AN91" s="8" t="n">
        <f aca="false">60/3.9</f>
        <v>15.3846153846154</v>
      </c>
      <c r="AO91" s="8"/>
      <c r="AP91" s="4" t="n">
        <v>3</v>
      </c>
      <c r="AQ91" s="4" t="n">
        <v>0</v>
      </c>
      <c r="AR91" s="4"/>
      <c r="AS91" s="13" t="n">
        <f aca="false">60*U91-SUM(AT91:AX91)</f>
        <v>12.3833333333333</v>
      </c>
      <c r="AT91" s="8" t="n">
        <f aca="false">27+50/60</f>
        <v>27.8333333333333</v>
      </c>
      <c r="AU91" s="8" t="n">
        <f aca="false">36+21/60</f>
        <v>36.35</v>
      </c>
      <c r="AV91" s="8" t="n">
        <f aca="false">20+56/60</f>
        <v>20.9333333333333</v>
      </c>
      <c r="AW91" s="8" t="n">
        <f aca="false">17+21/60</f>
        <v>17.35</v>
      </c>
      <c r="AX91" s="8" t="n">
        <f aca="false">8+12/60</f>
        <v>8.2</v>
      </c>
      <c r="AY91" s="4" t="s">
        <v>59</v>
      </c>
      <c r="AZ91" s="4" t="s">
        <v>60</v>
      </c>
      <c r="BA91" s="4" t="n">
        <v>0</v>
      </c>
      <c r="BB91" s="4"/>
      <c r="BC91" s="4"/>
    </row>
    <row r="92" customFormat="false" ht="16.9" hidden="false" customHeight="false" outlineLevel="0" collapsed="false">
      <c r="A92" s="11" t="n">
        <f aca="false">A91+1</f>
        <v>625</v>
      </c>
      <c r="B92" s="12" t="n">
        <v>43972.3513888889</v>
      </c>
      <c r="C92" s="4" t="n">
        <v>1</v>
      </c>
      <c r="D92" s="4"/>
      <c r="E92" s="4"/>
      <c r="F92" s="4" t="s">
        <v>90</v>
      </c>
      <c r="G92" s="6" t="n">
        <v>76</v>
      </c>
      <c r="H92" s="6" t="n">
        <v>72</v>
      </c>
      <c r="I92" s="6" t="n">
        <v>84</v>
      </c>
      <c r="J92" s="6" t="s">
        <v>108</v>
      </c>
      <c r="K92" s="6" t="n">
        <v>10</v>
      </c>
      <c r="L92" s="6" t="n">
        <v>0</v>
      </c>
      <c r="M92" s="3" t="s">
        <v>63</v>
      </c>
      <c r="N92" s="4" t="s">
        <v>57</v>
      </c>
      <c r="O92" s="4"/>
      <c r="P92" s="4" t="s">
        <v>66</v>
      </c>
      <c r="Q92" s="8" t="n">
        <v>5.96</v>
      </c>
      <c r="R92" s="6" t="n">
        <v>1075</v>
      </c>
      <c r="S92" s="6" t="n">
        <v>13081</v>
      </c>
      <c r="T92" s="6" t="n">
        <f aca="false">S92-R92</f>
        <v>12006</v>
      </c>
      <c r="U92" s="8" t="n">
        <f aca="false">100/60</f>
        <v>1.66666666666667</v>
      </c>
      <c r="V92" s="8" t="n">
        <v>1.76666666666667</v>
      </c>
      <c r="W92" s="8" t="n">
        <f aca="false">V92-U92</f>
        <v>0.100000000000003</v>
      </c>
      <c r="X92" s="8" t="n">
        <f aca="false">Q92/U92</f>
        <v>3.576</v>
      </c>
      <c r="Y92" s="4" t="n">
        <v>1</v>
      </c>
      <c r="Z92" s="8" t="n">
        <f aca="false">Q92/Y92</f>
        <v>5.96</v>
      </c>
      <c r="AA92" s="8" t="n">
        <f aca="false">16+47/60</f>
        <v>16.7833333333333</v>
      </c>
      <c r="AB92" s="6" t="n">
        <v>671</v>
      </c>
      <c r="AC92" s="6" t="n">
        <v>671</v>
      </c>
      <c r="AD92" s="6" t="n">
        <v>90</v>
      </c>
      <c r="AE92" s="6" t="n">
        <v>123</v>
      </c>
      <c r="AF92" s="8" t="n">
        <f aca="false">16+12.5/60</f>
        <v>16.2083333333333</v>
      </c>
      <c r="AG92" s="8" t="n">
        <f aca="false">16+6.1/60</f>
        <v>16.1016666666667</v>
      </c>
      <c r="AH92" s="8" t="n">
        <f aca="false">16+19.4/60</f>
        <v>16.3233333333333</v>
      </c>
      <c r="AI92" s="8" t="n">
        <f aca="false">16+44.3/60</f>
        <v>16.7383333333333</v>
      </c>
      <c r="AJ92" s="8" t="n">
        <f aca="false">17+0.3/60</f>
        <v>17.005</v>
      </c>
      <c r="AK92" s="8" t="n">
        <f aca="false">60/3.6</f>
        <v>16.6666666666667</v>
      </c>
      <c r="AL92" s="8"/>
      <c r="AM92" s="8"/>
      <c r="AN92" s="8"/>
      <c r="AO92" s="8"/>
      <c r="AP92" s="4" t="n">
        <v>2</v>
      </c>
      <c r="AQ92" s="4" t="n">
        <v>0</v>
      </c>
      <c r="AR92" s="4"/>
      <c r="AS92" s="13" t="n">
        <f aca="false">60*U92-SUM(AT92:AX92)</f>
        <v>-0.0333333333333314</v>
      </c>
      <c r="AT92" s="8" t="n">
        <f aca="false">41+4/60</f>
        <v>41.0666666666667</v>
      </c>
      <c r="AU92" s="8" t="n">
        <f aca="false">54+30/60</f>
        <v>54.5</v>
      </c>
      <c r="AV92" s="8" t="n">
        <f aca="false">3+58/60</f>
        <v>3.96666666666667</v>
      </c>
      <c r="AW92" s="8" t="n">
        <f aca="false">30/60</f>
        <v>0.5</v>
      </c>
      <c r="AX92" s="8" t="n">
        <v>0</v>
      </c>
      <c r="AY92" s="4" t="s">
        <v>59</v>
      </c>
      <c r="AZ92" s="4" t="s">
        <v>60</v>
      </c>
      <c r="BA92" s="4" t="n">
        <v>0</v>
      </c>
      <c r="BB92" s="4"/>
      <c r="BC92" s="4"/>
    </row>
    <row r="93" customFormat="false" ht="16.9" hidden="false" customHeight="false" outlineLevel="0" collapsed="false">
      <c r="A93" s="11" t="n">
        <f aca="false">A92+1</f>
        <v>626</v>
      </c>
      <c r="B93" s="12" t="n">
        <v>43973.3236111111</v>
      </c>
      <c r="C93" s="4" t="n">
        <v>1</v>
      </c>
      <c r="D93" s="4"/>
      <c r="E93" s="4"/>
      <c r="F93" s="4" t="s">
        <v>71</v>
      </c>
      <c r="G93" s="6" t="n">
        <v>78</v>
      </c>
      <c r="H93" s="6" t="n">
        <v>72</v>
      </c>
      <c r="I93" s="6" t="n">
        <v>81</v>
      </c>
      <c r="J93" s="6" t="s">
        <v>62</v>
      </c>
      <c r="K93" s="6" t="n">
        <v>18</v>
      </c>
      <c r="L93" s="6" t="n">
        <v>0</v>
      </c>
      <c r="M93" s="3" t="s">
        <v>63</v>
      </c>
      <c r="N93" s="4" t="s">
        <v>73</v>
      </c>
      <c r="O93" s="4"/>
      <c r="P93" s="4" t="s">
        <v>94</v>
      </c>
      <c r="Q93" s="8" t="n">
        <v>9.77</v>
      </c>
      <c r="R93" s="6" t="n">
        <v>646</v>
      </c>
      <c r="S93" s="6" t="n">
        <v>21466</v>
      </c>
      <c r="T93" s="6" t="n">
        <f aca="false">S93-R93</f>
        <v>20820</v>
      </c>
      <c r="U93" s="8" t="n">
        <f aca="false">(120+37+14/60)/60</f>
        <v>2.62055555555556</v>
      </c>
      <c r="V93" s="8" t="n">
        <f aca="false">(120+43+37/60)/60</f>
        <v>2.72694444444444</v>
      </c>
      <c r="W93" s="8" t="n">
        <f aca="false">V93-U93</f>
        <v>0.106388888888889</v>
      </c>
      <c r="X93" s="8" t="n">
        <f aca="false">Q93/U93</f>
        <v>3.72821708713165</v>
      </c>
      <c r="Y93" s="4" t="n">
        <v>1</v>
      </c>
      <c r="Z93" s="8" t="n">
        <f aca="false">Q93/Y93</f>
        <v>9.77</v>
      </c>
      <c r="AA93" s="8" t="n">
        <f aca="false">16+5/60</f>
        <v>16.0833333333333</v>
      </c>
      <c r="AB93" s="6" t="n">
        <v>335</v>
      </c>
      <c r="AC93" s="6" t="n">
        <v>1565</v>
      </c>
      <c r="AD93" s="6" t="n">
        <v>110</v>
      </c>
      <c r="AE93" s="6" t="n">
        <v>147</v>
      </c>
      <c r="AF93" s="8" t="n">
        <f aca="false">15+42.6/60</f>
        <v>15.71</v>
      </c>
      <c r="AG93" s="8" t="n">
        <f aca="false">15+36.9/60</f>
        <v>15.615</v>
      </c>
      <c r="AH93" s="8" t="n">
        <f aca="false">15+37.1/60</f>
        <v>15.6183333333333</v>
      </c>
      <c r="AI93" s="8" t="n">
        <f aca="false">15+54.3/60</f>
        <v>15.905</v>
      </c>
      <c r="AJ93" s="8" t="n">
        <f aca="false">16+17.5/60</f>
        <v>16.2916666666667</v>
      </c>
      <c r="AK93" s="8" t="n">
        <f aca="false">16+35.4/60</f>
        <v>16.59</v>
      </c>
      <c r="AL93" s="8" t="n">
        <f aca="false">16+25.5/60</f>
        <v>16.425</v>
      </c>
      <c r="AM93" s="8" t="n">
        <f aca="false">15+43.4/60</f>
        <v>15.7233333333333</v>
      </c>
      <c r="AN93" s="8" t="n">
        <f aca="false">16+7.7/60</f>
        <v>16.1283333333333</v>
      </c>
      <c r="AO93" s="8" t="n">
        <f aca="false">60/3.5</f>
        <v>17.1428571428571</v>
      </c>
      <c r="AP93" s="4" t="n">
        <v>4</v>
      </c>
      <c r="AQ93" s="4" t="n">
        <v>1</v>
      </c>
      <c r="AR93" s="4"/>
      <c r="AS93" s="13" t="n">
        <f aca="false">60*U93-SUM(AT93:AX93)</f>
        <v>24.3</v>
      </c>
      <c r="AT93" s="8" t="n">
        <f aca="false">17+9/60</f>
        <v>17.15</v>
      </c>
      <c r="AU93" s="8" t="n">
        <f aca="false">25</f>
        <v>25</v>
      </c>
      <c r="AV93" s="8" t="n">
        <f aca="false">14+8/60</f>
        <v>14.1333333333333</v>
      </c>
      <c r="AW93" s="8" t="n">
        <f aca="false">27+43/60</f>
        <v>27.7166666666667</v>
      </c>
      <c r="AX93" s="8" t="n">
        <f aca="false">48+56/60</f>
        <v>48.9333333333333</v>
      </c>
      <c r="AY93" s="4" t="s">
        <v>59</v>
      </c>
      <c r="AZ93" s="4" t="s">
        <v>60</v>
      </c>
      <c r="BA93" s="4" t="n">
        <v>0</v>
      </c>
      <c r="BB93" s="4"/>
      <c r="BC93" s="4"/>
    </row>
    <row r="94" customFormat="false" ht="16.9" hidden="false" customHeight="false" outlineLevel="0" collapsed="false">
      <c r="A94" s="11" t="n">
        <f aca="false">A93+1</f>
        <v>627</v>
      </c>
      <c r="B94" s="12" t="n">
        <v>43974.51875</v>
      </c>
      <c r="C94" s="4" t="n">
        <v>1</v>
      </c>
      <c r="D94" s="4"/>
      <c r="E94" s="4"/>
      <c r="F94" s="4" t="s">
        <v>65</v>
      </c>
      <c r="G94" s="6" t="n">
        <v>81</v>
      </c>
      <c r="H94" s="6" t="n">
        <v>73</v>
      </c>
      <c r="I94" s="6" t="n">
        <v>63</v>
      </c>
      <c r="J94" s="6" t="s">
        <v>62</v>
      </c>
      <c r="K94" s="6" t="n">
        <v>16</v>
      </c>
      <c r="L94" s="6" t="n">
        <v>29</v>
      </c>
      <c r="M94" s="3" t="s">
        <v>129</v>
      </c>
      <c r="N94" s="4" t="s">
        <v>57</v>
      </c>
      <c r="O94" s="4"/>
      <c r="P94" s="4" t="s">
        <v>131</v>
      </c>
      <c r="Q94" s="8" t="n">
        <v>6.75</v>
      </c>
      <c r="R94" s="6" t="n">
        <v>1268</v>
      </c>
      <c r="S94" s="6" t="n">
        <v>15181</v>
      </c>
      <c r="T94" s="6" t="n">
        <f aca="false">S94-R94</f>
        <v>13913</v>
      </c>
      <c r="U94" s="8" t="n">
        <f aca="false">(55+60)/60</f>
        <v>1.91666666666667</v>
      </c>
      <c r="V94" s="8" t="n">
        <f aca="false">(60+58)/60</f>
        <v>1.96666666666667</v>
      </c>
      <c r="W94" s="8" t="n">
        <f aca="false">V94-U94</f>
        <v>0.0499999999999998</v>
      </c>
      <c r="X94" s="8" t="n">
        <f aca="false">Q94/U94</f>
        <v>3.52173913043478</v>
      </c>
      <c r="Y94" s="4" t="n">
        <v>1</v>
      </c>
      <c r="Z94" s="8" t="n">
        <f aca="false">Q94/Y94</f>
        <v>6.75</v>
      </c>
      <c r="AA94" s="8" t="n">
        <f aca="false">16+54/60</f>
        <v>16.9</v>
      </c>
      <c r="AB94" s="6" t="n">
        <v>558</v>
      </c>
      <c r="AC94" s="6" t="n">
        <v>1227</v>
      </c>
      <c r="AD94" s="6" t="n">
        <v>119</v>
      </c>
      <c r="AE94" s="6" t="n">
        <v>149</v>
      </c>
      <c r="AF94" s="8" t="n">
        <f aca="false">16+32.5/60</f>
        <v>16.5416666666667</v>
      </c>
      <c r="AG94" s="8" t="n">
        <f aca="false">17+6.2/60</f>
        <v>17.1033333333333</v>
      </c>
      <c r="AH94" s="8" t="n">
        <f aca="false">17+33.8/60</f>
        <v>17.5633333333333</v>
      </c>
      <c r="AI94" s="8" t="n">
        <f aca="false">16+21.2/60</f>
        <v>16.3533333333333</v>
      </c>
      <c r="AJ94" s="8" t="n">
        <f aca="false">16+43.8/60</f>
        <v>16.73</v>
      </c>
      <c r="AK94" s="8" t="n">
        <f aca="false">16+56.1/60</f>
        <v>16.935</v>
      </c>
      <c r="AL94" s="8" t="n">
        <f aca="false">60/3.5</f>
        <v>17.1428571428571</v>
      </c>
      <c r="AM94" s="8"/>
      <c r="AN94" s="8"/>
      <c r="AO94" s="8"/>
      <c r="AP94" s="4" t="n">
        <v>1</v>
      </c>
      <c r="AQ94" s="4" t="n">
        <v>2</v>
      </c>
      <c r="AR94" s="4"/>
      <c r="AS94" s="13" t="n">
        <f aca="false">60*U94-SUM(AT94:AX94)</f>
        <v>0.933333333333337</v>
      </c>
      <c r="AT94" s="8" t="n">
        <f aca="false">6+4/60</f>
        <v>6.06666666666667</v>
      </c>
      <c r="AU94" s="8" t="n">
        <f aca="false">26+21/60</f>
        <v>26.35</v>
      </c>
      <c r="AV94" s="8" t="n">
        <f aca="false">13+33/60</f>
        <v>13.55</v>
      </c>
      <c r="AW94" s="8" t="n">
        <f aca="false">32+14/60</f>
        <v>32.2333333333333</v>
      </c>
      <c r="AX94" s="8" t="n">
        <f aca="false">35+52/60</f>
        <v>35.8666666666667</v>
      </c>
      <c r="AY94" s="4" t="s">
        <v>59</v>
      </c>
      <c r="AZ94" s="4" t="s">
        <v>60</v>
      </c>
      <c r="BA94" s="4" t="n">
        <v>0</v>
      </c>
      <c r="BB94" s="4"/>
      <c r="BC94" s="4"/>
    </row>
    <row r="95" customFormat="false" ht="16.9" hidden="false" customHeight="false" outlineLevel="0" collapsed="false">
      <c r="A95" s="11" t="n">
        <f aca="false">A94+1</f>
        <v>628</v>
      </c>
      <c r="B95" s="12" t="n">
        <v>43975.4951388889</v>
      </c>
      <c r="C95" s="4" t="n">
        <v>0</v>
      </c>
      <c r="D95" s="4" t="s">
        <v>95</v>
      </c>
      <c r="E95" s="4"/>
      <c r="F95" s="4" t="s">
        <v>84</v>
      </c>
      <c r="G95" s="6" t="n">
        <v>86</v>
      </c>
      <c r="H95" s="6" t="n">
        <v>70</v>
      </c>
      <c r="I95" s="6" t="n">
        <v>59</v>
      </c>
      <c r="J95" s="6" t="s">
        <v>62</v>
      </c>
      <c r="K95" s="6" t="n">
        <v>16</v>
      </c>
      <c r="L95" s="6" t="n">
        <v>29</v>
      </c>
      <c r="M95" s="3" t="s">
        <v>129</v>
      </c>
      <c r="N95" s="4"/>
      <c r="O95" s="4"/>
      <c r="P95" s="4"/>
      <c r="Q95" s="8"/>
      <c r="R95" s="6"/>
      <c r="S95" s="6"/>
      <c r="T95" s="6"/>
      <c r="U95" s="8"/>
      <c r="V95" s="8"/>
      <c r="W95" s="8"/>
      <c r="X95" s="8"/>
      <c r="Y95" s="4"/>
      <c r="Z95" s="8"/>
      <c r="AA95" s="8"/>
      <c r="AB95" s="6"/>
      <c r="AC95" s="6"/>
      <c r="AD95" s="6"/>
      <c r="AE95" s="6"/>
      <c r="AF95" s="8"/>
      <c r="AG95" s="8"/>
      <c r="AI95" s="8"/>
      <c r="AJ95" s="8"/>
      <c r="AK95" s="8"/>
      <c r="AL95" s="8"/>
      <c r="AM95" s="8"/>
      <c r="AN95" s="8"/>
      <c r="AO95" s="8"/>
      <c r="AP95" s="4"/>
      <c r="AQ95" s="4"/>
      <c r="AR95" s="4"/>
      <c r="AS95" s="13"/>
      <c r="AT95" s="8"/>
      <c r="AU95" s="8"/>
      <c r="AV95" s="8"/>
      <c r="AW95" s="8"/>
      <c r="AX95" s="8"/>
      <c r="AY95" s="4"/>
      <c r="AZ95" s="4"/>
      <c r="BA95" s="4" t="n">
        <v>1</v>
      </c>
      <c r="BB95" s="4" t="s">
        <v>105</v>
      </c>
      <c r="BC95" s="4"/>
    </row>
    <row r="96" customFormat="false" ht="16.9" hidden="false" customHeight="false" outlineLevel="0" collapsed="false">
      <c r="A96" s="11" t="n">
        <f aca="false">A95+1</f>
        <v>629</v>
      </c>
      <c r="B96" s="12" t="n">
        <v>43976.4951388889</v>
      </c>
      <c r="C96" s="4" t="n">
        <v>0</v>
      </c>
      <c r="D96" s="4" t="s">
        <v>79</v>
      </c>
      <c r="E96" s="4"/>
      <c r="F96" s="4" t="s">
        <v>90</v>
      </c>
      <c r="G96" s="6" t="n">
        <v>85</v>
      </c>
      <c r="H96" s="6" t="n">
        <v>71</v>
      </c>
      <c r="I96" s="6" t="n">
        <v>79</v>
      </c>
      <c r="J96" s="6" t="s">
        <v>62</v>
      </c>
      <c r="K96" s="6" t="n">
        <v>16</v>
      </c>
      <c r="L96" s="6" t="n">
        <v>29</v>
      </c>
      <c r="M96" s="3" t="s">
        <v>63</v>
      </c>
      <c r="N96" s="4"/>
      <c r="O96" s="4"/>
      <c r="P96" s="4"/>
      <c r="Q96" s="8"/>
      <c r="R96" s="6"/>
      <c r="S96" s="6"/>
      <c r="T96" s="6"/>
      <c r="U96" s="8"/>
      <c r="V96" s="8"/>
      <c r="W96" s="8"/>
      <c r="X96" s="8"/>
      <c r="Y96" s="4"/>
      <c r="Z96" s="8"/>
      <c r="AA96" s="8"/>
      <c r="AB96" s="6"/>
      <c r="AC96" s="6"/>
      <c r="AD96" s="6"/>
      <c r="AE96" s="4"/>
      <c r="AF96" s="8"/>
      <c r="AG96" s="8"/>
      <c r="AI96" s="8"/>
      <c r="AJ96" s="8"/>
      <c r="AK96" s="8"/>
      <c r="AL96" s="8"/>
      <c r="AM96" s="8"/>
      <c r="AN96" s="8"/>
      <c r="AO96" s="8"/>
      <c r="AP96" s="4"/>
      <c r="AQ96" s="4"/>
      <c r="AR96" s="4"/>
      <c r="AS96" s="14"/>
      <c r="AT96" s="8"/>
      <c r="AU96" s="8"/>
      <c r="AV96" s="8"/>
      <c r="AW96" s="8"/>
      <c r="AX96" s="8"/>
      <c r="AY96" s="4"/>
      <c r="AZ96" s="4"/>
      <c r="BA96" s="4"/>
      <c r="BB96" s="4"/>
      <c r="BC96" s="4"/>
    </row>
    <row r="97" customFormat="false" ht="16.9" hidden="false" customHeight="false" outlineLevel="0" collapsed="false">
      <c r="A97" s="11" t="n">
        <f aca="false">A96+1</f>
        <v>630</v>
      </c>
      <c r="B97" s="12" t="n">
        <v>43977.4708333333</v>
      </c>
      <c r="C97" s="4" t="n">
        <v>1</v>
      </c>
      <c r="D97" s="4"/>
      <c r="E97" s="4"/>
      <c r="F97" s="4" t="s">
        <v>90</v>
      </c>
      <c r="G97" s="6" t="n">
        <v>68</v>
      </c>
      <c r="H97" s="6" t="n">
        <v>58</v>
      </c>
      <c r="I97" s="6" t="n">
        <v>70</v>
      </c>
      <c r="J97" s="4" t="s">
        <v>132</v>
      </c>
      <c r="K97" s="6" t="n">
        <v>12</v>
      </c>
      <c r="L97" s="6" t="n">
        <v>0</v>
      </c>
      <c r="M97" s="3" t="s">
        <v>63</v>
      </c>
      <c r="N97" s="4" t="s">
        <v>57</v>
      </c>
      <c r="O97" s="4"/>
      <c r="P97" s="4" t="s">
        <v>69</v>
      </c>
      <c r="Q97" s="8" t="n">
        <v>8.93</v>
      </c>
      <c r="R97" s="6" t="n">
        <v>1026</v>
      </c>
      <c r="S97" s="6" t="n">
        <v>19808</v>
      </c>
      <c r="T97" s="6" t="n">
        <v>18782</v>
      </c>
      <c r="U97" s="8" t="n">
        <f aca="false">( 120+18+34/60)/60</f>
        <v>2.30944444444444</v>
      </c>
      <c r="V97" s="8" t="n">
        <f aca="false">(120+31)/60</f>
        <v>2.51666666666667</v>
      </c>
      <c r="W97" s="8" t="n">
        <f aca="false">V97-U97</f>
        <v>0.207222222222222</v>
      </c>
      <c r="X97" s="8" t="n">
        <f aca="false">Q97/U97</f>
        <v>3.86673081549194</v>
      </c>
      <c r="Y97" s="4" t="n">
        <v>1</v>
      </c>
      <c r="Z97" s="8" t="n">
        <f aca="false">Q97/Y97</f>
        <v>8.93</v>
      </c>
      <c r="AA97" s="8" t="n">
        <f aca="false">15+27/60</f>
        <v>15.45</v>
      </c>
      <c r="AB97" s="6" t="n">
        <v>220</v>
      </c>
      <c r="AC97" s="6" t="n">
        <v>1258</v>
      </c>
      <c r="AD97" s="6" t="n">
        <v>109</v>
      </c>
      <c r="AE97" s="6" t="n">
        <v>163</v>
      </c>
      <c r="AF97" s="8" t="n">
        <f aca="false">15+27.2/60</f>
        <v>15.4533333333333</v>
      </c>
      <c r="AG97" s="8" t="n">
        <f aca="false">15+21.9/60</f>
        <v>15.365</v>
      </c>
      <c r="AH97" s="8" t="n">
        <f aca="false">16+16.1/60</f>
        <v>16.2683333333333</v>
      </c>
      <c r="AI97" s="8" t="n">
        <f aca="false">15+27.1/60</f>
        <v>15.4516666666667</v>
      </c>
      <c r="AJ97" s="8" t="n">
        <f aca="false">17+3/60</f>
        <v>17.05</v>
      </c>
      <c r="AK97" s="8" t="n">
        <f aca="false">15+34.8/60</f>
        <v>15.58</v>
      </c>
      <c r="AL97" s="8" t="n">
        <f aca="false">15+24.3/60</f>
        <v>15.405</v>
      </c>
      <c r="AM97" s="8" t="n">
        <f aca="false">14+45.6/60</f>
        <v>14.76</v>
      </c>
      <c r="AN97" s="8" t="n">
        <f aca="false">14+3.4/60</f>
        <v>14.0566666666667</v>
      </c>
      <c r="AO97" s="8" t="n">
        <v>15</v>
      </c>
      <c r="AP97" s="4" t="n">
        <v>2</v>
      </c>
      <c r="AQ97" s="4" t="n">
        <v>1</v>
      </c>
      <c r="AR97" s="4"/>
      <c r="AS97" s="14" t="n">
        <f aca="false">60*U97-SUM(AT97:AX97)</f>
        <v>2.13333333333333</v>
      </c>
      <c r="AT97" s="8" t="n">
        <f aca="false">27+11/60</f>
        <v>27.1833333333333</v>
      </c>
      <c r="AU97" s="8" t="n">
        <f aca="false">44+1/6</f>
        <v>44.1666666666667</v>
      </c>
      <c r="AV97" s="8" t="n">
        <f aca="false">25+24/60</f>
        <v>25.4</v>
      </c>
      <c r="AW97" s="8" t="n">
        <f aca="false">11+32/60</f>
        <v>11.5333333333333</v>
      </c>
      <c r="AX97" s="8" t="n">
        <f aca="false">28+9/60</f>
        <v>28.15</v>
      </c>
      <c r="AY97" s="4" t="s">
        <v>59</v>
      </c>
      <c r="AZ97" s="4" t="s">
        <v>60</v>
      </c>
      <c r="BA97" s="4" t="n">
        <v>0</v>
      </c>
      <c r="BB97" s="4"/>
      <c r="BC97" s="4"/>
    </row>
    <row r="98" customFormat="false" ht="16.9" hidden="false" customHeight="false" outlineLevel="0" collapsed="false">
      <c r="A98" s="11" t="n">
        <f aca="false">A97+1</f>
        <v>631</v>
      </c>
      <c r="B98" s="12" t="n">
        <v>43978.5166666667</v>
      </c>
      <c r="C98" s="4" t="n">
        <v>1</v>
      </c>
      <c r="D98" s="4"/>
      <c r="E98" s="4"/>
      <c r="F98" s="4" t="s">
        <v>54</v>
      </c>
      <c r="G98" s="6" t="n">
        <f aca="false">AVERAGE(79,82)</f>
        <v>80.5</v>
      </c>
      <c r="H98" s="6" t="n">
        <v>59</v>
      </c>
      <c r="I98" s="6" t="n">
        <v>47</v>
      </c>
      <c r="J98" s="6" t="s">
        <v>62</v>
      </c>
      <c r="K98" s="6" t="n">
        <v>10</v>
      </c>
      <c r="L98" s="6" t="n">
        <v>0</v>
      </c>
      <c r="M98" s="3" t="s">
        <v>63</v>
      </c>
      <c r="N98" s="4" t="s">
        <v>57</v>
      </c>
      <c r="O98" s="4"/>
      <c r="P98" s="4" t="s">
        <v>64</v>
      </c>
      <c r="Q98" s="8" t="n">
        <v>6.98</v>
      </c>
      <c r="R98" s="6" t="n">
        <v>925</v>
      </c>
      <c r="S98" s="6" t="n">
        <v>16250</v>
      </c>
      <c r="T98" s="6" t="n">
        <f aca="false">S98-R98</f>
        <v>15325</v>
      </c>
      <c r="U98" s="8" t="n">
        <f aca="false">(60+51+29/60)/60</f>
        <v>1.85805555555556</v>
      </c>
      <c r="V98" s="8" t="n">
        <f aca="false">(60+57)/60</f>
        <v>1.95</v>
      </c>
      <c r="W98" s="8" t="n">
        <f aca="false">V98-U98</f>
        <v>0.0919444444444444</v>
      </c>
      <c r="X98" s="8" t="n">
        <f aca="false">Q98/U98</f>
        <v>3.75661533861564</v>
      </c>
      <c r="Y98" s="4" t="n">
        <v>1</v>
      </c>
      <c r="Z98" s="8" t="n">
        <f aca="false">Q98/Y98</f>
        <v>6.98</v>
      </c>
      <c r="AA98" s="8" t="n">
        <f aca="false">15+59/60</f>
        <v>15.9833333333333</v>
      </c>
      <c r="AB98" s="6" t="n">
        <f aca="false">282</f>
        <v>282</v>
      </c>
      <c r="AC98" s="6" t="n">
        <v>1053</v>
      </c>
      <c r="AD98" s="6" t="n">
        <v>119</v>
      </c>
      <c r="AE98" s="6" t="n">
        <v>141</v>
      </c>
      <c r="AF98" s="8" t="n">
        <f aca="false">15+38.1/60</f>
        <v>15.635</v>
      </c>
      <c r="AG98" s="8" t="n">
        <f aca="false">15+33.1/60</f>
        <v>15.5516666666667</v>
      </c>
      <c r="AH98" s="8" t="n">
        <f aca="false">16+11.2/60</f>
        <v>16.1866666666667</v>
      </c>
      <c r="AI98" s="8" t="n">
        <f aca="false">15+28.2/60</f>
        <v>15.47</v>
      </c>
      <c r="AJ98" s="8" t="n">
        <f aca="false">16+13/60</f>
        <v>16.2166666666667</v>
      </c>
      <c r="AK98" s="8" t="n">
        <f aca="false">16+21.6/60</f>
        <v>16.36</v>
      </c>
      <c r="AL98" s="8" t="n">
        <f aca="false">60/3.7</f>
        <v>16.2162162162162</v>
      </c>
      <c r="AM98" s="8"/>
      <c r="AN98" s="8"/>
      <c r="AO98" s="8"/>
      <c r="AP98" s="4" t="n">
        <v>1</v>
      </c>
      <c r="AQ98" s="4" t="n">
        <v>1</v>
      </c>
      <c r="AR98" s="4"/>
      <c r="AS98" s="14" t="n">
        <f aca="false">60*U98-SUM(AT98:AX98)</f>
        <v>8.99866666666668</v>
      </c>
      <c r="AT98" s="8" t="n">
        <f aca="false">22/60</f>
        <v>0.366666666666667</v>
      </c>
      <c r="AU98" s="8" t="n">
        <f aca="false">5+2/60</f>
        <v>5.03333333333333</v>
      </c>
      <c r="AV98" s="8" t="n">
        <f aca="false">36+57/60</f>
        <v>36.95</v>
      </c>
      <c r="AW98" s="8" t="n">
        <f aca="false">60+5/60</f>
        <v>60.0833333333333</v>
      </c>
      <c r="AX98" s="8" t="n">
        <f aca="false">3.08/60</f>
        <v>0.0513333333333333</v>
      </c>
      <c r="AY98" s="4" t="s">
        <v>59</v>
      </c>
      <c r="AZ98" s="4" t="s">
        <v>60</v>
      </c>
      <c r="BA98" s="4" t="n">
        <v>0</v>
      </c>
      <c r="BB98" s="4"/>
      <c r="BC98" s="4"/>
    </row>
    <row r="99" customFormat="false" ht="16.9" hidden="false" customHeight="false" outlineLevel="0" collapsed="false">
      <c r="A99" s="11" t="n">
        <f aca="false">A98+1</f>
        <v>632</v>
      </c>
      <c r="B99" s="12" t="n">
        <v>43979.4951388889</v>
      </c>
      <c r="C99" s="4" t="n">
        <v>0</v>
      </c>
      <c r="D99" s="4" t="s">
        <v>79</v>
      </c>
      <c r="E99" s="4"/>
      <c r="F99" s="4" t="s">
        <v>71</v>
      </c>
      <c r="G99" s="6" t="n">
        <v>95</v>
      </c>
      <c r="H99" s="6" t="n">
        <v>60</v>
      </c>
      <c r="I99" s="6" t="n">
        <v>44</v>
      </c>
      <c r="J99" s="4" t="s">
        <v>99</v>
      </c>
      <c r="K99" s="6" t="n">
        <v>12</v>
      </c>
      <c r="L99" s="6" t="n">
        <v>22</v>
      </c>
      <c r="M99" s="3" t="s">
        <v>63</v>
      </c>
      <c r="N99" s="4"/>
      <c r="O99" s="4"/>
      <c r="P99" s="4"/>
      <c r="Q99" s="8"/>
      <c r="R99" s="6"/>
      <c r="S99" s="6"/>
      <c r="T99" s="6"/>
      <c r="U99" s="8"/>
      <c r="V99" s="8"/>
      <c r="W99" s="8"/>
      <c r="X99" s="8"/>
      <c r="Y99" s="4"/>
      <c r="Z99" s="8"/>
      <c r="AA99" s="8"/>
      <c r="AB99" s="6"/>
      <c r="AC99" s="6"/>
      <c r="AD99" s="6"/>
      <c r="AE99" s="4"/>
      <c r="AF99" s="8"/>
      <c r="AG99" s="8"/>
      <c r="AI99" s="8"/>
      <c r="AJ99" s="8"/>
      <c r="AK99" s="8"/>
      <c r="AL99" s="8"/>
      <c r="AM99" s="8"/>
      <c r="AN99" s="8"/>
      <c r="AO99" s="8"/>
      <c r="AP99" s="4"/>
      <c r="AQ99" s="4"/>
      <c r="AR99" s="4"/>
      <c r="AS99" s="14"/>
      <c r="AT99" s="8"/>
      <c r="AU99" s="8"/>
      <c r="AV99" s="8"/>
      <c r="AW99" s="8"/>
      <c r="AX99" s="8"/>
      <c r="AY99" s="4"/>
      <c r="AZ99" s="4"/>
      <c r="BA99" s="4"/>
      <c r="BB99" s="4"/>
      <c r="BC99" s="4"/>
    </row>
    <row r="100" customFormat="false" ht="29.85" hidden="false" customHeight="false" outlineLevel="0" collapsed="false">
      <c r="A100" s="11" t="n">
        <f aca="false">A99+1</f>
        <v>633</v>
      </c>
      <c r="B100" s="12" t="n">
        <v>43980.5013888889</v>
      </c>
      <c r="C100" s="4" t="n">
        <v>1</v>
      </c>
      <c r="D100" s="4"/>
      <c r="E100" s="4" t="s">
        <v>133</v>
      </c>
      <c r="F100" s="4" t="s">
        <v>71</v>
      </c>
      <c r="G100" s="6" t="n">
        <v>86</v>
      </c>
      <c r="H100" s="6" t="n">
        <v>58</v>
      </c>
      <c r="I100" s="6" t="n">
        <v>38</v>
      </c>
      <c r="J100" s="6" t="s">
        <v>97</v>
      </c>
      <c r="K100" s="6" t="n">
        <v>15</v>
      </c>
      <c r="L100" s="6" t="n">
        <v>24</v>
      </c>
      <c r="M100" s="3" t="s">
        <v>63</v>
      </c>
      <c r="N100" s="4" t="s">
        <v>73</v>
      </c>
      <c r="O100" s="4"/>
      <c r="P100" s="4" t="s">
        <v>126</v>
      </c>
      <c r="Q100" s="8" t="n">
        <v>6.46</v>
      </c>
      <c r="R100" s="6" t="n">
        <v>898</v>
      </c>
      <c r="S100" s="6" t="n">
        <v>14956</v>
      </c>
      <c r="T100" s="6" t="n">
        <f aca="false">S100-R100</f>
        <v>14058</v>
      </c>
      <c r="U100" s="8" t="n">
        <f aca="false">(60+51)/60</f>
        <v>1.85</v>
      </c>
      <c r="V100" s="8" t="n">
        <f aca="false">(60+53)/60</f>
        <v>1.88333333333333</v>
      </c>
      <c r="W100" s="8" t="n">
        <f aca="false">V100-U100</f>
        <v>0.0333333333333332</v>
      </c>
      <c r="X100" s="8" t="n">
        <f aca="false">Q100/U100</f>
        <v>3.49189189189189</v>
      </c>
      <c r="Y100" s="4" t="n">
        <v>1</v>
      </c>
      <c r="Z100" s="8" t="n">
        <f aca="false">Q100/Y100</f>
        <v>6.46</v>
      </c>
      <c r="AA100" s="8" t="n">
        <f aca="false">17+17/60</f>
        <v>17.2833333333333</v>
      </c>
      <c r="AB100" s="6" t="n">
        <v>177</v>
      </c>
      <c r="AC100" s="6" t="n">
        <v>905</v>
      </c>
      <c r="AD100" s="6" t="n">
        <v>112</v>
      </c>
      <c r="AE100" s="6" t="n">
        <v>139</v>
      </c>
      <c r="AF100" s="8" t="n">
        <f aca="false">16+5.3/60</f>
        <v>16.0883333333333</v>
      </c>
      <c r="AG100" s="8" t="n">
        <f aca="false">16+6.9/70</f>
        <v>16.0985714285714</v>
      </c>
      <c r="AH100" s="8" t="n">
        <f aca="false">16+57.4/60</f>
        <v>16.9566666666667</v>
      </c>
      <c r="AI100" s="8" t="n">
        <f aca="false">19+16.7/60</f>
        <v>19.2783333333333</v>
      </c>
      <c r="AJ100" s="8" t="n">
        <f aca="false">17+29.2/60</f>
        <v>17.4866666666667</v>
      </c>
      <c r="AK100" s="8" t="n">
        <f aca="false">17+26.3/60</f>
        <v>17.4383333333333</v>
      </c>
      <c r="AL100" s="8" t="n">
        <f aca="false">60/3.5</f>
        <v>17.1428571428571</v>
      </c>
      <c r="AM100" s="8"/>
      <c r="AN100" s="8"/>
      <c r="AO100" s="8"/>
      <c r="AP100" s="4" t="n">
        <v>1</v>
      </c>
      <c r="AQ100" s="4" t="n">
        <v>1</v>
      </c>
      <c r="AR100" s="4"/>
      <c r="AS100" s="14" t="n">
        <f aca="false">60*U100-SUM(AT100:AX100)</f>
        <v>11.5245</v>
      </c>
      <c r="AT100" s="8" t="n">
        <f aca="false">13/60</f>
        <v>0.216666666666667</v>
      </c>
      <c r="AU100" s="8" t="n">
        <f aca="false">28*37/60</f>
        <v>17.2666666666667</v>
      </c>
      <c r="AV100" s="8" t="n">
        <f aca="false">47+14/60</f>
        <v>47.2333333333333</v>
      </c>
      <c r="AW100" s="8" t="n">
        <f aca="false">34+45/60</f>
        <v>34.75</v>
      </c>
      <c r="AX100" s="8" t="n">
        <f aca="false">0.53/60</f>
        <v>0.00883333333333333</v>
      </c>
      <c r="AY100" s="4" t="s">
        <v>59</v>
      </c>
      <c r="AZ100" s="4" t="s">
        <v>60</v>
      </c>
      <c r="BA100" s="4" t="n">
        <v>0</v>
      </c>
      <c r="BB100" s="4"/>
      <c r="BC100" s="4"/>
    </row>
    <row r="101" customFormat="false" ht="29.85" hidden="false" customHeight="false" outlineLevel="0" collapsed="false">
      <c r="A101" s="11" t="n">
        <f aca="false">A100+1</f>
        <v>634</v>
      </c>
      <c r="B101" s="12" t="n">
        <v>43981.5277777778</v>
      </c>
      <c r="C101" s="4" t="n">
        <v>1</v>
      </c>
      <c r="D101" s="4"/>
      <c r="E101" s="4" t="s">
        <v>133</v>
      </c>
      <c r="F101" s="4" t="s">
        <v>71</v>
      </c>
      <c r="G101" s="6" t="n">
        <f aca="false">AVERAGE(86,87)</f>
        <v>86.5</v>
      </c>
      <c r="H101" s="6" t="n">
        <v>57</v>
      </c>
      <c r="I101" s="6" t="n">
        <v>38</v>
      </c>
      <c r="J101" s="6" t="s">
        <v>110</v>
      </c>
      <c r="K101" s="6" t="n">
        <v>12</v>
      </c>
      <c r="L101" s="6" t="n">
        <v>0</v>
      </c>
      <c r="M101" s="3" t="s">
        <v>63</v>
      </c>
      <c r="N101" s="4" t="s">
        <v>73</v>
      </c>
      <c r="O101" s="4"/>
      <c r="P101" s="4" t="s">
        <v>66</v>
      </c>
      <c r="Q101" s="8" t="n">
        <v>6.45</v>
      </c>
      <c r="R101" s="6" t="n">
        <v>287</v>
      </c>
      <c r="S101" s="6" t="n">
        <v>15039</v>
      </c>
      <c r="T101" s="6" t="n">
        <f aca="false">S101-R101</f>
        <v>14752</v>
      </c>
      <c r="U101" s="8" t="n">
        <f aca="false">(60+55 + 19/60)/60</f>
        <v>1.92194444444444</v>
      </c>
      <c r="V101" s="8" t="n">
        <f aca="false">(60+59+35/60)/60</f>
        <v>1.99305555555556</v>
      </c>
      <c r="W101" s="8" t="n">
        <f aca="false">V101-U101</f>
        <v>0.0711111111111111</v>
      </c>
      <c r="X101" s="8" t="n">
        <f aca="false">Q101/U101</f>
        <v>3.35597629715277</v>
      </c>
      <c r="Y101" s="4" t="n">
        <v>1</v>
      </c>
      <c r="Z101" s="8" t="n">
        <f aca="false">Q101/Y101</f>
        <v>6.45</v>
      </c>
      <c r="AA101" s="8" t="n">
        <f aca="false">17+53/60</f>
        <v>17.8833333333333</v>
      </c>
      <c r="AB101" s="6" t="n">
        <v>308</v>
      </c>
      <c r="AC101" s="6" t="n">
        <v>893</v>
      </c>
      <c r="AD101" s="6" t="n">
        <v>106</v>
      </c>
      <c r="AE101" s="6" t="n">
        <v>138</v>
      </c>
      <c r="AF101" s="8" t="n">
        <f aca="false">16+50.8/60</f>
        <v>16.8466666666667</v>
      </c>
      <c r="AG101" s="8" t="n">
        <f aca="false">16+59/60</f>
        <v>16.9833333333333</v>
      </c>
      <c r="AH101" s="8" t="n">
        <f aca="false">17+18.4/60</f>
        <v>17.3066666666667</v>
      </c>
      <c r="AI101" s="8" t="n">
        <f aca="false">17+11.8/60</f>
        <v>17.1966666666667</v>
      </c>
      <c r="AJ101" s="8" t="n">
        <f aca="false">20+0.9</f>
        <v>20.9</v>
      </c>
      <c r="AK101" s="8" t="n">
        <f aca="false">18+22.7/60</f>
        <v>18.3783333333333</v>
      </c>
      <c r="AL101" s="8" t="n">
        <f aca="false">60/3.5</f>
        <v>17.1428571428571</v>
      </c>
      <c r="AM101" s="8"/>
      <c r="AN101" s="8"/>
      <c r="AO101" s="8"/>
      <c r="AP101" s="4" t="n">
        <v>2</v>
      </c>
      <c r="AQ101" s="4" t="n">
        <v>0</v>
      </c>
      <c r="AR101" s="4"/>
      <c r="AS101" s="14" t="n">
        <f aca="false">60*U101-SUM(AT101:AX101)</f>
        <v>0</v>
      </c>
      <c r="AT101" s="8" t="n">
        <f aca="false">1+26/60</f>
        <v>1.43333333333333</v>
      </c>
      <c r="AU101" s="8" t="n">
        <f aca="false">65+39/60</f>
        <v>65.65</v>
      </c>
      <c r="AV101" s="8" t="n">
        <f aca="false">20+34/60</f>
        <v>20.5666666666667</v>
      </c>
      <c r="AW101" s="8" t="n">
        <f aca="false">25+53/60</f>
        <v>25.8833333333333</v>
      </c>
      <c r="AX101" s="8" t="n">
        <f aca="false">1+47/60</f>
        <v>1.78333333333333</v>
      </c>
      <c r="AY101" s="4" t="s">
        <v>59</v>
      </c>
      <c r="AZ101" s="4" t="s">
        <v>60</v>
      </c>
      <c r="BA101" s="4" t="n">
        <v>0</v>
      </c>
      <c r="BB101" s="4"/>
      <c r="BC101" s="4"/>
    </row>
    <row r="102" customFormat="false" ht="16.9" hidden="false" customHeight="false" outlineLevel="0" collapsed="false">
      <c r="A102" s="11" t="n">
        <f aca="false">A101+1</f>
        <v>635</v>
      </c>
      <c r="B102" s="12" t="n">
        <v>43982.5701388889</v>
      </c>
      <c r="C102" s="4" t="n">
        <v>1</v>
      </c>
      <c r="D102" s="4"/>
      <c r="E102" s="4"/>
      <c r="F102" s="4" t="s">
        <v>106</v>
      </c>
      <c r="G102" s="6" t="n">
        <v>85</v>
      </c>
      <c r="H102" s="6" t="n">
        <v>60</v>
      </c>
      <c r="I102" s="6" t="n">
        <v>30</v>
      </c>
      <c r="J102" s="4" t="s">
        <v>88</v>
      </c>
      <c r="K102" s="6" t="n">
        <v>3</v>
      </c>
      <c r="L102" s="6" t="n">
        <v>0</v>
      </c>
      <c r="M102" s="3" t="s">
        <v>63</v>
      </c>
      <c r="N102" s="4" t="s">
        <v>73</v>
      </c>
      <c r="O102" s="4"/>
      <c r="P102" s="4" t="s">
        <v>94</v>
      </c>
      <c r="Q102" s="8" t="n">
        <v>7.1</v>
      </c>
      <c r="R102" s="6" t="n">
        <v>341</v>
      </c>
      <c r="S102" s="6" t="n">
        <v>15990</v>
      </c>
      <c r="T102" s="6" t="n">
        <f aca="false">S102-R102</f>
        <v>15649</v>
      </c>
      <c r="U102" s="8" t="n">
        <f aca="false">(60+53)/60</f>
        <v>1.88333333333333</v>
      </c>
      <c r="V102" s="8" t="n">
        <f aca="false">(120+20/60)/60</f>
        <v>2.00555555555556</v>
      </c>
      <c r="W102" s="8" t="n">
        <f aca="false">V102-U102</f>
        <v>0.122222222222222</v>
      </c>
      <c r="X102" s="8" t="n">
        <f aca="false">Q102/U102</f>
        <v>3.76991150442478</v>
      </c>
      <c r="Y102" s="4" t="n">
        <v>1</v>
      </c>
      <c r="Z102" s="8" t="n">
        <f aca="false">Q102/Y102</f>
        <v>7.1</v>
      </c>
      <c r="AA102" s="8" t="n">
        <f aca="false">15+57/60</f>
        <v>15.95</v>
      </c>
      <c r="AB102" s="6" t="n">
        <v>840</v>
      </c>
      <c r="AC102" s="6" t="n">
        <v>876</v>
      </c>
      <c r="AD102" s="6" t="n">
        <v>92</v>
      </c>
      <c r="AE102" s="6" t="n">
        <v>151</v>
      </c>
      <c r="AF102" s="8" t="n">
        <f aca="false">14+58.7/60</f>
        <v>14.9783333333333</v>
      </c>
      <c r="AG102" s="8" t="n">
        <f aca="false">15+19.4/60</f>
        <v>15.3233333333333</v>
      </c>
      <c r="AH102" s="8" t="n">
        <f aca="false">15+43.3/60</f>
        <v>15.7216666666667</v>
      </c>
      <c r="AI102" s="8" t="n">
        <f aca="false">16+23.2/60</f>
        <v>16.3866666666667</v>
      </c>
      <c r="AJ102" s="8" t="n">
        <f aca="false">16+17/60</f>
        <v>16.2833333333333</v>
      </c>
      <c r="AK102" s="8" t="n">
        <f aca="false">16+48/60</f>
        <v>16.8</v>
      </c>
      <c r="AL102" s="8" t="n">
        <f aca="false">16+9.3/60</f>
        <v>16.155</v>
      </c>
      <c r="AM102" s="8" t="n">
        <f aca="false">60/3.8</f>
        <v>15.7894736842105</v>
      </c>
      <c r="AN102" s="8"/>
      <c r="AO102" s="8"/>
      <c r="AP102" s="4"/>
      <c r="AQ102" s="4"/>
      <c r="AR102" s="4"/>
      <c r="AS102" s="14" t="n">
        <f aca="false">60*U102-SUM(AT102:AX102)</f>
        <v>113</v>
      </c>
      <c r="AT102" s="8"/>
      <c r="AU102" s="8"/>
      <c r="AV102" s="8"/>
      <c r="AW102" s="8"/>
      <c r="AX102" s="8"/>
      <c r="AY102" s="4"/>
      <c r="AZ102" s="4"/>
      <c r="BA102" s="4"/>
      <c r="BB102" s="4"/>
      <c r="BC102" s="4"/>
    </row>
    <row r="103" customFormat="false" ht="16.9" hidden="false" customHeight="false" outlineLevel="0" collapsed="false">
      <c r="A103" s="11" t="n">
        <f aca="false">A102+1</f>
        <v>636</v>
      </c>
      <c r="B103" s="12" t="n">
        <v>43983.2694444444</v>
      </c>
      <c r="C103" s="4" t="n">
        <v>1</v>
      </c>
      <c r="D103" s="4"/>
      <c r="E103" s="4"/>
      <c r="F103" s="4" t="s">
        <v>106</v>
      </c>
      <c r="G103" s="6" t="n">
        <v>73</v>
      </c>
      <c r="H103" s="6" t="n">
        <v>75</v>
      </c>
      <c r="I103" s="6" t="n">
        <v>62</v>
      </c>
      <c r="J103" s="6" t="s">
        <v>110</v>
      </c>
      <c r="K103" s="4" t="n">
        <v>6</v>
      </c>
      <c r="L103" s="6" t="n">
        <v>0</v>
      </c>
      <c r="M103" s="3" t="s">
        <v>129</v>
      </c>
      <c r="N103" s="4" t="s">
        <v>73</v>
      </c>
      <c r="O103" s="4"/>
      <c r="P103" s="4" t="s">
        <v>131</v>
      </c>
      <c r="Q103" s="8" t="n">
        <v>6.71</v>
      </c>
      <c r="R103" s="6"/>
      <c r="S103" s="6" t="n">
        <v>15412</v>
      </c>
      <c r="T103" s="6"/>
      <c r="U103" s="8" t="n">
        <f aca="false">(60+59)/60</f>
        <v>1.98333333333333</v>
      </c>
      <c r="V103" s="8" t="n">
        <f aca="false">127/60</f>
        <v>2.11666666666667</v>
      </c>
      <c r="W103" s="8" t="n">
        <f aca="false">V103-U103</f>
        <v>0.133333333333333</v>
      </c>
      <c r="X103" s="8" t="n">
        <f aca="false">Q103/U103</f>
        <v>3.38319327731092</v>
      </c>
      <c r="Y103" s="4" t="n">
        <v>1</v>
      </c>
      <c r="Z103" s="8" t="n">
        <f aca="false">Q103/Y103</f>
        <v>6.71</v>
      </c>
      <c r="AA103" s="8" t="n">
        <f aca="false">17.67</f>
        <v>17.67</v>
      </c>
      <c r="AB103" s="6" t="n">
        <v>282</v>
      </c>
      <c r="AC103" s="6" t="n">
        <v>799</v>
      </c>
      <c r="AD103" s="6" t="n">
        <v>82</v>
      </c>
      <c r="AE103" s="6" t="n">
        <v>126</v>
      </c>
      <c r="AF103" s="8" t="n">
        <f aca="false">17+5.1/60</f>
        <v>17.085</v>
      </c>
      <c r="AG103" s="8" t="n">
        <f aca="false">16+27.3/60</f>
        <v>16.455</v>
      </c>
      <c r="AH103" s="8" t="n">
        <f aca="false">17+32/60</f>
        <v>17.5333333333333</v>
      </c>
      <c r="AI103" s="8" t="n">
        <f aca="false">17+45.1/60</f>
        <v>17.7516666666667</v>
      </c>
      <c r="AJ103" s="8" t="n">
        <f aca="false">18+1/60</f>
        <v>18.0166666666667</v>
      </c>
      <c r="AK103" s="8" t="n">
        <f aca="false">18+21/60</f>
        <v>18.35</v>
      </c>
      <c r="AL103" s="8" t="n">
        <f aca="false">60/3.4</f>
        <v>17.6470588235294</v>
      </c>
      <c r="AM103" s="8"/>
      <c r="AN103" s="8"/>
      <c r="AO103" s="8"/>
      <c r="AP103" s="4" t="n">
        <v>1</v>
      </c>
      <c r="AQ103" s="4" t="n">
        <v>3</v>
      </c>
      <c r="AR103" s="4"/>
      <c r="AS103" s="14" t="n">
        <f aca="false">60*U103-SUM(AT103:AX103)</f>
        <v>56.9833333333333</v>
      </c>
      <c r="AT103" s="8" t="n">
        <f aca="false">27.25</f>
        <v>27.25</v>
      </c>
      <c r="AU103" s="8" t="n">
        <f aca="false">13+43/60</f>
        <v>13.7166666666667</v>
      </c>
      <c r="AV103" s="8" t="n">
        <f aca="false">14+50/60</f>
        <v>14.8333333333333</v>
      </c>
      <c r="AW103" s="8" t="n">
        <f aca="false">6+13/60</f>
        <v>6.21666666666667</v>
      </c>
      <c r="AX103" s="8" t="n">
        <v>0</v>
      </c>
      <c r="AY103" s="4" t="s">
        <v>59</v>
      </c>
      <c r="AZ103" s="4" t="s">
        <v>60</v>
      </c>
      <c r="BA103" s="4" t="n">
        <v>0</v>
      </c>
      <c r="BB103" s="4"/>
      <c r="BC103" s="4"/>
    </row>
    <row r="104" customFormat="false" ht="16.9" hidden="false" customHeight="false" outlineLevel="0" collapsed="false">
      <c r="A104" s="11" t="n">
        <f aca="false">A103+1</f>
        <v>637</v>
      </c>
      <c r="B104" s="12" t="n">
        <v>43984.4576388889</v>
      </c>
      <c r="C104" s="4" t="n">
        <v>1</v>
      </c>
      <c r="D104" s="4"/>
      <c r="E104" s="4"/>
      <c r="F104" s="4" t="s">
        <v>54</v>
      </c>
      <c r="G104" s="6" t="n">
        <v>84</v>
      </c>
      <c r="H104" s="6" t="n">
        <v>70</v>
      </c>
      <c r="I104" s="6" t="n">
        <v>65</v>
      </c>
      <c r="J104" s="6" t="s">
        <v>62</v>
      </c>
      <c r="K104" s="6" t="n">
        <v>12</v>
      </c>
      <c r="L104" s="6" t="n">
        <v>0</v>
      </c>
      <c r="M104" s="3" t="s">
        <v>63</v>
      </c>
      <c r="N104" s="4" t="s">
        <v>73</v>
      </c>
      <c r="O104" s="4"/>
      <c r="P104" s="4" t="s">
        <v>126</v>
      </c>
      <c r="Q104" s="8" t="n">
        <v>7.04</v>
      </c>
      <c r="R104" s="6" t="n">
        <v>1392</v>
      </c>
      <c r="S104" s="6" t="n">
        <v>16929</v>
      </c>
      <c r="T104" s="6" t="n">
        <f aca="false">S104-R104</f>
        <v>15537</v>
      </c>
      <c r="U104" s="8" t="n">
        <f aca="false">(60+59)/60</f>
        <v>1.98333333333333</v>
      </c>
      <c r="V104" s="8" t="n">
        <f aca="false">(120+26)/60</f>
        <v>2.43333333333333</v>
      </c>
      <c r="W104" s="8" t="n">
        <f aca="false">V104-U104</f>
        <v>0.45</v>
      </c>
      <c r="X104" s="8" t="n">
        <f aca="false">Q104/U104</f>
        <v>3.54957983193277</v>
      </c>
      <c r="Y104" s="4" t="n">
        <v>1</v>
      </c>
      <c r="Z104" s="8" t="n">
        <f aca="false">Q104/Y104</f>
        <v>7.04</v>
      </c>
      <c r="AA104" s="8" t="n">
        <f aca="false">16+53/60</f>
        <v>16.8833333333333</v>
      </c>
      <c r="AB104" s="6" t="n">
        <v>840</v>
      </c>
      <c r="AC104" s="6" t="n">
        <v>1174</v>
      </c>
      <c r="AD104" s="6" t="n">
        <v>118</v>
      </c>
      <c r="AE104" s="6" t="n">
        <v>154</v>
      </c>
      <c r="AF104" s="8" t="n">
        <f aca="false">15+43/60</f>
        <v>15.7166666666667</v>
      </c>
      <c r="AG104" s="8" t="n">
        <f aca="false">15+47/60</f>
        <v>15.7833333333333</v>
      </c>
      <c r="AH104" s="8" t="n">
        <f aca="false">17+4/60</f>
        <v>17.0666666666667</v>
      </c>
      <c r="AI104" s="8" t="n">
        <f aca="false">17+17/60</f>
        <v>17.2833333333333</v>
      </c>
      <c r="AJ104" s="8" t="n">
        <f aca="false">17+44/60</f>
        <v>17.7333333333333</v>
      </c>
      <c r="AK104" s="8" t="n">
        <f aca="false">17+38/60</f>
        <v>17.6333333333333</v>
      </c>
      <c r="AL104" s="8" t="n">
        <f aca="false">16+51/60</f>
        <v>16.85</v>
      </c>
      <c r="AM104" s="8" t="n">
        <f aca="false">60/3.6</f>
        <v>16.6666666666667</v>
      </c>
      <c r="AN104" s="8"/>
      <c r="AO104" s="8"/>
      <c r="AP104" s="4" t="n">
        <v>4</v>
      </c>
      <c r="AQ104" s="4" t="n">
        <v>0</v>
      </c>
      <c r="AR104" s="4"/>
      <c r="AS104" s="14" t="n">
        <f aca="false">60*U104-SUM(AT104:AX104)</f>
        <v>0.25</v>
      </c>
      <c r="AT104" s="8" t="n">
        <f aca="false">3+28/60</f>
        <v>3.46666666666667</v>
      </c>
      <c r="AU104" s="8" t="n">
        <f aca="false">36+3/60</f>
        <v>36.05</v>
      </c>
      <c r="AV104" s="8" t="n">
        <f aca="false">25+52/60</f>
        <v>25.8666666666667</v>
      </c>
      <c r="AW104" s="8" t="n">
        <f aca="false">15+28/60</f>
        <v>15.4666666666667</v>
      </c>
      <c r="AX104" s="8" t="n">
        <f aca="false">37+54/60</f>
        <v>37.9</v>
      </c>
      <c r="AY104" s="4" t="s">
        <v>59</v>
      </c>
      <c r="AZ104" s="4" t="s">
        <v>60</v>
      </c>
      <c r="BA104" s="4" t="n">
        <v>0</v>
      </c>
      <c r="BB104" s="4"/>
      <c r="BC104" s="4"/>
    </row>
    <row r="105" customFormat="false" ht="16.9" hidden="false" customHeight="false" outlineLevel="0" collapsed="false">
      <c r="A105" s="11" t="n">
        <f aca="false">A104+1</f>
        <v>638</v>
      </c>
      <c r="B105" s="12" t="n">
        <v>43985.6159722222</v>
      </c>
      <c r="C105" s="4" t="n">
        <v>1</v>
      </c>
      <c r="D105" s="4"/>
      <c r="E105" s="4"/>
      <c r="F105" s="4" t="s">
        <v>71</v>
      </c>
      <c r="G105" s="6" t="n">
        <v>91</v>
      </c>
      <c r="H105" s="6" t="n">
        <v>64</v>
      </c>
      <c r="I105" s="6" t="n">
        <v>41</v>
      </c>
      <c r="J105" s="6" t="s">
        <v>62</v>
      </c>
      <c r="K105" s="6" t="n">
        <v>10</v>
      </c>
      <c r="L105" s="6" t="n">
        <v>0</v>
      </c>
      <c r="M105" s="3" t="s">
        <v>129</v>
      </c>
      <c r="N105" s="4" t="s">
        <v>57</v>
      </c>
      <c r="O105" s="4"/>
      <c r="P105" s="4" t="s">
        <v>58</v>
      </c>
      <c r="Q105" s="8" t="n">
        <v>4.62</v>
      </c>
      <c r="R105" s="6"/>
      <c r="S105" s="6"/>
      <c r="T105" s="6"/>
      <c r="U105" s="8" t="n">
        <f aca="false">102/60</f>
        <v>1.7</v>
      </c>
      <c r="V105" s="8" t="n">
        <f aca="false">102/60</f>
        <v>1.7</v>
      </c>
      <c r="W105" s="8" t="n">
        <f aca="false">V105-U105</f>
        <v>0</v>
      </c>
      <c r="X105" s="8" t="n">
        <f aca="false">Q105/U105</f>
        <v>2.71764705882353</v>
      </c>
      <c r="Y105" s="4" t="n">
        <v>2</v>
      </c>
      <c r="Z105" s="8" t="n">
        <f aca="false">Q105/Y105</f>
        <v>2.31</v>
      </c>
      <c r="AA105" s="8" t="n">
        <f aca="false">22+1/60</f>
        <v>22.0166666666667</v>
      </c>
      <c r="AB105" s="6" t="n">
        <v>253</v>
      </c>
      <c r="AC105" s="6" t="n">
        <v>1044</v>
      </c>
      <c r="AD105" s="6" t="n">
        <v>118</v>
      </c>
      <c r="AE105" s="6" t="n">
        <v>134</v>
      </c>
      <c r="AF105" s="8" t="n">
        <f aca="false">22+49/60</f>
        <v>22.8166666666667</v>
      </c>
      <c r="AG105" s="8" t="n">
        <f aca="false">22+34/60</f>
        <v>22.5666666666667</v>
      </c>
      <c r="AH105" s="8" t="n">
        <f aca="false">22+29.7/60</f>
        <v>22.495</v>
      </c>
      <c r="AI105" s="8" t="n">
        <f aca="false">21+10.3/60</f>
        <v>21.1716666666667</v>
      </c>
      <c r="AJ105" s="8" t="n">
        <f aca="false">60/2.9</f>
        <v>20.6896551724138</v>
      </c>
      <c r="AK105" s="8"/>
      <c r="AL105" s="8"/>
      <c r="AM105" s="8"/>
      <c r="AN105" s="8"/>
      <c r="AO105" s="8"/>
      <c r="AP105" s="4" t="n">
        <v>0</v>
      </c>
      <c r="AQ105" s="4" t="n">
        <v>0</v>
      </c>
      <c r="AR105" s="4"/>
      <c r="AS105" s="14" t="n">
        <f aca="false">60*U105-SUM(AT105:AX105)</f>
        <v>0.449999999999989</v>
      </c>
      <c r="AT105" s="8" t="n">
        <v>3.25</v>
      </c>
      <c r="AU105" s="8" t="n">
        <f aca="false">19+33/60</f>
        <v>19.55</v>
      </c>
      <c r="AV105" s="8" t="n">
        <f aca="false">6+2/60</f>
        <v>6.03333333333333</v>
      </c>
      <c r="AW105" s="8" t="n">
        <f aca="false">70+13/60</f>
        <v>70.2166666666667</v>
      </c>
      <c r="AX105" s="8" t="n">
        <f aca="false">2.5</f>
        <v>2.5</v>
      </c>
      <c r="AY105" s="4" t="s">
        <v>59</v>
      </c>
      <c r="AZ105" s="4" t="s">
        <v>60</v>
      </c>
      <c r="BA105" s="4" t="n">
        <v>0</v>
      </c>
      <c r="BB105" s="4"/>
      <c r="BC105" s="4"/>
    </row>
    <row r="106" customFormat="false" ht="16.9" hidden="false" customHeight="false" outlineLevel="0" collapsed="false">
      <c r="A106" s="11" t="n">
        <f aca="false">A105+1</f>
        <v>639</v>
      </c>
      <c r="B106" s="12" t="n">
        <v>43986.4125</v>
      </c>
      <c r="C106" s="4" t="n">
        <v>1</v>
      </c>
      <c r="D106" s="4"/>
      <c r="E106" s="4"/>
      <c r="F106" s="4" t="s">
        <v>71</v>
      </c>
      <c r="G106" s="6" t="n">
        <v>86</v>
      </c>
      <c r="H106" s="6" t="n">
        <v>74</v>
      </c>
      <c r="I106" s="6" t="n">
        <v>66</v>
      </c>
      <c r="J106" s="6" t="s">
        <v>72</v>
      </c>
      <c r="K106" s="6" t="n">
        <v>10</v>
      </c>
      <c r="L106" s="6" t="n">
        <v>0</v>
      </c>
      <c r="M106" s="3" t="s">
        <v>129</v>
      </c>
      <c r="N106" s="4" t="s">
        <v>73</v>
      </c>
      <c r="O106" s="4"/>
      <c r="P106" s="4" t="s">
        <v>58</v>
      </c>
      <c r="Q106" s="8" t="n">
        <v>4.06</v>
      </c>
      <c r="R106" s="6" t="n">
        <v>1196</v>
      </c>
      <c r="S106" s="6" t="n">
        <v>12451</v>
      </c>
      <c r="T106" s="6" t="n">
        <f aca="false">S106-R106</f>
        <v>11255</v>
      </c>
      <c r="U106" s="8" t="n">
        <f aca="false">91/60</f>
        <v>1.51666666666667</v>
      </c>
      <c r="V106" s="8" t="n">
        <f aca="false">97/60</f>
        <v>1.61666666666667</v>
      </c>
      <c r="W106" s="8" t="n">
        <f aca="false">V106-U106</f>
        <v>0.1</v>
      </c>
      <c r="X106" s="8" t="n">
        <f aca="false">Q106/U106</f>
        <v>2.67692307692308</v>
      </c>
      <c r="Y106" s="4" t="n">
        <v>2</v>
      </c>
      <c r="Z106" s="8" t="n">
        <f aca="false">Q106/Y106</f>
        <v>2.03</v>
      </c>
      <c r="AA106" s="8" t="n">
        <f aca="false">22+19/60</f>
        <v>22.3166666666667</v>
      </c>
      <c r="AB106" s="6" t="n">
        <v>62</v>
      </c>
      <c r="AC106" s="6" t="n">
        <v>824</v>
      </c>
      <c r="AD106" s="6" t="n">
        <v>112</v>
      </c>
      <c r="AE106" s="6" t="n">
        <v>128</v>
      </c>
      <c r="AF106" s="8" t="n">
        <f aca="false">20+42/60</f>
        <v>20.7</v>
      </c>
      <c r="AG106" s="8" t="n">
        <f aca="false">23+10/60</f>
        <v>23.1666666666667</v>
      </c>
      <c r="AH106" s="8" t="n">
        <f aca="false">23+37/60</f>
        <v>23.6166666666667</v>
      </c>
      <c r="AI106" s="8" t="n">
        <f aca="false">21+49/60</f>
        <v>21.8166666666667</v>
      </c>
      <c r="AJ106" s="8" t="n">
        <f aca="false">60/2.7</f>
        <v>22.2222222222222</v>
      </c>
      <c r="AK106" s="8"/>
      <c r="AL106" s="8"/>
      <c r="AM106" s="8"/>
      <c r="AN106" s="8"/>
      <c r="AO106" s="8"/>
      <c r="AP106" s="4" t="n">
        <v>1</v>
      </c>
      <c r="AQ106" s="4" t="n">
        <v>0</v>
      </c>
      <c r="AR106" s="4"/>
      <c r="AS106" s="14" t="n">
        <f aca="false">60*U106-SUM(AT106:AX106)</f>
        <v>0.849999999999994</v>
      </c>
      <c r="AT106" s="8" t="n">
        <f aca="false">5+38/60</f>
        <v>5.63333333333333</v>
      </c>
      <c r="AU106" s="8" t="n">
        <f aca="false">10+45/60</f>
        <v>10.75</v>
      </c>
      <c r="AV106" s="8" t="n">
        <f aca="false">53+46/60</f>
        <v>53.7666666666667</v>
      </c>
      <c r="AW106" s="8" t="n">
        <f aca="false">20</f>
        <v>20</v>
      </c>
      <c r="AX106" s="8" t="n">
        <v>0</v>
      </c>
      <c r="AY106" s="4" t="s">
        <v>59</v>
      </c>
      <c r="AZ106" s="4" t="s">
        <v>60</v>
      </c>
      <c r="BA106" s="4" t="n">
        <v>0</v>
      </c>
      <c r="BB106" s="4"/>
      <c r="BC106" s="4"/>
    </row>
    <row r="107" customFormat="false" ht="16.9" hidden="false" customHeight="false" outlineLevel="0" collapsed="false">
      <c r="A107" s="11" t="n">
        <f aca="false">A106+1</f>
        <v>640</v>
      </c>
      <c r="B107" s="12" t="n">
        <v>43987.5</v>
      </c>
      <c r="C107" s="4" t="n">
        <v>0</v>
      </c>
      <c r="D107" s="4" t="s">
        <v>134</v>
      </c>
      <c r="E107" s="4"/>
      <c r="F107" s="4" t="s">
        <v>54</v>
      </c>
      <c r="G107" s="6" t="n">
        <v>93</v>
      </c>
      <c r="H107" s="6" t="n">
        <v>74</v>
      </c>
      <c r="I107" s="6" t="n">
        <v>54</v>
      </c>
      <c r="J107" s="6" t="s">
        <v>62</v>
      </c>
      <c r="K107" s="6" t="n">
        <v>10</v>
      </c>
      <c r="L107" s="6" t="n">
        <v>0</v>
      </c>
      <c r="M107" s="3" t="s">
        <v>129</v>
      </c>
      <c r="N107" s="4"/>
      <c r="O107" s="4"/>
      <c r="P107" s="4"/>
      <c r="Q107" s="8"/>
      <c r="R107" s="6"/>
      <c r="S107" s="6"/>
      <c r="T107" s="6"/>
      <c r="U107" s="8"/>
      <c r="V107" s="8"/>
      <c r="W107" s="8"/>
      <c r="X107" s="8"/>
      <c r="Y107" s="4"/>
      <c r="Z107" s="8"/>
      <c r="AA107" s="8"/>
      <c r="AB107" s="6"/>
      <c r="AC107" s="6"/>
      <c r="AD107" s="6"/>
      <c r="AE107" s="4"/>
      <c r="AF107" s="8"/>
      <c r="AG107" s="8"/>
      <c r="AI107" s="8"/>
      <c r="AJ107" s="8"/>
      <c r="AK107" s="8"/>
      <c r="AL107" s="8"/>
      <c r="AM107" s="8"/>
      <c r="AN107" s="8"/>
      <c r="AO107" s="8"/>
      <c r="AP107" s="4"/>
      <c r="AQ107" s="4"/>
      <c r="AR107" s="4"/>
      <c r="AS107" s="14"/>
      <c r="AT107" s="8"/>
      <c r="AU107" s="8"/>
      <c r="AV107" s="8"/>
      <c r="AW107" s="8"/>
      <c r="AX107" s="8"/>
      <c r="AY107" s="4"/>
      <c r="AZ107" s="4"/>
      <c r="BA107" s="4"/>
      <c r="BB107" s="4"/>
      <c r="BC107" s="4"/>
    </row>
    <row r="108" customFormat="false" ht="16.9" hidden="false" customHeight="false" outlineLevel="0" collapsed="false">
      <c r="A108" s="11" t="n">
        <f aca="false">A107+1</f>
        <v>641</v>
      </c>
      <c r="B108" s="12" t="n">
        <v>43988.4729166667</v>
      </c>
      <c r="C108" s="4" t="n">
        <v>1</v>
      </c>
      <c r="D108" s="4"/>
      <c r="E108" s="4"/>
      <c r="F108" s="4" t="s">
        <v>71</v>
      </c>
      <c r="G108" s="6" t="n">
        <f aca="false">AVERAGE(90,91)</f>
        <v>90.5</v>
      </c>
      <c r="H108" s="6" t="n">
        <v>70</v>
      </c>
      <c r="I108" s="6" t="n">
        <f aca="false">AVERAGE(50,48)</f>
        <v>49</v>
      </c>
      <c r="J108" s="4" t="s">
        <v>85</v>
      </c>
      <c r="K108" s="6" t="n">
        <v>7</v>
      </c>
      <c r="L108" s="6" t="n">
        <v>0</v>
      </c>
      <c r="M108" s="3" t="s">
        <v>129</v>
      </c>
      <c r="N108" s="4" t="s">
        <v>73</v>
      </c>
      <c r="O108" s="4"/>
      <c r="P108" s="4" t="s">
        <v>58</v>
      </c>
      <c r="Q108" s="8" t="n">
        <v>5.87</v>
      </c>
      <c r="R108" s="6"/>
      <c r="S108" s="6"/>
      <c r="T108" s="6"/>
      <c r="U108" s="8" t="n">
        <f aca="false">123/60</f>
        <v>2.05</v>
      </c>
      <c r="V108" s="8" t="n">
        <f aca="false">124/60</f>
        <v>2.06666666666667</v>
      </c>
      <c r="W108" s="8" t="n">
        <f aca="false">V108-U108</f>
        <v>0.0166666666666671</v>
      </c>
      <c r="X108" s="8" t="n">
        <f aca="false">Q108/U108</f>
        <v>2.86341463414634</v>
      </c>
      <c r="Y108" s="4" t="n">
        <v>2</v>
      </c>
      <c r="Z108" s="8" t="n">
        <f aca="false">Q108/Y108</f>
        <v>2.935</v>
      </c>
      <c r="AA108" s="8" t="n">
        <f aca="false">20+53/60</f>
        <v>20.8833333333333</v>
      </c>
      <c r="AB108" s="6" t="n">
        <v>302</v>
      </c>
      <c r="AC108" s="6" t="n">
        <v>1491</v>
      </c>
      <c r="AD108" s="6" t="n">
        <v>130</v>
      </c>
      <c r="AE108" s="6" t="n">
        <v>150</v>
      </c>
      <c r="AF108" s="8" t="n">
        <f aca="false">18+29/60</f>
        <v>18.4833333333333</v>
      </c>
      <c r="AG108" s="8" t="n">
        <f aca="false">22+8/60</f>
        <v>22.1333333333333</v>
      </c>
      <c r="AH108" s="8" t="n">
        <f aca="false">22+17/60</f>
        <v>22.2833333333333</v>
      </c>
      <c r="AI108" s="8" t="n">
        <f aca="false">19+3/50</f>
        <v>19.06</v>
      </c>
      <c r="AJ108" s="8" t="n">
        <f aca="false">20+59/60</f>
        <v>20.9833333333333</v>
      </c>
      <c r="AK108" s="8" t="n">
        <f aca="false">60/2.6</f>
        <v>23.0769230769231</v>
      </c>
      <c r="AL108" s="8"/>
      <c r="AM108" s="8"/>
      <c r="AN108" s="8"/>
      <c r="AO108" s="8"/>
      <c r="AP108" s="4" t="n">
        <v>0</v>
      </c>
      <c r="AQ108" s="4" t="n">
        <v>0</v>
      </c>
      <c r="AR108" s="4"/>
      <c r="AS108" s="14" t="n">
        <f aca="false">60*U108-SUM(AT108:AX108)</f>
        <v>0.299999999999983</v>
      </c>
      <c r="AT108" s="8" t="n">
        <v>0</v>
      </c>
      <c r="AU108" s="8" t="n">
        <f aca="false">25/60</f>
        <v>0.416666666666667</v>
      </c>
      <c r="AV108" s="8" t="n">
        <f aca="false">5+33/60</f>
        <v>5.55</v>
      </c>
      <c r="AW108" s="8" t="n">
        <f aca="false">81+3/60</f>
        <v>81.05</v>
      </c>
      <c r="AX108" s="8" t="n">
        <f aca="false">35+41/60</f>
        <v>35.6833333333333</v>
      </c>
      <c r="AY108" s="4" t="s">
        <v>59</v>
      </c>
      <c r="AZ108" s="4" t="s">
        <v>60</v>
      </c>
      <c r="BA108" s="4" t="n">
        <v>0</v>
      </c>
      <c r="BB108" s="4"/>
      <c r="BC108" s="4"/>
    </row>
    <row r="109" customFormat="false" ht="16.9" hidden="false" customHeight="false" outlineLevel="0" collapsed="false">
      <c r="A109" s="11" t="n">
        <f aca="false">A108+1</f>
        <v>642</v>
      </c>
      <c r="B109" s="12" t="n">
        <v>43989.5145833333</v>
      </c>
      <c r="C109" s="4" t="n">
        <v>0</v>
      </c>
      <c r="D109" s="4" t="s">
        <v>79</v>
      </c>
      <c r="E109" s="4"/>
      <c r="F109" s="4" t="s">
        <v>54</v>
      </c>
      <c r="G109" s="6" t="n">
        <v>91</v>
      </c>
      <c r="H109" s="6" t="n">
        <v>69</v>
      </c>
      <c r="I109" s="6" t="n">
        <v>48</v>
      </c>
      <c r="J109" s="4" t="s">
        <v>75</v>
      </c>
      <c r="K109" s="6" t="n">
        <v>0</v>
      </c>
      <c r="L109" s="6" t="n">
        <v>0</v>
      </c>
      <c r="M109" s="3" t="s">
        <v>129</v>
      </c>
      <c r="N109" s="4"/>
      <c r="O109" s="4"/>
      <c r="P109" s="4"/>
      <c r="Q109" s="8"/>
      <c r="R109" s="6"/>
      <c r="S109" s="6"/>
      <c r="T109" s="6"/>
      <c r="U109" s="8"/>
      <c r="V109" s="8"/>
      <c r="W109" s="8"/>
      <c r="X109" s="8"/>
      <c r="Y109" s="4"/>
      <c r="Z109" s="8"/>
      <c r="AA109" s="8"/>
      <c r="AB109" s="6"/>
      <c r="AC109" s="6"/>
      <c r="AD109" s="6"/>
      <c r="AE109" s="4"/>
      <c r="AF109" s="8"/>
      <c r="AG109" s="8"/>
      <c r="AI109" s="8"/>
      <c r="AJ109" s="8"/>
      <c r="AK109" s="8"/>
      <c r="AL109" s="8"/>
      <c r="AM109" s="8"/>
      <c r="AN109" s="8"/>
      <c r="AO109" s="8"/>
      <c r="AP109" s="4"/>
      <c r="AQ109" s="4"/>
      <c r="AR109" s="4"/>
      <c r="AS109" s="14"/>
      <c r="AT109" s="8"/>
      <c r="AU109" s="8"/>
      <c r="AV109" s="8"/>
      <c r="AW109" s="8"/>
      <c r="AX109" s="8"/>
      <c r="AY109" s="4"/>
      <c r="AZ109" s="4"/>
      <c r="BA109" s="4"/>
      <c r="BB109" s="4"/>
      <c r="BC109" s="4"/>
    </row>
    <row r="110" customFormat="false" ht="16.9" hidden="false" customHeight="false" outlineLevel="0" collapsed="false">
      <c r="A110" s="11" t="n">
        <f aca="false">A109+1</f>
        <v>643</v>
      </c>
      <c r="B110" s="12" t="n">
        <v>43990.56875</v>
      </c>
      <c r="C110" s="4" t="n">
        <v>1</v>
      </c>
      <c r="D110" s="4"/>
      <c r="E110" s="4"/>
      <c r="F110" s="4" t="s">
        <v>71</v>
      </c>
      <c r="G110" s="6" t="n">
        <v>94</v>
      </c>
      <c r="H110" s="6" t="n">
        <v>71</v>
      </c>
      <c r="I110" s="6" t="n">
        <v>47</v>
      </c>
      <c r="J110" s="4" t="s">
        <v>124</v>
      </c>
      <c r="K110" s="6" t="n">
        <v>5</v>
      </c>
      <c r="L110" s="6" t="n">
        <v>0</v>
      </c>
      <c r="M110" s="3" t="s">
        <v>129</v>
      </c>
      <c r="N110" s="4" t="s">
        <v>73</v>
      </c>
      <c r="O110" s="4"/>
      <c r="P110" s="4" t="s">
        <v>58</v>
      </c>
      <c r="Q110" s="8" t="n">
        <v>5.78</v>
      </c>
      <c r="R110" s="6" t="n">
        <v>1718</v>
      </c>
      <c r="S110" s="6" t="n">
        <v>17665</v>
      </c>
      <c r="T110" s="6" t="n">
        <f aca="false">S110-R110</f>
        <v>15947</v>
      </c>
      <c r="U110" s="8" t="n">
        <f aca="false">126/60</f>
        <v>2.1</v>
      </c>
      <c r="V110" s="8" t="n">
        <f aca="false">128/60</f>
        <v>2.13333333333333</v>
      </c>
      <c r="W110" s="8" t="n">
        <f aca="false">V110-U110</f>
        <v>0.0333333333333332</v>
      </c>
      <c r="X110" s="8" t="n">
        <f aca="false">Q110/U110</f>
        <v>2.75238095238095</v>
      </c>
      <c r="Y110" s="4" t="n">
        <v>2</v>
      </c>
      <c r="Z110" s="8" t="n">
        <f aca="false">Q110/Y110</f>
        <v>2.89</v>
      </c>
      <c r="AA110" s="8" t="n">
        <f aca="false">21+49/60</f>
        <v>21.8166666666667</v>
      </c>
      <c r="AB110" s="6" t="n">
        <v>177</v>
      </c>
      <c r="AC110" s="6" t="n">
        <v>1313</v>
      </c>
      <c r="AD110" s="6" t="n">
        <v>122</v>
      </c>
      <c r="AE110" s="6" t="n">
        <v>151</v>
      </c>
      <c r="AF110" s="8" t="n">
        <f aca="false">18+28/60</f>
        <v>18.4666666666667</v>
      </c>
      <c r="AG110" s="8" t="n">
        <f aca="false">22+8/60</f>
        <v>22.1333333333333</v>
      </c>
      <c r="AH110" s="8" t="n">
        <f aca="false">23+53/60</f>
        <v>23.8833333333333</v>
      </c>
      <c r="AI110" s="8" t="n">
        <f aca="false">21+19/60</f>
        <v>21.3166666666667</v>
      </c>
      <c r="AJ110" s="8" t="n">
        <f aca="false">21+8/60</f>
        <v>21.1333333333333</v>
      </c>
      <c r="AK110" s="8" t="n">
        <f aca="false">60/2.7</f>
        <v>22.2222222222222</v>
      </c>
      <c r="AL110" s="8"/>
      <c r="AM110" s="8"/>
      <c r="AN110" s="8"/>
      <c r="AO110" s="8"/>
      <c r="AP110" s="4" t="n">
        <v>1</v>
      </c>
      <c r="AQ110" s="4" t="n">
        <v>1</v>
      </c>
      <c r="AR110" s="4"/>
      <c r="AS110" s="14" t="n">
        <f aca="false">60*U110-SUM(AT110:AX110)</f>
        <v>0.11666666666666</v>
      </c>
      <c r="AT110" s="8" t="n">
        <f aca="false">4+27/60</f>
        <v>4.45</v>
      </c>
      <c r="AU110" s="8" t="n">
        <f aca="false">20+54/60</f>
        <v>20.9</v>
      </c>
      <c r="AV110" s="8" t="n">
        <f aca="false">9+35/60</f>
        <v>9.58333333333333</v>
      </c>
      <c r="AW110" s="8" t="n">
        <f aca="false">67+12/60</f>
        <v>67.2</v>
      </c>
      <c r="AX110" s="8" t="n">
        <f aca="false">23+45/60</f>
        <v>23.75</v>
      </c>
      <c r="AY110" s="4" t="s">
        <v>59</v>
      </c>
      <c r="AZ110" s="4" t="s">
        <v>60</v>
      </c>
      <c r="BA110" s="4" t="n">
        <v>0</v>
      </c>
      <c r="BB110" s="4"/>
      <c r="BC110" s="4"/>
    </row>
    <row r="111" customFormat="false" ht="16.9" hidden="false" customHeight="false" outlineLevel="0" collapsed="false">
      <c r="A111" s="11" t="n">
        <f aca="false">A110+1</f>
        <v>644</v>
      </c>
      <c r="B111" s="12" t="n">
        <v>43991.4229166667</v>
      </c>
      <c r="C111" s="4" t="n">
        <v>1</v>
      </c>
      <c r="D111" s="4"/>
      <c r="E111" s="4"/>
      <c r="F111" s="4" t="s">
        <v>71</v>
      </c>
      <c r="G111" s="6" t="n">
        <v>93</v>
      </c>
      <c r="H111" s="6" t="n">
        <v>67</v>
      </c>
      <c r="I111" s="6" t="n">
        <v>42</v>
      </c>
      <c r="J111" s="4" t="s">
        <v>80</v>
      </c>
      <c r="K111" s="6" t="n">
        <v>24</v>
      </c>
      <c r="L111" s="6" t="n">
        <v>35</v>
      </c>
      <c r="M111" s="3" t="s">
        <v>129</v>
      </c>
      <c r="N111" s="4" t="s">
        <v>73</v>
      </c>
      <c r="O111" s="4"/>
      <c r="P111" s="4" t="s">
        <v>58</v>
      </c>
      <c r="Q111" s="8" t="n">
        <v>2.97</v>
      </c>
      <c r="R111" s="6"/>
      <c r="S111" s="6"/>
      <c r="T111" s="6"/>
      <c r="U111" s="8" t="n">
        <f aca="false">64/60</f>
        <v>1.06666666666667</v>
      </c>
      <c r="V111" s="8" t="n">
        <f aca="false">U111</f>
        <v>1.06666666666667</v>
      </c>
      <c r="W111" s="8" t="n">
        <f aca="false">V111-U111</f>
        <v>0</v>
      </c>
      <c r="X111" s="8" t="n">
        <f aca="false">Q111/U111</f>
        <v>2.784375</v>
      </c>
      <c r="Y111" s="4" t="n">
        <v>1</v>
      </c>
      <c r="Z111" s="8" t="n">
        <f aca="false">Q111/Y111</f>
        <v>2.97</v>
      </c>
      <c r="AA111" s="8" t="n">
        <f aca="false">21+31/60</f>
        <v>21.5166666666667</v>
      </c>
      <c r="AB111" s="6" t="n">
        <v>210</v>
      </c>
      <c r="AC111" s="6" t="n">
        <v>649</v>
      </c>
      <c r="AD111" s="6" t="n">
        <v>119</v>
      </c>
      <c r="AE111" s="6" t="n">
        <v>137</v>
      </c>
      <c r="AF111" s="8" t="n">
        <f aca="false">20+46/60</f>
        <v>20.7666666666667</v>
      </c>
      <c r="AG111" s="8" t="n">
        <f aca="false">20+15/60</f>
        <v>20.25</v>
      </c>
      <c r="AH111" s="8" t="n">
        <f aca="false">60/2.8</f>
        <v>21.4285714285714</v>
      </c>
      <c r="AI111" s="8"/>
      <c r="AJ111" s="8"/>
      <c r="AK111" s="8"/>
      <c r="AL111" s="8"/>
      <c r="AM111" s="8"/>
      <c r="AN111" s="8"/>
      <c r="AO111" s="8"/>
      <c r="AP111" s="4" t="n">
        <v>0</v>
      </c>
      <c r="AQ111" s="4" t="n">
        <v>0</v>
      </c>
      <c r="AR111" s="4"/>
      <c r="AS111" s="14" t="n">
        <f aca="false">60*U111-SUM(AT111:AX111)</f>
        <v>0.0666666666666629</v>
      </c>
      <c r="AT111" s="8" t="n">
        <f aca="false">19/60</f>
        <v>0.316666666666667</v>
      </c>
      <c r="AU111" s="8" t="n">
        <f aca="false">9+11/60</f>
        <v>9.18333333333333</v>
      </c>
      <c r="AV111" s="8" t="n">
        <f aca="false">14+1/60</f>
        <v>14.0166666666667</v>
      </c>
      <c r="AW111" s="8" t="n">
        <f aca="false">39+44/60</f>
        <v>39.7333333333333</v>
      </c>
      <c r="AX111" s="8" t="n">
        <f aca="false">41/60</f>
        <v>0.683333333333333</v>
      </c>
      <c r="AY111" s="4" t="s">
        <v>59</v>
      </c>
      <c r="AZ111" s="4" t="s">
        <v>60</v>
      </c>
      <c r="BA111" s="4" t="n">
        <v>0</v>
      </c>
      <c r="BB111" s="4"/>
      <c r="BC111" s="4"/>
    </row>
    <row r="112" customFormat="false" ht="16.9" hidden="false" customHeight="false" outlineLevel="0" collapsed="false">
      <c r="A112" s="11" t="n">
        <f aca="false">A111+1</f>
        <v>645</v>
      </c>
      <c r="B112" s="12" t="n">
        <v>43991.475</v>
      </c>
      <c r="C112" s="4" t="n">
        <v>1</v>
      </c>
      <c r="D112" s="4"/>
      <c r="E112" s="4"/>
      <c r="F112" s="4" t="s">
        <v>71</v>
      </c>
      <c r="G112" s="6" t="n">
        <v>97</v>
      </c>
      <c r="H112" s="6" t="n">
        <f aca="false">(56+44)/2</f>
        <v>50</v>
      </c>
      <c r="I112" s="6" t="n">
        <v>26</v>
      </c>
      <c r="J112" s="4" t="s">
        <v>81</v>
      </c>
      <c r="K112" s="6" t="n">
        <v>16</v>
      </c>
      <c r="L112" s="6" t="n">
        <v>27</v>
      </c>
      <c r="M112" s="3" t="s">
        <v>129</v>
      </c>
      <c r="N112" s="4" t="s">
        <v>73</v>
      </c>
      <c r="O112" s="4"/>
      <c r="P112" s="4" t="s">
        <v>135</v>
      </c>
      <c r="Q112" s="8" t="n">
        <v>1.25</v>
      </c>
      <c r="R112" s="6"/>
      <c r="S112" s="6"/>
      <c r="T112" s="6"/>
      <c r="U112" s="8" t="n">
        <f aca="false">31/60</f>
        <v>0.516666666666667</v>
      </c>
      <c r="V112" s="8" t="n">
        <f aca="false">32/60</f>
        <v>0.533333333333333</v>
      </c>
      <c r="W112" s="8" t="n">
        <f aca="false">V112-U112</f>
        <v>0.0166666666666666</v>
      </c>
      <c r="X112" s="8" t="n">
        <f aca="false">Q112/U112</f>
        <v>2.41935483870968</v>
      </c>
      <c r="Y112" s="4" t="n">
        <v>1</v>
      </c>
      <c r="Z112" s="8" t="n">
        <f aca="false">Q112/Y112</f>
        <v>1.25</v>
      </c>
      <c r="AA112" s="8" t="n">
        <f aca="false">24+54/60</f>
        <v>24.9</v>
      </c>
      <c r="AB112" s="6" t="n">
        <v>16</v>
      </c>
      <c r="AC112" s="6" t="n">
        <v>279</v>
      </c>
      <c r="AD112" s="6" t="n">
        <v>108</v>
      </c>
      <c r="AE112" s="6" t="n">
        <v>120</v>
      </c>
      <c r="AF112" s="8" t="n">
        <f aca="false">24+17/60</f>
        <v>24.2833333333333</v>
      </c>
      <c r="AG112" s="8" t="n">
        <f aca="false">60/2.4</f>
        <v>25</v>
      </c>
      <c r="AI112" s="8"/>
      <c r="AJ112" s="8"/>
      <c r="AK112" s="8"/>
      <c r="AL112" s="8"/>
      <c r="AM112" s="8"/>
      <c r="AN112" s="8"/>
      <c r="AO112" s="8"/>
      <c r="AP112" s="4" t="n">
        <v>0</v>
      </c>
      <c r="AQ112" s="4" t="n">
        <v>0</v>
      </c>
      <c r="AR112" s="4"/>
      <c r="AS112" s="14" t="n">
        <v>0</v>
      </c>
      <c r="AT112" s="8" t="n">
        <v>0</v>
      </c>
      <c r="AU112" s="8" t="n">
        <f aca="false">9+20/60</f>
        <v>9.33333333333333</v>
      </c>
      <c r="AV112" s="8" t="n">
        <f aca="false">21+23/60</f>
        <v>21.3833333333333</v>
      </c>
      <c r="AW112" s="8" t="n">
        <v>0.333333333333333</v>
      </c>
      <c r="AX112" s="8" t="n">
        <v>0</v>
      </c>
      <c r="AY112" s="4" t="s">
        <v>59</v>
      </c>
      <c r="AZ112" s="4" t="s">
        <v>60</v>
      </c>
      <c r="BA112" s="4" t="n">
        <v>0</v>
      </c>
      <c r="BB112" s="4"/>
      <c r="BC112" s="4"/>
    </row>
    <row r="113" customFormat="false" ht="16.9" hidden="false" customHeight="false" outlineLevel="0" collapsed="false">
      <c r="A113" s="11" t="n">
        <f aca="false">A112+1</f>
        <v>646</v>
      </c>
      <c r="B113" s="12" t="n">
        <v>43992.5333333333</v>
      </c>
      <c r="C113" s="4" t="n">
        <v>1</v>
      </c>
      <c r="D113" s="4"/>
      <c r="E113" s="4"/>
      <c r="F113" s="4" t="s">
        <v>71</v>
      </c>
      <c r="G113" s="6" t="n">
        <v>76</v>
      </c>
      <c r="H113" s="6" t="n">
        <v>43</v>
      </c>
      <c r="I113" s="6" t="n">
        <v>23</v>
      </c>
      <c r="J113" s="6" t="s">
        <v>68</v>
      </c>
      <c r="K113" s="6" t="n">
        <v>12</v>
      </c>
      <c r="L113" s="6" t="n">
        <v>25</v>
      </c>
      <c r="M113" s="3" t="s">
        <v>63</v>
      </c>
      <c r="N113" s="4" t="s">
        <v>57</v>
      </c>
      <c r="O113" s="4"/>
      <c r="P113" s="4" t="s">
        <v>69</v>
      </c>
      <c r="Q113" s="8" t="n">
        <v>7.53</v>
      </c>
      <c r="R113" s="6" t="n">
        <v>1541</v>
      </c>
      <c r="S113" s="6" t="n">
        <v>17850</v>
      </c>
      <c r="T113" s="6" t="n">
        <f aca="false">S113-R113</f>
        <v>16309</v>
      </c>
      <c r="U113" s="8" t="n">
        <f aca="false">119/60</f>
        <v>1.98333333333333</v>
      </c>
      <c r="V113" s="8" t="n">
        <v>2.28333333333333</v>
      </c>
      <c r="W113" s="8" t="n">
        <f aca="false">V113-U113</f>
        <v>0.299999999999997</v>
      </c>
      <c r="X113" s="8" t="n">
        <f aca="false">Q113/U113</f>
        <v>3.79663865546218</v>
      </c>
      <c r="Y113" s="4" t="n">
        <v>1</v>
      </c>
      <c r="Z113" s="8" t="n">
        <f aca="false">Q113/Y113</f>
        <v>7.53</v>
      </c>
      <c r="AA113" s="8" t="n">
        <f aca="false">15+49/60</f>
        <v>15.8166666666667</v>
      </c>
      <c r="AB113" s="6" t="n">
        <v>151</v>
      </c>
      <c r="AC113" s="6" t="n">
        <v>1211</v>
      </c>
      <c r="AD113" s="6" t="n">
        <v>122</v>
      </c>
      <c r="AE113" s="6" t="n">
        <v>151</v>
      </c>
      <c r="AF113" s="8" t="n">
        <f aca="false">15+17/60</f>
        <v>15.2833333333333</v>
      </c>
      <c r="AG113" s="8" t="n">
        <f aca="false">15+2/60</f>
        <v>15.0333333333333</v>
      </c>
      <c r="AH113" s="8" t="n">
        <f aca="false">15+10/60</f>
        <v>15.1666666666667</v>
      </c>
      <c r="AI113" s="8" t="n">
        <f aca="false">15+49/60</f>
        <v>15.8166666666667</v>
      </c>
      <c r="AJ113" s="8" t="n">
        <f aca="false">16+56/60</f>
        <v>16.9333333333333</v>
      </c>
      <c r="AK113" s="8" t="n">
        <f aca="false">16+42/60</f>
        <v>16.7</v>
      </c>
      <c r="AL113" s="8" t="n">
        <f aca="false">16+42/60</f>
        <v>16.7</v>
      </c>
      <c r="AM113" s="8" t="n">
        <f aca="false">60/3.7</f>
        <v>16.2162162162162</v>
      </c>
      <c r="AN113" s="8"/>
      <c r="AO113" s="8"/>
      <c r="AP113" s="4" t="n">
        <v>5</v>
      </c>
      <c r="AQ113" s="4" t="n">
        <v>1</v>
      </c>
      <c r="AR113" s="4"/>
      <c r="AS113" s="14" t="n">
        <f aca="false">60*U113-SUM(AT113:AX113)</f>
        <v>83.68</v>
      </c>
      <c r="AT113" s="8" t="n">
        <f aca="false">51/60</f>
        <v>0.85</v>
      </c>
      <c r="AU113" s="8" t="n">
        <f aca="false">(33+3/60)</f>
        <v>33.05</v>
      </c>
      <c r="AV113" s="8" t="n">
        <f aca="false">17/60</f>
        <v>0.283333333333333</v>
      </c>
      <c r="AW113" s="8" t="n">
        <f aca="false">(14+54/60)/60</f>
        <v>0.248333333333333</v>
      </c>
      <c r="AX113" s="8" t="n">
        <f aca="false">(53+18/60)/60</f>
        <v>0.888333333333333</v>
      </c>
      <c r="AY113" s="4" t="s">
        <v>59</v>
      </c>
      <c r="AZ113" s="4" t="s">
        <v>60</v>
      </c>
      <c r="BA113" s="4" t="n">
        <v>0</v>
      </c>
      <c r="BB113" s="4"/>
      <c r="BC113" s="4"/>
    </row>
    <row r="114" customFormat="false" ht="16.9" hidden="false" customHeight="false" outlineLevel="0" collapsed="false">
      <c r="A114" s="11" t="n">
        <f aca="false">A113+1</f>
        <v>647</v>
      </c>
      <c r="B114" s="12" t="n">
        <v>43993.4159722222</v>
      </c>
      <c r="C114" s="4" t="n">
        <v>1</v>
      </c>
      <c r="D114" s="4"/>
      <c r="E114" s="4"/>
      <c r="F114" s="4" t="s">
        <v>71</v>
      </c>
      <c r="G114" s="6" t="n">
        <v>87</v>
      </c>
      <c r="H114" s="6" t="n">
        <f aca="false">AVERAGE(47,48)</f>
        <v>47.5</v>
      </c>
      <c r="I114" s="6" t="n">
        <v>26</v>
      </c>
      <c r="J114" s="6" t="s">
        <v>83</v>
      </c>
      <c r="K114" s="6" t="n">
        <v>7</v>
      </c>
      <c r="L114" s="6" t="n">
        <v>0</v>
      </c>
      <c r="M114" s="3" t="s">
        <v>63</v>
      </c>
      <c r="N114" s="4" t="s">
        <v>57</v>
      </c>
      <c r="O114" s="4"/>
      <c r="P114" s="4" t="s">
        <v>126</v>
      </c>
      <c r="Q114" s="8" t="n">
        <v>5.23</v>
      </c>
      <c r="R114" s="6" t="n">
        <v>1265</v>
      </c>
      <c r="S114" s="6" t="n">
        <v>12504</v>
      </c>
      <c r="T114" s="6" t="n">
        <f aca="false">S114-R114</f>
        <v>11239</v>
      </c>
      <c r="U114" s="8" t="n">
        <f aca="false">87/60</f>
        <v>1.45</v>
      </c>
      <c r="V114" s="8" t="n">
        <f aca="false">95/60</f>
        <v>1.58333333333333</v>
      </c>
      <c r="W114" s="8" t="n">
        <f aca="false">V114-U114</f>
        <v>0.133333333333333</v>
      </c>
      <c r="X114" s="8" t="n">
        <f aca="false">Q114/U114</f>
        <v>3.60689655172414</v>
      </c>
      <c r="Y114" s="4" t="n">
        <v>1</v>
      </c>
      <c r="Z114" s="8" t="n">
        <f aca="false">Q114/Y114</f>
        <v>5.23</v>
      </c>
      <c r="AA114" s="8" t="n">
        <f aca="false">16+34/60</f>
        <v>16.5666666666667</v>
      </c>
      <c r="AB114" s="6" t="n">
        <v>135</v>
      </c>
      <c r="AC114" s="6" t="n">
        <v>745</v>
      </c>
      <c r="AD114" s="6" t="n">
        <v>119</v>
      </c>
      <c r="AE114" s="6" t="n">
        <v>131</v>
      </c>
      <c r="AF114" s="8" t="n">
        <f aca="false">15+45/60</f>
        <v>15.75</v>
      </c>
      <c r="AG114" s="8" t="n">
        <f aca="false">17+9/60</f>
        <v>17.15</v>
      </c>
      <c r="AH114" s="8" t="n">
        <f aca="false">16+56/60</f>
        <v>16.9333333333333</v>
      </c>
      <c r="AI114" s="8" t="n">
        <f aca="false">16+36/60</f>
        <v>16.6</v>
      </c>
      <c r="AJ114" s="8" t="n">
        <f aca="false">16+24/60</f>
        <v>16.4</v>
      </c>
      <c r="AK114" s="8" t="n">
        <f aca="false">60/3.6</f>
        <v>16.6666666666667</v>
      </c>
      <c r="AL114" s="8"/>
      <c r="AM114" s="8"/>
      <c r="AN114" s="8"/>
      <c r="AO114" s="8"/>
      <c r="AP114" s="4" t="n">
        <v>0</v>
      </c>
      <c r="AQ114" s="4" t="n">
        <v>0</v>
      </c>
      <c r="AR114" s="4"/>
      <c r="AS114" s="14" t="n">
        <f aca="false">60*U114-SUM(AT114:AX114)</f>
        <v>0.38333333333334</v>
      </c>
      <c r="AT114" s="8" t="n">
        <v>0</v>
      </c>
      <c r="AU114" s="8" t="n">
        <f aca="false">7+16/60</f>
        <v>7.26666666666667</v>
      </c>
      <c r="AV114" s="8" t="n">
        <f aca="false">25+43/60</f>
        <v>25.7166666666667</v>
      </c>
      <c r="AW114" s="8" t="n">
        <f aca="false">53+38/60</f>
        <v>53.6333333333333</v>
      </c>
      <c r="AX114" s="8" t="n">
        <v>0</v>
      </c>
      <c r="AY114" s="4" t="s">
        <v>59</v>
      </c>
      <c r="AZ114" s="4" t="s">
        <v>60</v>
      </c>
      <c r="BA114" s="4" t="n">
        <v>0</v>
      </c>
      <c r="BB114" s="4"/>
      <c r="BC114" s="4"/>
    </row>
    <row r="115" customFormat="false" ht="16.9" hidden="false" customHeight="false" outlineLevel="0" collapsed="false">
      <c r="A115" s="11" t="n">
        <f aca="false">A114+1</f>
        <v>648</v>
      </c>
      <c r="B115" s="12" t="n">
        <v>43994.4631944444</v>
      </c>
      <c r="C115" s="4" t="n">
        <v>1</v>
      </c>
      <c r="D115" s="4"/>
      <c r="E115" s="4"/>
      <c r="F115" s="4" t="s">
        <v>71</v>
      </c>
      <c r="G115" s="6" t="n">
        <f aca="false">AVERAGE(74,77)</f>
        <v>75.5</v>
      </c>
      <c r="H115" s="6" t="n">
        <v>60</v>
      </c>
      <c r="I115" s="6" t="n">
        <f aca="false">AVERAGE(59,56)</f>
        <v>57.5</v>
      </c>
      <c r="J115" s="6" t="s">
        <v>62</v>
      </c>
      <c r="K115" s="6" t="n">
        <v>15</v>
      </c>
      <c r="L115" s="6" t="n">
        <v>29</v>
      </c>
      <c r="M115" s="3" t="s">
        <v>63</v>
      </c>
      <c r="N115" s="4" t="s">
        <v>73</v>
      </c>
      <c r="O115" s="4"/>
      <c r="P115" s="4" t="s">
        <v>94</v>
      </c>
      <c r="Q115" s="8" t="n">
        <v>7.84</v>
      </c>
      <c r="R115" s="6" t="n">
        <v>591</v>
      </c>
      <c r="S115" s="6" t="n">
        <v>18113</v>
      </c>
      <c r="T115" s="6" t="n">
        <f aca="false">S115-R115</f>
        <v>17522</v>
      </c>
      <c r="U115" s="8" t="n">
        <f aca="false">(120+12)/60</f>
        <v>2.2</v>
      </c>
      <c r="V115" s="8" t="n">
        <f aca="false">(120+44)/60</f>
        <v>2.73333333333333</v>
      </c>
      <c r="W115" s="8" t="n">
        <f aca="false">V115-U115</f>
        <v>0.533333333333333</v>
      </c>
      <c r="X115" s="8" t="n">
        <f aca="false">Q115/U115</f>
        <v>3.56363636363636</v>
      </c>
      <c r="Y115" s="4" t="n">
        <v>1</v>
      </c>
      <c r="Z115" s="8" t="n">
        <f aca="false">Q115/Y115</f>
        <v>7.84</v>
      </c>
      <c r="AA115" s="8" t="n">
        <f aca="false">16+51/60</f>
        <v>16.85</v>
      </c>
      <c r="AB115" s="6" t="n">
        <v>515</v>
      </c>
      <c r="AC115" s="6" t="n">
        <v>1333</v>
      </c>
      <c r="AD115" s="6" t="n">
        <v>123</v>
      </c>
      <c r="AE115" s="6" t="n">
        <v>151</v>
      </c>
      <c r="AF115" s="8" t="n">
        <f aca="false">15+3/60</f>
        <v>15.05</v>
      </c>
      <c r="AG115" s="8" t="n">
        <f aca="false">14+57/60</f>
        <v>14.95</v>
      </c>
      <c r="AH115" s="8" t="n">
        <f aca="false">15+38/60</f>
        <v>15.6333333333333</v>
      </c>
      <c r="AI115" s="8" t="n">
        <f aca="false">16+28/60</f>
        <v>16.4666666666667</v>
      </c>
      <c r="AJ115" s="8" t="n">
        <f aca="false">18+22/60</f>
        <v>18.3666666666667</v>
      </c>
      <c r="AK115" s="8" t="n">
        <f aca="false">18+54/60</f>
        <v>18.9</v>
      </c>
      <c r="AL115" s="8" t="n">
        <f aca="false">18+13/60</f>
        <v>18.2166666666667</v>
      </c>
      <c r="AM115" s="8" t="n">
        <f aca="false">60/3.6</f>
        <v>16.6666666666667</v>
      </c>
      <c r="AN115" s="8"/>
      <c r="AO115" s="8"/>
      <c r="AP115" s="4" t="n">
        <v>6</v>
      </c>
      <c r="AQ115" s="4" t="n">
        <v>0</v>
      </c>
      <c r="AR115" s="4"/>
      <c r="AS115" s="14" t="n">
        <f aca="false">60*U115-SUM(AT115:AX115)</f>
        <v>40.3455555555555</v>
      </c>
      <c r="AT115" s="8" t="n">
        <f aca="false">1+20/60</f>
        <v>1.33333333333333</v>
      </c>
      <c r="AU115" s="8" t="n">
        <f aca="false">23+7/60</f>
        <v>23.1166666666667</v>
      </c>
      <c r="AV115" s="8" t="n">
        <f aca="false">16+33/60</f>
        <v>16.55</v>
      </c>
      <c r="AW115" s="8" t="n">
        <f aca="false">49+58/60</f>
        <v>49.9666666666667</v>
      </c>
      <c r="AX115" s="8" t="n">
        <f aca="false">(41+16/60)/60</f>
        <v>0.687777777777778</v>
      </c>
      <c r="AY115" s="4" t="s">
        <v>59</v>
      </c>
      <c r="AZ115" s="4" t="s">
        <v>60</v>
      </c>
      <c r="BA115" s="4" t="n">
        <v>0</v>
      </c>
      <c r="BB115" s="4"/>
      <c r="BC115" s="4"/>
    </row>
    <row r="116" customFormat="false" ht="16.9" hidden="false" customHeight="false" outlineLevel="0" collapsed="false">
      <c r="A116" s="11" t="n">
        <f aca="false">A115+1</f>
        <v>649</v>
      </c>
      <c r="B116" s="12" t="n">
        <v>43995.5215277778</v>
      </c>
      <c r="C116" s="4" t="n">
        <v>1</v>
      </c>
      <c r="D116" s="4"/>
      <c r="E116" s="4"/>
      <c r="F116" s="4" t="s">
        <v>71</v>
      </c>
      <c r="G116" s="6" t="n">
        <v>92</v>
      </c>
      <c r="H116" s="6" t="n">
        <v>56</v>
      </c>
      <c r="I116" s="6" t="n">
        <v>30</v>
      </c>
      <c r="J116" s="6" t="s">
        <v>62</v>
      </c>
      <c r="K116" s="6" t="n">
        <v>13</v>
      </c>
      <c r="L116" s="6" t="n">
        <v>22</v>
      </c>
      <c r="M116" s="3" t="s">
        <v>63</v>
      </c>
      <c r="N116" s="4" t="s">
        <v>57</v>
      </c>
      <c r="O116" s="4"/>
      <c r="P116" s="4" t="s">
        <v>135</v>
      </c>
      <c r="Q116" s="8" t="n">
        <v>5.32</v>
      </c>
      <c r="R116" s="6"/>
      <c r="S116" s="6"/>
      <c r="T116" s="6"/>
      <c r="U116" s="8" t="n">
        <f aca="false">131/60</f>
        <v>2.18333333333333</v>
      </c>
      <c r="V116" s="8" t="n">
        <f aca="false">132/60</f>
        <v>2.2</v>
      </c>
      <c r="W116" s="8" t="n">
        <f aca="false">V116-U116</f>
        <v>0.0166666666666671</v>
      </c>
      <c r="X116" s="8" t="n">
        <f aca="false">Q116/U116</f>
        <v>2.43664122137405</v>
      </c>
      <c r="Y116" s="4" t="n">
        <v>4</v>
      </c>
      <c r="Z116" s="8" t="n">
        <f aca="false">Q116/Y116</f>
        <v>1.33</v>
      </c>
      <c r="AA116" s="8" t="n">
        <f aca="false">24+35/60</f>
        <v>24.5833333333333</v>
      </c>
      <c r="AB116" s="6" t="n">
        <v>89</v>
      </c>
      <c r="AC116" s="6" t="n">
        <v>641</v>
      </c>
      <c r="AD116" s="6" t="n">
        <v>84</v>
      </c>
      <c r="AE116" s="6" t="n">
        <v>124</v>
      </c>
      <c r="AF116" s="8" t="n">
        <f aca="false">24+53/60</f>
        <v>24.8833333333333</v>
      </c>
      <c r="AG116" s="8" t="n">
        <f aca="false">21+45/60</f>
        <v>21.75</v>
      </c>
      <c r="AH116" s="8" t="n">
        <f aca="false">22+46/60</f>
        <v>22.7666666666667</v>
      </c>
      <c r="AI116" s="8" t="n">
        <f aca="false">28+29/60</f>
        <v>28.4833333333333</v>
      </c>
      <c r="AJ116" s="8" t="n">
        <f aca="false">25+33/60</f>
        <v>25.55</v>
      </c>
      <c r="AK116" s="8" t="n">
        <f aca="false">60/2.6</f>
        <v>23.0769230769231</v>
      </c>
      <c r="AL116" s="8"/>
      <c r="AM116" s="8"/>
      <c r="AN116" s="8"/>
      <c r="AO116" s="8"/>
      <c r="AP116" s="4" t="n">
        <v>0</v>
      </c>
      <c r="AQ116" s="4" t="n">
        <v>0</v>
      </c>
      <c r="AR116" s="4"/>
      <c r="AS116" s="14" t="n">
        <f aca="false">60*U116-SUM(AT116:AX116)</f>
        <v>40.8833333333333</v>
      </c>
      <c r="AT116" s="8" t="n">
        <f aca="false">52+36/60</f>
        <v>52.6</v>
      </c>
      <c r="AU116" s="8" t="n">
        <f aca="false">15+57/60</f>
        <v>15.95</v>
      </c>
      <c r="AV116" s="8" t="n">
        <f aca="false">20+35/60</f>
        <v>20.5833333333333</v>
      </c>
      <c r="AW116" s="8" t="n">
        <f aca="false">59/60</f>
        <v>0.983333333333333</v>
      </c>
      <c r="AX116" s="8" t="n">
        <v>0</v>
      </c>
      <c r="AY116" s="4" t="s">
        <v>59</v>
      </c>
      <c r="AZ116" s="4" t="s">
        <v>60</v>
      </c>
      <c r="BA116" s="4" t="n">
        <v>0</v>
      </c>
      <c r="BB116" s="4"/>
      <c r="BC116" s="4"/>
    </row>
    <row r="117" customFormat="false" ht="16.9" hidden="false" customHeight="false" outlineLevel="0" collapsed="false">
      <c r="A117" s="11" t="n">
        <f aca="false">A116+1</f>
        <v>650</v>
      </c>
      <c r="B117" s="12" t="n">
        <v>43996.5215277778</v>
      </c>
      <c r="C117" s="4" t="n">
        <v>1</v>
      </c>
      <c r="D117" s="4"/>
      <c r="E117" s="4"/>
      <c r="F117" s="4" t="s">
        <v>71</v>
      </c>
      <c r="G117" s="6" t="n">
        <v>92</v>
      </c>
      <c r="H117" s="6" t="n">
        <v>57</v>
      </c>
      <c r="I117" s="6" t="n">
        <v>31</v>
      </c>
      <c r="J117" s="6" t="s">
        <v>117</v>
      </c>
      <c r="K117" s="6" t="n">
        <v>13</v>
      </c>
      <c r="L117" s="6" t="n">
        <v>18</v>
      </c>
      <c r="M117" s="3" t="s">
        <v>63</v>
      </c>
      <c r="N117" s="4" t="s">
        <v>73</v>
      </c>
      <c r="O117" s="4"/>
      <c r="P117" s="4" t="s">
        <v>135</v>
      </c>
      <c r="Q117" s="8" t="n">
        <v>4.32</v>
      </c>
      <c r="R117" s="6" t="n">
        <v>1624</v>
      </c>
      <c r="S117" s="6" t="n">
        <v>15611</v>
      </c>
      <c r="T117" s="6" t="n">
        <f aca="false">S117-R117</f>
        <v>13987</v>
      </c>
      <c r="U117" s="8" t="n">
        <f aca="false">109/60</f>
        <v>1.81666666666667</v>
      </c>
      <c r="V117" s="8" t="n">
        <f aca="false">111/60</f>
        <v>1.85</v>
      </c>
      <c r="W117" s="8" t="n">
        <f aca="false">V117-U117</f>
        <v>0.0333333333333334</v>
      </c>
      <c r="X117" s="8" t="n">
        <f aca="false">Q117/U117</f>
        <v>2.37798165137615</v>
      </c>
      <c r="Y117" s="4" t="n">
        <v>3</v>
      </c>
      <c r="Z117" s="8" t="n">
        <f aca="false">Q117/Y117</f>
        <v>1.44</v>
      </c>
      <c r="AA117" s="8" t="n">
        <f aca="false">25+22/60</f>
        <v>25.3666666666667</v>
      </c>
      <c r="AB117" s="6" t="n">
        <v>72</v>
      </c>
      <c r="AC117" s="6" t="n">
        <v>679</v>
      </c>
      <c r="AD117" s="6" t="n">
        <v>101</v>
      </c>
      <c r="AE117" s="6" t="n">
        <v>133</v>
      </c>
      <c r="AF117" s="8" t="n">
        <f aca="false">25+58/60</f>
        <v>25.9666666666667</v>
      </c>
      <c r="AG117" s="8" t="n">
        <f aca="false">26+32/60</f>
        <v>26.5333333333333</v>
      </c>
      <c r="AH117" s="8" t="n">
        <f aca="false">24+21/60</f>
        <v>24.35</v>
      </c>
      <c r="AI117" s="8" t="n">
        <f aca="false">24+56/60</f>
        <v>24.9333333333333</v>
      </c>
      <c r="AJ117" s="8" t="n">
        <f aca="false">60/2.8</f>
        <v>21.4285714285714</v>
      </c>
      <c r="AK117" s="8"/>
      <c r="AL117" s="8"/>
      <c r="AM117" s="8"/>
      <c r="AN117" s="8"/>
      <c r="AO117" s="8"/>
      <c r="AP117" s="4" t="n">
        <v>0</v>
      </c>
      <c r="AQ117" s="4" t="n">
        <v>0</v>
      </c>
      <c r="AR117" s="4"/>
      <c r="AS117" s="14" t="n">
        <f aca="false">60*U117-SUM(AT117:AX117)</f>
        <v>0.166666666666671</v>
      </c>
      <c r="AT117" s="8" t="n">
        <f aca="false">9+3/60</f>
        <v>9.05</v>
      </c>
      <c r="AU117" s="8" t="n">
        <f aca="false">62+3/60</f>
        <v>62.05</v>
      </c>
      <c r="AV117" s="8" t="n">
        <f aca="false">32+42/60</f>
        <v>32.7</v>
      </c>
      <c r="AW117" s="8" t="n">
        <f aca="false">5+2/60</f>
        <v>5.03333333333333</v>
      </c>
      <c r="AX117" s="8" t="n">
        <v>0</v>
      </c>
      <c r="AY117" s="4" t="s">
        <v>59</v>
      </c>
      <c r="AZ117" s="4" t="s">
        <v>60</v>
      </c>
      <c r="BA117" s="4" t="n">
        <v>0</v>
      </c>
      <c r="BB117" s="4"/>
      <c r="BC117" s="4"/>
    </row>
    <row r="118" customFormat="false" ht="16.9" hidden="false" customHeight="false" outlineLevel="0" collapsed="false">
      <c r="A118" s="11" t="n">
        <f aca="false">A117+1</f>
        <v>651</v>
      </c>
      <c r="B118" s="12" t="n">
        <v>43997.4229166667</v>
      </c>
      <c r="C118" s="4" t="n">
        <v>1</v>
      </c>
      <c r="D118" s="4"/>
      <c r="E118" s="4"/>
      <c r="F118" s="4" t="s">
        <v>71</v>
      </c>
      <c r="G118" s="6" t="n">
        <v>87</v>
      </c>
      <c r="H118" s="6" t="n">
        <v>65</v>
      </c>
      <c r="I118" s="6" t="n">
        <f aca="false">AVERAGE(46,49)</f>
        <v>47.5</v>
      </c>
      <c r="J118" s="6" t="s">
        <v>62</v>
      </c>
      <c r="K118" s="6" t="n">
        <v>7</v>
      </c>
      <c r="L118" s="6" t="n">
        <v>0</v>
      </c>
      <c r="M118" s="3" t="s">
        <v>63</v>
      </c>
      <c r="N118" s="4" t="s">
        <v>57</v>
      </c>
      <c r="O118" s="4"/>
      <c r="P118" s="4" t="s">
        <v>135</v>
      </c>
      <c r="Q118" s="8" t="n">
        <v>4.39</v>
      </c>
      <c r="R118" s="6" t="n">
        <v>829</v>
      </c>
      <c r="S118" s="6" t="n">
        <v>14530</v>
      </c>
      <c r="T118" s="6" t="n">
        <f aca="false">S118-R118</f>
        <v>13701</v>
      </c>
      <c r="U118" s="8" t="n">
        <f aca="false">(60+43)/60</f>
        <v>1.71666666666667</v>
      </c>
      <c r="V118" s="8" t="n">
        <f aca="false">(60+44)/60</f>
        <v>1.73333333333333</v>
      </c>
      <c r="W118" s="8" t="n">
        <f aca="false">V118-U118</f>
        <v>0.0166666666666668</v>
      </c>
      <c r="X118" s="8" t="n">
        <f aca="false">Q118/U118</f>
        <v>2.55728155339806</v>
      </c>
      <c r="Y118" s="4" t="n">
        <v>3</v>
      </c>
      <c r="Z118" s="8" t="n">
        <f aca="false">Q118/Y118</f>
        <v>1.46333333333333</v>
      </c>
      <c r="AA118" s="8" t="n">
        <f aca="false">23+28/60</f>
        <v>23.4666666666667</v>
      </c>
      <c r="AB118" s="6" t="n">
        <v>312</v>
      </c>
      <c r="AC118" s="6" t="n">
        <v>1053</v>
      </c>
      <c r="AD118" s="6" t="n">
        <v>124</v>
      </c>
      <c r="AE118" s="6" t="n">
        <v>145</v>
      </c>
      <c r="AF118" s="8" t="n">
        <f aca="false">20+27/60</f>
        <v>20.45</v>
      </c>
      <c r="AG118" s="8" t="n">
        <f aca="false">20+40/60</f>
        <v>20.6666666666667</v>
      </c>
      <c r="AH118" s="8" t="n">
        <f aca="false">24+24/60</f>
        <v>24.4</v>
      </c>
      <c r="AI118" s="8" t="n">
        <f aca="false">27+13/60</f>
        <v>27.2166666666667</v>
      </c>
      <c r="AJ118" s="8" t="n">
        <f aca="false">60/2.6</f>
        <v>23.0769230769231</v>
      </c>
      <c r="AK118" s="8"/>
      <c r="AL118" s="8"/>
      <c r="AM118" s="8"/>
      <c r="AN118" s="8"/>
      <c r="AO118" s="8"/>
      <c r="AP118" s="4" t="n">
        <v>0</v>
      </c>
      <c r="AQ118" s="4" t="n">
        <v>1</v>
      </c>
      <c r="AR118" s="4"/>
      <c r="AS118" s="14" t="n">
        <f aca="false">60*U118-SUM(AT118:AX118)</f>
        <v>0</v>
      </c>
      <c r="AT118" s="8" t="n">
        <f aca="false">0+12/60</f>
        <v>0.2</v>
      </c>
      <c r="AU118" s="8" t="n">
        <f aca="false">5+24/60</f>
        <v>5.4</v>
      </c>
      <c r="AV118" s="8" t="n">
        <f aca="false">7+26/60</f>
        <v>7.43333333333333</v>
      </c>
      <c r="AW118" s="8" t="n">
        <f aca="false">87+58/60</f>
        <v>87.9666666666667</v>
      </c>
      <c r="AX118" s="8" t="n">
        <v>2</v>
      </c>
      <c r="AY118" s="4" t="s">
        <v>59</v>
      </c>
      <c r="AZ118" s="4" t="s">
        <v>60</v>
      </c>
      <c r="BA118" s="4" t="n">
        <v>0</v>
      </c>
      <c r="BB118" s="4"/>
      <c r="BC118" s="4"/>
    </row>
    <row r="119" customFormat="false" ht="16.9" hidden="false" customHeight="false" outlineLevel="0" collapsed="false">
      <c r="A119" s="11" t="n">
        <f aca="false">A118+1</f>
        <v>652</v>
      </c>
      <c r="B119" s="12" t="n">
        <v>43998.4972222222</v>
      </c>
      <c r="C119" s="4" t="n">
        <v>1</v>
      </c>
      <c r="D119" s="4"/>
      <c r="E119" s="4"/>
      <c r="F119" s="4" t="s">
        <v>71</v>
      </c>
      <c r="G119" s="6" t="n">
        <v>92</v>
      </c>
      <c r="H119" s="6" t="n">
        <v>63</v>
      </c>
      <c r="I119" s="6" t="n">
        <v>39</v>
      </c>
      <c r="J119" s="6" t="s">
        <v>108</v>
      </c>
      <c r="K119" s="6" t="n">
        <v>11</v>
      </c>
      <c r="L119" s="6" t="n">
        <v>0</v>
      </c>
      <c r="M119" s="3" t="s">
        <v>63</v>
      </c>
      <c r="N119" s="4" t="s">
        <v>73</v>
      </c>
      <c r="O119" s="4"/>
      <c r="P119" s="4" t="s">
        <v>58</v>
      </c>
      <c r="Q119" s="8" t="n">
        <v>6.22</v>
      </c>
      <c r="R119" s="6" t="n">
        <v>1004</v>
      </c>
      <c r="S119" s="6" t="n">
        <v>17209</v>
      </c>
      <c r="T119" s="6" t="n">
        <f aca="false">S119-R119</f>
        <v>16205</v>
      </c>
      <c r="U119" s="8" t="n">
        <f aca="false">124/60</f>
        <v>2.06666666666667</v>
      </c>
      <c r="V119" s="8" t="n">
        <f aca="false">131/60</f>
        <v>2.18333333333333</v>
      </c>
      <c r="W119" s="8" t="n">
        <f aca="false">V119-U119</f>
        <v>0.116666666666666</v>
      </c>
      <c r="X119" s="8" t="n">
        <f aca="false">Q119/U119</f>
        <v>3.00967741935484</v>
      </c>
      <c r="Y119" s="4" t="n">
        <v>2</v>
      </c>
      <c r="Z119" s="8" t="n">
        <f aca="false">Q119/Y119</f>
        <v>3.11</v>
      </c>
      <c r="AA119" s="8" t="n">
        <f aca="false">19+59/60</f>
        <v>19.9833333333333</v>
      </c>
      <c r="AB119" s="6" t="n">
        <v>164</v>
      </c>
      <c r="AC119" s="6" t="n">
        <v>1419</v>
      </c>
      <c r="AD119" s="6" t="n">
        <v>132</v>
      </c>
      <c r="AE119" s="6" t="n">
        <v>156</v>
      </c>
      <c r="AF119" s="8" t="n">
        <f aca="false">16+56/60</f>
        <v>16.9333333333333</v>
      </c>
      <c r="AG119" s="8" t="n">
        <f aca="false">21+2/60</f>
        <v>21.0333333333333</v>
      </c>
      <c r="AH119" s="8" t="n">
        <f aca="false">20+51/60</f>
        <v>20.85</v>
      </c>
      <c r="AI119" s="8" t="n">
        <f aca="false">19+20/60</f>
        <v>19.3333333333333</v>
      </c>
      <c r="AJ119" s="8" t="n">
        <f aca="false">20+24/60</f>
        <v>20.4</v>
      </c>
      <c r="AK119" s="8" t="n">
        <f aca="false">20+58.9/60</f>
        <v>20.9816666666667</v>
      </c>
      <c r="AL119" s="8" t="n">
        <f aca="false">60/2.8</f>
        <v>21.4285714285714</v>
      </c>
      <c r="AM119" s="8"/>
      <c r="AN119" s="8"/>
      <c r="AO119" s="8"/>
      <c r="AP119" s="4" t="n">
        <v>2</v>
      </c>
      <c r="AQ119" s="4" t="n">
        <v>0</v>
      </c>
      <c r="AR119" s="4"/>
      <c r="AS119" s="14" t="n">
        <v>0</v>
      </c>
      <c r="AT119" s="8" t="n">
        <v>0</v>
      </c>
      <c r="AU119" s="8" t="n">
        <f aca="false">1+26/60</f>
        <v>1.43333333333333</v>
      </c>
      <c r="AV119" s="8" t="n">
        <f aca="false">11+14/60</f>
        <v>11.2333333333333</v>
      </c>
      <c r="AW119" s="8" t="n">
        <f aca="false">37</f>
        <v>37</v>
      </c>
      <c r="AX119" s="8" t="n">
        <f aca="false">74+27/60</f>
        <v>74.45</v>
      </c>
      <c r="AY119" s="4" t="s">
        <v>59</v>
      </c>
      <c r="AZ119" s="4" t="s">
        <v>60</v>
      </c>
      <c r="BA119" s="4" t="n">
        <v>0</v>
      </c>
      <c r="BB119" s="4"/>
      <c r="BC119" s="4"/>
    </row>
    <row r="120" customFormat="false" ht="16.9" hidden="false" customHeight="false" outlineLevel="0" collapsed="false">
      <c r="A120" s="11" t="n">
        <f aca="false">A119+1</f>
        <v>653</v>
      </c>
      <c r="B120" s="12" t="n">
        <v>43999.4756944444</v>
      </c>
      <c r="C120" s="4" t="n">
        <v>1</v>
      </c>
      <c r="D120" s="4"/>
      <c r="E120" s="4"/>
      <c r="F120" s="4" t="s">
        <v>71</v>
      </c>
      <c r="G120" s="6" t="n">
        <v>93</v>
      </c>
      <c r="H120" s="6" t="n">
        <v>54</v>
      </c>
      <c r="I120" s="6" t="n">
        <v>28</v>
      </c>
      <c r="J120" s="6" t="s">
        <v>108</v>
      </c>
      <c r="K120" s="6" t="n">
        <v>17</v>
      </c>
      <c r="L120" s="6" t="n">
        <v>28</v>
      </c>
      <c r="M120" s="3" t="s">
        <v>63</v>
      </c>
      <c r="N120" s="4" t="s">
        <v>57</v>
      </c>
      <c r="O120" s="4"/>
      <c r="P120" s="4" t="s">
        <v>58</v>
      </c>
      <c r="Q120" s="8" t="n">
        <v>6.45</v>
      </c>
      <c r="R120" s="6" t="n">
        <v>813</v>
      </c>
      <c r="S120" s="6" t="n">
        <v>17264</v>
      </c>
      <c r="T120" s="6" t="n">
        <f aca="false">S120-R120</f>
        <v>16451</v>
      </c>
      <c r="U120" s="8" t="n">
        <f aca="false">135/60</f>
        <v>2.25</v>
      </c>
      <c r="V120" s="8" t="n">
        <f aca="false">156/60</f>
        <v>2.6</v>
      </c>
      <c r="W120" s="8" t="n">
        <f aca="false">V120-U120</f>
        <v>0.35</v>
      </c>
      <c r="X120" s="8" t="n">
        <f aca="false">Q120/U120</f>
        <v>2.86666666666667</v>
      </c>
      <c r="Y120" s="4" t="n">
        <v>2</v>
      </c>
      <c r="Z120" s="8" t="n">
        <f aca="false">Q120/Y120</f>
        <v>3.225</v>
      </c>
      <c r="AA120" s="8" t="n">
        <f aca="false">20+55/60</f>
        <v>20.9166666666667</v>
      </c>
      <c r="AB120" s="6" t="n">
        <v>138</v>
      </c>
      <c r="AC120" s="6" t="n">
        <v>1200</v>
      </c>
      <c r="AD120" s="6" t="n">
        <v>121</v>
      </c>
      <c r="AE120" s="6" t="n">
        <v>143</v>
      </c>
      <c r="AF120" s="8" t="n">
        <f aca="false">18+57/60</f>
        <v>18.95</v>
      </c>
      <c r="AG120" s="8" t="n">
        <f aca="false">21+51/60</f>
        <v>21.85</v>
      </c>
      <c r="AH120" s="8" t="n">
        <f aca="false">21+55/60</f>
        <v>21.9166666666667</v>
      </c>
      <c r="AI120" s="8" t="n">
        <f aca="false">21+30/60</f>
        <v>21.5</v>
      </c>
      <c r="AJ120" s="8" t="n">
        <f aca="false">20+6/60</f>
        <v>20.1</v>
      </c>
      <c r="AK120" s="8" t="n">
        <f aca="false">21+45/60</f>
        <v>21.75</v>
      </c>
      <c r="AL120" s="8" t="n">
        <f aca="false">60/2.9</f>
        <v>20.6896551724138</v>
      </c>
      <c r="AM120" s="8"/>
      <c r="AN120" s="8"/>
      <c r="AO120" s="8"/>
      <c r="AP120" s="4" t="n">
        <v>3</v>
      </c>
      <c r="AQ120" s="4" t="n">
        <v>1</v>
      </c>
      <c r="AR120" s="4"/>
      <c r="AS120" s="14" t="n">
        <f aca="false">60*U120-SUM(AT120:AX120)</f>
        <v>-0.0999999999999943</v>
      </c>
      <c r="AT120" s="8" t="n">
        <v>0</v>
      </c>
      <c r="AU120" s="8" t="n">
        <f aca="false">11+9/60</f>
        <v>11.15</v>
      </c>
      <c r="AV120" s="8" t="n">
        <f aca="false">34+10/60</f>
        <v>34.1666666666667</v>
      </c>
      <c r="AW120" s="8" t="n">
        <f aca="false">78+24/60</f>
        <v>78.4</v>
      </c>
      <c r="AX120" s="8" t="n">
        <f aca="false">11+23/60</f>
        <v>11.3833333333333</v>
      </c>
      <c r="AY120" s="4" t="s">
        <v>59</v>
      </c>
      <c r="AZ120" s="4" t="s">
        <v>60</v>
      </c>
      <c r="BA120" s="4" t="n">
        <v>0</v>
      </c>
      <c r="BB120" s="4"/>
      <c r="BC120" s="4"/>
    </row>
    <row r="121" customFormat="false" ht="16.9" hidden="false" customHeight="false" outlineLevel="0" collapsed="false">
      <c r="A121" s="11" t="n">
        <f aca="false">A120+1</f>
        <v>654</v>
      </c>
      <c r="B121" s="12" t="n">
        <v>44000.4576388889</v>
      </c>
      <c r="C121" s="4" t="n">
        <v>1</v>
      </c>
      <c r="D121" s="4"/>
      <c r="E121" s="4"/>
      <c r="F121" s="4" t="s">
        <v>71</v>
      </c>
      <c r="G121" s="6" t="n">
        <f aca="false">AVERAGE(86,89)</f>
        <v>87.5</v>
      </c>
      <c r="H121" s="6" t="n">
        <v>66</v>
      </c>
      <c r="I121" s="6" t="n">
        <f aca="false">AVERAGE(49,46)</f>
        <v>47.5</v>
      </c>
      <c r="J121" s="6" t="s">
        <v>62</v>
      </c>
      <c r="K121" s="6" t="n">
        <v>14</v>
      </c>
      <c r="L121" s="6" t="n">
        <v>23</v>
      </c>
      <c r="M121" s="3" t="s">
        <v>63</v>
      </c>
      <c r="N121" s="4" t="s">
        <v>57</v>
      </c>
      <c r="O121" s="4"/>
      <c r="P121" s="4" t="s">
        <v>58</v>
      </c>
      <c r="Q121" s="8" t="n">
        <v>6.64</v>
      </c>
      <c r="R121" s="6" t="n">
        <v>808</v>
      </c>
      <c r="S121" s="6" t="n">
        <v>18058</v>
      </c>
      <c r="T121" s="6" t="n">
        <f aca="false">S121-R121</f>
        <v>17250</v>
      </c>
      <c r="U121" s="8" t="n">
        <f aca="false">133/60</f>
        <v>2.21666666666667</v>
      </c>
      <c r="V121" s="8" t="n">
        <f aca="false">140/60</f>
        <v>2.33333333333333</v>
      </c>
      <c r="W121" s="8" t="n">
        <f aca="false">V121-U121</f>
        <v>0.116666666666667</v>
      </c>
      <c r="X121" s="8" t="n">
        <f aca="false">Q121/U121</f>
        <v>2.99548872180451</v>
      </c>
      <c r="Y121" s="4" t="n">
        <v>2</v>
      </c>
      <c r="Z121" s="8" t="n">
        <f aca="false">Q121/Y121</f>
        <v>3.32</v>
      </c>
      <c r="AA121" s="8" t="n">
        <f aca="false">20+2/60</f>
        <v>20.0333333333333</v>
      </c>
      <c r="AB121" s="6" t="n">
        <v>395</v>
      </c>
      <c r="AC121" s="6" t="n">
        <v>1266</v>
      </c>
      <c r="AD121" s="6" t="n">
        <v>126</v>
      </c>
      <c r="AE121" s="6" t="n">
        <v>149</v>
      </c>
      <c r="AF121" s="8" t="n">
        <f aca="false">18+17/60</f>
        <v>18.2833333333333</v>
      </c>
      <c r="AG121" s="8" t="n">
        <f aca="false">21+13/60</f>
        <v>21.2166666666667</v>
      </c>
      <c r="AH121" s="8" t="n">
        <f aca="false">20+43/60</f>
        <v>20.7166666666667</v>
      </c>
      <c r="AI121" s="8" t="n">
        <f aca="false">19+2/60</f>
        <v>19.0333333333333</v>
      </c>
      <c r="AJ121" s="8" t="n">
        <f aca="false">18+55/60</f>
        <v>18.9166666666667</v>
      </c>
      <c r="AK121" s="8" t="n">
        <f aca="false">20+16/60</f>
        <v>20.2666666666667</v>
      </c>
      <c r="AL121" s="8" t="n">
        <f aca="false">60/2.6</f>
        <v>23.0769230769231</v>
      </c>
      <c r="AM121" s="8"/>
      <c r="AN121" s="8"/>
      <c r="AO121" s="8"/>
      <c r="AP121" s="4" t="n">
        <v>2</v>
      </c>
      <c r="AQ121" s="4" t="n">
        <v>0</v>
      </c>
      <c r="AR121" s="4"/>
      <c r="AS121" s="14" t="n">
        <v>0</v>
      </c>
      <c r="AT121" s="8" t="n">
        <f aca="false">0.11/60</f>
        <v>0.00183333333333333</v>
      </c>
      <c r="AU121" s="8" t="n">
        <f aca="false">3+57/60</f>
        <v>3.95</v>
      </c>
      <c r="AV121" s="8" t="n">
        <v>25</v>
      </c>
      <c r="AW121" s="8" t="n">
        <f aca="false">71+42/60</f>
        <v>71.7</v>
      </c>
      <c r="AX121" s="8" t="n">
        <f aca="false">32+14/60</f>
        <v>32.2333333333333</v>
      </c>
      <c r="AY121" s="4" t="s">
        <v>59</v>
      </c>
      <c r="AZ121" s="4" t="s">
        <v>60</v>
      </c>
      <c r="BA121" s="4" t="n">
        <v>0</v>
      </c>
      <c r="BB121" s="4"/>
      <c r="BC121" s="4"/>
    </row>
    <row r="122" customFormat="false" ht="16.9" hidden="false" customHeight="false" outlineLevel="0" collapsed="false">
      <c r="A122" s="11" t="n">
        <f aca="false">A121+1</f>
        <v>655</v>
      </c>
      <c r="B122" s="12" t="n">
        <v>44001.4534722222</v>
      </c>
      <c r="C122" s="4" t="n">
        <v>0</v>
      </c>
      <c r="D122" s="4" t="s">
        <v>79</v>
      </c>
      <c r="E122" s="4"/>
      <c r="F122" s="4" t="s">
        <v>71</v>
      </c>
      <c r="G122" s="6" t="n">
        <v>88</v>
      </c>
      <c r="H122" s="6" t="n">
        <v>68</v>
      </c>
      <c r="I122" s="6" t="n">
        <v>52</v>
      </c>
      <c r="J122" s="6" t="s">
        <v>130</v>
      </c>
      <c r="K122" s="6" t="n">
        <v>16</v>
      </c>
      <c r="L122" s="6" t="n">
        <v>0</v>
      </c>
      <c r="M122" s="3" t="s">
        <v>129</v>
      </c>
      <c r="N122" s="4"/>
      <c r="O122" s="4"/>
      <c r="P122" s="4"/>
      <c r="Q122" s="8"/>
      <c r="R122" s="6"/>
      <c r="S122" s="6"/>
      <c r="T122" s="6"/>
      <c r="U122" s="8"/>
      <c r="V122" s="8"/>
      <c r="W122" s="8"/>
      <c r="X122" s="8"/>
      <c r="Y122" s="4"/>
      <c r="Z122" s="8"/>
      <c r="AA122" s="8"/>
      <c r="AB122" s="6"/>
      <c r="AC122" s="6"/>
      <c r="AD122" s="6"/>
      <c r="AE122" s="4"/>
      <c r="AF122" s="8"/>
      <c r="AG122" s="8"/>
      <c r="AI122" s="8"/>
      <c r="AJ122" s="8"/>
      <c r="AK122" s="8"/>
      <c r="AL122" s="8"/>
      <c r="AM122" s="8"/>
      <c r="AN122" s="8"/>
      <c r="AO122" s="8"/>
      <c r="AP122" s="4"/>
      <c r="AQ122" s="4"/>
      <c r="AR122" s="4"/>
      <c r="AS122" s="14" t="n">
        <f aca="false">60*U122-SUM(AT122:AX122)</f>
        <v>0</v>
      </c>
      <c r="AT122" s="8"/>
      <c r="AU122" s="8"/>
      <c r="AV122" s="8"/>
      <c r="AW122" s="8"/>
      <c r="AX122" s="8"/>
      <c r="AY122" s="4"/>
      <c r="AZ122" s="4"/>
      <c r="BA122" s="4"/>
      <c r="BB122" s="4"/>
      <c r="BC122" s="4"/>
    </row>
    <row r="123" customFormat="false" ht="16.9" hidden="false" customHeight="false" outlineLevel="0" collapsed="false">
      <c r="A123" s="11" t="n">
        <f aca="false">A122+1</f>
        <v>656</v>
      </c>
      <c r="B123" s="12" t="n">
        <v>44002.5423611111</v>
      </c>
      <c r="C123" s="4" t="n">
        <v>1</v>
      </c>
      <c r="D123" s="4"/>
      <c r="E123" s="4"/>
      <c r="F123" s="4" t="s">
        <v>71</v>
      </c>
      <c r="G123" s="6" t="n">
        <v>85</v>
      </c>
      <c r="H123" s="6" t="n">
        <v>67</v>
      </c>
      <c r="I123" s="6" t="n">
        <f aca="false">AVERAGE(62,58)</f>
        <v>60</v>
      </c>
      <c r="J123" s="6" t="s">
        <v>62</v>
      </c>
      <c r="K123" s="6" t="n">
        <f aca="false">AVERAGE(9,6)</f>
        <v>7.5</v>
      </c>
      <c r="L123" s="6" t="n">
        <v>0</v>
      </c>
      <c r="M123" s="3" t="s">
        <v>129</v>
      </c>
      <c r="N123" s="4" t="s">
        <v>57</v>
      </c>
      <c r="O123" s="4"/>
      <c r="P123" s="4" t="s">
        <v>58</v>
      </c>
      <c r="Q123" s="8" t="n">
        <v>7.04</v>
      </c>
      <c r="R123" s="6"/>
      <c r="S123" s="6"/>
      <c r="T123" s="6"/>
      <c r="U123" s="8" t="n">
        <f aca="false">(120+23)/60</f>
        <v>2.38333333333333</v>
      </c>
      <c r="V123" s="8" t="n">
        <f aca="false">(120+30)/60</f>
        <v>2.5</v>
      </c>
      <c r="W123" s="8" t="n">
        <f aca="false">V123-U123</f>
        <v>0.116666666666667</v>
      </c>
      <c r="X123" s="8" t="n">
        <f aca="false">Q123/U123</f>
        <v>2.95384615384615</v>
      </c>
      <c r="Y123" s="4" t="n">
        <v>2</v>
      </c>
      <c r="Z123" s="8" t="n">
        <f aca="false">Q123/Y123</f>
        <v>3.52</v>
      </c>
      <c r="AA123" s="8" t="n">
        <f aca="false">20+19/60</f>
        <v>20.3166666666667</v>
      </c>
      <c r="AB123" s="6" t="n">
        <v>128</v>
      </c>
      <c r="AC123" s="6" t="n">
        <v>785</v>
      </c>
      <c r="AD123" s="6" t="n">
        <v>94</v>
      </c>
      <c r="AE123" s="6" t="n">
        <v>127</v>
      </c>
      <c r="AF123" s="8" t="n">
        <f aca="false">19+33/60</f>
        <v>19.55</v>
      </c>
      <c r="AG123" s="8" t="n">
        <f aca="false">19+18/60</f>
        <v>19.3</v>
      </c>
      <c r="AH123" s="8" t="n">
        <f aca="false">19+37/60</f>
        <v>19.6166666666667</v>
      </c>
      <c r="AI123" s="8" t="n">
        <f aca="false">21+54/60</f>
        <v>21.9</v>
      </c>
      <c r="AJ123" s="8" t="n">
        <f aca="false">20+16/60</f>
        <v>20.2666666666667</v>
      </c>
      <c r="AK123" s="8" t="n">
        <f aca="false">19+34/60</f>
        <v>19.5666666666667</v>
      </c>
      <c r="AL123" s="8" t="n">
        <f aca="false">21+17/60</f>
        <v>21.2833333333333</v>
      </c>
      <c r="AM123" s="8"/>
      <c r="AN123" s="8"/>
      <c r="AO123" s="8"/>
      <c r="AP123" s="4" t="n">
        <v>3</v>
      </c>
      <c r="AQ123" s="4" t="n">
        <v>3</v>
      </c>
      <c r="AR123" s="4"/>
      <c r="AS123" s="14" t="n">
        <f aca="false">60*U123-SUM(AT123:AX123)</f>
        <v>2.33333333333334</v>
      </c>
      <c r="AT123" s="8" t="n">
        <f aca="false">35+11/60</f>
        <v>35.1833333333333</v>
      </c>
      <c r="AU123" s="8" t="n">
        <f aca="false">86+30/60</f>
        <v>86.5</v>
      </c>
      <c r="AV123" s="8" t="n">
        <f aca="false">18+2/60</f>
        <v>18.0333333333333</v>
      </c>
      <c r="AW123" s="8" t="n">
        <f aca="false">57/60</f>
        <v>0.95</v>
      </c>
      <c r="AX123" s="8" t="n">
        <v>0</v>
      </c>
      <c r="AY123" s="4" t="s">
        <v>59</v>
      </c>
      <c r="AZ123" s="4" t="s">
        <v>60</v>
      </c>
      <c r="BA123" s="4" t="n">
        <v>0</v>
      </c>
      <c r="BB123" s="4"/>
      <c r="BC123" s="4"/>
    </row>
    <row r="124" customFormat="false" ht="16.9" hidden="false" customHeight="false" outlineLevel="0" collapsed="false">
      <c r="A124" s="11" t="n">
        <f aca="false">A123+1</f>
        <v>657</v>
      </c>
      <c r="B124" s="12" t="n">
        <v>44003.6395833333</v>
      </c>
      <c r="C124" s="4" t="n">
        <v>1</v>
      </c>
      <c r="D124" s="4"/>
      <c r="E124" s="4"/>
      <c r="F124" s="4" t="s">
        <v>71</v>
      </c>
      <c r="G124" s="6" t="n">
        <f aca="false">81+7*(3.3/6)</f>
        <v>84.85</v>
      </c>
      <c r="H124" s="6" t="n">
        <v>67</v>
      </c>
      <c r="I124" s="6" t="n">
        <v>49</v>
      </c>
      <c r="J124" s="6" t="s">
        <v>113</v>
      </c>
      <c r="K124" s="6" t="n">
        <v>9</v>
      </c>
      <c r="L124" s="6" t="n">
        <v>0</v>
      </c>
      <c r="M124" s="3" t="s">
        <v>129</v>
      </c>
      <c r="N124" s="4" t="s">
        <v>57</v>
      </c>
      <c r="O124" s="4"/>
      <c r="P124" s="4" t="s">
        <v>58</v>
      </c>
      <c r="Q124" s="8" t="n">
        <v>3</v>
      </c>
      <c r="R124" s="6" t="n">
        <v>1025</v>
      </c>
      <c r="S124" s="6" t="n">
        <v>9200</v>
      </c>
      <c r="T124" s="6" t="n">
        <f aca="false">S124-R124</f>
        <v>8175</v>
      </c>
      <c r="U124" s="8" t="n">
        <f aca="false">63/60</f>
        <v>1.05</v>
      </c>
      <c r="V124" s="8" t="n">
        <f aca="false">1+4/60</f>
        <v>1.06666666666667</v>
      </c>
      <c r="W124" s="8" t="n">
        <f aca="false">V124-U124</f>
        <v>0.0166666666666666</v>
      </c>
      <c r="X124" s="8" t="n">
        <f aca="false">Q124/U124</f>
        <v>2.85714285714286</v>
      </c>
      <c r="Y124" s="4" t="n">
        <v>2</v>
      </c>
      <c r="Z124" s="8" t="n">
        <f aca="false">Q124/Y124</f>
        <v>1.5</v>
      </c>
      <c r="AA124" s="8" t="n">
        <f aca="false">19+5/60</f>
        <v>19.0833333333333</v>
      </c>
      <c r="AB124" s="6" t="n">
        <v>75</v>
      </c>
      <c r="AC124" s="6" t="n">
        <v>614</v>
      </c>
      <c r="AD124" s="6" t="n">
        <v>122</v>
      </c>
      <c r="AE124" s="6" t="n">
        <v>143</v>
      </c>
      <c r="AF124" s="8" t="n">
        <f aca="false">16+28/60</f>
        <v>16.4666666666667</v>
      </c>
      <c r="AG124" s="8" t="n">
        <f aca="false">18+2/60</f>
        <v>18.0333333333333</v>
      </c>
      <c r="AH124" s="8" t="n">
        <f aca="false">21+32/60</f>
        <v>21.5333333333333</v>
      </c>
      <c r="AI124" s="8" t="n">
        <f aca="false">60/2.6</f>
        <v>23.0769230769231</v>
      </c>
      <c r="AJ124" s="8"/>
      <c r="AK124" s="8"/>
      <c r="AL124" s="8"/>
      <c r="AM124" s="8"/>
      <c r="AN124" s="8"/>
      <c r="AO124" s="8"/>
      <c r="AP124" s="4" t="n">
        <v>1</v>
      </c>
      <c r="AQ124" s="4" t="n">
        <v>0</v>
      </c>
      <c r="AR124" s="4"/>
      <c r="AS124" s="14" t="n">
        <f aca="false">60*U124-SUM(AT124:AX124)</f>
        <v>0.0500000000000043</v>
      </c>
      <c r="AT124" s="8" t="n">
        <v>0</v>
      </c>
      <c r="AU124" s="8" t="n">
        <f aca="false">6+55/60</f>
        <v>6.91666666666667</v>
      </c>
      <c r="AV124" s="8" t="n">
        <f aca="false">10.5</f>
        <v>10.5</v>
      </c>
      <c r="AW124" s="8" t="n">
        <f aca="false">40+15/60</f>
        <v>40.25</v>
      </c>
      <c r="AX124" s="8" t="n">
        <f aca="false">5+17/60</f>
        <v>5.28333333333333</v>
      </c>
      <c r="AY124" s="4" t="s">
        <v>59</v>
      </c>
      <c r="AZ124" s="4" t="s">
        <v>60</v>
      </c>
      <c r="BA124" s="4" t="n">
        <v>0</v>
      </c>
      <c r="BB124" s="4"/>
      <c r="BC124" s="4"/>
    </row>
    <row r="125" customFormat="false" ht="16.9" hidden="false" customHeight="false" outlineLevel="0" collapsed="false">
      <c r="A125" s="11" t="n">
        <f aca="false">A124+1</f>
        <v>658</v>
      </c>
      <c r="B125" s="12" t="n">
        <v>44004.4861111111</v>
      </c>
      <c r="C125" s="4" t="n">
        <v>1</v>
      </c>
      <c r="D125" s="4"/>
      <c r="E125" s="4"/>
      <c r="F125" s="4" t="s">
        <v>71</v>
      </c>
      <c r="G125" s="6" t="n">
        <f aca="false">AVERAGE(86,88,91)</f>
        <v>88.3333333333333</v>
      </c>
      <c r="H125" s="6" t="n">
        <f aca="false">AVERAGE(66,67,69)</f>
        <v>67.3333333333333</v>
      </c>
      <c r="I125" s="6" t="n">
        <f aca="false">AVERAGE(51,49,48)</f>
        <v>49.3333333333333</v>
      </c>
      <c r="J125" s="6" t="s">
        <v>62</v>
      </c>
      <c r="K125" s="6" t="n">
        <f aca="false">AVERAGE(16,0,19)</f>
        <v>11.6666666666667</v>
      </c>
      <c r="L125" s="6" t="n">
        <f aca="false">AVERAGE(24,0,0)</f>
        <v>8</v>
      </c>
      <c r="M125" s="3" t="s">
        <v>129</v>
      </c>
      <c r="N125" s="4" t="s">
        <v>57</v>
      </c>
      <c r="O125" s="4"/>
      <c r="P125" s="4" t="s">
        <v>58</v>
      </c>
      <c r="Q125" s="8" t="n">
        <v>6.8</v>
      </c>
      <c r="R125" s="6" t="n">
        <v>1277</v>
      </c>
      <c r="S125" s="6" t="n">
        <v>18696</v>
      </c>
      <c r="T125" s="6" t="n">
        <f aca="false">S125-R125</f>
        <v>17419</v>
      </c>
      <c r="U125" s="8" t="n">
        <f aca="false">(120+17)/60</f>
        <v>2.28333333333333</v>
      </c>
      <c r="V125" s="8" t="n">
        <f aca="false">(120+24)/60</f>
        <v>2.4</v>
      </c>
      <c r="W125" s="8" t="n">
        <f aca="false">V125-U125</f>
        <v>0.116666666666667</v>
      </c>
      <c r="X125" s="8" t="n">
        <f aca="false">Q125/U125</f>
        <v>2.97810218978102</v>
      </c>
      <c r="Y125" s="4" t="n">
        <v>2</v>
      </c>
      <c r="Z125" s="8" t="n">
        <f aca="false">Q125/Y125</f>
        <v>3.4</v>
      </c>
      <c r="AA125" s="8" t="n">
        <f aca="false">20+11/60</f>
        <v>20.1833333333333</v>
      </c>
      <c r="AB125" s="6" t="n">
        <v>358</v>
      </c>
      <c r="AC125" s="6" t="n">
        <v>730</v>
      </c>
      <c r="AD125" s="6" t="n">
        <v>93</v>
      </c>
      <c r="AE125" s="6" t="n">
        <v>130</v>
      </c>
      <c r="AF125" s="8" t="n">
        <f aca="false">17+39/60</f>
        <v>17.65</v>
      </c>
      <c r="AG125" s="8" t="n">
        <f aca="false">19+41/60</f>
        <v>19.6833333333333</v>
      </c>
      <c r="AH125" s="8" t="n">
        <f aca="false">19+57/60</f>
        <v>19.95</v>
      </c>
      <c r="AI125" s="8" t="n">
        <f aca="false">20+38/60</f>
        <v>20.6333333333333</v>
      </c>
      <c r="AJ125" s="8" t="n">
        <f aca="false">19+41/60</f>
        <v>19.6833333333333</v>
      </c>
      <c r="AK125" s="8" t="n">
        <f aca="false">19+32/60</f>
        <v>19.5333333333333</v>
      </c>
      <c r="AL125" s="8" t="n">
        <f aca="false">60/2.4</f>
        <v>25</v>
      </c>
      <c r="AM125" s="8"/>
      <c r="AN125" s="8"/>
      <c r="AO125" s="8"/>
      <c r="AP125" s="4" t="n">
        <v>2</v>
      </c>
      <c r="AQ125" s="4" t="n">
        <v>1</v>
      </c>
      <c r="AR125" s="4"/>
      <c r="AS125" s="14" t="n">
        <f aca="false">60*U125-SUM(AT125:AX125)</f>
        <v>0.0166666666666515</v>
      </c>
      <c r="AT125" s="8" t="n">
        <f aca="false">39+18/60</f>
        <v>39.3</v>
      </c>
      <c r="AU125" s="8" t="n">
        <f aca="false">86+17/60</f>
        <v>86.2833333333333</v>
      </c>
      <c r="AV125" s="8" t="n">
        <f aca="false">10+39/60</f>
        <v>10.65</v>
      </c>
      <c r="AW125" s="8" t="n">
        <f aca="false">0.75</f>
        <v>0.75</v>
      </c>
      <c r="AX125" s="8" t="n">
        <v>0</v>
      </c>
      <c r="AY125" s="4" t="s">
        <v>59</v>
      </c>
      <c r="AZ125" s="4" t="s">
        <v>60</v>
      </c>
      <c r="BA125" s="4" t="n">
        <v>0</v>
      </c>
      <c r="BB125" s="4"/>
      <c r="BC125" s="4"/>
    </row>
    <row r="126" customFormat="false" ht="16.9" hidden="false" customHeight="false" outlineLevel="0" collapsed="false">
      <c r="A126" s="11" t="n">
        <f aca="false">A125+1</f>
        <v>659</v>
      </c>
      <c r="B126" s="12" t="n">
        <v>44005.5104166667</v>
      </c>
      <c r="C126" s="4" t="n">
        <v>1</v>
      </c>
      <c r="D126" s="4"/>
      <c r="E126" s="4"/>
      <c r="F126" s="4" t="s">
        <v>106</v>
      </c>
      <c r="G126" s="6" t="n">
        <v>77</v>
      </c>
      <c r="H126" s="6" t="n">
        <v>69</v>
      </c>
      <c r="I126" s="6" t="n">
        <f aca="false">AVERAGE(79,74)</f>
        <v>76.5</v>
      </c>
      <c r="J126" s="6" t="s">
        <v>113</v>
      </c>
      <c r="K126" s="6" t="n">
        <v>5</v>
      </c>
      <c r="L126" s="6" t="n">
        <v>0</v>
      </c>
      <c r="M126" s="3" t="s">
        <v>129</v>
      </c>
      <c r="N126" s="4" t="s">
        <v>57</v>
      </c>
      <c r="O126" s="4"/>
      <c r="P126" s="4" t="s">
        <v>135</v>
      </c>
      <c r="Q126" s="8" t="n">
        <v>4.33</v>
      </c>
      <c r="R126" s="6" t="n">
        <v>994</v>
      </c>
      <c r="S126" s="6" t="n">
        <v>15491</v>
      </c>
      <c r="T126" s="6" t="n">
        <f aca="false">S126-R126</f>
        <v>14497</v>
      </c>
      <c r="U126" s="8" t="n">
        <f aca="false">(60+48)/60</f>
        <v>1.8</v>
      </c>
      <c r="V126" s="8" t="n">
        <v>1.83333333333333</v>
      </c>
      <c r="W126" s="8" t="n">
        <f aca="false">V126-U126</f>
        <v>0.0333333333333299</v>
      </c>
      <c r="X126" s="8" t="n">
        <f aca="false">Q126/U126</f>
        <v>2.40555555555556</v>
      </c>
      <c r="Y126" s="4" t="n">
        <v>3</v>
      </c>
      <c r="Z126" s="8" t="n">
        <f aca="false">Q126/Y126</f>
        <v>1.44333333333333</v>
      </c>
      <c r="AA126" s="8" t="n">
        <f aca="false">25+8/60</f>
        <v>25.1333333333333</v>
      </c>
      <c r="AB126" s="6" t="n">
        <v>36</v>
      </c>
      <c r="AC126" s="6" t="n">
        <v>773</v>
      </c>
      <c r="AD126" s="6" t="n">
        <v>108</v>
      </c>
      <c r="AE126" s="6" t="n">
        <v>136</v>
      </c>
      <c r="AF126" s="8" t="n">
        <f aca="false">24+34/60</f>
        <v>24.5666666666667</v>
      </c>
      <c r="AG126" s="8" t="n">
        <f aca="false">26+22/60</f>
        <v>26.3666666666667</v>
      </c>
      <c r="AH126" s="8" t="n">
        <f aca="false">23+16/60</f>
        <v>23.2666666666667</v>
      </c>
      <c r="AI126" s="8" t="n">
        <f aca="false">25+39/60</f>
        <v>25.65</v>
      </c>
      <c r="AJ126" s="8" t="n">
        <f aca="false">60/2.4</f>
        <v>25</v>
      </c>
      <c r="AK126" s="8"/>
      <c r="AL126" s="8"/>
      <c r="AM126" s="8"/>
      <c r="AN126" s="8"/>
      <c r="AO126" s="8"/>
      <c r="AP126" s="4" t="n">
        <v>0</v>
      </c>
      <c r="AQ126" s="4" t="n">
        <v>1</v>
      </c>
      <c r="AR126" s="4"/>
      <c r="AS126" s="14" t="n">
        <v>0</v>
      </c>
      <c r="AT126" s="8" t="n">
        <f aca="false">5+27/60</f>
        <v>5.45</v>
      </c>
      <c r="AU126" s="8" t="n">
        <f aca="false">31+9/60</f>
        <v>31.15</v>
      </c>
      <c r="AV126" s="8" t="n">
        <f aca="false">47+1/60</f>
        <v>47.0166666666667</v>
      </c>
      <c r="AW126" s="8" t="n">
        <f aca="false">24+47/60</f>
        <v>24.7833333333333</v>
      </c>
      <c r="AX126" s="8" t="n">
        <f aca="false">16/60</f>
        <v>0.266666666666667</v>
      </c>
      <c r="AY126" s="4" t="s">
        <v>59</v>
      </c>
      <c r="AZ126" s="4" t="s">
        <v>60</v>
      </c>
      <c r="BA126" s="4" t="n">
        <v>0</v>
      </c>
      <c r="BB126" s="4"/>
      <c r="BC126" s="4"/>
    </row>
    <row r="127" customFormat="false" ht="16.9" hidden="false" customHeight="false" outlineLevel="0" collapsed="false">
      <c r="A127" s="11" t="n">
        <f aca="false">A126+1</f>
        <v>660</v>
      </c>
      <c r="B127" s="12" t="n">
        <v>44006.4479166667</v>
      </c>
      <c r="C127" s="4" t="n">
        <v>1</v>
      </c>
      <c r="D127" s="4"/>
      <c r="E127" s="4"/>
      <c r="F127" s="4" t="s">
        <v>71</v>
      </c>
      <c r="G127" s="6" t="n">
        <f aca="false">AVERAGE(85,87)</f>
        <v>86</v>
      </c>
      <c r="H127" s="6" t="n">
        <v>67</v>
      </c>
      <c r="I127" s="6" t="n">
        <f aca="false">AVERAGE(51,47)</f>
        <v>49</v>
      </c>
      <c r="J127" s="6" t="s">
        <v>97</v>
      </c>
      <c r="K127" s="6" t="n">
        <f aca="false">AVERAGE(12,9)</f>
        <v>10.5</v>
      </c>
      <c r="L127" s="6" t="n">
        <v>0</v>
      </c>
      <c r="M127" s="3" t="s">
        <v>129</v>
      </c>
      <c r="N127" s="4" t="s">
        <v>73</v>
      </c>
      <c r="O127" s="4"/>
      <c r="P127" s="4" t="s">
        <v>58</v>
      </c>
      <c r="Q127" s="8" t="n">
        <v>7.18</v>
      </c>
      <c r="R127" s="6" t="n">
        <v>1763</v>
      </c>
      <c r="S127" s="6" t="n">
        <v>19883</v>
      </c>
      <c r="T127" s="6" t="n">
        <f aca="false">S127-R127</f>
        <v>18120</v>
      </c>
      <c r="U127" s="8" t="n">
        <f aca="false">(120+28)/60</f>
        <v>2.46666666666667</v>
      </c>
      <c r="V127" s="8" t="n">
        <f aca="false">(120+40)/60</f>
        <v>2.66666666666667</v>
      </c>
      <c r="W127" s="8" t="n">
        <f aca="false">V127-U127</f>
        <v>0.2</v>
      </c>
      <c r="X127" s="8" t="n">
        <f aca="false">Q127/U127</f>
        <v>2.91081081081081</v>
      </c>
      <c r="Y127" s="4" t="n">
        <v>3</v>
      </c>
      <c r="Z127" s="8" t="n">
        <f aca="false">Q127/Y127</f>
        <v>2.39333333333333</v>
      </c>
      <c r="AA127" s="8" t="n">
        <f aca="false">20+36/60</f>
        <v>20.6</v>
      </c>
      <c r="AB127" s="6" t="n">
        <v>187</v>
      </c>
      <c r="AC127" s="6" t="n">
        <v>788</v>
      </c>
      <c r="AD127" s="6" t="n">
        <v>82</v>
      </c>
      <c r="AE127" s="6" t="n">
        <v>117</v>
      </c>
      <c r="AF127" s="8" t="n">
        <f aca="false">17+30/60</f>
        <v>17.5</v>
      </c>
      <c r="AG127" s="8" t="n">
        <f aca="false">20+47/60</f>
        <v>20.7833333333333</v>
      </c>
      <c r="AH127" s="8" t="n">
        <f aca="false">20+48/60</f>
        <v>20.8</v>
      </c>
      <c r="AI127" s="8" t="n">
        <f aca="false">22+5/60</f>
        <v>22.0833333333333</v>
      </c>
      <c r="AJ127" s="8" t="n">
        <f aca="false">16+57/60</f>
        <v>16.95</v>
      </c>
      <c r="AK127" s="8" t="n">
        <f aca="false">21+31/60</f>
        <v>21.5166666666667</v>
      </c>
      <c r="AL127" s="8" t="n">
        <f aca="false">23+32/60</f>
        <v>23.5333333333333</v>
      </c>
      <c r="AM127" s="8" t="n">
        <f aca="false">60/2.5</f>
        <v>24</v>
      </c>
      <c r="AN127" s="8"/>
      <c r="AO127" s="8"/>
      <c r="AP127" s="4" t="n">
        <v>2</v>
      </c>
      <c r="AQ127" s="4" t="n">
        <v>0</v>
      </c>
      <c r="AR127" s="4"/>
      <c r="AS127" s="14" t="n">
        <f aca="false">60*U127-SUM(AT127:AX127)</f>
        <v>60.1</v>
      </c>
      <c r="AT127" s="8" t="n">
        <f aca="false">41+7/60</f>
        <v>41.1166666666667</v>
      </c>
      <c r="AU127" s="8" t="n">
        <f aca="false">26+16/60</f>
        <v>26.2666666666667</v>
      </c>
      <c r="AV127" s="8" t="n">
        <f aca="false">20+31/60</f>
        <v>20.5166666666667</v>
      </c>
      <c r="AW127" s="8" t="n">
        <v>0</v>
      </c>
      <c r="AX127" s="8" t="n">
        <v>0</v>
      </c>
      <c r="AY127" s="4" t="s">
        <v>59</v>
      </c>
      <c r="AZ127" s="4" t="s">
        <v>60</v>
      </c>
      <c r="BA127" s="4" t="n">
        <v>0</v>
      </c>
      <c r="BB127" s="4"/>
      <c r="BC127" s="4"/>
    </row>
    <row r="128" customFormat="false" ht="16.9" hidden="false" customHeight="false" outlineLevel="0" collapsed="false">
      <c r="A128" s="11" t="n">
        <f aca="false">A127+1</f>
        <v>661</v>
      </c>
      <c r="B128" s="12" t="n">
        <v>44007.4902777778</v>
      </c>
      <c r="C128" s="4" t="n">
        <v>1</v>
      </c>
      <c r="D128" s="4"/>
      <c r="E128" s="4"/>
      <c r="F128" s="4" t="s">
        <v>71</v>
      </c>
      <c r="G128" s="6" t="n">
        <v>85</v>
      </c>
      <c r="H128" s="6" t="n">
        <v>70</v>
      </c>
      <c r="I128" s="6" t="n">
        <v>61</v>
      </c>
      <c r="J128" s="6" t="s">
        <v>110</v>
      </c>
      <c r="K128" s="6" t="n">
        <v>9</v>
      </c>
      <c r="L128" s="6" t="n">
        <v>0</v>
      </c>
      <c r="M128" s="3" t="s">
        <v>129</v>
      </c>
      <c r="N128" s="4" t="s">
        <v>57</v>
      </c>
      <c r="O128" s="4"/>
      <c r="P128" s="4" t="s">
        <v>135</v>
      </c>
      <c r="Q128" s="8" t="n">
        <v>4.51</v>
      </c>
      <c r="R128" s="6"/>
      <c r="S128" s="6"/>
      <c r="T128" s="6"/>
      <c r="U128" s="8" t="n">
        <f aca="false">106/60</f>
        <v>1.76666666666667</v>
      </c>
      <c r="V128" s="8" t="n">
        <f aca="false">108/60</f>
        <v>1.8</v>
      </c>
      <c r="W128" s="8" t="n">
        <f aca="false">V128-U128</f>
        <v>0.0333333333333334</v>
      </c>
      <c r="X128" s="8" t="n">
        <f aca="false">Q128/U128</f>
        <v>2.55283018867925</v>
      </c>
      <c r="Y128" s="4" t="n">
        <v>3</v>
      </c>
      <c r="Z128" s="8" t="n">
        <f aca="false">Q128/Y128</f>
        <v>1.50333333333333</v>
      </c>
      <c r="AA128" s="8" t="n">
        <f aca="false">23+34/60</f>
        <v>23.5666666666667</v>
      </c>
      <c r="AB128" s="6" t="n">
        <v>56</v>
      </c>
      <c r="AC128" s="6" t="n">
        <v>995</v>
      </c>
      <c r="AD128" s="6" t="n">
        <v>116</v>
      </c>
      <c r="AE128" s="6" t="n">
        <v>143</v>
      </c>
      <c r="AF128" s="8" t="n">
        <f aca="false">24+18/60</f>
        <v>24.3</v>
      </c>
      <c r="AG128" s="8" t="n">
        <f aca="false">24+21/60</f>
        <v>24.35</v>
      </c>
      <c r="AH128" s="8" t="n">
        <f aca="false">22+57/60</f>
        <v>22.95</v>
      </c>
      <c r="AI128" s="8" t="n">
        <f aca="false">24+11/60</f>
        <v>24.1833333333333</v>
      </c>
      <c r="AJ128" s="8" t="n">
        <f aca="false">60/2.9</f>
        <v>20.6896551724138</v>
      </c>
      <c r="AK128" s="8"/>
      <c r="AL128" s="8"/>
      <c r="AM128" s="8"/>
      <c r="AN128" s="8"/>
      <c r="AO128" s="8"/>
      <c r="AP128" s="4" t="n">
        <v>0</v>
      </c>
      <c r="AQ128" s="4" t="n">
        <v>1</v>
      </c>
      <c r="AR128" s="4"/>
      <c r="AS128" s="14" t="n">
        <v>0</v>
      </c>
      <c r="AT128" s="8" t="n">
        <v>0</v>
      </c>
      <c r="AU128" s="8" t="n">
        <f aca="false">15+31/60</f>
        <v>15.5166666666667</v>
      </c>
      <c r="AV128" s="8" t="n">
        <f aca="false">34+5/60</f>
        <v>34.0833333333333</v>
      </c>
      <c r="AW128" s="8" t="n">
        <f aca="false">55+49/60</f>
        <v>55.8166666666667</v>
      </c>
      <c r="AX128" s="8" t="n">
        <f aca="false">49/60</f>
        <v>0.816666666666667</v>
      </c>
      <c r="AY128" s="4" t="s">
        <v>59</v>
      </c>
      <c r="AZ128" s="4" t="s">
        <v>60</v>
      </c>
      <c r="BA128" s="4" t="n">
        <v>0</v>
      </c>
      <c r="BB128" s="4"/>
      <c r="BC128" s="4"/>
    </row>
    <row r="129" customFormat="false" ht="16.9" hidden="false" customHeight="false" outlineLevel="0" collapsed="false">
      <c r="A129" s="11" t="n">
        <v>661</v>
      </c>
      <c r="B129" s="12" t="n">
        <v>44008.48125</v>
      </c>
      <c r="C129" s="4" t="n">
        <v>1</v>
      </c>
      <c r="D129" s="4"/>
      <c r="E129" s="4"/>
      <c r="F129" s="4" t="s">
        <v>90</v>
      </c>
      <c r="G129" s="6" t="n">
        <f aca="false">AVERAGE(86,90,91)</f>
        <v>89</v>
      </c>
      <c r="H129" s="6" t="n">
        <f aca="false">AVERAGE(71,70,71)</f>
        <v>70.6666666666667</v>
      </c>
      <c r="I129" s="6" t="n">
        <f aca="false">AVERAGE(61,55,52)</f>
        <v>56</v>
      </c>
      <c r="J129" s="6" t="s">
        <v>62</v>
      </c>
      <c r="K129" s="6" t="n">
        <v>15</v>
      </c>
      <c r="L129" s="6" t="n">
        <v>23</v>
      </c>
      <c r="M129" s="3" t="s">
        <v>129</v>
      </c>
      <c r="N129" s="4" t="s">
        <v>136</v>
      </c>
      <c r="O129" s="4"/>
      <c r="P129" s="4" t="s">
        <v>137</v>
      </c>
      <c r="Q129" s="8" t="n">
        <v>5.85</v>
      </c>
      <c r="R129" s="6" t="n">
        <v>720</v>
      </c>
      <c r="S129" s="6" t="n">
        <v>19311</v>
      </c>
      <c r="T129" s="6" t="n">
        <f aca="false">S129-R129</f>
        <v>18591</v>
      </c>
      <c r="U129" s="8" t="n">
        <f aca="false">(120+27)/60</f>
        <v>2.45</v>
      </c>
      <c r="V129" s="8" t="n">
        <f aca="false">(120+33)/60</f>
        <v>2.55</v>
      </c>
      <c r="W129" s="8" t="n">
        <f aca="false">V129-U129</f>
        <v>0.0999999999999996</v>
      </c>
      <c r="X129" s="8" t="n">
        <f aca="false">Q129/U129</f>
        <v>2.38775510204082</v>
      </c>
      <c r="Y129" s="4" t="n">
        <v>4</v>
      </c>
      <c r="Z129" s="8" t="n">
        <f aca="false">Q129/Y129</f>
        <v>1.4625</v>
      </c>
      <c r="AA129" s="8" t="n">
        <f aca="false">25+4/60</f>
        <v>25.0666666666667</v>
      </c>
      <c r="AB129" s="6" t="n">
        <v>85</v>
      </c>
      <c r="AC129" s="6" t="n">
        <v>647</v>
      </c>
      <c r="AD129" s="6" t="n">
        <v>82</v>
      </c>
      <c r="AE129" s="6" t="n">
        <v>111</v>
      </c>
      <c r="AF129" s="8" t="n">
        <f aca="false">26+37/60</f>
        <v>26.6166666666667</v>
      </c>
      <c r="AG129" s="8" t="n">
        <f aca="false">25+6/60</f>
        <v>25.1</v>
      </c>
      <c r="AH129" s="8" t="n">
        <f aca="false">25+34/60</f>
        <v>25.5666666666667</v>
      </c>
      <c r="AI129" s="8" t="n">
        <f aca="false">22+3/60</f>
        <v>22.05</v>
      </c>
      <c r="AJ129" s="8" t="n">
        <f aca="false">24+49/60</f>
        <v>24.8166666666667</v>
      </c>
      <c r="AK129" s="8" t="n">
        <f aca="false">60/2.3</f>
        <v>26.0869565217391</v>
      </c>
      <c r="AL129" s="8"/>
      <c r="AM129" s="8"/>
      <c r="AN129" s="8"/>
      <c r="AO129" s="8"/>
      <c r="AP129" s="4" t="n">
        <v>2</v>
      </c>
      <c r="AQ129" s="4" t="n">
        <v>0</v>
      </c>
      <c r="AR129" s="4"/>
      <c r="AS129" s="14" t="n">
        <f aca="false">60*U129-SUM(AT129:AX129)</f>
        <v>40.8333333333333</v>
      </c>
      <c r="AT129" s="8" t="n">
        <f aca="false">60+3/60</f>
        <v>60.05</v>
      </c>
      <c r="AU129" s="8" t="n">
        <f aca="false">42+38/60</f>
        <v>42.6333333333333</v>
      </c>
      <c r="AV129" s="8" t="n">
        <f aca="false">3+29/60</f>
        <v>3.48333333333333</v>
      </c>
      <c r="AW129" s="8" t="n">
        <v>0</v>
      </c>
      <c r="AX129" s="8" t="n">
        <v>0</v>
      </c>
      <c r="AY129" s="4" t="s">
        <v>59</v>
      </c>
      <c r="AZ129" s="4" t="s">
        <v>60</v>
      </c>
      <c r="BA129" s="4" t="n">
        <v>0</v>
      </c>
      <c r="BB129" s="4"/>
      <c r="BC129" s="4"/>
    </row>
    <row r="130" customFormat="false" ht="16.9" hidden="false" customHeight="false" outlineLevel="0" collapsed="false">
      <c r="A130" s="11" t="n">
        <f aca="false">A129+1</f>
        <v>662</v>
      </c>
      <c r="B130" s="12" t="n">
        <v>44009.4583333333</v>
      </c>
      <c r="C130" s="4" t="n">
        <v>1</v>
      </c>
      <c r="D130" s="4"/>
      <c r="E130" s="4"/>
      <c r="F130" s="15" t="s">
        <v>138</v>
      </c>
      <c r="G130" s="6" t="n">
        <f aca="false">AVERAGE(86,89)</f>
        <v>87.5</v>
      </c>
      <c r="H130" s="6" t="n">
        <f aca="false">AVERAGE(71,72)</f>
        <v>71.5</v>
      </c>
      <c r="I130" s="6" t="n">
        <f aca="false">AVERAGE(61,57)</f>
        <v>59</v>
      </c>
      <c r="J130" s="6" t="s">
        <v>62</v>
      </c>
      <c r="K130" s="6" t="n">
        <v>14</v>
      </c>
      <c r="L130" s="6" t="n">
        <v>26</v>
      </c>
      <c r="M130" s="3" t="s">
        <v>129</v>
      </c>
      <c r="N130" s="4" t="s">
        <v>57</v>
      </c>
      <c r="O130" s="4"/>
      <c r="P130" s="4" t="s">
        <v>135</v>
      </c>
      <c r="Q130" s="8" t="n">
        <v>4.56</v>
      </c>
      <c r="R130" s="6" t="n">
        <v>751</v>
      </c>
      <c r="S130" s="6" t="n">
        <v>14944</v>
      </c>
      <c r="T130" s="6" t="n">
        <f aca="false">S130-R130</f>
        <v>14193</v>
      </c>
      <c r="U130" s="8" t="n">
        <f aca="false">(60+45)/60</f>
        <v>1.75</v>
      </c>
      <c r="V130" s="8" t="n">
        <f aca="false">(60+ 47)/60</f>
        <v>1.78333333333333</v>
      </c>
      <c r="W130" s="8" t="n">
        <f aca="false">V130-U130</f>
        <v>0.0333333333333334</v>
      </c>
      <c r="X130" s="8" t="n">
        <f aca="false">Q130/U130</f>
        <v>2.60571428571429</v>
      </c>
      <c r="Y130" s="4" t="n">
        <v>3</v>
      </c>
      <c r="Z130" s="8" t="n">
        <f aca="false">Q130/Y130</f>
        <v>1.52</v>
      </c>
      <c r="AA130" s="8" t="n">
        <f aca="false">22+59/60</f>
        <v>22.9833333333333</v>
      </c>
      <c r="AB130" s="6" t="n">
        <v>171</v>
      </c>
      <c r="AC130" s="6" t="n">
        <v>817</v>
      </c>
      <c r="AD130" s="6" t="n">
        <v>113</v>
      </c>
      <c r="AE130" s="6" t="n">
        <v>147</v>
      </c>
      <c r="AF130" s="8" t="n">
        <f aca="false">26+9/60</f>
        <v>26.15</v>
      </c>
      <c r="AG130" s="8" t="n">
        <f aca="false">26+3/60</f>
        <v>26.05</v>
      </c>
      <c r="AH130" s="8" t="n">
        <f aca="false">20+30/60</f>
        <v>20.5</v>
      </c>
      <c r="AI130" s="8" t="n">
        <f aca="false">19+2/60</f>
        <v>19.0333333333333</v>
      </c>
      <c r="AJ130" s="8" t="n">
        <f aca="false">60/2.6</f>
        <v>23.0769230769231</v>
      </c>
      <c r="AK130" s="8"/>
      <c r="AL130" s="8"/>
      <c r="AM130" s="8"/>
      <c r="AN130" s="8"/>
      <c r="AO130" s="8"/>
      <c r="AP130" s="4" t="n">
        <v>1</v>
      </c>
      <c r="AQ130" s="4" t="n">
        <v>2</v>
      </c>
      <c r="AR130" s="4"/>
      <c r="AS130" s="14" t="n">
        <v>0</v>
      </c>
      <c r="AT130" s="8" t="n">
        <f aca="false">0+52/60</f>
        <v>0.866666666666667</v>
      </c>
      <c r="AU130" s="8" t="n">
        <f aca="false">36+30/60</f>
        <v>36.5</v>
      </c>
      <c r="AV130" s="8" t="n">
        <f aca="false">25+38/50</f>
        <v>25.76</v>
      </c>
      <c r="AW130" s="8" t="n">
        <f aca="false">35+22/60</f>
        <v>35.3666666666667</v>
      </c>
      <c r="AX130" s="8" t="n">
        <f aca="false">6+30/60</f>
        <v>6.5</v>
      </c>
      <c r="AY130" s="4" t="s">
        <v>59</v>
      </c>
      <c r="AZ130" s="4" t="s">
        <v>60</v>
      </c>
      <c r="BA130" s="4" t="n">
        <v>0</v>
      </c>
      <c r="BB130" s="4"/>
      <c r="BC130" s="4"/>
    </row>
    <row r="131" customFormat="false" ht="16.9" hidden="false" customHeight="false" outlineLevel="0" collapsed="false">
      <c r="A131" s="11" t="n">
        <f aca="false">A130+1</f>
        <v>663</v>
      </c>
      <c r="B131" s="12" t="n">
        <v>44010.4951388889</v>
      </c>
      <c r="C131" s="4" t="n">
        <v>0</v>
      </c>
      <c r="D131" s="4" t="s">
        <v>79</v>
      </c>
      <c r="E131" s="4"/>
      <c r="F131" s="4" t="s">
        <v>106</v>
      </c>
      <c r="G131" s="6" t="n">
        <v>88</v>
      </c>
      <c r="H131" s="6" t="n">
        <v>72</v>
      </c>
      <c r="I131" s="6" t="n">
        <v>58</v>
      </c>
      <c r="J131" s="6" t="s">
        <v>62</v>
      </c>
      <c r="K131" s="6" t="n">
        <v>15</v>
      </c>
      <c r="L131" s="6" t="n">
        <v>33</v>
      </c>
      <c r="M131" s="3" t="s">
        <v>129</v>
      </c>
      <c r="N131" s="4"/>
      <c r="O131" s="4"/>
      <c r="P131" s="4"/>
      <c r="Q131" s="8"/>
      <c r="R131" s="6"/>
      <c r="S131" s="6"/>
      <c r="T131" s="6"/>
      <c r="U131" s="8"/>
      <c r="V131" s="8"/>
      <c r="W131" s="8"/>
      <c r="X131" s="8"/>
      <c r="Y131" s="4"/>
      <c r="Z131" s="8"/>
      <c r="AA131" s="8"/>
      <c r="AB131" s="6"/>
      <c r="AC131" s="6"/>
      <c r="AD131" s="6"/>
      <c r="AE131" s="4"/>
      <c r="AF131" s="8"/>
      <c r="AG131" s="8"/>
      <c r="AI131" s="8"/>
      <c r="AJ131" s="8"/>
      <c r="AK131" s="8"/>
      <c r="AL131" s="8"/>
      <c r="AM131" s="8"/>
      <c r="AN131" s="8"/>
      <c r="AO131" s="8"/>
      <c r="AP131" s="4"/>
      <c r="AQ131" s="4"/>
      <c r="AR131" s="4"/>
      <c r="AS131" s="14"/>
      <c r="AT131" s="8"/>
      <c r="AU131" s="8"/>
      <c r="AV131" s="8"/>
      <c r="AW131" s="8"/>
      <c r="AX131" s="8"/>
      <c r="AY131" s="4"/>
      <c r="AZ131" s="4"/>
      <c r="BA131" s="4"/>
      <c r="BB131" s="4"/>
      <c r="BC131" s="4"/>
    </row>
    <row r="132" customFormat="false" ht="16.9" hidden="false" customHeight="false" outlineLevel="0" collapsed="false">
      <c r="A132" s="11" t="n">
        <f aca="false">A131+1</f>
        <v>664</v>
      </c>
      <c r="B132" s="12" t="n">
        <v>44011.5055555556</v>
      </c>
      <c r="C132" s="4" t="n">
        <v>1</v>
      </c>
      <c r="D132" s="4"/>
      <c r="E132" s="4"/>
      <c r="F132" s="4" t="s">
        <v>71</v>
      </c>
      <c r="G132" s="6" t="n">
        <f aca="false">AVERAGE(90,92)</f>
        <v>91</v>
      </c>
      <c r="H132" s="6" t="n">
        <f aca="false">AVERAGE(72,70)</f>
        <v>71</v>
      </c>
      <c r="I132" s="6" t="n">
        <f aca="false">AVERAGE(48,47)</f>
        <v>47.5</v>
      </c>
      <c r="J132" s="6" t="s">
        <v>62</v>
      </c>
      <c r="K132" s="6" t="n">
        <f aca="false">AVERAGE(16,17)</f>
        <v>16.5</v>
      </c>
      <c r="L132" s="6" t="n">
        <f aca="false">AVERAGE(29,30)</f>
        <v>29.5</v>
      </c>
      <c r="M132" s="3" t="s">
        <v>129</v>
      </c>
      <c r="N132" s="4" t="s">
        <v>136</v>
      </c>
      <c r="O132" s="4"/>
      <c r="P132" s="4" t="s">
        <v>135</v>
      </c>
      <c r="Q132" s="8" t="n">
        <v>4.25</v>
      </c>
      <c r="R132" s="6" t="n">
        <v>854</v>
      </c>
      <c r="S132" s="6" t="n">
        <v>14500</v>
      </c>
      <c r="T132" s="6" t="n">
        <f aca="false">S132-R132</f>
        <v>13646</v>
      </c>
      <c r="U132" s="8" t="n">
        <f aca="false">(60+49)/60</f>
        <v>1.81666666666667</v>
      </c>
      <c r="V132" s="8" t="n">
        <f aca="false">(60+53)/60</f>
        <v>1.88333333333333</v>
      </c>
      <c r="W132" s="8" t="n">
        <f aca="false">V132-U132</f>
        <v>0.0666666666666667</v>
      </c>
      <c r="X132" s="8" t="n">
        <f aca="false">Q132/U132</f>
        <v>2.3394495412844</v>
      </c>
      <c r="Y132" s="4" t="n">
        <v>3</v>
      </c>
      <c r="Z132" s="8" t="n">
        <f aca="false">Q132/Y132</f>
        <v>1.41666666666667</v>
      </c>
      <c r="AA132" s="8" t="n">
        <f aca="false">25+37/60</f>
        <v>25.6166666666667</v>
      </c>
      <c r="AB132" s="6" t="n">
        <v>56</v>
      </c>
      <c r="AC132" s="6" t="n">
        <v>546</v>
      </c>
      <c r="AD132" s="6" t="n">
        <v>93</v>
      </c>
      <c r="AE132" s="6" t="n">
        <v>127</v>
      </c>
      <c r="AF132" s="8" t="n">
        <f aca="false">24+27/60</f>
        <v>24.45</v>
      </c>
      <c r="AG132" s="8" t="n">
        <f aca="false">23+23/60</f>
        <v>23.3833333333333</v>
      </c>
      <c r="AH132" s="8" t="n">
        <f aca="false">26+58/60</f>
        <v>26.9666666666667</v>
      </c>
      <c r="AI132" s="8" t="n">
        <f aca="false">27+5/60</f>
        <v>27.0833333333333</v>
      </c>
      <c r="AJ132" s="8" t="n">
        <f aca="false">60/2.2</f>
        <v>27.2727272727273</v>
      </c>
      <c r="AK132" s="8"/>
      <c r="AL132" s="8"/>
      <c r="AM132" s="8"/>
      <c r="AN132" s="8"/>
      <c r="AO132" s="8"/>
      <c r="AP132" s="4" t="n">
        <v>1</v>
      </c>
      <c r="AQ132" s="4" t="n">
        <v>0</v>
      </c>
      <c r="AR132" s="4" t="n">
        <v>0</v>
      </c>
      <c r="AS132" s="14" t="n">
        <f aca="false">60*U132-SUM(AT132:AX132)</f>
        <v>0.75</v>
      </c>
      <c r="AT132" s="8" t="n">
        <f aca="false">42+15/60</f>
        <v>42.25</v>
      </c>
      <c r="AU132" s="8" t="n">
        <f aca="false">48+32/60</f>
        <v>48.5333333333333</v>
      </c>
      <c r="AV132" s="8" t="n">
        <f aca="false">15+22/60</f>
        <v>15.3666666666667</v>
      </c>
      <c r="AW132" s="8" t="n">
        <f aca="false">2+6/60</f>
        <v>2.1</v>
      </c>
      <c r="AX132" s="8" t="n">
        <v>0</v>
      </c>
      <c r="AY132" s="4" t="s">
        <v>59</v>
      </c>
      <c r="AZ132" s="4" t="s">
        <v>60</v>
      </c>
      <c r="BA132" s="4" t="n">
        <v>0</v>
      </c>
      <c r="BB132" s="4"/>
      <c r="BC132" s="4"/>
    </row>
    <row r="133" customFormat="false" ht="16.9" hidden="false" customHeight="false" outlineLevel="0" collapsed="false">
      <c r="A133" s="11" t="n">
        <f aca="false">A132+1</f>
        <v>665</v>
      </c>
      <c r="B133" s="12" t="n">
        <v>44012.5125</v>
      </c>
      <c r="C133" s="4" t="n">
        <v>1</v>
      </c>
      <c r="D133" s="4"/>
      <c r="E133" s="4"/>
      <c r="F133" s="4" t="s">
        <v>106</v>
      </c>
      <c r="G133" s="6" t="n">
        <f aca="false">AVERAGE(90,92)</f>
        <v>91</v>
      </c>
      <c r="H133" s="6" t="n">
        <v>73</v>
      </c>
      <c r="I133" s="6" t="n">
        <v>57</v>
      </c>
      <c r="J133" s="6" t="s">
        <v>62</v>
      </c>
      <c r="K133" s="6" t="n">
        <f aca="false">AVERAGE(18,21)</f>
        <v>19.5</v>
      </c>
      <c r="L133" s="6" t="n">
        <v>20</v>
      </c>
      <c r="M133" s="3" t="s">
        <v>129</v>
      </c>
      <c r="N133" s="4" t="s">
        <v>136</v>
      </c>
      <c r="O133" s="4"/>
      <c r="P133" s="4" t="s">
        <v>135</v>
      </c>
      <c r="Q133" s="8" t="n">
        <v>4.33</v>
      </c>
      <c r="R133" s="6" t="n">
        <v>2862</v>
      </c>
      <c r="S133" s="6" t="n">
        <v>17088</v>
      </c>
      <c r="T133" s="6" t="n">
        <f aca="false">S133-R133</f>
        <v>14226</v>
      </c>
      <c r="U133" s="8" t="n">
        <f aca="false">(60+52)/60</f>
        <v>1.86666666666667</v>
      </c>
      <c r="V133" s="8" t="n">
        <f aca="false">(60+52)/60</f>
        <v>1.86666666666667</v>
      </c>
      <c r="W133" s="8" t="n">
        <f aca="false">V133-U133</f>
        <v>0</v>
      </c>
      <c r="X133" s="8" t="n">
        <f aca="false">Q133/U133</f>
        <v>2.31964285714286</v>
      </c>
      <c r="Y133" s="4" t="n">
        <v>3</v>
      </c>
      <c r="Z133" s="8" t="n">
        <f aca="false">Q133/Y133</f>
        <v>1.44333333333333</v>
      </c>
      <c r="AA133" s="8" t="n">
        <f aca="false">25+46/60</f>
        <v>25.7666666666667</v>
      </c>
      <c r="AB133" s="6" t="n">
        <v>177</v>
      </c>
      <c r="AC133" s="6" t="n">
        <v>492</v>
      </c>
      <c r="AD133" s="6" t="n">
        <v>82</v>
      </c>
      <c r="AE133" s="6" t="n">
        <v>116</v>
      </c>
      <c r="AF133" s="8" t="n">
        <f aca="false">23+45/60</f>
        <v>23.75</v>
      </c>
      <c r="AG133" s="8" t="n">
        <f aca="false">23+27/60</f>
        <v>23.45</v>
      </c>
      <c r="AH133" s="8" t="n">
        <f aca="false">25+19/60</f>
        <v>25.3166666666667</v>
      </c>
      <c r="AI133" s="8" t="n">
        <f aca="false">20+19/60</f>
        <v>20.3166666666667</v>
      </c>
      <c r="AJ133" s="8" t="n">
        <f aca="false">60/2</f>
        <v>30</v>
      </c>
      <c r="AK133" s="8"/>
      <c r="AL133" s="8"/>
      <c r="AM133" s="8"/>
      <c r="AN133" s="8"/>
      <c r="AO133" s="8"/>
      <c r="AP133" s="4" t="n">
        <v>0</v>
      </c>
      <c r="AQ133" s="4" t="n">
        <v>1</v>
      </c>
      <c r="AR133" s="4" t="n">
        <v>1</v>
      </c>
      <c r="AS133" s="14" t="n">
        <f aca="false">60*U133-SUM(AT133:AX133)</f>
        <v>32.3</v>
      </c>
      <c r="AT133" s="8" t="n">
        <f aca="false">52+17/60</f>
        <v>52.2833333333333</v>
      </c>
      <c r="AU133" s="8" t="n">
        <f aca="false">18+48/60</f>
        <v>18.8</v>
      </c>
      <c r="AV133" s="8" t="n">
        <f aca="false">8+37/60</f>
        <v>8.61666666666667</v>
      </c>
      <c r="AW133" s="8" t="n">
        <v>0</v>
      </c>
      <c r="AX133" s="8" t="n">
        <v>0</v>
      </c>
      <c r="AY133" s="4" t="s">
        <v>59</v>
      </c>
      <c r="AZ133" s="4" t="s">
        <v>60</v>
      </c>
      <c r="BA133" s="4" t="n">
        <v>0</v>
      </c>
      <c r="BB133" s="4"/>
      <c r="BC133" s="4"/>
    </row>
    <row r="134" customFormat="false" ht="16.9" hidden="false" customHeight="false" outlineLevel="0" collapsed="false">
      <c r="A134" s="11" t="n">
        <f aca="false">A133+1</f>
        <v>666</v>
      </c>
      <c r="B134" s="12" t="n">
        <v>44013.4972222222</v>
      </c>
      <c r="C134" s="4" t="n">
        <v>1</v>
      </c>
      <c r="D134" s="4"/>
      <c r="E134" s="4"/>
      <c r="F134" s="4" t="s">
        <v>106</v>
      </c>
      <c r="G134" s="6" t="n">
        <f aca="false">AVERAGE(91,92,94)</f>
        <v>92.3333333333333</v>
      </c>
      <c r="H134" s="6" t="n">
        <f aca="false">AVERAGE(76,75)</f>
        <v>75.5</v>
      </c>
      <c r="I134" s="6" t="n">
        <f aca="false">AVERAGE(58,59,56)</f>
        <v>57.6666666666667</v>
      </c>
      <c r="J134" s="6" t="s">
        <v>62</v>
      </c>
      <c r="K134" s="6" t="n">
        <f aca="false">AVERAGE(15,13,13)</f>
        <v>13.6666666666667</v>
      </c>
      <c r="L134" s="6" t="n">
        <v>25</v>
      </c>
      <c r="M134" s="3" t="s">
        <v>129</v>
      </c>
      <c r="N134" s="4" t="s">
        <v>57</v>
      </c>
      <c r="O134" s="4"/>
      <c r="P134" s="4" t="s">
        <v>135</v>
      </c>
      <c r="Q134" s="8" t="n">
        <v>4.88</v>
      </c>
      <c r="R134" s="6" t="n">
        <v>1252</v>
      </c>
      <c r="S134" s="6" t="n">
        <v>16054</v>
      </c>
      <c r="T134" s="6" t="n">
        <f aca="false">S134-R134</f>
        <v>14802</v>
      </c>
      <c r="U134" s="8" t="n">
        <f aca="false">(60+52)/60</f>
        <v>1.86666666666667</v>
      </c>
      <c r="V134" s="8" t="n">
        <f aca="false">(60+58)/60</f>
        <v>1.96666666666667</v>
      </c>
      <c r="W134" s="8" t="n">
        <f aca="false">V134-U134</f>
        <v>0.0999999999999999</v>
      </c>
      <c r="X134" s="8" t="n">
        <f aca="false">Q134/U134</f>
        <v>2.61428571428571</v>
      </c>
      <c r="Y134" s="4" t="n">
        <v>3</v>
      </c>
      <c r="Z134" s="8" t="n">
        <f aca="false">Q134/Y134</f>
        <v>1.62666666666667</v>
      </c>
      <c r="AA134" s="8" t="n">
        <f aca="false">22+57/60</f>
        <v>22.95</v>
      </c>
      <c r="AB134" s="6" t="n">
        <v>469</v>
      </c>
      <c r="AC134" s="6" t="n">
        <v>999</v>
      </c>
      <c r="AD134" s="6" t="n">
        <v>116</v>
      </c>
      <c r="AE134" s="6" t="n">
        <v>157</v>
      </c>
      <c r="AF134" s="8" t="n">
        <f aca="false">24+43/60</f>
        <v>24.7166666666667</v>
      </c>
      <c r="AG134" s="8" t="n">
        <f aca="false">12+6/60</f>
        <v>12.1</v>
      </c>
      <c r="AH134" s="8" t="n">
        <f aca="false">22+54/60</f>
        <v>22.9</v>
      </c>
      <c r="AI134" s="8" t="n">
        <f aca="false">60/2.8</f>
        <v>21.4285714285714</v>
      </c>
      <c r="AJ134" s="8"/>
      <c r="AK134" s="8"/>
      <c r="AL134" s="8"/>
      <c r="AM134" s="8"/>
      <c r="AN134" s="8"/>
      <c r="AO134" s="8"/>
      <c r="AP134" s="4" t="n">
        <v>2</v>
      </c>
      <c r="AQ134" s="4" t="n">
        <v>1</v>
      </c>
      <c r="AR134" s="4" t="n">
        <v>0</v>
      </c>
      <c r="AS134" s="14" t="n">
        <f aca="false">60*U134-SUM(AT134:AX134)</f>
        <v>0.049999999999983</v>
      </c>
      <c r="AT134" s="8" t="n">
        <f aca="false">1+23/60</f>
        <v>1.38333333333333</v>
      </c>
      <c r="AU134" s="8" t="n">
        <f aca="false">22+44/60</f>
        <v>22.7333333333333</v>
      </c>
      <c r="AV134" s="8" t="n">
        <f aca="false">27+52/60</f>
        <v>27.8666666666667</v>
      </c>
      <c r="AW134" s="8" t="n">
        <f aca="false">57+46/60</f>
        <v>57.7666666666667</v>
      </c>
      <c r="AX134" s="8" t="n">
        <f aca="false">2+12/60</f>
        <v>2.2</v>
      </c>
      <c r="AY134" s="4" t="s">
        <v>59</v>
      </c>
      <c r="AZ134" s="4" t="s">
        <v>60</v>
      </c>
      <c r="BA134" s="4" t="n">
        <v>0</v>
      </c>
      <c r="BB134" s="4"/>
      <c r="BC134" s="4"/>
    </row>
    <row r="135" customFormat="false" ht="16.9" hidden="false" customHeight="false" outlineLevel="0" collapsed="false">
      <c r="A135" s="11" t="n">
        <f aca="false">A134+1</f>
        <v>667</v>
      </c>
      <c r="B135" s="12" t="n">
        <v>44014.55</v>
      </c>
      <c r="C135" s="4" t="n">
        <v>1</v>
      </c>
      <c r="D135" s="4"/>
      <c r="E135" s="4"/>
      <c r="F135" s="4" t="s">
        <v>90</v>
      </c>
      <c r="G135" s="6" t="n">
        <v>92</v>
      </c>
      <c r="H135" s="6" t="n">
        <v>76</v>
      </c>
      <c r="I135" s="6" t="n">
        <v>59</v>
      </c>
      <c r="J135" s="6" t="s">
        <v>139</v>
      </c>
      <c r="K135" s="6" t="n">
        <v>10</v>
      </c>
      <c r="L135" s="6" t="n">
        <v>0</v>
      </c>
      <c r="M135" s="3" t="s">
        <v>129</v>
      </c>
      <c r="N135" s="4" t="s">
        <v>57</v>
      </c>
      <c r="O135" s="4"/>
      <c r="P135" s="4" t="s">
        <v>135</v>
      </c>
      <c r="Q135" s="8" t="n">
        <v>2.52</v>
      </c>
      <c r="R135" s="6"/>
      <c r="S135" s="6"/>
      <c r="T135" s="6"/>
      <c r="U135" s="8" t="n">
        <f aca="false">64/60</f>
        <v>1.06666666666667</v>
      </c>
      <c r="V135" s="8" t="n">
        <f aca="false">64/60</f>
        <v>1.06666666666667</v>
      </c>
      <c r="W135" s="8" t="n">
        <f aca="false">V135-U135</f>
        <v>0</v>
      </c>
      <c r="X135" s="8" t="n">
        <f aca="false">Q135/U135</f>
        <v>2.3625</v>
      </c>
      <c r="Y135" s="4" t="n">
        <v>2</v>
      </c>
      <c r="Z135" s="8" t="n">
        <f aca="false">Q135/Y135</f>
        <v>1.26</v>
      </c>
      <c r="AA135" s="8" t="n">
        <f aca="false">25+28/60</f>
        <v>25.4666666666667</v>
      </c>
      <c r="AB135" s="6" t="n">
        <v>79</v>
      </c>
      <c r="AC135" s="6" t="n">
        <v>277</v>
      </c>
      <c r="AD135" s="6" t="n">
        <v>79</v>
      </c>
      <c r="AE135" s="6" t="n">
        <v>110</v>
      </c>
      <c r="AF135" s="8" t="n">
        <f aca="false">25+18/60</f>
        <v>25.3</v>
      </c>
      <c r="AG135" s="8" t="n">
        <f aca="false">24+59/60</f>
        <v>24.9833333333333</v>
      </c>
      <c r="AH135" s="8" t="n">
        <f aca="false">60/2.4</f>
        <v>25</v>
      </c>
      <c r="AI135" s="8"/>
      <c r="AJ135" s="8"/>
      <c r="AK135" s="8"/>
      <c r="AL135" s="8"/>
      <c r="AM135" s="8"/>
      <c r="AN135" s="8"/>
      <c r="AO135" s="8"/>
      <c r="AP135" s="4" t="n">
        <v>0</v>
      </c>
      <c r="AQ135" s="4" t="n">
        <v>0</v>
      </c>
      <c r="AR135" s="4" t="n">
        <v>0</v>
      </c>
      <c r="AS135" s="14" t="n">
        <f aca="false">60*U135-SUM(AT135:AX135)</f>
        <v>26.7166666666667</v>
      </c>
      <c r="AT135" s="8" t="n">
        <f aca="false">13+23/60</f>
        <v>13.3833333333333</v>
      </c>
      <c r="AU135" s="8" t="n">
        <f aca="false">23+15/60</f>
        <v>23.25</v>
      </c>
      <c r="AV135" s="8" t="n">
        <f aca="false">39/60</f>
        <v>0.65</v>
      </c>
      <c r="AW135" s="8" t="n">
        <v>0</v>
      </c>
      <c r="AX135" s="8" t="n">
        <v>0</v>
      </c>
      <c r="AY135" s="4" t="s">
        <v>59</v>
      </c>
      <c r="AZ135" s="4" t="s">
        <v>60</v>
      </c>
      <c r="BA135" s="4" t="n">
        <v>0</v>
      </c>
      <c r="BB135" s="4"/>
      <c r="BC135" s="4"/>
    </row>
    <row r="136" customFormat="false" ht="16.9" hidden="false" customHeight="false" outlineLevel="0" collapsed="false">
      <c r="A136" s="11" t="n">
        <f aca="false">A135+1</f>
        <v>668</v>
      </c>
      <c r="B136" s="12" t="n">
        <v>44015.5034722222</v>
      </c>
      <c r="C136" s="4" t="n">
        <v>1</v>
      </c>
      <c r="D136" s="4"/>
      <c r="E136" s="4"/>
      <c r="F136" s="4" t="s">
        <v>71</v>
      </c>
      <c r="G136" s="6" t="n">
        <f aca="false">AVERAGE(95,96)</f>
        <v>95.5</v>
      </c>
      <c r="H136" s="6" t="n">
        <f aca="false">AVERAGE(67,64)</f>
        <v>65.5</v>
      </c>
      <c r="I136" s="6" t="n">
        <f aca="false">AVERAGE(40,35)</f>
        <v>37.5</v>
      </c>
      <c r="J136" s="6" t="s">
        <v>108</v>
      </c>
      <c r="K136" s="6" t="n">
        <v>3</v>
      </c>
      <c r="L136" s="6" t="n">
        <v>0</v>
      </c>
      <c r="M136" s="3" t="s">
        <v>129</v>
      </c>
      <c r="N136" s="4" t="s">
        <v>136</v>
      </c>
      <c r="O136" s="4"/>
      <c r="P136" s="4" t="s">
        <v>137</v>
      </c>
      <c r="Q136" s="8" t="n">
        <v>5.08</v>
      </c>
      <c r="R136" s="6" t="n">
        <v>995</v>
      </c>
      <c r="S136" s="6" t="n">
        <v>16402</v>
      </c>
      <c r="T136" s="6" t="n">
        <f aca="false">S136-R136</f>
        <v>15407</v>
      </c>
      <c r="U136" s="8" t="n">
        <f aca="false">122/60</f>
        <v>2.03333333333333</v>
      </c>
      <c r="V136" s="8" t="n">
        <f aca="false">122/60</f>
        <v>2.03333333333333</v>
      </c>
      <c r="W136" s="8" t="n">
        <f aca="false">V136-U136</f>
        <v>0</v>
      </c>
      <c r="X136" s="8" t="n">
        <f aca="false">Q136/U136</f>
        <v>2.4983606557377</v>
      </c>
      <c r="Y136" s="4" t="n">
        <v>4</v>
      </c>
      <c r="Z136" s="8" t="n">
        <f aca="false">Q136/Y136</f>
        <v>1.27</v>
      </c>
      <c r="AA136" s="8" t="n">
        <f aca="false">24+2/60</f>
        <v>24.0333333333333</v>
      </c>
      <c r="AB136" s="6" t="n">
        <v>62</v>
      </c>
      <c r="AC136" s="6" t="n">
        <v>709</v>
      </c>
      <c r="AD136" s="6" t="n">
        <v>97</v>
      </c>
      <c r="AE136" s="6" t="n">
        <v>129</v>
      </c>
      <c r="AF136" s="8" t="n">
        <f aca="false">23+25/60</f>
        <v>23.4166666666667</v>
      </c>
      <c r="AG136" s="8" t="n">
        <f aca="false">22+45/60</f>
        <v>22.75</v>
      </c>
      <c r="AH136" s="8" t="n">
        <f aca="false">28+21/60</f>
        <v>28.35</v>
      </c>
      <c r="AI136" s="8" t="n">
        <f aca="false">25+59/60</f>
        <v>25.9833333333333</v>
      </c>
      <c r="AJ136" s="8" t="n">
        <f aca="false">19+52/60</f>
        <v>19.8666666666667</v>
      </c>
      <c r="AK136" s="8" t="n">
        <f aca="false">60/2.8</f>
        <v>21.4285714285714</v>
      </c>
      <c r="AL136" s="8"/>
      <c r="AM136" s="8"/>
      <c r="AN136" s="8"/>
      <c r="AO136" s="8"/>
      <c r="AP136" s="4" t="n">
        <v>0</v>
      </c>
      <c r="AQ136" s="4" t="n">
        <v>0</v>
      </c>
      <c r="AR136" s="4" t="n">
        <v>0</v>
      </c>
      <c r="AS136" s="14" t="n">
        <f aca="false">60*U136-SUM(AT136:AX136)</f>
        <v>38.9833333333333</v>
      </c>
      <c r="AT136" s="8" t="n">
        <f aca="false">16+9/60</f>
        <v>16.15</v>
      </c>
      <c r="AU136" s="8" t="n">
        <f aca="false">39+14/60</f>
        <v>39.2333333333333</v>
      </c>
      <c r="AV136" s="8" t="n">
        <f aca="false">27+38/60</f>
        <v>27.6333333333333</v>
      </c>
      <c r="AW136" s="8" t="n">
        <v>0</v>
      </c>
      <c r="AX136" s="8" t="n">
        <v>0</v>
      </c>
      <c r="AY136" s="4" t="s">
        <v>59</v>
      </c>
      <c r="AZ136" s="4" t="s">
        <v>60</v>
      </c>
      <c r="BA136" s="4" t="n">
        <v>0</v>
      </c>
      <c r="BB136" s="4"/>
      <c r="BC136" s="4"/>
    </row>
    <row r="137" customFormat="false" ht="16.9" hidden="false" customHeight="false" outlineLevel="0" collapsed="false">
      <c r="A137" s="11" t="n">
        <f aca="false">A136+1</f>
        <v>669</v>
      </c>
      <c r="B137" s="12" t="n">
        <v>44016.3673611111</v>
      </c>
      <c r="C137" s="4" t="n">
        <v>1</v>
      </c>
      <c r="D137" s="4"/>
      <c r="E137" s="4"/>
      <c r="F137" s="4" t="s">
        <v>71</v>
      </c>
      <c r="G137" s="6" t="n">
        <f aca="false">AVERAGE(82,86)</f>
        <v>84</v>
      </c>
      <c r="H137" s="6" t="n">
        <f aca="false">AVERAGE(70,71)</f>
        <v>70.5</v>
      </c>
      <c r="I137" s="6" t="n">
        <f aca="false">AVERAGE(67,71)</f>
        <v>69</v>
      </c>
      <c r="J137" s="6" t="s">
        <v>62</v>
      </c>
      <c r="K137" s="6" t="n">
        <f aca="false">AVERAGE(5,6)</f>
        <v>5.5</v>
      </c>
      <c r="L137" s="6" t="n">
        <v>0</v>
      </c>
      <c r="M137" s="3" t="s">
        <v>129</v>
      </c>
      <c r="N137" s="4" t="s">
        <v>57</v>
      </c>
      <c r="O137" s="4"/>
      <c r="P137" s="4" t="s">
        <v>135</v>
      </c>
      <c r="Q137" s="8" t="n">
        <v>3.36</v>
      </c>
      <c r="R137" s="6" t="n">
        <v>349</v>
      </c>
      <c r="S137" s="6" t="n">
        <v>12124</v>
      </c>
      <c r="T137" s="6" t="n">
        <f aca="false">S137-R137</f>
        <v>11775</v>
      </c>
      <c r="U137" s="8" t="n">
        <f aca="false">(60+27)/60</f>
        <v>1.45</v>
      </c>
      <c r="V137" s="8" t="n">
        <f aca="false">(60+27)/60</f>
        <v>1.45</v>
      </c>
      <c r="W137" s="8" t="n">
        <f aca="false">V137-U137</f>
        <v>0</v>
      </c>
      <c r="X137" s="8" t="n">
        <f aca="false">Q137/U137</f>
        <v>2.31724137931034</v>
      </c>
      <c r="Y137" s="4" t="n">
        <v>3</v>
      </c>
      <c r="Z137" s="8" t="n">
        <f aca="false">Q137/Y137</f>
        <v>1.12</v>
      </c>
      <c r="AA137" s="8" t="n">
        <f aca="false">25+52/60</f>
        <v>25.8666666666667</v>
      </c>
      <c r="AB137" s="6" t="n">
        <v>46</v>
      </c>
      <c r="AC137" s="6" t="n">
        <v>996</v>
      </c>
      <c r="AD137" s="6" t="n">
        <v>129</v>
      </c>
      <c r="AE137" s="6" t="n">
        <v>149</v>
      </c>
      <c r="AF137" s="8" t="n">
        <f aca="false">24+44/60</f>
        <v>24.7333333333333</v>
      </c>
      <c r="AG137" s="8" t="n">
        <f aca="false">25+48/60</f>
        <v>25.8</v>
      </c>
      <c r="AH137" s="8" t="n">
        <f aca="false">25+59/60</f>
        <v>25.9833333333333</v>
      </c>
      <c r="AI137" s="8" t="n">
        <f aca="false">60/2.1</f>
        <v>28.5714285714286</v>
      </c>
      <c r="AJ137" s="8"/>
      <c r="AK137" s="8"/>
      <c r="AL137" s="8"/>
      <c r="AM137" s="8"/>
      <c r="AN137" s="8"/>
      <c r="AO137" s="8"/>
      <c r="AP137" s="4" t="n">
        <v>0</v>
      </c>
      <c r="AQ137" s="4" t="n">
        <v>1</v>
      </c>
      <c r="AR137" s="4"/>
      <c r="AS137" s="14" t="n">
        <f aca="false">60*U137-SUM(AT137:AX137)</f>
        <v>0.216666666666669</v>
      </c>
      <c r="AT137" s="8" t="n">
        <f aca="false">2/60</f>
        <v>0.0333333333333333</v>
      </c>
      <c r="AU137" s="8" t="n">
        <f aca="false">2</f>
        <v>2</v>
      </c>
      <c r="AV137" s="8" t="n">
        <f aca="false">8+43/60</f>
        <v>8.71666666666667</v>
      </c>
      <c r="AW137" s="8" t="n">
        <f aca="false">51+31/60</f>
        <v>51.5166666666667</v>
      </c>
      <c r="AX137" s="8" t="n">
        <f aca="false">24+31/60</f>
        <v>24.5166666666667</v>
      </c>
      <c r="AY137" s="4" t="s">
        <v>59</v>
      </c>
      <c r="AZ137" s="4" t="s">
        <v>60</v>
      </c>
      <c r="BA137" s="4" t="n">
        <v>0</v>
      </c>
      <c r="BB137" s="4"/>
      <c r="BC137" s="4"/>
    </row>
    <row r="138" customFormat="false" ht="16.9" hidden="false" customHeight="false" outlineLevel="0" collapsed="false">
      <c r="A138" s="11" t="n">
        <f aca="false">A137+1</f>
        <v>670</v>
      </c>
      <c r="B138" s="12" t="n">
        <v>44017.5104166667</v>
      </c>
      <c r="C138" s="4" t="n">
        <v>1</v>
      </c>
      <c r="D138" s="4"/>
      <c r="E138" s="4"/>
      <c r="F138" s="4" t="s">
        <v>71</v>
      </c>
      <c r="G138" s="6" t="n">
        <f aca="false">AVERAGE(86,89)</f>
        <v>87.5</v>
      </c>
      <c r="H138" s="6" t="n">
        <f aca="false">AVERAGE(74,72)</f>
        <v>73</v>
      </c>
      <c r="I138" s="6" t="n">
        <f aca="false">AVERAGE(67,57)</f>
        <v>62</v>
      </c>
      <c r="J138" s="6" t="s">
        <v>97</v>
      </c>
      <c r="K138" s="6" t="n">
        <v>5</v>
      </c>
      <c r="L138" s="6" t="n">
        <v>0</v>
      </c>
      <c r="M138" s="3" t="s">
        <v>129</v>
      </c>
      <c r="N138" s="4" t="s">
        <v>136</v>
      </c>
      <c r="O138" s="4"/>
      <c r="P138" s="4" t="s">
        <v>137</v>
      </c>
      <c r="Q138" s="8" t="n">
        <v>5.08</v>
      </c>
      <c r="R138" s="6" t="n">
        <v>1593</v>
      </c>
      <c r="S138" s="6" t="n">
        <v>18923</v>
      </c>
      <c r="T138" s="6" t="n">
        <f aca="false">S138-R138</f>
        <v>17330</v>
      </c>
      <c r="U138" s="8" t="n">
        <f aca="false">(120+9)/60</f>
        <v>2.15</v>
      </c>
      <c r="V138" s="8" t="n">
        <f aca="false">(120+10)/60</f>
        <v>2.16666666666667</v>
      </c>
      <c r="W138" s="8" t="n">
        <f aca="false">V138-U138</f>
        <v>0.0166666666666666</v>
      </c>
      <c r="X138" s="8" t="n">
        <f aca="false">Q138/U138</f>
        <v>2.36279069767442</v>
      </c>
      <c r="Y138" s="4" t="n">
        <v>4</v>
      </c>
      <c r="Z138" s="8" t="n">
        <f aca="false">Q138/Y138</f>
        <v>1.27</v>
      </c>
      <c r="AA138" s="8" t="n">
        <f aca="false">25+25/60</f>
        <v>25.4166666666667</v>
      </c>
      <c r="AB138" s="6" t="n">
        <v>79</v>
      </c>
      <c r="AC138" s="6" t="n">
        <v>680</v>
      </c>
      <c r="AD138" s="6" t="n">
        <v>97</v>
      </c>
      <c r="AE138" s="6" t="n">
        <v>132</v>
      </c>
      <c r="AF138" s="8" t="n">
        <f aca="false">25+50/60</f>
        <v>25.8333333333333</v>
      </c>
      <c r="AG138" s="8" t="n">
        <f aca="false">28+40/60</f>
        <v>28.6666666666667</v>
      </c>
      <c r="AH138" s="8" t="n">
        <f aca="false">24+18/60</f>
        <v>24.3</v>
      </c>
      <c r="AI138" s="8" t="n">
        <f aca="false">23+41/60</f>
        <v>23.6833333333333</v>
      </c>
      <c r="AJ138" s="8" t="n">
        <f aca="false">24+48/60</f>
        <v>24.8</v>
      </c>
      <c r="AK138" s="8" t="n">
        <f aca="false">60/2.6</f>
        <v>23.0769230769231</v>
      </c>
      <c r="AL138" s="8"/>
      <c r="AM138" s="8"/>
      <c r="AN138" s="8"/>
      <c r="AO138" s="8"/>
      <c r="AP138" s="4" t="n">
        <v>0</v>
      </c>
      <c r="AQ138" s="4" t="n">
        <v>0</v>
      </c>
      <c r="AR138" s="4" t="n">
        <v>0</v>
      </c>
      <c r="AS138" s="14" t="n">
        <f aca="false">60*U138-SUM(AT138:AX138)</f>
        <v>6</v>
      </c>
      <c r="AT138" s="8" t="n">
        <f aca="false">38+56/60</f>
        <v>38.9333333333333</v>
      </c>
      <c r="AU138" s="8" t="n">
        <f aca="false">46+46/60</f>
        <v>46.7666666666667</v>
      </c>
      <c r="AV138" s="8" t="n">
        <f aca="false">18+40/60</f>
        <v>18.6666666666667</v>
      </c>
      <c r="AW138" s="8" t="n">
        <f aca="false">18+38/60</f>
        <v>18.6333333333333</v>
      </c>
      <c r="AX138" s="8" t="n">
        <v>0</v>
      </c>
      <c r="AY138" s="4" t="s">
        <v>59</v>
      </c>
      <c r="AZ138" s="4" t="s">
        <v>60</v>
      </c>
      <c r="BA138" s="4" t="n">
        <v>0</v>
      </c>
      <c r="BB138" s="4"/>
      <c r="BC138" s="4"/>
    </row>
    <row r="139" customFormat="false" ht="16.9" hidden="false" customHeight="false" outlineLevel="0" collapsed="false">
      <c r="A139" s="11" t="n">
        <f aca="false">A138+1</f>
        <v>671</v>
      </c>
      <c r="B139" s="12" t="n">
        <v>44018.425</v>
      </c>
      <c r="C139" s="4" t="n">
        <v>1</v>
      </c>
      <c r="D139" s="4"/>
      <c r="E139" s="4"/>
      <c r="F139" s="4" t="s">
        <v>106</v>
      </c>
      <c r="G139" s="6" t="n">
        <f aca="false">AVERAGE(76,77)</f>
        <v>76.5</v>
      </c>
      <c r="H139" s="6" t="n">
        <f aca="false">AVERAGE(76,75)</f>
        <v>75.5</v>
      </c>
      <c r="I139" s="6" t="n">
        <f aca="false">AVERAGE(100,94)</f>
        <v>97</v>
      </c>
      <c r="J139" s="6" t="s">
        <v>130</v>
      </c>
      <c r="K139" s="6" t="n">
        <v>0</v>
      </c>
      <c r="L139" s="6" t="n">
        <v>0</v>
      </c>
      <c r="M139" s="3" t="s">
        <v>129</v>
      </c>
      <c r="N139" s="4" t="s">
        <v>57</v>
      </c>
      <c r="O139" s="4"/>
      <c r="P139" s="4" t="s">
        <v>137</v>
      </c>
      <c r="Q139" s="8" t="n">
        <v>5.16</v>
      </c>
      <c r="R139" s="6" t="n">
        <v>904</v>
      </c>
      <c r="S139" s="6" t="n">
        <v>16075</v>
      </c>
      <c r="T139" s="6" t="n">
        <f aca="false">S139-R139</f>
        <v>15171</v>
      </c>
      <c r="U139" s="8" t="n">
        <f aca="false">(120+1)/60</f>
        <v>2.01666666666667</v>
      </c>
      <c r="V139" s="8" t="n">
        <f aca="false">(120+2)/60</f>
        <v>2.03333333333333</v>
      </c>
      <c r="W139" s="8" t="n">
        <f aca="false">V139-U139</f>
        <v>0.0166666666666666</v>
      </c>
      <c r="X139" s="8" t="n">
        <f aca="false">Q139/U139</f>
        <v>2.55867768595041</v>
      </c>
      <c r="Y139" s="4" t="n">
        <v>4</v>
      </c>
      <c r="Z139" s="8" t="n">
        <f aca="false">Q139/Y139</f>
        <v>1.29</v>
      </c>
      <c r="AA139" s="8" t="n">
        <f aca="false">23+28/60</f>
        <v>23.4666666666667</v>
      </c>
      <c r="AB139" s="6" t="n">
        <v>121</v>
      </c>
      <c r="AC139" s="6" t="n">
        <v>611</v>
      </c>
      <c r="AD139" s="6" t="n">
        <v>88</v>
      </c>
      <c r="AE139" s="6" t="n">
        <v>133</v>
      </c>
      <c r="AF139" s="8" t="n">
        <f aca="false">21+5/60</f>
        <v>21.0833333333333</v>
      </c>
      <c r="AG139" s="8" t="n">
        <f aca="false">25+37/60</f>
        <v>25.6166666666667</v>
      </c>
      <c r="AH139" s="8" t="n">
        <f aca="false">22+29/60</f>
        <v>22.4833333333333</v>
      </c>
      <c r="AI139" s="8" t="n">
        <f aca="false">23+14/60</f>
        <v>23.2333333333333</v>
      </c>
      <c r="AJ139" s="8" t="n">
        <f aca="false">24+49/60</f>
        <v>24.8166666666667</v>
      </c>
      <c r="AK139" s="8" t="n">
        <f aca="false">60/2.5</f>
        <v>24</v>
      </c>
      <c r="AL139" s="8"/>
      <c r="AM139" s="8"/>
      <c r="AN139" s="8"/>
      <c r="AO139" s="8"/>
      <c r="AP139" s="4" t="n">
        <v>1</v>
      </c>
      <c r="AQ139" s="4" t="n">
        <v>3</v>
      </c>
      <c r="AR139" s="4" t="n">
        <v>0</v>
      </c>
      <c r="AS139" s="14" t="n">
        <f aca="false">60*U139-SUM(AT139:AX139)</f>
        <v>6.95</v>
      </c>
      <c r="AT139" s="8" t="n">
        <f aca="false">68+50/60</f>
        <v>68.8333333333333</v>
      </c>
      <c r="AU139" s="8" t="n">
        <f aca="false">29+24/60</f>
        <v>29.4</v>
      </c>
      <c r="AV139" s="8" t="n">
        <f aca="false">11</f>
        <v>11</v>
      </c>
      <c r="AW139" s="8" t="n">
        <f aca="false">4+49/60</f>
        <v>4.81666666666667</v>
      </c>
      <c r="AX139" s="8" t="n">
        <v>0</v>
      </c>
      <c r="AY139" s="4" t="s">
        <v>59</v>
      </c>
      <c r="AZ139" s="4" t="s">
        <v>60</v>
      </c>
      <c r="BA139" s="4" t="n">
        <v>0</v>
      </c>
      <c r="BB139" s="4"/>
      <c r="BC139" s="4"/>
    </row>
    <row r="140" customFormat="false" ht="16.9" hidden="false" customHeight="false" outlineLevel="0" collapsed="false">
      <c r="A140" s="11" t="n">
        <f aca="false">A139+1</f>
        <v>672</v>
      </c>
      <c r="B140" s="12" t="n">
        <v>44018.4534722222</v>
      </c>
      <c r="C140" s="4" t="n">
        <v>1</v>
      </c>
      <c r="D140" s="4"/>
      <c r="E140" s="4"/>
      <c r="F140" s="4" t="s">
        <v>106</v>
      </c>
      <c r="G140" s="6" t="n">
        <f aca="false">AVERAGE(76,77)</f>
        <v>76.5</v>
      </c>
      <c r="H140" s="6" t="n">
        <f aca="false">AVERAGE(76,75)</f>
        <v>75.5</v>
      </c>
      <c r="I140" s="6" t="n">
        <f aca="false">AVERAGE(100,94)</f>
        <v>97</v>
      </c>
      <c r="J140" s="6" t="s">
        <v>130</v>
      </c>
      <c r="K140" s="6" t="n">
        <v>0</v>
      </c>
      <c r="L140" s="6" t="n">
        <v>0</v>
      </c>
      <c r="M140" s="3" t="s">
        <v>129</v>
      </c>
      <c r="N140" s="4" t="s">
        <v>136</v>
      </c>
      <c r="O140" s="4"/>
      <c r="P140" s="4" t="s">
        <v>137</v>
      </c>
      <c r="Q140" s="8" t="n">
        <v>5.16</v>
      </c>
      <c r="R140" s="6" t="n">
        <v>904</v>
      </c>
      <c r="S140" s="6" t="n">
        <v>16075</v>
      </c>
      <c r="T140" s="6" t="n">
        <f aca="false">S140-R140</f>
        <v>15171</v>
      </c>
      <c r="U140" s="8" t="n">
        <f aca="false">(120+1)/60</f>
        <v>2.01666666666667</v>
      </c>
      <c r="V140" s="8" t="n">
        <f aca="false">(120+2)/60</f>
        <v>2.03333333333333</v>
      </c>
      <c r="W140" s="8" t="n">
        <f aca="false">V140-U140</f>
        <v>0.0166666666666666</v>
      </c>
      <c r="X140" s="8" t="n">
        <f aca="false">Q140/U140</f>
        <v>2.55867768595041</v>
      </c>
      <c r="Y140" s="4" t="n">
        <v>4</v>
      </c>
      <c r="Z140" s="8" t="n">
        <f aca="false">Q140/Y140</f>
        <v>1.29</v>
      </c>
      <c r="AA140" s="8" t="n">
        <f aca="false">23+28/60</f>
        <v>23.4666666666667</v>
      </c>
      <c r="AB140" s="6" t="n">
        <v>121</v>
      </c>
      <c r="AC140" s="6" t="n">
        <v>611</v>
      </c>
      <c r="AD140" s="6" t="n">
        <v>88</v>
      </c>
      <c r="AE140" s="4" t="n">
        <v>133</v>
      </c>
      <c r="AF140" s="8" t="n">
        <f aca="false">21+5/60</f>
        <v>21.0833333333333</v>
      </c>
      <c r="AG140" s="8" t="n">
        <f aca="false">25+37/60</f>
        <v>25.6166666666667</v>
      </c>
      <c r="AH140" s="8" t="n">
        <f aca="false">22+29/60</f>
        <v>22.4833333333333</v>
      </c>
      <c r="AI140" s="8" t="n">
        <f aca="false">23+14/60</f>
        <v>23.2333333333333</v>
      </c>
      <c r="AJ140" s="8" t="n">
        <f aca="false">24+49/60</f>
        <v>24.8166666666667</v>
      </c>
      <c r="AK140" s="8" t="n">
        <f aca="false">60/2.5</f>
        <v>24</v>
      </c>
      <c r="AL140" s="8"/>
      <c r="AM140" s="8"/>
      <c r="AN140" s="8"/>
      <c r="AO140" s="8"/>
      <c r="AP140" s="4" t="n">
        <v>1</v>
      </c>
      <c r="AQ140" s="4" t="n">
        <v>3</v>
      </c>
      <c r="AR140" s="4" t="n">
        <v>1</v>
      </c>
      <c r="AS140" s="14" t="n">
        <f aca="false">60*U140-SUM(AT140:AX140)</f>
        <v>6.95</v>
      </c>
      <c r="AT140" s="8" t="n">
        <f aca="false">68+50/60</f>
        <v>68.8333333333333</v>
      </c>
      <c r="AU140" s="8" t="n">
        <f aca="false">29+24/60</f>
        <v>29.4</v>
      </c>
      <c r="AV140" s="8" t="n">
        <f aca="false">11</f>
        <v>11</v>
      </c>
      <c r="AW140" s="8" t="n">
        <f aca="false">4+49/60</f>
        <v>4.81666666666667</v>
      </c>
      <c r="AX140" s="8" t="n">
        <v>0</v>
      </c>
      <c r="AY140" s="4" t="s">
        <v>59</v>
      </c>
      <c r="AZ140" s="4" t="s">
        <v>60</v>
      </c>
      <c r="BA140" s="4" t="n">
        <v>0</v>
      </c>
      <c r="BB140" s="4"/>
      <c r="BC140" s="4"/>
    </row>
    <row r="141" customFormat="false" ht="29.85" hidden="false" customHeight="false" outlineLevel="0" collapsed="false">
      <c r="A141" s="11" t="n">
        <f aca="false">A140+1</f>
        <v>673</v>
      </c>
      <c r="B141" s="12" t="n">
        <v>44019.4534722222</v>
      </c>
      <c r="C141" s="4" t="n">
        <v>0</v>
      </c>
      <c r="D141" s="4" t="s">
        <v>140</v>
      </c>
      <c r="E141" s="4"/>
      <c r="F141" s="4" t="s">
        <v>90</v>
      </c>
      <c r="G141" s="6" t="n">
        <v>79</v>
      </c>
      <c r="H141" s="6" t="n">
        <v>75</v>
      </c>
      <c r="I141" s="6" t="n">
        <v>88</v>
      </c>
      <c r="J141" s="6" t="s">
        <v>130</v>
      </c>
      <c r="K141" s="6" t="n">
        <v>10</v>
      </c>
      <c r="L141" s="6" t="n">
        <v>0</v>
      </c>
      <c r="M141" s="3" t="s">
        <v>129</v>
      </c>
      <c r="N141" s="4"/>
      <c r="O141" s="4"/>
      <c r="P141" s="4" t="s">
        <v>135</v>
      </c>
      <c r="Q141" s="8"/>
      <c r="R141" s="6"/>
      <c r="S141" s="6"/>
      <c r="T141" s="6"/>
      <c r="U141" s="8"/>
      <c r="V141" s="8"/>
      <c r="W141" s="8"/>
      <c r="X141" s="8"/>
      <c r="Y141" s="4"/>
      <c r="Z141" s="8"/>
      <c r="AA141" s="8"/>
      <c r="AB141" s="6"/>
      <c r="AC141" s="6"/>
      <c r="AD141" s="6"/>
      <c r="AE141" s="4"/>
      <c r="AF141" s="8"/>
      <c r="AG141" s="8"/>
      <c r="AI141" s="8"/>
      <c r="AJ141" s="8"/>
      <c r="AK141" s="8"/>
      <c r="AL141" s="8"/>
      <c r="AM141" s="8"/>
      <c r="AN141" s="8"/>
      <c r="AO141" s="8"/>
      <c r="AP141" s="4"/>
      <c r="AQ141" s="4"/>
      <c r="AR141" s="4"/>
      <c r="AS141" s="14"/>
      <c r="AT141" s="8"/>
      <c r="AU141" s="8"/>
      <c r="AV141" s="8"/>
      <c r="AW141" s="8"/>
      <c r="AX141" s="8"/>
      <c r="AY141" s="4" t="s">
        <v>59</v>
      </c>
      <c r="AZ141" s="4" t="s">
        <v>60</v>
      </c>
      <c r="BA141" s="4" t="n">
        <v>1</v>
      </c>
      <c r="BB141" s="4" t="s">
        <v>105</v>
      </c>
      <c r="BC141" s="4"/>
    </row>
    <row r="142" customFormat="false" ht="16.9" hidden="false" customHeight="false" outlineLevel="0" collapsed="false">
      <c r="A142" s="11" t="n">
        <v>674</v>
      </c>
      <c r="B142" s="12" t="n">
        <v>44020.575</v>
      </c>
      <c r="C142" s="4" t="n">
        <v>1</v>
      </c>
      <c r="D142" s="4"/>
      <c r="E142" s="4"/>
      <c r="F142" s="4" t="s">
        <v>106</v>
      </c>
      <c r="G142" s="6" t="n">
        <f aca="false">AVERAGE(90,91)</f>
        <v>90.5</v>
      </c>
      <c r="H142" s="6" t="n">
        <f aca="false">AVERAGE(77,78)</f>
        <v>77.5</v>
      </c>
      <c r="I142" s="6" t="n">
        <f aca="false">AVERAGE(65,66)</f>
        <v>65.5</v>
      </c>
      <c r="J142" s="6" t="s">
        <v>108</v>
      </c>
      <c r="K142" s="6" t="n">
        <v>15</v>
      </c>
      <c r="L142" s="6" t="n">
        <v>0</v>
      </c>
      <c r="M142" s="3" t="s">
        <v>129</v>
      </c>
      <c r="N142" s="4" t="s">
        <v>136</v>
      </c>
      <c r="O142" s="4"/>
      <c r="P142" s="4" t="s">
        <v>137</v>
      </c>
      <c r="Q142" s="8" t="n">
        <v>4.88</v>
      </c>
      <c r="R142" s="6" t="n">
        <v>3071</v>
      </c>
      <c r="S142" s="6" t="n">
        <v>18579</v>
      </c>
      <c r="T142" s="6" t="n">
        <f aca="false">S142-R142</f>
        <v>15508</v>
      </c>
      <c r="U142" s="8" t="n">
        <f aca="false">(60+59)/60</f>
        <v>1.98333333333333</v>
      </c>
      <c r="V142" s="8" t="n">
        <v>2</v>
      </c>
      <c r="W142" s="8" t="n">
        <f aca="false">V142-U142</f>
        <v>0.0166666666666666</v>
      </c>
      <c r="X142" s="8" t="n">
        <f aca="false">Q142/U142</f>
        <v>2.46050420168067</v>
      </c>
      <c r="Y142" s="4" t="n">
        <v>4</v>
      </c>
      <c r="Z142" s="8" t="n">
        <f aca="false">Q142/Y142</f>
        <v>1.22</v>
      </c>
      <c r="AA142" s="8" t="n">
        <f aca="false">24+27/60</f>
        <v>24.45</v>
      </c>
      <c r="AB142" s="6" t="n">
        <v>69</v>
      </c>
      <c r="AC142" s="6" t="n">
        <v>557</v>
      </c>
      <c r="AD142" s="6" t="n">
        <v>82</v>
      </c>
      <c r="AE142" s="6" t="n">
        <v>121</v>
      </c>
      <c r="AF142" s="8" t="n">
        <f aca="false">24+13/60</f>
        <v>24.2166666666667</v>
      </c>
      <c r="AG142" s="8" t="n">
        <f aca="false">23+45/60</f>
        <v>23.75</v>
      </c>
      <c r="AH142" s="8" t="n">
        <f aca="false">24+34/60</f>
        <v>24.5666666666667</v>
      </c>
      <c r="AI142" s="8" t="n">
        <f aca="false">25+41/60</f>
        <v>25.6833333333333</v>
      </c>
      <c r="AJ142" s="8" t="n">
        <f aca="false">60/2.3</f>
        <v>26.0869565217391</v>
      </c>
      <c r="AK142" s="8"/>
      <c r="AL142" s="8"/>
      <c r="AM142" s="8"/>
      <c r="AN142" s="8"/>
      <c r="AO142" s="8"/>
      <c r="AP142" s="4" t="n">
        <v>0</v>
      </c>
      <c r="AQ142" s="4" t="n">
        <v>0</v>
      </c>
      <c r="AR142" s="4" t="n">
        <v>0</v>
      </c>
      <c r="AS142" s="14" t="n">
        <f aca="false">60*U142-SUM(AT142:AX142)</f>
        <v>30.3333333333333</v>
      </c>
      <c r="AT142" s="8" t="n">
        <f aca="false">60+41/60</f>
        <v>60.6833333333333</v>
      </c>
      <c r="AU142" s="8" t="n">
        <f aca="false">22+43/60</f>
        <v>22.7166666666667</v>
      </c>
      <c r="AV142" s="8" t="n">
        <f aca="false">5</f>
        <v>5</v>
      </c>
      <c r="AW142" s="8" t="n">
        <v>0.266666666666667</v>
      </c>
      <c r="AX142" s="8" t="n">
        <v>0</v>
      </c>
      <c r="AY142" s="4" t="s">
        <v>59</v>
      </c>
      <c r="AZ142" s="4" t="s">
        <v>60</v>
      </c>
      <c r="BA142" s="4" t="n">
        <v>0</v>
      </c>
      <c r="BB142" s="4"/>
      <c r="BC142" s="4"/>
    </row>
    <row r="143" customFormat="false" ht="16.9" hidden="false" customHeight="false" outlineLevel="0" collapsed="false">
      <c r="A143" s="11" t="n">
        <v>675</v>
      </c>
      <c r="B143" s="12" t="n">
        <v>44021.4590277778</v>
      </c>
      <c r="C143" s="4" t="n">
        <v>1</v>
      </c>
      <c r="D143" s="4"/>
      <c r="E143" s="4"/>
      <c r="F143" s="4" t="s">
        <v>71</v>
      </c>
      <c r="G143" s="6" t="n">
        <f aca="false">AVERAGE(83,88,91)</f>
        <v>87.3333333333333</v>
      </c>
      <c r="H143" s="6" t="n">
        <f aca="false">AVERAGE(75,74,76)</f>
        <v>75</v>
      </c>
      <c r="I143" s="6" t="n">
        <f aca="false">AVERAGE(73,70,70)</f>
        <v>71</v>
      </c>
      <c r="J143" s="6" t="s">
        <v>62</v>
      </c>
      <c r="K143" s="6" t="n">
        <f aca="false">AVERAGE(14,13,9)</f>
        <v>12</v>
      </c>
      <c r="L143" s="6" t="n">
        <v>24</v>
      </c>
      <c r="M143" s="3" t="s">
        <v>129</v>
      </c>
      <c r="N143" s="4" t="s">
        <v>57</v>
      </c>
      <c r="O143" s="4"/>
      <c r="P143" s="4" t="s">
        <v>137</v>
      </c>
      <c r="Q143" s="8" t="n">
        <v>4.99</v>
      </c>
      <c r="R143" s="6" t="n">
        <v>1331</v>
      </c>
      <c r="S143" s="6" t="n">
        <v>17122</v>
      </c>
      <c r="T143" s="6" t="n">
        <f aca="false">S143-R143</f>
        <v>15791</v>
      </c>
      <c r="U143" s="8" t="n">
        <v>2</v>
      </c>
      <c r="V143" s="8" t="n">
        <f aca="false">122/60</f>
        <v>2.03333333333333</v>
      </c>
      <c r="W143" s="8" t="n">
        <f aca="false">V143-U143</f>
        <v>0.0333333333333332</v>
      </c>
      <c r="X143" s="8" t="n">
        <f aca="false">Q143/U143</f>
        <v>2.495</v>
      </c>
      <c r="Y143" s="4" t="n">
        <v>4</v>
      </c>
      <c r="Z143" s="8" t="n">
        <f aca="false">Q143/Y143</f>
        <v>1.2475</v>
      </c>
      <c r="AA143" s="8" t="n">
        <f aca="false">24+1/60</f>
        <v>24.0166666666667</v>
      </c>
      <c r="AB143" s="6" t="n">
        <v>33</v>
      </c>
      <c r="AC143" s="6" t="n">
        <v>612</v>
      </c>
      <c r="AD143" s="6" t="n">
        <v>90</v>
      </c>
      <c r="AE143" s="6" t="n">
        <v>136</v>
      </c>
      <c r="AF143" s="8" t="n">
        <f aca="false">24+20/60</f>
        <v>24.3333333333333</v>
      </c>
      <c r="AG143" s="8" t="n">
        <f aca="false">21+53/60</f>
        <v>21.8833333333333</v>
      </c>
      <c r="AH143" s="8" t="n">
        <f aca="false">22+59/60</f>
        <v>22.9833333333333</v>
      </c>
      <c r="AI143" s="8" t="n">
        <f aca="false">24+6/60</f>
        <v>24.1</v>
      </c>
      <c r="AJ143" s="8" t="n">
        <f aca="false">60/2.2</f>
        <v>27.2727272727273</v>
      </c>
      <c r="AK143" s="8"/>
      <c r="AL143" s="8"/>
      <c r="AM143" s="8"/>
      <c r="AN143" s="8"/>
      <c r="AO143" s="8"/>
      <c r="AP143" s="4" t="n">
        <v>1</v>
      </c>
      <c r="AQ143" s="4" t="n">
        <v>0</v>
      </c>
      <c r="AR143" s="4" t="n">
        <v>0</v>
      </c>
      <c r="AS143" s="14" t="n">
        <f aca="false">60*U143-SUM(AT143:AX143)</f>
        <v>5.06666666666666</v>
      </c>
      <c r="AT143" s="8" t="n">
        <f aca="false">60+47/60</f>
        <v>60.7833333333333</v>
      </c>
      <c r="AU143" s="8" t="n">
        <f aca="false">37+38/60</f>
        <v>37.6333333333333</v>
      </c>
      <c r="AV143" s="8" t="n">
        <f aca="false">11+6/60</f>
        <v>11.1</v>
      </c>
      <c r="AW143" s="8" t="n">
        <f aca="false">5+11/60</f>
        <v>5.18333333333333</v>
      </c>
      <c r="AX143" s="8" t="n">
        <f aca="false">14/60</f>
        <v>0.233333333333333</v>
      </c>
      <c r="AY143" s="4" t="s">
        <v>59</v>
      </c>
      <c r="AZ143" s="4" t="s">
        <v>60</v>
      </c>
      <c r="BA143" s="4" t="n">
        <v>0</v>
      </c>
      <c r="BB143" s="4"/>
      <c r="BC143" s="4"/>
    </row>
    <row r="144" customFormat="false" ht="16.9" hidden="false" customHeight="false" outlineLevel="0" collapsed="false">
      <c r="A144" s="11" t="n">
        <f aca="false">A143+1</f>
        <v>676</v>
      </c>
      <c r="B144" s="12" t="n">
        <v>44022.5298611111</v>
      </c>
      <c r="C144" s="4" t="n">
        <v>1</v>
      </c>
      <c r="D144" s="4"/>
      <c r="E144" s="4"/>
      <c r="F144" s="4" t="s">
        <v>93</v>
      </c>
      <c r="G144" s="6" t="n">
        <v>91</v>
      </c>
      <c r="H144" s="6" t="n">
        <v>76</v>
      </c>
      <c r="I144" s="6" t="n">
        <f aca="false">(65+59)/2</f>
        <v>62</v>
      </c>
      <c r="J144" s="4" t="s">
        <v>141</v>
      </c>
      <c r="K144" s="6" t="n">
        <v>8</v>
      </c>
      <c r="L144" s="6" t="n">
        <v>0</v>
      </c>
      <c r="M144" s="3" t="s">
        <v>129</v>
      </c>
      <c r="N144" s="4" t="s">
        <v>136</v>
      </c>
      <c r="O144" s="4"/>
      <c r="P144" s="4" t="s">
        <v>135</v>
      </c>
      <c r="Q144" s="8" t="n">
        <v>3.4</v>
      </c>
      <c r="R144" s="6"/>
      <c r="S144" s="6"/>
      <c r="T144" s="6"/>
      <c r="U144" s="8" t="n">
        <f aca="false">91/60</f>
        <v>1.51666666666667</v>
      </c>
      <c r="V144" s="8" t="n">
        <f aca="false">91/60</f>
        <v>1.51666666666667</v>
      </c>
      <c r="W144" s="8" t="n">
        <f aca="false">V144-U144</f>
        <v>0</v>
      </c>
      <c r="X144" s="8" t="n">
        <f aca="false">Q144/U144</f>
        <v>2.24175824175824</v>
      </c>
      <c r="Y144" s="4" t="n">
        <v>3</v>
      </c>
      <c r="Z144" s="8" t="n">
        <f aca="false">Q144/Y144</f>
        <v>1.13333333333333</v>
      </c>
      <c r="AA144" s="8" t="n">
        <f aca="false">26+43/60</f>
        <v>26.7166666666667</v>
      </c>
      <c r="AB144" s="6" t="n">
        <f aca="false">Y144*23*9/12</f>
        <v>51.75</v>
      </c>
      <c r="AC144" s="6" t="n">
        <v>434</v>
      </c>
      <c r="AD144" s="6" t="n">
        <v>93</v>
      </c>
      <c r="AE144" s="4" t="n">
        <v>121</v>
      </c>
      <c r="AF144" s="8" t="n">
        <f aca="false">25+3/60</f>
        <v>25.05</v>
      </c>
      <c r="AG144" s="8" t="n">
        <f aca="false">25+49/60</f>
        <v>25.8166666666667</v>
      </c>
      <c r="AH144" s="8" t="n">
        <f aca="false">28+23/60</f>
        <v>28.3833333333333</v>
      </c>
      <c r="AI144" s="8" t="n">
        <f aca="false">60/2.3</f>
        <v>26.0869565217391</v>
      </c>
      <c r="AJ144" s="8"/>
      <c r="AK144" s="8"/>
      <c r="AL144" s="8"/>
      <c r="AM144" s="8"/>
      <c r="AN144" s="8"/>
      <c r="AO144" s="8"/>
      <c r="AP144" s="4" t="n">
        <v>0</v>
      </c>
      <c r="AQ144" s="4" t="n">
        <v>0</v>
      </c>
      <c r="AR144" s="4" t="n">
        <v>0</v>
      </c>
      <c r="AS144" s="14" t="n">
        <f aca="false">60*U144-SUM(AT144:AX144)</f>
        <v>1.86666666666667</v>
      </c>
      <c r="AT144" s="8" t="n">
        <f aca="false">23+6/60</f>
        <v>23.1</v>
      </c>
      <c r="AU144" s="8" t="n">
        <f aca="false">57+40/60</f>
        <v>57.6666666666667</v>
      </c>
      <c r="AV144" s="8" t="n">
        <f aca="false">8+22/60</f>
        <v>8.36666666666667</v>
      </c>
      <c r="AW144" s="8" t="n">
        <v>0</v>
      </c>
      <c r="AX144" s="8" t="n">
        <v>0</v>
      </c>
      <c r="AY144" s="4" t="s">
        <v>59</v>
      </c>
      <c r="AZ144" s="4" t="s">
        <v>60</v>
      </c>
      <c r="BA144" s="4" t="n">
        <v>0</v>
      </c>
      <c r="BB144" s="4"/>
      <c r="BC144" s="4"/>
    </row>
    <row r="145" customFormat="false" ht="16.9" hidden="false" customHeight="false" outlineLevel="0" collapsed="false">
      <c r="A145" s="11" t="n">
        <f aca="false">A144+1</f>
        <v>677</v>
      </c>
      <c r="B145" s="12" t="n">
        <v>44023.5201388889</v>
      </c>
      <c r="C145" s="4" t="n">
        <v>1</v>
      </c>
      <c r="D145" s="4"/>
      <c r="E145" s="4"/>
      <c r="F145" s="4" t="s">
        <v>71</v>
      </c>
      <c r="G145" s="6" t="n">
        <v>94</v>
      </c>
      <c r="H145" s="6" t="n">
        <v>78</v>
      </c>
      <c r="I145" s="6" t="n">
        <f aca="false">(68+72)/2</f>
        <v>70</v>
      </c>
      <c r="J145" s="6" t="s">
        <v>142</v>
      </c>
      <c r="K145" s="6" t="n">
        <f aca="false">(7+13)/2</f>
        <v>10</v>
      </c>
      <c r="L145" s="6" t="n">
        <v>0</v>
      </c>
      <c r="M145" s="3" t="s">
        <v>129</v>
      </c>
      <c r="N145" s="4" t="s">
        <v>57</v>
      </c>
      <c r="O145" s="4"/>
      <c r="P145" s="4" t="s">
        <v>137</v>
      </c>
      <c r="Q145" s="8" t="n">
        <v>5.06</v>
      </c>
      <c r="R145" s="6"/>
      <c r="S145" s="6"/>
      <c r="T145" s="6"/>
      <c r="U145" s="8" t="n">
        <f aca="false">129/60</f>
        <v>2.15</v>
      </c>
      <c r="V145" s="8" t="n">
        <f aca="false">133/60</f>
        <v>2.21666666666667</v>
      </c>
      <c r="W145" s="8" t="n">
        <f aca="false">V145-U145</f>
        <v>0.0666666666666669</v>
      </c>
      <c r="X145" s="8" t="n">
        <f aca="false">Q145/U145</f>
        <v>2.35348837209302</v>
      </c>
      <c r="Y145" s="4" t="n">
        <v>4</v>
      </c>
      <c r="Z145" s="8" t="n">
        <f aca="false">Q145/Y145</f>
        <v>1.265</v>
      </c>
      <c r="AA145" s="8" t="n">
        <f aca="false">25+36/60</f>
        <v>25.6</v>
      </c>
      <c r="AB145" s="6" t="n">
        <f aca="false">Y145*23*9/12</f>
        <v>69</v>
      </c>
      <c r="AC145" s="6" t="n">
        <v>842</v>
      </c>
      <c r="AD145" s="6" t="n">
        <v>106</v>
      </c>
      <c r="AE145" s="4" t="n">
        <v>139</v>
      </c>
      <c r="AF145" s="8" t="n">
        <f aca="false">25+54/60</f>
        <v>25.9</v>
      </c>
      <c r="AG145" s="8" t="n">
        <f aca="false">23+49/60</f>
        <v>23.8166666666667</v>
      </c>
      <c r="AH145" s="8" t="n">
        <f aca="false">25+26/60</f>
        <v>25.4333333333333</v>
      </c>
      <c r="AI145" s="8" t="n">
        <f aca="false">26+58/60</f>
        <v>26.9666666666667</v>
      </c>
      <c r="AJ145" s="8" t="n">
        <f aca="false">25+51/60</f>
        <v>25.85</v>
      </c>
      <c r="AK145" s="8" t="n">
        <f aca="false">60/2.3</f>
        <v>26.0869565217391</v>
      </c>
      <c r="AL145" s="8"/>
      <c r="AM145" s="8"/>
      <c r="AN145" s="8"/>
      <c r="AO145" s="8"/>
      <c r="AP145" s="4" t="n">
        <v>1</v>
      </c>
      <c r="AQ145" s="4" t="n">
        <v>0</v>
      </c>
      <c r="AR145" s="4" t="n">
        <v>0</v>
      </c>
      <c r="AS145" s="14" t="n">
        <v>0</v>
      </c>
      <c r="AT145" s="8" t="n">
        <f aca="false">2+43/60</f>
        <v>2.71666666666667</v>
      </c>
      <c r="AU145" s="8" t="n">
        <f aca="false">58+40/60</f>
        <v>58.6666666666667</v>
      </c>
      <c r="AV145" s="8" t="n">
        <f aca="false">39+58/60</f>
        <v>39.9666666666667</v>
      </c>
      <c r="AW145" s="8" t="n">
        <f aca="false">27+33/70</f>
        <v>27.4714285714286</v>
      </c>
      <c r="AX145" s="8" t="n">
        <f aca="false">28/60</f>
        <v>0.466666666666667</v>
      </c>
      <c r="AY145" s="4" t="s">
        <v>59</v>
      </c>
      <c r="AZ145" s="4" t="s">
        <v>60</v>
      </c>
      <c r="BA145" s="4" t="n">
        <v>0</v>
      </c>
      <c r="BB145" s="4"/>
      <c r="BC145" s="4"/>
    </row>
    <row r="146" customFormat="false" ht="16.9" hidden="false" customHeight="false" outlineLevel="0" collapsed="false">
      <c r="A146" s="11" t="n">
        <f aca="false">A145+1</f>
        <v>678</v>
      </c>
      <c r="B146" s="12" t="n">
        <v>44024.5736111111</v>
      </c>
      <c r="C146" s="4" t="n">
        <v>1</v>
      </c>
      <c r="D146" s="4"/>
      <c r="E146" s="4"/>
      <c r="F146" s="4" t="s">
        <v>93</v>
      </c>
      <c r="G146" s="6" t="n">
        <v>96</v>
      </c>
      <c r="H146" s="6" t="n">
        <v>71</v>
      </c>
      <c r="I146" s="6" t="n">
        <v>42</v>
      </c>
      <c r="J146" s="6" t="s">
        <v>72</v>
      </c>
      <c r="K146" s="6" t="n">
        <v>13</v>
      </c>
      <c r="L146" s="6" t="n">
        <v>17</v>
      </c>
      <c r="M146" s="3" t="s">
        <v>129</v>
      </c>
      <c r="N146" s="4" t="s">
        <v>136</v>
      </c>
      <c r="O146" s="4"/>
      <c r="P146" s="4" t="s">
        <v>135</v>
      </c>
      <c r="Q146" s="8" t="n">
        <v>4.06</v>
      </c>
      <c r="R146" s="6"/>
      <c r="S146" s="6"/>
      <c r="T146" s="6"/>
      <c r="U146" s="8" t="n">
        <f aca="false">95/60</f>
        <v>1.58333333333333</v>
      </c>
      <c r="V146" s="8" t="n">
        <f aca="false">96/60</f>
        <v>1.6</v>
      </c>
      <c r="W146" s="8" t="n">
        <f aca="false">V146-U146</f>
        <v>0.0166666666666668</v>
      </c>
      <c r="X146" s="8" t="n">
        <f aca="false">Q146/U146</f>
        <v>2.56421052631579</v>
      </c>
      <c r="Y146" s="4" t="n">
        <v>3</v>
      </c>
      <c r="Z146" s="8" t="n">
        <f aca="false">Q146/3</f>
        <v>1.35333333333333</v>
      </c>
      <c r="AA146" s="8" t="n">
        <f aca="false">23+32/60</f>
        <v>23.5333333333333</v>
      </c>
      <c r="AB146" s="6" t="n">
        <f aca="false">Y146*23*9/12</f>
        <v>51.75</v>
      </c>
      <c r="AC146" s="6" t="n">
        <f aca="false">934</f>
        <v>934</v>
      </c>
      <c r="AD146" s="6" t="n">
        <v>121</v>
      </c>
      <c r="AE146" s="4" t="n">
        <v>145</v>
      </c>
      <c r="AF146" s="8" t="n">
        <f aca="false">21+51/60</f>
        <v>21.85</v>
      </c>
      <c r="AG146" s="8" t="n">
        <f aca="false">22+36/60</f>
        <v>22.6</v>
      </c>
      <c r="AH146" s="8" t="n">
        <f aca="false">24+13/60</f>
        <v>24.2166666666667</v>
      </c>
      <c r="AI146" s="8" t="n">
        <f aca="false">26+4/60</f>
        <v>26.0666666666667</v>
      </c>
      <c r="AJ146" s="8" t="n">
        <f aca="false">60/4.7</f>
        <v>12.7659574468085</v>
      </c>
      <c r="AK146" s="8"/>
      <c r="AL146" s="8"/>
      <c r="AM146" s="8"/>
      <c r="AN146" s="8"/>
      <c r="AO146" s="8"/>
      <c r="AP146" s="4" t="n">
        <v>0</v>
      </c>
      <c r="AQ146" s="4" t="n">
        <v>0</v>
      </c>
      <c r="AR146" s="4" t="n">
        <v>0</v>
      </c>
      <c r="AS146" s="14" t="n">
        <v>0</v>
      </c>
      <c r="AT146" s="8" t="n">
        <v>0</v>
      </c>
      <c r="AU146" s="8" t="n">
        <f aca="false">5+42/60</f>
        <v>5.7</v>
      </c>
      <c r="AV146" s="8" t="n">
        <f aca="false">12+38/60</f>
        <v>12.6333333333333</v>
      </c>
      <c r="AW146" s="8" t="n">
        <f aca="false">76+36/60</f>
        <v>76.6</v>
      </c>
      <c r="AX146" s="8" t="n">
        <f aca="false">33/60</f>
        <v>0.55</v>
      </c>
      <c r="AY146" s="4" t="s">
        <v>59</v>
      </c>
      <c r="AZ146" s="4" t="s">
        <v>60</v>
      </c>
      <c r="BA146" s="4" t="n">
        <v>0</v>
      </c>
      <c r="BB146" s="4"/>
      <c r="BC146" s="4"/>
    </row>
    <row r="147" customFormat="false" ht="16.9" hidden="false" customHeight="false" outlineLevel="0" collapsed="false">
      <c r="A147" s="11" t="n">
        <f aca="false">A146+1</f>
        <v>679</v>
      </c>
      <c r="B147" s="12" t="n">
        <v>44025.5527777778</v>
      </c>
      <c r="C147" s="4" t="n">
        <v>1</v>
      </c>
      <c r="D147" s="4"/>
      <c r="E147" s="4"/>
      <c r="F147" s="4" t="s">
        <v>93</v>
      </c>
      <c r="G147" s="6" t="n">
        <f aca="false">(96+99)/2</f>
        <v>97.5</v>
      </c>
      <c r="H147" s="6" t="n">
        <v>73</v>
      </c>
      <c r="I147" s="6" t="n">
        <v>42</v>
      </c>
      <c r="J147" s="6" t="s">
        <v>62</v>
      </c>
      <c r="K147" s="6" t="n">
        <v>15</v>
      </c>
      <c r="L147" s="6" t="n">
        <v>25</v>
      </c>
      <c r="M147" s="3" t="s">
        <v>129</v>
      </c>
      <c r="N147" s="4" t="s">
        <v>57</v>
      </c>
      <c r="O147" s="4"/>
      <c r="P147" s="4" t="s">
        <v>137</v>
      </c>
      <c r="Q147" s="8" t="n">
        <v>5.44</v>
      </c>
      <c r="R147" s="6"/>
      <c r="S147" s="6"/>
      <c r="T147" s="6"/>
      <c r="U147" s="8" t="n">
        <f aca="false">131/60</f>
        <v>2.18333333333333</v>
      </c>
      <c r="V147" s="8" t="n">
        <f aca="false">135/60</f>
        <v>2.25</v>
      </c>
      <c r="W147" s="8" t="n">
        <f aca="false">V147-U147</f>
        <v>0.0666666666666669</v>
      </c>
      <c r="X147" s="8" t="n">
        <f aca="false">Q147/U147</f>
        <v>2.49160305343511</v>
      </c>
      <c r="Y147" s="4" t="n">
        <v>4</v>
      </c>
      <c r="Z147" s="8" t="n">
        <f aca="false">Q147/Y147</f>
        <v>1.36</v>
      </c>
      <c r="AA147" s="8" t="n">
        <f aca="false">24+14/60</f>
        <v>24.2333333333333</v>
      </c>
      <c r="AB147" s="6" t="n">
        <f aca="false">Y147*23*9/12</f>
        <v>69</v>
      </c>
      <c r="AC147" s="6" t="n">
        <v>981</v>
      </c>
      <c r="AD147" s="6" t="n">
        <v>108</v>
      </c>
      <c r="AE147" s="4" t="n">
        <v>135</v>
      </c>
      <c r="AF147" s="8" t="n">
        <f aca="false">22+42/60</f>
        <v>22.7</v>
      </c>
      <c r="AG147" s="8" t="n">
        <f aca="false">23+22/60</f>
        <v>23.3666666666667</v>
      </c>
      <c r="AH147" s="8" t="n">
        <f aca="false">24+31/60</f>
        <v>24.5166666666667</v>
      </c>
      <c r="AI147" s="8" t="n">
        <f aca="false">25+36/60</f>
        <v>25.6</v>
      </c>
      <c r="AJ147" s="8" t="n">
        <f aca="false">25+51/60</f>
        <v>25.85</v>
      </c>
      <c r="AK147" s="8" t="n">
        <f aca="false">70/2.7</f>
        <v>25.9259259259259</v>
      </c>
      <c r="AL147" s="8"/>
      <c r="AM147" s="8"/>
      <c r="AN147" s="8"/>
      <c r="AO147" s="8"/>
      <c r="AP147" s="4" t="n">
        <v>1</v>
      </c>
      <c r="AQ147" s="4" t="n">
        <v>0</v>
      </c>
      <c r="AR147" s="4" t="n">
        <v>0</v>
      </c>
      <c r="AS147" s="14" t="n">
        <v>0</v>
      </c>
      <c r="AT147" s="8" t="n">
        <f aca="false">18+8/60</f>
        <v>18.1333333333333</v>
      </c>
      <c r="AU147" s="8" t="n">
        <f aca="false">25+21/60</f>
        <v>25.35</v>
      </c>
      <c r="AV147" s="8" t="n">
        <f aca="false">50+58/60</f>
        <v>50.9666666666667</v>
      </c>
      <c r="AW147" s="8" t="n">
        <f aca="false">36+49/60</f>
        <v>36.8166666666667</v>
      </c>
      <c r="AX147" s="8" t="n">
        <f aca="false">7/60</f>
        <v>0.116666666666667</v>
      </c>
      <c r="AY147" s="4" t="s">
        <v>59</v>
      </c>
      <c r="AZ147" s="4" t="s">
        <v>60</v>
      </c>
      <c r="BA147" s="4" t="n">
        <v>0</v>
      </c>
      <c r="BB147" s="4"/>
      <c r="BC147" s="4"/>
    </row>
    <row r="148" customFormat="false" ht="16.9" hidden="false" customHeight="false" outlineLevel="0" collapsed="false">
      <c r="A148" s="11" t="n">
        <f aca="false">A147+1</f>
        <v>680</v>
      </c>
      <c r="B148" s="12" t="n">
        <v>44026.5222222222</v>
      </c>
      <c r="C148" s="4" t="n">
        <v>1</v>
      </c>
      <c r="D148" s="4"/>
      <c r="E148" s="4"/>
      <c r="F148" s="4" t="s">
        <v>93</v>
      </c>
      <c r="G148" s="6" t="n">
        <v>94</v>
      </c>
      <c r="H148" s="6" t="n">
        <v>72</v>
      </c>
      <c r="I148" s="6" t="n">
        <v>50</v>
      </c>
      <c r="J148" s="6" t="s">
        <v>62</v>
      </c>
      <c r="K148" s="6" t="n">
        <v>16</v>
      </c>
      <c r="L148" s="6" t="n">
        <v>0</v>
      </c>
      <c r="M148" s="3" t="s">
        <v>129</v>
      </c>
      <c r="N148" s="4" t="s">
        <v>136</v>
      </c>
      <c r="O148" s="4"/>
      <c r="P148" s="4" t="s">
        <v>137</v>
      </c>
      <c r="Q148" s="8" t="n">
        <v>6.6</v>
      </c>
      <c r="R148" s="6"/>
      <c r="S148" s="6"/>
      <c r="T148" s="6"/>
      <c r="U148" s="8" t="n">
        <f aca="false">134/60</f>
        <v>2.23333333333333</v>
      </c>
      <c r="V148" s="8" t="n">
        <f aca="false">137/60</f>
        <v>2.28333333333333</v>
      </c>
      <c r="W148" s="8" t="n">
        <f aca="false">V148-U148</f>
        <v>0.0499999999999998</v>
      </c>
      <c r="X148" s="8" t="n">
        <f aca="false">Q148/U148</f>
        <v>2.95522388059701</v>
      </c>
      <c r="Y148" s="4" t="n">
        <v>4</v>
      </c>
      <c r="Z148" s="8" t="n">
        <f aca="false">Q148/Y148</f>
        <v>1.65</v>
      </c>
      <c r="AA148" s="8" t="n">
        <f aca="false">20+15/60</f>
        <v>20.25</v>
      </c>
      <c r="AB148" s="6" t="n">
        <f aca="false">Y148*23*9/12</f>
        <v>69</v>
      </c>
      <c r="AC148" s="6" t="n">
        <v>658</v>
      </c>
      <c r="AD148" s="6" t="n">
        <v>93</v>
      </c>
      <c r="AE148" s="4" t="n">
        <v>147</v>
      </c>
      <c r="AF148" s="8" t="n">
        <f aca="false">23+20/60</f>
        <v>23.3333333333333</v>
      </c>
      <c r="AG148" s="8" t="n">
        <f aca="false">23+43/60</f>
        <v>23.7166666666667</v>
      </c>
      <c r="AH148" s="8" t="n">
        <f aca="false">21+30/60</f>
        <v>21.5</v>
      </c>
      <c r="AI148" s="8" t="n">
        <f aca="false">18+39/60</f>
        <v>18.65</v>
      </c>
      <c r="AJ148" s="8" t="n">
        <f aca="false">18+4/60</f>
        <v>18.0666666666667</v>
      </c>
      <c r="AK148" s="8" t="n">
        <f aca="false">17+42/60</f>
        <v>17.7</v>
      </c>
      <c r="AL148" s="8" t="n">
        <f aca="false">60/3.4</f>
        <v>17.6470588235294</v>
      </c>
      <c r="AM148" s="8"/>
      <c r="AN148" s="8"/>
      <c r="AO148" s="8"/>
      <c r="AP148" s="4" t="n">
        <v>1</v>
      </c>
      <c r="AQ148" s="4" t="n">
        <v>0</v>
      </c>
      <c r="AR148" s="4" t="n">
        <v>0</v>
      </c>
      <c r="AS148" s="14" t="n">
        <f aca="false">60*U148-SUM(AT148:AX148)</f>
        <v>4.38333333333333</v>
      </c>
      <c r="AT148" s="8" t="n">
        <f aca="false">47+44/60</f>
        <v>47.7333333333333</v>
      </c>
      <c r="AU148" s="8" t="n">
        <f aca="false">58+55/60</f>
        <v>58.9166666666667</v>
      </c>
      <c r="AV148" s="8" t="n">
        <f aca="false">20+58/60</f>
        <v>20.9666666666667</v>
      </c>
      <c r="AW148" s="8" t="n">
        <f aca="false">1+46/60</f>
        <v>1.76666666666667</v>
      </c>
      <c r="AX148" s="8" t="n">
        <f aca="false">14/60</f>
        <v>0.233333333333333</v>
      </c>
      <c r="AY148" s="4" t="s">
        <v>59</v>
      </c>
      <c r="AZ148" s="4" t="s">
        <v>60</v>
      </c>
      <c r="BA148" s="4" t="n">
        <v>0</v>
      </c>
      <c r="BB148" s="4"/>
      <c r="BC148" s="4"/>
    </row>
    <row r="149" customFormat="false" ht="16.9" hidden="false" customHeight="false" outlineLevel="0" collapsed="false">
      <c r="A149" s="11" t="n">
        <f aca="false">A148+1</f>
        <v>681</v>
      </c>
      <c r="B149" s="12" t="n">
        <v>44027.5444444444</v>
      </c>
      <c r="C149" s="4" t="n">
        <v>1</v>
      </c>
      <c r="D149" s="4"/>
      <c r="E149" s="4"/>
      <c r="F149" s="4" t="s">
        <v>106</v>
      </c>
      <c r="G149" s="6" t="n">
        <v>92</v>
      </c>
      <c r="H149" s="6" t="n">
        <v>71</v>
      </c>
      <c r="I149" s="6" t="n">
        <v>52</v>
      </c>
      <c r="J149" s="6" t="s">
        <v>62</v>
      </c>
      <c r="K149" s="6" t="n">
        <v>16</v>
      </c>
      <c r="L149" s="6" t="n">
        <v>0</v>
      </c>
      <c r="M149" s="3" t="s">
        <v>129</v>
      </c>
      <c r="N149" s="4" t="s">
        <v>57</v>
      </c>
      <c r="O149" s="4"/>
      <c r="P149" s="4" t="s">
        <v>137</v>
      </c>
      <c r="Q149" s="8" t="n">
        <v>5.37</v>
      </c>
      <c r="R149" s="6"/>
      <c r="S149" s="6"/>
      <c r="T149" s="6"/>
      <c r="U149" s="8" t="n">
        <f aca="false">138/60</f>
        <v>2.3</v>
      </c>
      <c r="V149" s="8" t="n">
        <f aca="false">145/60</f>
        <v>2.41666666666667</v>
      </c>
      <c r="W149" s="8" t="n">
        <f aca="false">V149-U149</f>
        <v>0.116666666666667</v>
      </c>
      <c r="X149" s="8" t="n">
        <f aca="false">Q149/U149</f>
        <v>2.33478260869565</v>
      </c>
      <c r="Y149" s="4" t="n">
        <v>4</v>
      </c>
      <c r="Z149" s="8" t="n">
        <f aca="false">Q149/Y149</f>
        <v>1.3425</v>
      </c>
      <c r="AA149" s="8" t="n">
        <f aca="false">25+42/60</f>
        <v>25.7</v>
      </c>
      <c r="AB149" s="6" t="n">
        <f aca="false">Y149*23*9/12</f>
        <v>69</v>
      </c>
      <c r="AC149" s="6" t="n">
        <v>709</v>
      </c>
      <c r="AD149" s="6" t="n">
        <v>93</v>
      </c>
      <c r="AE149" s="4" t="n">
        <v>121</v>
      </c>
      <c r="AF149" s="8" t="n">
        <f aca="false">24+29/60</f>
        <v>24.4833333333333</v>
      </c>
      <c r="AG149" s="8" t="n">
        <f aca="false">27+24/60</f>
        <v>27.4</v>
      </c>
      <c r="AH149" s="8" t="n">
        <f aca="false">24+44/60</f>
        <v>24.7333333333333</v>
      </c>
      <c r="AI149" s="8" t="n">
        <f aca="false">25+43/60</f>
        <v>25.7166666666667</v>
      </c>
      <c r="AJ149" s="8" t="n">
        <f aca="false">26+32/60</f>
        <v>26.5333333333333</v>
      </c>
      <c r="AK149" s="8" t="n">
        <f aca="false">60/2.3</f>
        <v>26.0869565217391</v>
      </c>
      <c r="AL149" s="8"/>
      <c r="AM149" s="8"/>
      <c r="AN149" s="8"/>
      <c r="AO149" s="8"/>
      <c r="AP149" s="4" t="n">
        <v>1</v>
      </c>
      <c r="AQ149" s="4" t="n">
        <v>0</v>
      </c>
      <c r="AR149" s="4" t="n">
        <v>0</v>
      </c>
      <c r="AS149" s="14" t="n">
        <f aca="false">60*U149-SUM(AT149:AX149)</f>
        <v>25.7</v>
      </c>
      <c r="AT149" s="8" t="n">
        <f aca="false">25+30/60</f>
        <v>25.5</v>
      </c>
      <c r="AU149" s="8" t="n">
        <f aca="false">44+51/60</f>
        <v>44.85</v>
      </c>
      <c r="AV149" s="8" t="n">
        <f aca="false">41+15/60</f>
        <v>41.25</v>
      </c>
      <c r="AW149" s="8" t="n">
        <f aca="false">42/60</f>
        <v>0.7</v>
      </c>
      <c r="AX149" s="8" t="n">
        <v>0</v>
      </c>
      <c r="AY149" s="4" t="s">
        <v>59</v>
      </c>
      <c r="AZ149" s="4" t="s">
        <v>60</v>
      </c>
      <c r="BA149" s="4" t="n">
        <v>0</v>
      </c>
      <c r="BB149" s="4"/>
      <c r="BC149" s="4"/>
    </row>
    <row r="150" customFormat="false" ht="16.9" hidden="false" customHeight="false" outlineLevel="0" collapsed="false">
      <c r="A150" s="11" t="n">
        <f aca="false">A149+1</f>
        <v>682</v>
      </c>
      <c r="B150" s="12" t="n">
        <v>44028.5395833333</v>
      </c>
      <c r="C150" s="4" t="n">
        <v>1</v>
      </c>
      <c r="D150" s="4"/>
      <c r="E150" s="4"/>
      <c r="F150" s="4" t="s">
        <v>71</v>
      </c>
      <c r="G150" s="6" t="n">
        <v>94</v>
      </c>
      <c r="H150" s="6" t="n">
        <v>73</v>
      </c>
      <c r="I150" s="6" t="n">
        <f aca="false">(52+49)/2</f>
        <v>50.5</v>
      </c>
      <c r="J150" s="6" t="s">
        <v>62</v>
      </c>
      <c r="K150" s="6" t="n">
        <f aca="false">AVERAGE(9+6)/2</f>
        <v>7.5</v>
      </c>
      <c r="L150" s="6" t="n">
        <v>27</v>
      </c>
      <c r="M150" s="3" t="s">
        <v>129</v>
      </c>
      <c r="N150" s="4" t="s">
        <v>136</v>
      </c>
      <c r="O150" s="4"/>
      <c r="P150" s="4" t="s">
        <v>137</v>
      </c>
      <c r="Q150" s="8" t="n">
        <v>4.92</v>
      </c>
      <c r="R150" s="6"/>
      <c r="S150" s="6"/>
      <c r="T150" s="6"/>
      <c r="U150" s="8" t="n">
        <f aca="false">127/60</f>
        <v>2.11666666666667</v>
      </c>
      <c r="V150" s="8" t="n">
        <f aca="false">132/60</f>
        <v>2.2</v>
      </c>
      <c r="W150" s="8" t="n">
        <f aca="false">V150-U150</f>
        <v>0.0833333333333335</v>
      </c>
      <c r="X150" s="8" t="n">
        <f aca="false">Q150/U150</f>
        <v>2.3244094488189</v>
      </c>
      <c r="Y150" s="4" t="n">
        <v>4</v>
      </c>
      <c r="Z150" s="8" t="n">
        <f aca="false">Q150/Y150</f>
        <v>1.23</v>
      </c>
      <c r="AA150" s="8" t="n">
        <f aca="false">25+55/60</f>
        <v>25.9166666666667</v>
      </c>
      <c r="AB150" s="6" t="n">
        <f aca="false">Y150*23*9/12</f>
        <v>69</v>
      </c>
      <c r="AC150" s="6" t="n">
        <v>743</v>
      </c>
      <c r="AD150" s="6" t="n">
        <v>99</v>
      </c>
      <c r="AE150" s="4" t="n">
        <v>151</v>
      </c>
      <c r="AF150" s="8" t="n">
        <f aca="false">23+58/60</f>
        <v>23.9666666666667</v>
      </c>
      <c r="AG150" s="8" t="n">
        <f aca="false">26+48/60</f>
        <v>26.8</v>
      </c>
      <c r="AH150" s="8" t="n">
        <f aca="false">27+16/60</f>
        <v>27.2666666666667</v>
      </c>
      <c r="AI150" s="8" t="n">
        <f aca="false">25+37/60</f>
        <v>25.6166666666667</v>
      </c>
      <c r="AJ150" s="8" t="n">
        <f aca="false">60/2.3</f>
        <v>26.0869565217391</v>
      </c>
      <c r="AK150" s="8"/>
      <c r="AL150" s="8"/>
      <c r="AM150" s="8"/>
      <c r="AN150" s="8"/>
      <c r="AO150" s="8"/>
      <c r="AP150" s="4" t="n">
        <v>1</v>
      </c>
      <c r="AQ150" s="4" t="n">
        <v>0</v>
      </c>
      <c r="AR150" s="4" t="n">
        <v>0</v>
      </c>
      <c r="AS150" s="14" t="n">
        <f aca="false">60*U150-SUM(AT150:AX150)</f>
        <v>20.3333333333333</v>
      </c>
      <c r="AT150" s="8" t="n">
        <f aca="false">17+55/60</f>
        <v>17.9166666666667</v>
      </c>
      <c r="AU150" s="8" t="n">
        <f aca="false">30+46/60</f>
        <v>30.7666666666667</v>
      </c>
      <c r="AV150" s="8" t="n">
        <f aca="false">37+47/60</f>
        <v>37.7833333333333</v>
      </c>
      <c r="AW150" s="8" t="n">
        <f aca="false">18+33/60</f>
        <v>18.55</v>
      </c>
      <c r="AX150" s="8" t="n">
        <f aca="false">1+39/60</f>
        <v>1.65</v>
      </c>
      <c r="AY150" s="4" t="s">
        <v>59</v>
      </c>
      <c r="AZ150" s="4" t="s">
        <v>60</v>
      </c>
      <c r="BA150" s="4" t="n">
        <v>0</v>
      </c>
      <c r="BB150" s="4"/>
      <c r="BC150" s="4"/>
    </row>
    <row r="151" customFormat="false" ht="16.9" hidden="false" customHeight="false" outlineLevel="0" collapsed="false">
      <c r="A151" s="11" t="n">
        <f aca="false">A150+1</f>
        <v>683</v>
      </c>
      <c r="B151" s="12" t="n">
        <v>44029.4875</v>
      </c>
      <c r="C151" s="4" t="n">
        <v>1</v>
      </c>
      <c r="D151" s="4"/>
      <c r="E151" s="4"/>
      <c r="F151" s="4" t="s">
        <v>93</v>
      </c>
      <c r="G151" s="6" t="n">
        <v>95</v>
      </c>
      <c r="H151" s="6" t="n">
        <v>74</v>
      </c>
      <c r="I151" s="6" t="n">
        <f aca="false">(52+49)/2</f>
        <v>50.5</v>
      </c>
      <c r="J151" s="6" t="s">
        <v>110</v>
      </c>
      <c r="K151" s="6" t="n">
        <v>8</v>
      </c>
      <c r="L151" s="6" t="n">
        <v>0</v>
      </c>
      <c r="M151" s="3" t="s">
        <v>129</v>
      </c>
      <c r="N151" s="4" t="s">
        <v>57</v>
      </c>
      <c r="O151" s="4"/>
      <c r="P151" s="4" t="s">
        <v>137</v>
      </c>
      <c r="Q151" s="8" t="n">
        <v>5.18</v>
      </c>
      <c r="R151" s="6"/>
      <c r="S151" s="6"/>
      <c r="T151" s="6"/>
      <c r="U151" s="8" t="n">
        <f aca="false">140/60</f>
        <v>2.33333333333333</v>
      </c>
      <c r="V151" s="8" t="n">
        <f aca="false">148/60</f>
        <v>2.46666666666667</v>
      </c>
      <c r="W151" s="8" t="n">
        <f aca="false">V151-U151</f>
        <v>0.133333333333333</v>
      </c>
      <c r="X151" s="8" t="n">
        <f aca="false">Q151/U151</f>
        <v>2.22</v>
      </c>
      <c r="Y151" s="4" t="n">
        <v>4</v>
      </c>
      <c r="Z151" s="8" t="n">
        <f aca="false">Q151/Y151</f>
        <v>1.295</v>
      </c>
      <c r="AA151" s="8" t="n">
        <f aca="false">27+6/60</f>
        <v>27.1</v>
      </c>
      <c r="AB151" s="6" t="n">
        <f aca="false">Y151*23*9/12</f>
        <v>69</v>
      </c>
      <c r="AC151" s="6" t="n">
        <v>666</v>
      </c>
      <c r="AD151" s="6" t="n">
        <v>93</v>
      </c>
      <c r="AE151" s="4" t="n">
        <v>121</v>
      </c>
      <c r="AF151" s="8" t="n">
        <f aca="false">23+37/60</f>
        <v>23.6166666666667</v>
      </c>
      <c r="AG151" s="8" t="n">
        <f aca="false">26+32/60</f>
        <v>26.5333333333333</v>
      </c>
      <c r="AH151" s="8" t="n">
        <f aca="false">28+20/60</f>
        <v>28.3333333333333</v>
      </c>
      <c r="AI151" s="8" t="n">
        <f aca="false">30+5/60</f>
        <v>30.0833333333333</v>
      </c>
      <c r="AJ151" s="8" t="n">
        <f aca="false">26+53/60</f>
        <v>26.8833333333333</v>
      </c>
      <c r="AK151" s="8" t="n">
        <f aca="false">60/2.2</f>
        <v>27.2727272727273</v>
      </c>
      <c r="AL151" s="8"/>
      <c r="AM151" s="8"/>
      <c r="AN151" s="8"/>
      <c r="AO151" s="8"/>
      <c r="AP151" s="4" t="n">
        <v>1</v>
      </c>
      <c r="AQ151" s="4" t="n">
        <v>0</v>
      </c>
      <c r="AR151" s="4" t="n">
        <v>0</v>
      </c>
      <c r="AS151" s="14" t="n">
        <f aca="false">60*U151-SUM(AT151:AX151)</f>
        <v>20.5</v>
      </c>
      <c r="AT151" s="8" t="n">
        <f aca="false">29+5/60</f>
        <v>29.0833333333333</v>
      </c>
      <c r="AU151" s="8" t="n">
        <f aca="false">53+23/60</f>
        <v>53.3833333333333</v>
      </c>
      <c r="AV151" s="8" t="n">
        <f aca="false">36+51/60</f>
        <v>36.85</v>
      </c>
      <c r="AW151" s="8" t="n">
        <f aca="false">11/60</f>
        <v>0.183333333333333</v>
      </c>
      <c r="AX151" s="8" t="n">
        <v>0</v>
      </c>
      <c r="AY151" s="4" t="s">
        <v>59</v>
      </c>
      <c r="AZ151" s="4" t="s">
        <v>60</v>
      </c>
      <c r="BA151" s="4" t="n">
        <v>0</v>
      </c>
      <c r="BB151" s="4"/>
      <c r="BC151" s="4"/>
    </row>
    <row r="152" customFormat="false" ht="16.9" hidden="false" customHeight="false" outlineLevel="0" collapsed="false">
      <c r="A152" s="11" t="n">
        <f aca="false">A151+1</f>
        <v>684</v>
      </c>
      <c r="B152" s="12" t="n">
        <v>44030.5430555556</v>
      </c>
      <c r="C152" s="4" t="n">
        <v>1</v>
      </c>
      <c r="D152" s="4"/>
      <c r="E152" s="4"/>
      <c r="F152" s="4" t="s">
        <v>71</v>
      </c>
      <c r="G152" s="6" t="n">
        <v>90</v>
      </c>
      <c r="H152" s="6" t="n">
        <v>53</v>
      </c>
      <c r="I152" s="6" t="n">
        <f aca="false">(59+53)/2</f>
        <v>56</v>
      </c>
      <c r="J152" s="6" t="s">
        <v>62</v>
      </c>
      <c r="K152" s="6" t="n">
        <v>9</v>
      </c>
      <c r="L152" s="6" t="n">
        <v>20</v>
      </c>
      <c r="M152" s="3" t="s">
        <v>129</v>
      </c>
      <c r="N152" s="4" t="s">
        <v>136</v>
      </c>
      <c r="O152" s="4"/>
      <c r="P152" s="4" t="s">
        <v>135</v>
      </c>
      <c r="Q152" s="8" t="n">
        <v>3.91</v>
      </c>
      <c r="R152" s="6"/>
      <c r="S152" s="6"/>
      <c r="T152" s="6"/>
      <c r="U152" s="8" t="n">
        <f aca="false">107/60</f>
        <v>1.78333333333333</v>
      </c>
      <c r="V152" s="8" t="n">
        <f aca="false">108/60</f>
        <v>1.8</v>
      </c>
      <c r="W152" s="8" t="n">
        <f aca="false">V152-U152</f>
        <v>0.0166666666666666</v>
      </c>
      <c r="X152" s="8" t="n">
        <f aca="false">Q152/U152</f>
        <v>2.19252336448598</v>
      </c>
      <c r="Y152" s="4" t="n">
        <v>3</v>
      </c>
      <c r="Z152" s="8" t="n">
        <f aca="false">Q152/Y152</f>
        <v>1.30333333333333</v>
      </c>
      <c r="AA152" s="8" t="n">
        <f aca="false">27+22/60</f>
        <v>27.3666666666667</v>
      </c>
      <c r="AB152" s="6" t="n">
        <f aca="false">Y152*23*9/12</f>
        <v>51.75</v>
      </c>
      <c r="AC152" s="6" t="n">
        <v>440</v>
      </c>
      <c r="AD152" s="6" t="n">
        <v>77</v>
      </c>
      <c r="AE152" s="4" t="n">
        <v>104</v>
      </c>
      <c r="AF152" s="8" t="n">
        <v>27</v>
      </c>
      <c r="AG152" s="8" t="n">
        <f aca="false">27+50/60</f>
        <v>27.8333333333333</v>
      </c>
      <c r="AH152" s="8" t="n">
        <f aca="false">27+5/60</f>
        <v>27.0833333333333</v>
      </c>
      <c r="AI152" s="8" t="n">
        <f aca="false">60/2.2</f>
        <v>27.2727272727273</v>
      </c>
      <c r="AJ152" s="8"/>
      <c r="AK152" s="8"/>
      <c r="AL152" s="8"/>
      <c r="AM152" s="8"/>
      <c r="AN152" s="8"/>
      <c r="AO152" s="8"/>
      <c r="AP152" s="4" t="n">
        <v>0</v>
      </c>
      <c r="AQ152" s="4" t="n">
        <v>1</v>
      </c>
      <c r="AR152" s="4" t="n">
        <v>0</v>
      </c>
      <c r="AS152" s="14" t="n">
        <f aca="false">60*U152-SUM(AT152:AX152)</f>
        <v>46.9166666666667</v>
      </c>
      <c r="AT152" s="8" t="n">
        <f aca="false">48+35/60</f>
        <v>48.5833333333333</v>
      </c>
      <c r="AU152" s="8" t="n">
        <f aca="false">11+28/60</f>
        <v>11.4666666666667</v>
      </c>
      <c r="AV152" s="8" t="n">
        <f aca="false">2/60</f>
        <v>0.0333333333333333</v>
      </c>
      <c r="AW152" s="8" t="n">
        <v>0</v>
      </c>
      <c r="AX152" s="8" t="n">
        <v>0</v>
      </c>
      <c r="AY152" s="4" t="s">
        <v>59</v>
      </c>
      <c r="AZ152" s="4" t="s">
        <v>60</v>
      </c>
      <c r="BA152" s="4" t="n">
        <v>0</v>
      </c>
      <c r="BB152" s="4"/>
      <c r="BC152" s="4"/>
    </row>
    <row r="153" customFormat="false" ht="16.9" hidden="false" customHeight="false" outlineLevel="0" collapsed="false">
      <c r="A153" s="11" t="n">
        <f aca="false">A152+1</f>
        <v>685</v>
      </c>
      <c r="B153" s="12" t="n">
        <v>44031.54375</v>
      </c>
      <c r="C153" s="4" t="n">
        <v>1</v>
      </c>
      <c r="D153" s="4"/>
      <c r="E153" s="4"/>
      <c r="F153" s="4" t="s">
        <v>93</v>
      </c>
      <c r="G153" s="6" t="n">
        <v>91</v>
      </c>
      <c r="H153" s="6" t="n">
        <v>71</v>
      </c>
      <c r="I153" s="6" t="n">
        <v>51</v>
      </c>
      <c r="J153" s="6" t="s">
        <v>62</v>
      </c>
      <c r="K153" s="6" t="n">
        <v>9</v>
      </c>
      <c r="L153" s="6" t="n">
        <v>16</v>
      </c>
      <c r="M153" s="3" t="s">
        <v>129</v>
      </c>
      <c r="N153" s="4" t="s">
        <v>57</v>
      </c>
      <c r="O153" s="4"/>
      <c r="P153" s="4" t="s">
        <v>135</v>
      </c>
      <c r="Q153" s="8" t="n">
        <v>4.09</v>
      </c>
      <c r="R153" s="6"/>
      <c r="S153" s="6"/>
      <c r="T153" s="6"/>
      <c r="U153" s="8" t="n">
        <f aca="false">105/60</f>
        <v>1.75</v>
      </c>
      <c r="V153" s="8" t="n">
        <f aca="false">(60+46)/60</f>
        <v>1.76666666666667</v>
      </c>
      <c r="W153" s="8" t="n">
        <f aca="false">V153-U153</f>
        <v>0.0166666666666666</v>
      </c>
      <c r="X153" s="8" t="n">
        <f aca="false">Q153/U153</f>
        <v>2.33714285714286</v>
      </c>
      <c r="Y153" s="4" t="n">
        <v>3</v>
      </c>
      <c r="Z153" s="8" t="n">
        <f aca="false">Q153/Y153</f>
        <v>1.36333333333333</v>
      </c>
      <c r="AA153" s="8" t="n">
        <f aca="false">25+37/60</f>
        <v>25.6166666666667</v>
      </c>
      <c r="AB153" s="6" t="n">
        <f aca="false">Y153*23*9/12</f>
        <v>51.75</v>
      </c>
      <c r="AC153" s="6" t="n">
        <v>451</v>
      </c>
      <c r="AD153" s="6" t="n">
        <v>82</v>
      </c>
      <c r="AE153" s="4" t="n">
        <v>108</v>
      </c>
      <c r="AF153" s="8" t="n">
        <f aca="false">23+15/60</f>
        <v>23.25</v>
      </c>
      <c r="AG153" s="8" t="n">
        <f aca="false">26+3/60</f>
        <v>26.05</v>
      </c>
      <c r="AH153" s="8" t="n">
        <f aca="false">26+27/60</f>
        <v>26.45</v>
      </c>
      <c r="AI153" s="8" t="n">
        <f aca="false">27+40/60</f>
        <v>27.6666666666667</v>
      </c>
      <c r="AJ153" s="8" t="n">
        <f aca="false">60/3.7</f>
        <v>16.2162162162162</v>
      </c>
      <c r="AK153" s="8"/>
      <c r="AL153" s="8"/>
      <c r="AM153" s="8"/>
      <c r="AN153" s="8"/>
      <c r="AO153" s="8"/>
      <c r="AP153" s="4" t="n">
        <v>0</v>
      </c>
      <c r="AQ153" s="4" t="n">
        <v>0</v>
      </c>
      <c r="AR153" s="4" t="n">
        <v>0</v>
      </c>
      <c r="AS153" s="14" t="n">
        <f aca="false">60*U153-SUM(AT153:AX153)</f>
        <v>26.0166666666667</v>
      </c>
      <c r="AT153" s="8" t="n">
        <f aca="false">54+54/60</f>
        <v>54.9</v>
      </c>
      <c r="AU153" s="8" t="n">
        <f aca="false">23+9/60</f>
        <v>23.15</v>
      </c>
      <c r="AV153" s="8" t="n">
        <f aca="false">56/60</f>
        <v>0.933333333333333</v>
      </c>
      <c r="AW153" s="8" t="n">
        <v>0</v>
      </c>
      <c r="AX153" s="8" t="n">
        <v>0</v>
      </c>
      <c r="AY153" s="4" t="s">
        <v>59</v>
      </c>
      <c r="AZ153" s="4" t="s">
        <v>60</v>
      </c>
      <c r="BA153" s="4" t="n">
        <v>0</v>
      </c>
      <c r="BB153" s="4"/>
      <c r="BC153" s="4"/>
    </row>
    <row r="154" customFormat="false" ht="16.9" hidden="false" customHeight="false" outlineLevel="0" collapsed="false">
      <c r="A154" s="11" t="n">
        <f aca="false">A153+1</f>
        <v>686</v>
      </c>
      <c r="B154" s="12" t="n">
        <v>44032.5027777778</v>
      </c>
      <c r="C154" s="4" t="n">
        <v>1</v>
      </c>
      <c r="D154" s="4"/>
      <c r="E154" s="4"/>
      <c r="F154" s="4" t="s">
        <v>93</v>
      </c>
      <c r="G154" s="6" t="n">
        <v>92</v>
      </c>
      <c r="H154" s="6" t="n">
        <v>72</v>
      </c>
      <c r="I154" s="6" t="n">
        <v>53</v>
      </c>
      <c r="J154" s="6" t="s">
        <v>62</v>
      </c>
      <c r="K154" s="6" t="n">
        <v>7</v>
      </c>
      <c r="L154" s="6" t="n">
        <v>0</v>
      </c>
      <c r="M154" s="3" t="s">
        <v>129</v>
      </c>
      <c r="N154" s="4" t="s">
        <v>136</v>
      </c>
      <c r="O154" s="4"/>
      <c r="P154" s="4" t="s">
        <v>137</v>
      </c>
      <c r="Q154" s="8" t="n">
        <v>5.35</v>
      </c>
      <c r="R154" s="6"/>
      <c r="S154" s="6"/>
      <c r="T154" s="6"/>
      <c r="U154" s="8" t="n">
        <f aca="false">(120+19)/60</f>
        <v>2.31666666666667</v>
      </c>
      <c r="V154" s="8" t="n">
        <f aca="false">(120+25)/60</f>
        <v>2.41666666666667</v>
      </c>
      <c r="W154" s="8" t="n">
        <f aca="false">V154-U154</f>
        <v>0.0999999999999996</v>
      </c>
      <c r="X154" s="8" t="n">
        <f aca="false">Q154/U154</f>
        <v>2.30935251798561</v>
      </c>
      <c r="Y154" s="4" t="n">
        <v>4</v>
      </c>
      <c r="Z154" s="8" t="n">
        <f aca="false">Q154/Y154</f>
        <v>1.3375</v>
      </c>
      <c r="AA154" s="8" t="n">
        <f aca="false">AVERAGE(AF154:AK154)</f>
        <v>25.9506038647343</v>
      </c>
      <c r="AB154" s="6" t="n">
        <f aca="false">Y154*23*9/12</f>
        <v>69</v>
      </c>
      <c r="AC154" s="6" t="n">
        <v>634</v>
      </c>
      <c r="AD154" s="6" t="n">
        <v>90</v>
      </c>
      <c r="AE154" s="4" t="n">
        <v>113</v>
      </c>
      <c r="AF154" s="8" t="n">
        <f aca="false">24+28/60</f>
        <v>24.4666666666667</v>
      </c>
      <c r="AG154" s="8" t="n">
        <f aca="false">24+50/60</f>
        <v>24.8333333333333</v>
      </c>
      <c r="AH154" s="8" t="n">
        <f aca="false">27+12/60</f>
        <v>27.2</v>
      </c>
      <c r="AI154" s="8" t="n">
        <f aca="false">27+16/60</f>
        <v>27.2666666666667</v>
      </c>
      <c r="AJ154" s="8" t="n">
        <f aca="false">25+51/60</f>
        <v>25.85</v>
      </c>
      <c r="AK154" s="8" t="n">
        <f aca="false">60/2.3</f>
        <v>26.0869565217391</v>
      </c>
      <c r="AL154" s="8"/>
      <c r="AM154" s="8"/>
      <c r="AN154" s="8"/>
      <c r="AO154" s="8"/>
      <c r="AP154" s="4" t="n">
        <v>1</v>
      </c>
      <c r="AQ154" s="4" t="n">
        <v>0</v>
      </c>
      <c r="AR154" s="4" t="n">
        <v>0</v>
      </c>
      <c r="AS154" s="14" t="n">
        <f aca="false">60*U154-SUM(AT154:AX154)</f>
        <v>9.83333333333331</v>
      </c>
      <c r="AT154" s="8" t="n">
        <f aca="false">43+3/60</f>
        <v>43.05</v>
      </c>
      <c r="AU154" s="8" t="n">
        <f aca="false">78+29/60</f>
        <v>78.4833333333333</v>
      </c>
      <c r="AV154" s="8" t="n">
        <f aca="false">7++38/60</f>
        <v>7.63333333333333</v>
      </c>
      <c r="AW154" s="8" t="n">
        <v>0</v>
      </c>
      <c r="AX154" s="8" t="n">
        <v>0</v>
      </c>
      <c r="AY154" s="4" t="s">
        <v>59</v>
      </c>
      <c r="AZ154" s="4" t="s">
        <v>60</v>
      </c>
      <c r="BA154" s="4" t="n">
        <v>0</v>
      </c>
      <c r="BB154" s="4"/>
      <c r="BC154" s="4"/>
    </row>
    <row r="155" customFormat="false" ht="16.9" hidden="false" customHeight="false" outlineLevel="0" collapsed="false">
      <c r="A155" s="11" t="n">
        <f aca="false">A154+1</f>
        <v>687</v>
      </c>
      <c r="B155" s="12" t="n">
        <v>44033.5368055556</v>
      </c>
      <c r="C155" s="4" t="n">
        <v>1</v>
      </c>
      <c r="D155" s="4"/>
      <c r="E155" s="4"/>
      <c r="F155" s="4" t="s">
        <v>106</v>
      </c>
      <c r="G155" s="6" t="n">
        <v>87</v>
      </c>
      <c r="H155" s="6" t="n">
        <v>73</v>
      </c>
      <c r="I155" s="6" t="n">
        <f aca="false">(72+65)/2</f>
        <v>68.5</v>
      </c>
      <c r="J155" s="6" t="s">
        <v>130</v>
      </c>
      <c r="K155" s="6" t="n">
        <v>7</v>
      </c>
      <c r="L155" s="6" t="n">
        <v>0</v>
      </c>
      <c r="M155" s="3" t="s">
        <v>129</v>
      </c>
      <c r="N155" s="4" t="s">
        <v>57</v>
      </c>
      <c r="O155" s="4"/>
      <c r="P155" s="4" t="s">
        <v>137</v>
      </c>
      <c r="Q155" s="8" t="n">
        <v>5.12</v>
      </c>
      <c r="R155" s="6"/>
      <c r="S155" s="6"/>
      <c r="T155" s="6"/>
      <c r="U155" s="8" t="n">
        <f aca="false">(120+14)/60</f>
        <v>2.23333333333333</v>
      </c>
      <c r="V155" s="8" t="n">
        <f aca="false">(120+21)/60</f>
        <v>2.35</v>
      </c>
      <c r="W155" s="8" t="n">
        <f aca="false">V155-U155</f>
        <v>0.116666666666667</v>
      </c>
      <c r="X155" s="8" t="n">
        <f aca="false">Q155/U155</f>
        <v>2.29253731343284</v>
      </c>
      <c r="Y155" s="4" t="n">
        <v>4</v>
      </c>
      <c r="Z155" s="8" t="n">
        <f aca="false">Q155/Y155</f>
        <v>1.28</v>
      </c>
      <c r="AA155" s="8" t="n">
        <f aca="false">26+12/60</f>
        <v>26.2</v>
      </c>
      <c r="AB155" s="6" t="n">
        <f aca="false">Y155*23*9/12</f>
        <v>69</v>
      </c>
      <c r="AC155" s="6" t="n">
        <v>725</v>
      </c>
      <c r="AD155" s="6" t="n">
        <v>99</v>
      </c>
      <c r="AE155" s="4" t="n">
        <v>127</v>
      </c>
      <c r="AF155" s="8" t="n">
        <f aca="false">24+49/60</f>
        <v>24.8166666666667</v>
      </c>
      <c r="AG155" s="8" t="n">
        <f aca="false">27+55/60</f>
        <v>27.9166666666667</v>
      </c>
      <c r="AH155" s="8" t="n">
        <f aca="false">27+24/60</f>
        <v>27.4</v>
      </c>
      <c r="AI155" s="8" t="n">
        <f aca="false">25+32/60</f>
        <v>25.5333333333333</v>
      </c>
      <c r="AJ155" s="8" t="n">
        <f aca="false">25+18/60</f>
        <v>25.3</v>
      </c>
      <c r="AK155" s="8" t="n">
        <f aca="false">60/2.3</f>
        <v>26.0869565217391</v>
      </c>
      <c r="AL155" s="8"/>
      <c r="AM155" s="8"/>
      <c r="AN155" s="8"/>
      <c r="AO155" s="8"/>
      <c r="AP155" s="4" t="n">
        <v>1</v>
      </c>
      <c r="AQ155" s="4" t="n">
        <v>0</v>
      </c>
      <c r="AR155" s="4" t="n">
        <v>0</v>
      </c>
      <c r="AS155" s="14" t="n">
        <f aca="false">60*U155-SUM(AT155:AX155)</f>
        <v>0.650000000000006</v>
      </c>
      <c r="AT155" s="8" t="n">
        <f aca="false">15+29/60</f>
        <v>15.4833333333333</v>
      </c>
      <c r="AU155" s="8" t="n">
        <f aca="false">79+10/60</f>
        <v>79.1666666666667</v>
      </c>
      <c r="AV155" s="8" t="n">
        <f aca="false">31+52/60</f>
        <v>31.8666666666667</v>
      </c>
      <c r="AW155" s="8" t="n">
        <f aca="false">6+50/60</f>
        <v>6.83333333333333</v>
      </c>
      <c r="AX155" s="8" t="n">
        <v>0</v>
      </c>
      <c r="AY155" s="4" t="s">
        <v>59</v>
      </c>
      <c r="AZ155" s="4" t="s">
        <v>60</v>
      </c>
      <c r="BA155" s="4" t="n">
        <v>0</v>
      </c>
      <c r="BB155" s="4"/>
      <c r="BC155" s="4"/>
    </row>
    <row r="156" customFormat="false" ht="29.85" hidden="false" customHeight="false" outlineLevel="0" collapsed="false">
      <c r="A156" s="11" t="n">
        <f aca="false">A155+1</f>
        <v>688</v>
      </c>
      <c r="B156" s="12" t="n">
        <v>44034.4951388889</v>
      </c>
      <c r="C156" s="4" t="n">
        <v>0</v>
      </c>
      <c r="D156" s="4" t="s">
        <v>143</v>
      </c>
      <c r="E156" s="4"/>
      <c r="F156" s="4" t="s">
        <v>93</v>
      </c>
      <c r="G156" s="6" t="n">
        <f aca="false">(87+79)/2</f>
        <v>83</v>
      </c>
      <c r="H156" s="6" t="n">
        <v>76</v>
      </c>
      <c r="I156" s="6" t="n">
        <f aca="false">(67+59)/2</f>
        <v>63</v>
      </c>
      <c r="J156" s="4" t="s">
        <v>88</v>
      </c>
      <c r="K156" s="6" t="n">
        <v>7</v>
      </c>
      <c r="L156" s="6" t="n">
        <v>0</v>
      </c>
      <c r="M156" s="3" t="s">
        <v>129</v>
      </c>
      <c r="N156" s="4"/>
      <c r="O156" s="4"/>
      <c r="P156" s="4"/>
      <c r="Q156" s="8"/>
      <c r="R156" s="6"/>
      <c r="S156" s="6"/>
      <c r="T156" s="6"/>
      <c r="U156" s="8"/>
      <c r="V156" s="8"/>
      <c r="W156" s="8"/>
      <c r="X156" s="8"/>
      <c r="Y156" s="4"/>
      <c r="Z156" s="8"/>
      <c r="AA156" s="8"/>
      <c r="AB156" s="6"/>
      <c r="AC156" s="6"/>
      <c r="AD156" s="6"/>
      <c r="AE156" s="4"/>
      <c r="AF156" s="8"/>
      <c r="AG156" s="8"/>
      <c r="AI156" s="8"/>
      <c r="AJ156" s="8"/>
      <c r="AK156" s="8"/>
      <c r="AL156" s="8"/>
      <c r="AM156" s="8"/>
      <c r="AN156" s="8"/>
      <c r="AO156" s="8"/>
      <c r="AP156" s="4"/>
      <c r="AQ156" s="4"/>
      <c r="AR156" s="4"/>
      <c r="AS156" s="14"/>
      <c r="AT156" s="8"/>
      <c r="AU156" s="8"/>
      <c r="AV156" s="8"/>
      <c r="AW156" s="8"/>
      <c r="AX156" s="8"/>
      <c r="AY156" s="4"/>
      <c r="AZ156" s="4"/>
      <c r="BA156" s="4"/>
      <c r="BB156" s="4"/>
      <c r="BC156" s="4"/>
    </row>
    <row r="157" customFormat="false" ht="29.85" hidden="false" customHeight="false" outlineLevel="0" collapsed="false">
      <c r="A157" s="11" t="n">
        <f aca="false">A156+1</f>
        <v>689</v>
      </c>
      <c r="B157" s="12" t="n">
        <v>44035.4951388889</v>
      </c>
      <c r="C157" s="4" t="n">
        <v>0</v>
      </c>
      <c r="D157" s="4" t="s">
        <v>143</v>
      </c>
      <c r="E157" s="4"/>
      <c r="F157" s="4" t="s">
        <v>106</v>
      </c>
      <c r="G157" s="6" t="n">
        <v>92</v>
      </c>
      <c r="H157" s="6" t="n">
        <v>75</v>
      </c>
      <c r="I157" s="6" t="n">
        <v>57</v>
      </c>
      <c r="J157" s="6" t="s">
        <v>108</v>
      </c>
      <c r="K157" s="6" t="n">
        <v>6</v>
      </c>
      <c r="L157" s="6" t="n">
        <v>0</v>
      </c>
      <c r="M157" s="3" t="s">
        <v>129</v>
      </c>
      <c r="N157" s="4"/>
      <c r="O157" s="4"/>
      <c r="P157" s="4"/>
      <c r="Q157" s="8"/>
      <c r="R157" s="6"/>
      <c r="S157" s="6"/>
      <c r="T157" s="6"/>
      <c r="U157" s="8"/>
      <c r="V157" s="8"/>
      <c r="W157" s="8"/>
      <c r="X157" s="8"/>
      <c r="Y157" s="4"/>
      <c r="Z157" s="8"/>
      <c r="AA157" s="8"/>
      <c r="AB157" s="6"/>
      <c r="AC157" s="6"/>
      <c r="AD157" s="6"/>
      <c r="AE157" s="4"/>
      <c r="AF157" s="8"/>
      <c r="AG157" s="8"/>
      <c r="AI157" s="8"/>
      <c r="AJ157" s="8"/>
      <c r="AK157" s="8"/>
      <c r="AL157" s="8"/>
      <c r="AM157" s="8"/>
      <c r="AN157" s="8"/>
      <c r="AO157" s="8"/>
      <c r="AP157" s="4"/>
      <c r="AQ157" s="4"/>
      <c r="AR157" s="4"/>
      <c r="AS157" s="14"/>
      <c r="AT157" s="8"/>
      <c r="AU157" s="8"/>
      <c r="AV157" s="8"/>
      <c r="AW157" s="8"/>
      <c r="AX157" s="8"/>
      <c r="AY157" s="4"/>
      <c r="AZ157" s="4"/>
      <c r="BA157" s="4"/>
      <c r="BB157" s="4"/>
      <c r="BC157" s="4"/>
    </row>
    <row r="158" customFormat="false" ht="29.85" hidden="false" customHeight="false" outlineLevel="0" collapsed="false">
      <c r="A158" s="11" t="n">
        <f aca="false">A157+1</f>
        <v>690</v>
      </c>
      <c r="B158" s="12" t="n">
        <v>44036.4951388889</v>
      </c>
      <c r="C158" s="4" t="n">
        <v>0</v>
      </c>
      <c r="D158" s="4" t="s">
        <v>143</v>
      </c>
      <c r="E158" s="4"/>
      <c r="F158" s="4" t="s">
        <v>106</v>
      </c>
      <c r="G158" s="6" t="n">
        <v>93</v>
      </c>
      <c r="H158" s="6" t="n">
        <v>72</v>
      </c>
      <c r="I158" s="6" t="n">
        <v>53</v>
      </c>
      <c r="J158" s="6" t="s">
        <v>97</v>
      </c>
      <c r="K158" s="6" t="n">
        <v>7</v>
      </c>
      <c r="L158" s="6" t="n">
        <v>0</v>
      </c>
      <c r="M158" s="3" t="s">
        <v>129</v>
      </c>
      <c r="N158" s="4"/>
      <c r="O158" s="4"/>
      <c r="P158" s="4"/>
      <c r="Q158" s="8"/>
      <c r="R158" s="6"/>
      <c r="S158" s="6"/>
      <c r="T158" s="6"/>
      <c r="U158" s="8"/>
      <c r="V158" s="8"/>
      <c r="W158" s="8"/>
      <c r="X158" s="8"/>
      <c r="Y158" s="4"/>
      <c r="Z158" s="8"/>
      <c r="AA158" s="8"/>
      <c r="AB158" s="6"/>
      <c r="AC158" s="6"/>
      <c r="AD158" s="6"/>
      <c r="AE158" s="4"/>
      <c r="AF158" s="8"/>
      <c r="AG158" s="8"/>
      <c r="AI158" s="8"/>
      <c r="AJ158" s="8"/>
      <c r="AK158" s="8"/>
      <c r="AL158" s="8"/>
      <c r="AM158" s="8"/>
      <c r="AN158" s="8"/>
      <c r="AO158" s="8"/>
      <c r="AP158" s="4"/>
      <c r="AQ158" s="4"/>
      <c r="AR158" s="4"/>
      <c r="AS158" s="14"/>
      <c r="AT158" s="8"/>
      <c r="AU158" s="8"/>
      <c r="AV158" s="8"/>
      <c r="AW158" s="8"/>
      <c r="AX158" s="8"/>
      <c r="AY158" s="4"/>
      <c r="AZ158" s="4"/>
      <c r="BA158" s="4"/>
      <c r="BB158" s="4"/>
      <c r="BC158" s="4"/>
    </row>
    <row r="159" customFormat="false" ht="29.85" hidden="false" customHeight="false" outlineLevel="0" collapsed="false">
      <c r="A159" s="11" t="n">
        <f aca="false">A158+1</f>
        <v>691</v>
      </c>
      <c r="B159" s="12" t="n">
        <v>44037.4951388889</v>
      </c>
      <c r="C159" s="4" t="n">
        <v>0</v>
      </c>
      <c r="D159" s="4" t="s">
        <v>143</v>
      </c>
      <c r="E159" s="4"/>
      <c r="F159" s="4" t="s">
        <v>61</v>
      </c>
      <c r="G159" s="6" t="n">
        <v>96</v>
      </c>
      <c r="H159" s="6" t="n">
        <v>72</v>
      </c>
      <c r="I159" s="6" t="n">
        <v>63</v>
      </c>
      <c r="J159" s="4" t="s">
        <v>114</v>
      </c>
      <c r="K159" s="6" t="n">
        <v>9</v>
      </c>
      <c r="L159" s="6" t="n">
        <v>0</v>
      </c>
      <c r="M159" s="3" t="s">
        <v>129</v>
      </c>
      <c r="N159" s="4"/>
      <c r="O159" s="4"/>
      <c r="P159" s="4"/>
      <c r="Q159" s="8"/>
      <c r="R159" s="6"/>
      <c r="S159" s="6"/>
      <c r="T159" s="6"/>
      <c r="U159" s="8"/>
      <c r="V159" s="8"/>
      <c r="W159" s="8"/>
      <c r="X159" s="8"/>
      <c r="Y159" s="4"/>
      <c r="Z159" s="8"/>
      <c r="AA159" s="8"/>
      <c r="AB159" s="6"/>
      <c r="AC159" s="6"/>
      <c r="AD159" s="6"/>
      <c r="AE159" s="4"/>
      <c r="AF159" s="8"/>
      <c r="AG159" s="8"/>
      <c r="AI159" s="8"/>
      <c r="AJ159" s="8"/>
      <c r="AK159" s="8"/>
      <c r="AL159" s="8"/>
      <c r="AM159" s="8"/>
      <c r="AN159" s="8"/>
      <c r="AO159" s="8"/>
      <c r="AP159" s="4"/>
      <c r="AQ159" s="4"/>
      <c r="AR159" s="4"/>
      <c r="AS159" s="14"/>
      <c r="AT159" s="8"/>
      <c r="AU159" s="8"/>
      <c r="AV159" s="8"/>
      <c r="AW159" s="8"/>
      <c r="AX159" s="8"/>
      <c r="AY159" s="4"/>
      <c r="AZ159" s="4"/>
      <c r="BA159" s="4"/>
      <c r="BB159" s="4"/>
      <c r="BC159" s="4"/>
    </row>
    <row r="160" customFormat="false" ht="29.85" hidden="false" customHeight="false" outlineLevel="0" collapsed="false">
      <c r="A160" s="11" t="n">
        <f aca="false">A159+1</f>
        <v>692</v>
      </c>
      <c r="B160" s="12" t="n">
        <v>44038.4951388889</v>
      </c>
      <c r="C160" s="4" t="n">
        <v>0</v>
      </c>
      <c r="D160" s="4" t="s">
        <v>143</v>
      </c>
      <c r="E160" s="4"/>
      <c r="F160" s="4" t="s">
        <v>61</v>
      </c>
      <c r="G160" s="6" t="n">
        <f aca="false">(88+86+86)/3</f>
        <v>86.6666666666667</v>
      </c>
      <c r="H160" s="6" t="n">
        <v>73</v>
      </c>
      <c r="I160" s="6" t="n">
        <f aca="false">(59+59+53)/3</f>
        <v>57</v>
      </c>
      <c r="J160" s="6" t="s">
        <v>130</v>
      </c>
      <c r="K160" s="6" t="n">
        <v>6</v>
      </c>
      <c r="L160" s="6" t="n">
        <v>0</v>
      </c>
      <c r="M160" s="3" t="s">
        <v>129</v>
      </c>
      <c r="N160" s="4"/>
      <c r="O160" s="4"/>
      <c r="P160" s="4"/>
      <c r="Q160" s="8"/>
      <c r="R160" s="6"/>
      <c r="S160" s="6"/>
      <c r="T160" s="6"/>
      <c r="U160" s="8"/>
      <c r="V160" s="8"/>
      <c r="W160" s="8"/>
      <c r="X160" s="8"/>
      <c r="Y160" s="4"/>
      <c r="Z160" s="8"/>
      <c r="AA160" s="8"/>
      <c r="AB160" s="6"/>
      <c r="AC160" s="6"/>
      <c r="AD160" s="6"/>
      <c r="AE160" s="4"/>
      <c r="AF160" s="8"/>
      <c r="AG160" s="8"/>
      <c r="AI160" s="8"/>
      <c r="AJ160" s="8"/>
      <c r="AK160" s="8"/>
      <c r="AL160" s="8"/>
      <c r="AM160" s="8"/>
      <c r="AN160" s="8"/>
      <c r="AO160" s="8"/>
      <c r="AP160" s="4"/>
      <c r="AQ160" s="4"/>
      <c r="AR160" s="4"/>
      <c r="AS160" s="14"/>
      <c r="AT160" s="8"/>
      <c r="AU160" s="8"/>
      <c r="AV160" s="8"/>
      <c r="AW160" s="8"/>
      <c r="AX160" s="8"/>
      <c r="AY160" s="4"/>
      <c r="AZ160" s="4"/>
      <c r="BA160" s="4"/>
      <c r="BB160" s="4"/>
      <c r="BC160" s="4"/>
    </row>
    <row r="161" customFormat="false" ht="29.85" hidden="false" customHeight="false" outlineLevel="0" collapsed="false">
      <c r="A161" s="11" t="n">
        <f aca="false">A160+1</f>
        <v>693</v>
      </c>
      <c r="B161" s="12" t="n">
        <v>44039.4951388889</v>
      </c>
      <c r="C161" s="4" t="n">
        <v>0</v>
      </c>
      <c r="D161" s="4" t="s">
        <v>143</v>
      </c>
      <c r="E161" s="4"/>
      <c r="F161" s="4" t="s">
        <v>61</v>
      </c>
      <c r="G161" s="6" t="n">
        <v>84</v>
      </c>
      <c r="H161" s="6" t="n">
        <v>72</v>
      </c>
      <c r="I161" s="6" t="n">
        <v>72</v>
      </c>
      <c r="J161" s="6" t="s">
        <v>108</v>
      </c>
      <c r="K161" s="6" t="n">
        <f aca="false">(7+7+3)/3</f>
        <v>5.66666666666667</v>
      </c>
      <c r="L161" s="6" t="n">
        <v>0</v>
      </c>
      <c r="M161" s="3" t="s">
        <v>129</v>
      </c>
      <c r="N161" s="4"/>
      <c r="O161" s="4"/>
      <c r="P161" s="4"/>
      <c r="Q161" s="8"/>
      <c r="R161" s="6"/>
      <c r="S161" s="6"/>
      <c r="T161" s="6"/>
      <c r="U161" s="8"/>
      <c r="V161" s="8"/>
      <c r="W161" s="8"/>
      <c r="X161" s="8"/>
      <c r="Y161" s="4"/>
      <c r="Z161" s="8"/>
      <c r="AA161" s="8"/>
      <c r="AB161" s="6"/>
      <c r="AC161" s="6"/>
      <c r="AD161" s="6"/>
      <c r="AE161" s="4"/>
      <c r="AF161" s="8"/>
      <c r="AG161" s="8"/>
      <c r="AI161" s="8"/>
      <c r="AJ161" s="8"/>
      <c r="AK161" s="8"/>
      <c r="AL161" s="8"/>
      <c r="AM161" s="8"/>
      <c r="AN161" s="8"/>
      <c r="AO161" s="8"/>
      <c r="AP161" s="4"/>
      <c r="AQ161" s="4"/>
      <c r="AR161" s="4"/>
      <c r="AS161" s="14"/>
      <c r="AT161" s="8"/>
      <c r="AU161" s="8"/>
      <c r="AV161" s="8"/>
      <c r="AW161" s="8"/>
      <c r="AX161" s="8"/>
      <c r="AY161" s="4"/>
      <c r="AZ161" s="4"/>
      <c r="BA161" s="4"/>
      <c r="BB161" s="4"/>
      <c r="BC161" s="4"/>
    </row>
    <row r="162" customFormat="false" ht="16.9" hidden="false" customHeight="false" outlineLevel="0" collapsed="false">
      <c r="A162" s="11" t="n">
        <f aca="false">A161+1</f>
        <v>694</v>
      </c>
      <c r="B162" s="12" t="n">
        <v>44040.5034722222</v>
      </c>
      <c r="C162" s="4" t="n">
        <v>1</v>
      </c>
      <c r="D162" s="4"/>
      <c r="E162" s="4"/>
      <c r="F162" s="4" t="s">
        <v>84</v>
      </c>
      <c r="G162" s="6" t="n">
        <v>76</v>
      </c>
      <c r="H162" s="6" t="n">
        <v>76</v>
      </c>
      <c r="I162" s="6" t="n">
        <v>100</v>
      </c>
      <c r="J162" s="6" t="s">
        <v>108</v>
      </c>
      <c r="K162" s="6" t="n">
        <f aca="false">AVERAGE(6,9,10)</f>
        <v>8.33333333333333</v>
      </c>
      <c r="L162" s="6" t="n">
        <v>0</v>
      </c>
      <c r="M162" s="3" t="s">
        <v>129</v>
      </c>
      <c r="N162" s="4" t="s">
        <v>136</v>
      </c>
      <c r="O162" s="4"/>
      <c r="P162" s="4" t="s">
        <v>135</v>
      </c>
      <c r="Q162" s="8" t="n">
        <v>1.35</v>
      </c>
      <c r="R162" s="6"/>
      <c r="S162" s="6"/>
      <c r="T162" s="6"/>
      <c r="U162" s="8" t="n">
        <f aca="false">(U163+U164)/5</f>
        <v>0.546666666666667</v>
      </c>
      <c r="V162" s="8" t="n">
        <f aca="false">U162</f>
        <v>0.546666666666667</v>
      </c>
      <c r="W162" s="8" t="n">
        <f aca="false">V162-U162</f>
        <v>0</v>
      </c>
      <c r="X162" s="8" t="n">
        <f aca="false">Q162/V162</f>
        <v>2.46951219512195</v>
      </c>
      <c r="Y162" s="4" t="n">
        <v>1</v>
      </c>
      <c r="Z162" s="8" t="n">
        <f aca="false">Q162/1</f>
        <v>1.35</v>
      </c>
      <c r="AA162" s="8" t="n">
        <f aca="false">AVERAGE(AA164,AA163)</f>
        <v>24.8666666666667</v>
      </c>
      <c r="AB162" s="6" t="n">
        <f aca="false">Y162*23*9/12</f>
        <v>17.25</v>
      </c>
      <c r="AC162" s="6" t="n">
        <f aca="false">(AC163+AC164)/5</f>
        <v>145</v>
      </c>
      <c r="AD162" s="6"/>
      <c r="AE162" s="4"/>
      <c r="AF162" s="8"/>
      <c r="AG162" s="8"/>
      <c r="AI162" s="8"/>
      <c r="AJ162" s="8"/>
      <c r="AK162" s="8"/>
      <c r="AL162" s="8"/>
      <c r="AM162" s="8"/>
      <c r="AN162" s="8"/>
      <c r="AO162" s="8"/>
      <c r="AP162" s="4" t="n">
        <v>0</v>
      </c>
      <c r="AQ162" s="4" t="n">
        <v>0</v>
      </c>
      <c r="AR162" s="4" t="n">
        <v>0</v>
      </c>
      <c r="AS162" s="14"/>
      <c r="AT162" s="8"/>
      <c r="AU162" s="8"/>
      <c r="AV162" s="8"/>
      <c r="AW162" s="8"/>
      <c r="AX162" s="8"/>
      <c r="AY162" s="4"/>
      <c r="AZ162" s="4" t="s">
        <v>60</v>
      </c>
      <c r="BA162" s="4" t="n">
        <v>0</v>
      </c>
      <c r="BB162" s="4"/>
      <c r="BC162" s="4"/>
    </row>
    <row r="163" customFormat="false" ht="16.9" hidden="false" customHeight="false" outlineLevel="0" collapsed="false">
      <c r="A163" s="11" t="n">
        <f aca="false">A162+1</f>
        <v>695</v>
      </c>
      <c r="B163" s="12" t="n">
        <v>44041.50625</v>
      </c>
      <c r="C163" s="4" t="n">
        <v>1</v>
      </c>
      <c r="D163" s="4"/>
      <c r="E163" s="4"/>
      <c r="F163" s="4" t="s">
        <v>90</v>
      </c>
      <c r="G163" s="6" t="n">
        <v>85</v>
      </c>
      <c r="H163" s="6" t="n">
        <v>74</v>
      </c>
      <c r="I163" s="6" t="n">
        <v>69</v>
      </c>
      <c r="J163" s="6" t="s">
        <v>62</v>
      </c>
      <c r="K163" s="6" t="n">
        <v>12</v>
      </c>
      <c r="L163" s="6" t="n">
        <v>0</v>
      </c>
      <c r="M163" s="3" t="s">
        <v>129</v>
      </c>
      <c r="N163" s="4" t="s">
        <v>136</v>
      </c>
      <c r="O163" s="4"/>
      <c r="P163" s="4" t="s">
        <v>135</v>
      </c>
      <c r="Q163" s="8" t="n">
        <v>2.66</v>
      </c>
      <c r="R163" s="6" t="n">
        <v>787</v>
      </c>
      <c r="S163" s="6" t="n">
        <v>9629</v>
      </c>
      <c r="T163" s="6" t="n">
        <f aca="false">S163-R163</f>
        <v>8842</v>
      </c>
      <c r="U163" s="8" t="n">
        <f aca="false">65/60</f>
        <v>1.08333333333333</v>
      </c>
      <c r="V163" s="8" t="n">
        <f aca="false">67/60</f>
        <v>1.11666666666667</v>
      </c>
      <c r="W163" s="8" t="n">
        <f aca="false">V163-U163</f>
        <v>0.0333333333333334</v>
      </c>
      <c r="X163" s="8" t="n">
        <f aca="false">Q163/U163</f>
        <v>2.45538461538462</v>
      </c>
      <c r="Y163" s="4" t="n">
        <v>2</v>
      </c>
      <c r="Z163" s="8" t="n">
        <f aca="false">Q163/Y163</f>
        <v>1.33</v>
      </c>
      <c r="AA163" s="8" t="n">
        <f aca="false">24+30/60</f>
        <v>24.5</v>
      </c>
      <c r="AB163" s="6" t="n">
        <f aca="false">2*9*32/12</f>
        <v>48</v>
      </c>
      <c r="AC163" s="6" t="n">
        <v>307</v>
      </c>
      <c r="AD163" s="6" t="n">
        <v>86</v>
      </c>
      <c r="AE163" s="4" t="n">
        <v>108</v>
      </c>
      <c r="AF163" s="8" t="n">
        <f aca="false">25+46/60</f>
        <v>25.7666666666667</v>
      </c>
      <c r="AG163" s="8" t="n">
        <f aca="false">23+28/60</f>
        <v>23.4666666666667</v>
      </c>
      <c r="AH163" s="8" t="n">
        <f aca="false">60/2.5</f>
        <v>24</v>
      </c>
      <c r="AI163" s="8"/>
      <c r="AJ163" s="8"/>
      <c r="AK163" s="8"/>
      <c r="AL163" s="8"/>
      <c r="AM163" s="8"/>
      <c r="AN163" s="8"/>
      <c r="AO163" s="8"/>
      <c r="AP163" s="4" t="n">
        <v>1</v>
      </c>
      <c r="AQ163" s="4" t="n">
        <v>1</v>
      </c>
      <c r="AR163" s="4" t="n">
        <v>0</v>
      </c>
      <c r="AS163" s="14" t="n">
        <f aca="false">60*U163-SUM(AT163:AX163)</f>
        <v>3.9</v>
      </c>
      <c r="AT163" s="8" t="n">
        <f aca="false">38+43/60</f>
        <v>38.7166666666667</v>
      </c>
      <c r="AU163" s="8" t="n">
        <f aca="false">21+45/60</f>
        <v>21.75</v>
      </c>
      <c r="AV163" s="8" t="n">
        <f aca="false">38/60</f>
        <v>0.633333333333333</v>
      </c>
      <c r="AW163" s="8" t="n">
        <v>0</v>
      </c>
      <c r="AX163" s="8" t="n">
        <v>0</v>
      </c>
      <c r="AY163" s="4" t="s">
        <v>59</v>
      </c>
      <c r="AZ163" s="4" t="s">
        <v>60</v>
      </c>
      <c r="BA163" s="4" t="n">
        <v>0</v>
      </c>
      <c r="BB163" s="4"/>
      <c r="BC163" s="4"/>
    </row>
    <row r="164" customFormat="false" ht="16.9" hidden="false" customHeight="false" outlineLevel="0" collapsed="false">
      <c r="A164" s="11" t="n">
        <f aca="false">A163+1</f>
        <v>696</v>
      </c>
      <c r="B164" s="12" t="n">
        <v>44042.5451388889</v>
      </c>
      <c r="C164" s="4" t="n">
        <v>1</v>
      </c>
      <c r="D164" s="4"/>
      <c r="E164" s="4"/>
      <c r="F164" s="4" t="s">
        <v>71</v>
      </c>
      <c r="G164" s="6" t="n">
        <v>90</v>
      </c>
      <c r="H164" s="6" t="n">
        <v>71</v>
      </c>
      <c r="I164" s="6" t="n">
        <v>54</v>
      </c>
      <c r="J164" s="6" t="s">
        <v>62</v>
      </c>
      <c r="K164" s="6" t="n">
        <v>15</v>
      </c>
      <c r="L164" s="6" t="n">
        <v>0</v>
      </c>
      <c r="M164" s="3" t="s">
        <v>129</v>
      </c>
      <c r="N164" s="4" t="s">
        <v>136</v>
      </c>
      <c r="O164" s="4"/>
      <c r="P164" s="4" t="s">
        <v>135</v>
      </c>
      <c r="Q164" s="8" t="n">
        <v>3.92</v>
      </c>
      <c r="R164" s="6" t="n">
        <v>705</v>
      </c>
      <c r="S164" s="6" t="n">
        <v>13336</v>
      </c>
      <c r="T164" s="6" t="n">
        <f aca="false">S164-R164</f>
        <v>12631</v>
      </c>
      <c r="U164" s="8" t="n">
        <f aca="false">99/60</f>
        <v>1.65</v>
      </c>
      <c r="V164" s="8" t="n">
        <f aca="false">100/60</f>
        <v>1.66666666666667</v>
      </c>
      <c r="W164" s="8" t="n">
        <f aca="false">V164-U164</f>
        <v>0.0166666666666668</v>
      </c>
      <c r="X164" s="8" t="n">
        <f aca="false">Q164/U164</f>
        <v>2.37575757575758</v>
      </c>
      <c r="Y164" s="4" t="n">
        <v>3</v>
      </c>
      <c r="Z164" s="8" t="n">
        <f aca="false">Q164/Y164</f>
        <v>1.30666666666667</v>
      </c>
      <c r="AA164" s="8" t="n">
        <f aca="false">25+14/60</f>
        <v>25.2333333333333</v>
      </c>
      <c r="AB164" s="6" t="n">
        <f aca="false">Y164*23*9/12</f>
        <v>51.75</v>
      </c>
      <c r="AC164" s="6" t="n">
        <v>418</v>
      </c>
      <c r="AD164" s="6" t="n">
        <v>78</v>
      </c>
      <c r="AE164" s="4" t="n">
        <v>115</v>
      </c>
      <c r="AF164" s="8" t="n">
        <f aca="false">24+47/60</f>
        <v>24.7833333333333</v>
      </c>
      <c r="AG164" s="8" t="n">
        <f aca="false">24+23/60</f>
        <v>24.3833333333333</v>
      </c>
      <c r="AH164" s="8" t="n">
        <f aca="false">23+57/60</f>
        <v>23.95</v>
      </c>
      <c r="AI164" s="8" t="n">
        <f aca="false">60/2.1</f>
        <v>28.5714285714286</v>
      </c>
      <c r="AJ164" s="8"/>
      <c r="AK164" s="8"/>
      <c r="AL164" s="8"/>
      <c r="AM164" s="8"/>
      <c r="AN164" s="8"/>
      <c r="AO164" s="8"/>
      <c r="AP164" s="4" t="n">
        <v>0</v>
      </c>
      <c r="AQ164" s="4" t="n">
        <v>0</v>
      </c>
      <c r="AR164" s="4" t="n">
        <v>0</v>
      </c>
      <c r="AS164" s="14" t="n">
        <f aca="false">60*U164-SUM(AT164:AX164)</f>
        <v>35.6166666666667</v>
      </c>
      <c r="AT164" s="8" t="n">
        <f aca="false">52+26/60</f>
        <v>52.4333333333333</v>
      </c>
      <c r="AU164" s="8" t="n">
        <f aca="false">8+49/60</f>
        <v>8.81666666666667</v>
      </c>
      <c r="AV164" s="8" t="n">
        <f aca="false">2+8/60</f>
        <v>2.13333333333333</v>
      </c>
      <c r="AW164" s="8" t="n">
        <v>0</v>
      </c>
      <c r="AX164" s="8" t="n">
        <v>0</v>
      </c>
      <c r="AY164" s="4" t="s">
        <v>59</v>
      </c>
      <c r="AZ164" s="4" t="s">
        <v>60</v>
      </c>
      <c r="BA164" s="4" t="n">
        <v>0</v>
      </c>
      <c r="BB164" s="4"/>
      <c r="BC164" s="4"/>
    </row>
    <row r="165" customFormat="false" ht="16.9" hidden="false" customHeight="false" outlineLevel="0" collapsed="false">
      <c r="A165" s="11" t="n">
        <f aca="false">A164+1</f>
        <v>697</v>
      </c>
      <c r="B165" s="12" t="n">
        <v>44043.5208333333</v>
      </c>
      <c r="C165" s="4" t="n">
        <v>1</v>
      </c>
      <c r="D165" s="4"/>
      <c r="E165" s="4"/>
      <c r="F165" s="4" t="s">
        <v>54</v>
      </c>
      <c r="G165" s="6" t="n">
        <v>86</v>
      </c>
      <c r="H165" s="6" t="n">
        <v>50</v>
      </c>
      <c r="I165" s="6" t="n">
        <v>59</v>
      </c>
      <c r="J165" s="4" t="s">
        <v>86</v>
      </c>
      <c r="K165" s="6" t="n">
        <v>10</v>
      </c>
      <c r="L165" s="6" t="n">
        <v>22</v>
      </c>
      <c r="M165" s="3" t="s">
        <v>129</v>
      </c>
      <c r="N165" s="4" t="s">
        <v>136</v>
      </c>
      <c r="O165" s="4"/>
      <c r="P165" s="4" t="s">
        <v>135</v>
      </c>
      <c r="Q165" s="8" t="n">
        <v>4.35</v>
      </c>
      <c r="R165" s="6" t="n">
        <v>1103</v>
      </c>
      <c r="S165" s="6" t="n">
        <v>13887</v>
      </c>
      <c r="T165" s="6" t="n">
        <f aca="false">S165-R165</f>
        <v>12784</v>
      </c>
      <c r="U165" s="8" t="n">
        <f aca="false">(60+41)/60</f>
        <v>1.68333333333333</v>
      </c>
      <c r="V165" s="8" t="n">
        <f aca="false">(60+48)/60</f>
        <v>1.8</v>
      </c>
      <c r="W165" s="8" t="n">
        <f aca="false">V165-U165</f>
        <v>0.116666666666667</v>
      </c>
      <c r="X165" s="8" t="n">
        <f aca="false">Q165/U165</f>
        <v>2.58415841584158</v>
      </c>
      <c r="Y165" s="4" t="n">
        <v>3</v>
      </c>
      <c r="Z165" s="8" t="n">
        <f aca="false">Q165/Y165</f>
        <v>1.45</v>
      </c>
      <c r="AA165" s="8" t="n">
        <f aca="false">23+12/60</f>
        <v>23.2</v>
      </c>
      <c r="AB165" s="6" t="n">
        <f aca="false">Y165*23*9/12</f>
        <v>51.75</v>
      </c>
      <c r="AC165" s="6" t="n">
        <v>521</v>
      </c>
      <c r="AD165" s="6" t="n">
        <v>92</v>
      </c>
      <c r="AE165" s="4" t="n">
        <v>124</v>
      </c>
      <c r="AF165" s="8" t="n">
        <f aca="false">21+55/60</f>
        <v>21.9166666666667</v>
      </c>
      <c r="AG165" s="8" t="n">
        <f aca="false">21+56/60</f>
        <v>21.9333333333333</v>
      </c>
      <c r="AH165" s="8" t="n">
        <f aca="false">25+51/60</f>
        <v>25.85</v>
      </c>
      <c r="AI165" s="8" t="n">
        <f aca="false">23+4/60</f>
        <v>23.0666666666667</v>
      </c>
      <c r="AJ165" s="8" t="n">
        <f aca="false">60/2.6</f>
        <v>23.0769230769231</v>
      </c>
      <c r="AK165" s="8"/>
      <c r="AL165" s="8"/>
      <c r="AM165" s="8"/>
      <c r="AN165" s="8"/>
      <c r="AO165" s="8"/>
      <c r="AP165" s="4" t="n">
        <v>0</v>
      </c>
      <c r="AQ165" s="4" t="n">
        <v>1</v>
      </c>
      <c r="AR165" s="4" t="n">
        <v>0</v>
      </c>
      <c r="AS165" s="14" t="n">
        <f aca="false">60*U165-SUM(AT165:AX165)</f>
        <v>41.88</v>
      </c>
      <c r="AT165" s="8" t="n">
        <f aca="false">28+52/60</f>
        <v>28.8666666666667</v>
      </c>
      <c r="AU165" s="8" t="n">
        <f aca="false">28+46/50</f>
        <v>28.92</v>
      </c>
      <c r="AV165" s="8" t="n">
        <f aca="false">1+20/60</f>
        <v>1.33333333333333</v>
      </c>
      <c r="AW165" s="8" t="n">
        <v>0</v>
      </c>
      <c r="AX165" s="8" t="n">
        <v>0</v>
      </c>
      <c r="AY165" s="4" t="s">
        <v>59</v>
      </c>
      <c r="AZ165" s="4" t="s">
        <v>60</v>
      </c>
      <c r="BA165" s="4" t="n">
        <v>0</v>
      </c>
      <c r="BB165" s="4"/>
      <c r="BC165" s="4"/>
    </row>
    <row r="166" customFormat="false" ht="16.9" hidden="false" customHeight="false" outlineLevel="0" collapsed="false">
      <c r="A166" s="11" t="n">
        <f aca="false">A165+1</f>
        <v>698</v>
      </c>
      <c r="B166" s="12" t="n">
        <v>44044.5020833333</v>
      </c>
      <c r="C166" s="4" t="n">
        <v>1</v>
      </c>
      <c r="D166" s="4"/>
      <c r="E166" s="4"/>
      <c r="F166" s="4" t="s">
        <v>61</v>
      </c>
      <c r="G166" s="6" t="n">
        <v>85</v>
      </c>
      <c r="H166" s="6" t="n">
        <v>66</v>
      </c>
      <c r="I166" s="6" t="n">
        <v>53</v>
      </c>
      <c r="J166" s="6" t="s">
        <v>83</v>
      </c>
      <c r="K166" s="6" t="n">
        <v>6</v>
      </c>
      <c r="L166" s="6" t="n">
        <v>0</v>
      </c>
      <c r="M166" s="3" t="s">
        <v>129</v>
      </c>
      <c r="N166" s="4" t="s">
        <v>136</v>
      </c>
      <c r="O166" s="4"/>
      <c r="P166" s="4" t="s">
        <v>135</v>
      </c>
      <c r="Q166" s="8" t="n">
        <v>4.35</v>
      </c>
      <c r="R166" s="6" t="n">
        <v>1160</v>
      </c>
      <c r="S166" s="6" t="n">
        <v>13166</v>
      </c>
      <c r="T166" s="6" t="n">
        <f aca="false">S166-R166</f>
        <v>12006</v>
      </c>
      <c r="U166" s="8" t="n">
        <f aca="false">(60+51)/60</f>
        <v>1.85</v>
      </c>
      <c r="V166" s="8" t="n">
        <f aca="false">(60+58)/60</f>
        <v>1.96666666666667</v>
      </c>
      <c r="W166" s="8" t="n">
        <f aca="false">V166-U166</f>
        <v>0.116666666666666</v>
      </c>
      <c r="X166" s="8" t="n">
        <f aca="false">Q166/U166</f>
        <v>2.35135135135135</v>
      </c>
      <c r="Y166" s="4" t="n">
        <v>3</v>
      </c>
      <c r="Z166" s="8" t="n">
        <f aca="false">Q166/Y166</f>
        <v>1.45</v>
      </c>
      <c r="AA166" s="8" t="n">
        <f aca="false">25+31/60</f>
        <v>25.5166666666667</v>
      </c>
      <c r="AB166" s="6" t="n">
        <f aca="false">Y166*23*9/12</f>
        <v>51.75</v>
      </c>
      <c r="AC166" s="6" t="n">
        <v>459</v>
      </c>
      <c r="AD166" s="6" t="n">
        <v>84</v>
      </c>
      <c r="AE166" s="4" t="n">
        <v>115</v>
      </c>
      <c r="AF166" s="8" t="n">
        <f aca="false">23+43/60</f>
        <v>23.7166666666667</v>
      </c>
      <c r="AG166" s="8" t="n">
        <f aca="false">25+3/60</f>
        <v>25.05</v>
      </c>
      <c r="AH166" s="8" t="n">
        <f aca="false">24+57/60</f>
        <v>24.95</v>
      </c>
      <c r="AI166" s="8" t="n">
        <f aca="false">60/2.2</f>
        <v>27.2727272727273</v>
      </c>
      <c r="AJ166" s="8"/>
      <c r="AK166" s="8"/>
      <c r="AL166" s="8"/>
      <c r="AM166" s="8"/>
      <c r="AN166" s="8"/>
      <c r="AO166" s="8"/>
      <c r="AP166" s="4" t="n">
        <v>2</v>
      </c>
      <c r="AQ166" s="4" t="n">
        <v>0</v>
      </c>
      <c r="AR166" s="4" t="n">
        <v>0</v>
      </c>
      <c r="AS166" s="14" t="n">
        <f aca="false">60*U166-SUM(AT166:AX166)</f>
        <v>8.7</v>
      </c>
      <c r="AT166" s="8" t="n">
        <f aca="false">73+17/60</f>
        <v>73.2833333333333</v>
      </c>
      <c r="AU166" s="8" t="n">
        <f aca="false">27+40/60</f>
        <v>27.6666666666667</v>
      </c>
      <c r="AV166" s="8" t="n">
        <f aca="false">1+21/60</f>
        <v>1.35</v>
      </c>
      <c r="AW166" s="8" t="n">
        <v>0</v>
      </c>
      <c r="AX166" s="8" t="n">
        <v>0</v>
      </c>
      <c r="AY166" s="4" t="s">
        <v>59</v>
      </c>
      <c r="AZ166" s="4" t="s">
        <v>60</v>
      </c>
      <c r="BA166" s="4" t="n">
        <v>0</v>
      </c>
      <c r="BB166" s="4"/>
      <c r="BC166" s="4"/>
    </row>
    <row r="167" customFormat="false" ht="16.9" hidden="false" customHeight="false" outlineLevel="0" collapsed="false">
      <c r="A167" s="11" t="n">
        <f aca="false">A166+1</f>
        <v>699</v>
      </c>
      <c r="B167" s="12" t="n">
        <v>44045.6055555556</v>
      </c>
      <c r="C167" s="4" t="n">
        <v>1</v>
      </c>
      <c r="D167" s="4"/>
      <c r="E167" s="4"/>
      <c r="F167" s="4" t="s">
        <v>71</v>
      </c>
      <c r="G167" s="6" t="n">
        <v>94</v>
      </c>
      <c r="H167" s="6" t="n">
        <v>60</v>
      </c>
      <c r="I167" s="6" t="n">
        <v>32</v>
      </c>
      <c r="J167" s="4" t="s">
        <v>83</v>
      </c>
      <c r="K167" s="6" t="n">
        <v>6</v>
      </c>
      <c r="L167" s="6" t="n">
        <v>0</v>
      </c>
      <c r="M167" s="3" t="s">
        <v>129</v>
      </c>
      <c r="N167" s="4" t="s">
        <v>136</v>
      </c>
      <c r="O167" s="4"/>
      <c r="P167" s="4" t="s">
        <v>135</v>
      </c>
      <c r="Q167" s="8" t="n">
        <v>4.27</v>
      </c>
      <c r="R167" s="6" t="n">
        <v>1405</v>
      </c>
      <c r="S167" s="6" t="n">
        <v>14959</v>
      </c>
      <c r="T167" s="6" t="n">
        <f aca="false">S167-R167</f>
        <v>13554</v>
      </c>
      <c r="U167" s="8" t="n">
        <f aca="false">(60+50)/60</f>
        <v>1.83333333333333</v>
      </c>
      <c r="V167" s="8" t="n">
        <f aca="false">(60+54)/60</f>
        <v>1.9</v>
      </c>
      <c r="W167" s="8" t="n">
        <f aca="false">V167-U167</f>
        <v>0.0666666666666667</v>
      </c>
      <c r="X167" s="8" t="n">
        <f aca="false">Q167/U167</f>
        <v>2.32909090909091</v>
      </c>
      <c r="Y167" s="4" t="n">
        <v>3</v>
      </c>
      <c r="Z167" s="8" t="n">
        <f aca="false">Q167/Y167</f>
        <v>1.42333333333333</v>
      </c>
      <c r="AA167" s="8" t="n">
        <f aca="false">25+47/60</f>
        <v>25.7833333333333</v>
      </c>
      <c r="AB167" s="6" t="n">
        <f aca="false">Y167*23*9/12</f>
        <v>51.75</v>
      </c>
      <c r="AC167" s="6" t="n">
        <v>597</v>
      </c>
      <c r="AD167" s="6" t="n">
        <v>101</v>
      </c>
      <c r="AE167" s="4" t="n">
        <v>143</v>
      </c>
      <c r="AF167" s="8" t="n">
        <f aca="false">24+18/60</f>
        <v>24.3</v>
      </c>
      <c r="AG167" s="8" t="n">
        <f aca="false">26+1/60</f>
        <v>26.0166666666667</v>
      </c>
      <c r="AH167" s="8" t="n">
        <f aca="false">24+28/60</f>
        <v>24.4666666666667</v>
      </c>
      <c r="AI167" s="8" t="n">
        <f aca="false">28+40/60</f>
        <v>28.6666666666667</v>
      </c>
      <c r="AJ167" s="8" t="n">
        <f aca="false">60/2.4</f>
        <v>25</v>
      </c>
      <c r="AK167" s="8"/>
      <c r="AL167" s="8"/>
      <c r="AM167" s="8"/>
      <c r="AN167" s="8"/>
      <c r="AO167" s="8"/>
      <c r="AP167" s="4" t="n">
        <v>1</v>
      </c>
      <c r="AQ167" s="4" t="n">
        <v>0</v>
      </c>
      <c r="AR167" s="4" t="n">
        <v>0</v>
      </c>
      <c r="AS167" s="14" t="n">
        <v>0</v>
      </c>
      <c r="AT167" s="8" t="n">
        <f aca="false">9+6/60</f>
        <v>9.1</v>
      </c>
      <c r="AU167" s="8" t="n">
        <f aca="false">56+18/60</f>
        <v>56.3</v>
      </c>
      <c r="AV167" s="8" t="n">
        <f aca="false">42+30/60</f>
        <v>42.5</v>
      </c>
      <c r="AW167" s="8" t="n">
        <f aca="false">1+52/60</f>
        <v>1.86666666666667</v>
      </c>
      <c r="AX167" s="8" t="n">
        <f aca="false">22/60</f>
        <v>0.366666666666667</v>
      </c>
      <c r="AY167" s="4" t="s">
        <v>59</v>
      </c>
      <c r="AZ167" s="4" t="s">
        <v>60</v>
      </c>
      <c r="BA167" s="4" t="n">
        <v>0</v>
      </c>
      <c r="BB167" s="4"/>
      <c r="BC167" s="4"/>
    </row>
    <row r="168" customFormat="false" ht="16.9" hidden="false" customHeight="false" outlineLevel="0" collapsed="false">
      <c r="A168" s="11" t="n">
        <f aca="false">A167+1</f>
        <v>700</v>
      </c>
      <c r="B168" s="12" t="n">
        <v>44046.575</v>
      </c>
      <c r="C168" s="4" t="n">
        <v>1</v>
      </c>
      <c r="D168" s="4"/>
      <c r="E168" s="4"/>
      <c r="F168" s="4" t="s">
        <v>71</v>
      </c>
      <c r="G168" s="6" t="n">
        <v>92</v>
      </c>
      <c r="H168" s="6" t="n">
        <v>63</v>
      </c>
      <c r="I168" s="6" t="n">
        <v>39</v>
      </c>
      <c r="J168" s="6" t="s">
        <v>97</v>
      </c>
      <c r="K168" s="6" t="n">
        <v>10</v>
      </c>
      <c r="L168" s="6" t="n">
        <v>17</v>
      </c>
      <c r="M168" s="3" t="s">
        <v>129</v>
      </c>
      <c r="N168" s="4" t="s">
        <v>136</v>
      </c>
      <c r="O168" s="4"/>
      <c r="P168" s="4" t="s">
        <v>137</v>
      </c>
      <c r="Q168" s="8" t="n">
        <v>5.68</v>
      </c>
      <c r="R168" s="6" t="n">
        <v>786</v>
      </c>
      <c r="S168" s="6" t="n">
        <v>17755</v>
      </c>
      <c r="T168" s="6" t="n">
        <f aca="false">S168-R168</f>
        <v>16969</v>
      </c>
      <c r="U168" s="8" t="n">
        <f aca="false">(120+16)/60</f>
        <v>2.26666666666667</v>
      </c>
      <c r="V168" s="8" t="n">
        <f aca="false">(120+25)/60</f>
        <v>2.41666666666667</v>
      </c>
      <c r="W168" s="8" t="n">
        <f aca="false">V168-U168</f>
        <v>0.15</v>
      </c>
      <c r="X168" s="8" t="n">
        <f aca="false">Q168/U168</f>
        <v>2.50588235294118</v>
      </c>
      <c r="Y168" s="4" t="n">
        <v>4</v>
      </c>
      <c r="Z168" s="8" t="n">
        <f aca="false">Q168/Y168</f>
        <v>1.42</v>
      </c>
      <c r="AA168" s="8" t="n">
        <f aca="false">23+59/60</f>
        <v>23.9833333333333</v>
      </c>
      <c r="AB168" s="6" t="n">
        <f aca="false">Y168*23*9/12</f>
        <v>69</v>
      </c>
      <c r="AC168" s="6" t="n">
        <v>736</v>
      </c>
      <c r="AD168" s="6" t="n">
        <v>103</v>
      </c>
      <c r="AE168" s="4" t="n">
        <v>121</v>
      </c>
      <c r="AF168" s="8" t="n">
        <f aca="false">23+31/60</f>
        <v>23.5166666666667</v>
      </c>
      <c r="AG168" s="8" t="n">
        <f aca="false">25+50/60</f>
        <v>25.8333333333333</v>
      </c>
      <c r="AH168" s="8" t="n">
        <f aca="false">22+43/60</f>
        <v>22.7166666666667</v>
      </c>
      <c r="AI168" s="8" t="n">
        <f aca="false">23+55/60</f>
        <v>23.9166666666667</v>
      </c>
      <c r="AJ168" s="8" t="n">
        <f aca="false">24+16/60</f>
        <v>24.2666666666667</v>
      </c>
      <c r="AK168" s="8" t="n">
        <f aca="false">60/2.5</f>
        <v>24</v>
      </c>
      <c r="AL168" s="8"/>
      <c r="AM168" s="8"/>
      <c r="AN168" s="8"/>
      <c r="AO168" s="8"/>
      <c r="AP168" s="4" t="n">
        <v>3</v>
      </c>
      <c r="AQ168" s="4" t="n">
        <v>0</v>
      </c>
      <c r="AR168" s="4" t="n">
        <v>0</v>
      </c>
      <c r="AS168" s="14" t="n">
        <v>0</v>
      </c>
      <c r="AT168" s="8" t="n">
        <f aca="false">4+51/60</f>
        <v>4.85</v>
      </c>
      <c r="AU168" s="8" t="n">
        <f aca="false">64+1/60</f>
        <v>64.0166666666667</v>
      </c>
      <c r="AV168" s="8" t="n">
        <f aca="false">67+16/60</f>
        <v>67.2666666666667</v>
      </c>
      <c r="AW168" s="8" t="n">
        <f aca="false">7/60</f>
        <v>0.116666666666667</v>
      </c>
      <c r="AX168" s="8" t="n">
        <v>0</v>
      </c>
      <c r="AY168" s="4" t="s">
        <v>59</v>
      </c>
      <c r="AZ168" s="4" t="s">
        <v>60</v>
      </c>
      <c r="BA168" s="4" t="n">
        <v>0</v>
      </c>
      <c r="BB168" s="4"/>
      <c r="BC168" s="4"/>
    </row>
    <row r="169" customFormat="false" ht="16.9" hidden="false" customHeight="false" outlineLevel="0" collapsed="false">
      <c r="A169" s="11" t="n">
        <f aca="false">A168+1</f>
        <v>701</v>
      </c>
      <c r="B169" s="12" t="n">
        <v>44047.5284722222</v>
      </c>
      <c r="C169" s="4" t="n">
        <v>1</v>
      </c>
      <c r="D169" s="4"/>
      <c r="E169" s="4"/>
      <c r="F169" s="4" t="s">
        <v>71</v>
      </c>
      <c r="G169" s="6" t="n">
        <v>87</v>
      </c>
      <c r="H169" s="6" t="n">
        <v>60</v>
      </c>
      <c r="I169" s="6" t="n">
        <v>40</v>
      </c>
      <c r="J169" s="6" t="s">
        <v>110</v>
      </c>
      <c r="K169" s="6" t="n">
        <v>5</v>
      </c>
      <c r="L169" s="6" t="n">
        <v>0</v>
      </c>
      <c r="M169" s="3" t="s">
        <v>63</v>
      </c>
      <c r="N169" s="4" t="s">
        <v>136</v>
      </c>
      <c r="O169" s="4"/>
      <c r="P169" s="4" t="s">
        <v>137</v>
      </c>
      <c r="Q169" s="8" t="n">
        <v>5.38</v>
      </c>
      <c r="R169" s="6" t="n">
        <v>1036</v>
      </c>
      <c r="S169" s="6" t="n">
        <v>18605</v>
      </c>
      <c r="T169" s="6" t="n">
        <f aca="false">S169-R169</f>
        <v>17569</v>
      </c>
      <c r="U169" s="8" t="n">
        <f aca="false">(120+25)/60</f>
        <v>2.41666666666667</v>
      </c>
      <c r="V169" s="8" t="n">
        <f aca="false">(120+26)/60</f>
        <v>2.43333333333333</v>
      </c>
      <c r="W169" s="8" t="n">
        <f aca="false">V169-U169</f>
        <v>0.0166666666666666</v>
      </c>
      <c r="X169" s="8" t="n">
        <f aca="false">Q169/U169</f>
        <v>2.22620689655172</v>
      </c>
      <c r="Y169" s="4" t="n">
        <v>4</v>
      </c>
      <c r="Z169" s="8" t="n">
        <f aca="false">Q169/Y169</f>
        <v>1.345</v>
      </c>
      <c r="AA169" s="8" t="n">
        <f aca="false">26+56/60</f>
        <v>26.9333333333333</v>
      </c>
      <c r="AB169" s="6" t="n">
        <f aca="false">Y169*23*9/12</f>
        <v>69</v>
      </c>
      <c r="AC169" s="6" t="n">
        <v>794</v>
      </c>
      <c r="AD169" s="6" t="n">
        <v>103</v>
      </c>
      <c r="AE169" s="4" t="n">
        <v>131</v>
      </c>
      <c r="AF169" s="8" t="n">
        <f aca="false">24+15/60</f>
        <v>24.25</v>
      </c>
      <c r="AG169" s="8" t="n">
        <f aca="false">28+46/60</f>
        <v>28.7666666666667</v>
      </c>
      <c r="AH169" s="8" t="n">
        <f aca="false">24+28/60</f>
        <v>24.4666666666667</v>
      </c>
      <c r="AI169" s="8" t="n">
        <f aca="false">29+45/60</f>
        <v>29.75</v>
      </c>
      <c r="AJ169" s="8" t="n">
        <f aca="false">27+10/60</f>
        <v>27.1666666666667</v>
      </c>
      <c r="AK169" s="8" t="n">
        <f aca="false">60/2.2</f>
        <v>27.2727272727273</v>
      </c>
      <c r="AL169" s="8"/>
      <c r="AM169" s="8"/>
      <c r="AN169" s="8"/>
      <c r="AO169" s="8"/>
      <c r="AP169" s="4" t="n">
        <v>2</v>
      </c>
      <c r="AQ169" s="4" t="n">
        <v>1</v>
      </c>
      <c r="AR169" s="4" t="n">
        <v>1</v>
      </c>
      <c r="AS169" s="14" t="n">
        <f aca="false">60*U169-SUM(AT169:AX169)</f>
        <v>10.05</v>
      </c>
      <c r="AT169" s="8" t="n">
        <f aca="false">1+49/60</f>
        <v>1.81666666666667</v>
      </c>
      <c r="AU169" s="8" t="n">
        <f aca="false">81+43/60</f>
        <v>81.7166666666667</v>
      </c>
      <c r="AV169" s="8" t="n">
        <f aca="false">48+30/60</f>
        <v>48.5</v>
      </c>
      <c r="AW169" s="8" t="n">
        <f aca="false">2+55/60</f>
        <v>2.91666666666667</v>
      </c>
      <c r="AX169" s="8" t="n">
        <v>0</v>
      </c>
      <c r="AY169" s="4" t="s">
        <v>59</v>
      </c>
      <c r="AZ169" s="4" t="s">
        <v>60</v>
      </c>
      <c r="BA169" s="4" t="n">
        <v>0</v>
      </c>
      <c r="BB169" s="4"/>
      <c r="BC169" s="4"/>
    </row>
    <row r="170" customFormat="false" ht="16.9" hidden="false" customHeight="false" outlineLevel="0" collapsed="false">
      <c r="A170" s="11" t="n">
        <f aca="false">A169+1</f>
        <v>702</v>
      </c>
      <c r="B170" s="12" t="n">
        <v>44048.5236111111</v>
      </c>
      <c r="C170" s="4" t="n">
        <v>1</v>
      </c>
      <c r="D170" s="4"/>
      <c r="E170" s="4"/>
      <c r="F170" s="4" t="s">
        <v>61</v>
      </c>
      <c r="G170" s="6" t="n">
        <f aca="false">(81+86)/2</f>
        <v>83.5</v>
      </c>
      <c r="H170" s="6" t="n">
        <f aca="false">(69+71)/2</f>
        <v>70</v>
      </c>
      <c r="I170" s="6" t="n">
        <f aca="false">(67+61)/2</f>
        <v>64</v>
      </c>
      <c r="J170" s="6" t="s">
        <v>130</v>
      </c>
      <c r="K170" s="6" t="n">
        <f aca="false">(13+8)/2</f>
        <v>10.5</v>
      </c>
      <c r="L170" s="6" t="n">
        <v>0</v>
      </c>
      <c r="M170" s="3" t="s">
        <v>63</v>
      </c>
      <c r="N170" s="4" t="s">
        <v>136</v>
      </c>
      <c r="O170" s="4"/>
      <c r="P170" s="4" t="s">
        <v>135</v>
      </c>
      <c r="Q170" s="8" t="n">
        <v>5.05</v>
      </c>
      <c r="R170" s="6" t="n">
        <v>950</v>
      </c>
      <c r="S170" s="6" t="n">
        <v>14188</v>
      </c>
      <c r="T170" s="6" t="n">
        <f aca="false">S170-R170</f>
        <v>13238</v>
      </c>
      <c r="U170" s="8" t="n">
        <f aca="false">(60+48)/60</f>
        <v>1.8</v>
      </c>
      <c r="V170" s="8" t="n">
        <f aca="false">(60+48)/60</f>
        <v>1.8</v>
      </c>
      <c r="W170" s="8" t="n">
        <f aca="false">V170-U170</f>
        <v>0</v>
      </c>
      <c r="X170" s="8" t="n">
        <f aca="false">Q170/U170</f>
        <v>2.80555555555556</v>
      </c>
      <c r="Y170" s="4" t="n">
        <v>3</v>
      </c>
      <c r="Z170" s="8" t="n">
        <f aca="false">Q170/Y170</f>
        <v>1.68333333333333</v>
      </c>
      <c r="AA170" s="8" t="n">
        <f aca="false">21+24/60</f>
        <v>21.4</v>
      </c>
      <c r="AB170" s="6" t="n">
        <f aca="false">Y170*23*9/12</f>
        <v>51.75</v>
      </c>
      <c r="AC170" s="6" t="n">
        <v>478</v>
      </c>
      <c r="AD170" s="6" t="n">
        <v>88</v>
      </c>
      <c r="AE170" s="4" t="n">
        <v>125</v>
      </c>
      <c r="AF170" s="8" t="n">
        <f aca="false">19+49/60</f>
        <v>19.8166666666667</v>
      </c>
      <c r="AG170" s="8" t="n">
        <f aca="false">23+30/60</f>
        <v>23.5</v>
      </c>
      <c r="AH170" s="8" t="n">
        <f aca="false">23+26/60</f>
        <v>23.4333333333333</v>
      </c>
      <c r="AI170" s="8" t="n">
        <f aca="false">20+31/60</f>
        <v>20.5166666666667</v>
      </c>
      <c r="AJ170" s="8" t="n">
        <f aca="false">19+46/60</f>
        <v>19.7666666666667</v>
      </c>
      <c r="AK170" s="8" t="n">
        <f aca="false">60/2.8</f>
        <v>21.4285714285714</v>
      </c>
      <c r="AL170" s="8"/>
      <c r="AM170" s="8"/>
      <c r="AN170" s="8"/>
      <c r="AO170" s="8"/>
      <c r="AP170" s="4" t="n">
        <v>1</v>
      </c>
      <c r="AQ170" s="4" t="n">
        <v>0</v>
      </c>
      <c r="AR170" s="4" t="n">
        <v>0</v>
      </c>
      <c r="AS170" s="14" t="n">
        <f aca="false">60*U170-SUM(AT170:AX170)</f>
        <v>8.13333333333334</v>
      </c>
      <c r="AT170" s="8" t="n">
        <f aca="false">57+40/60</f>
        <v>57.6666666666667</v>
      </c>
      <c r="AU170" s="8" t="n">
        <f aca="false">25+35/60</f>
        <v>25.5833333333333</v>
      </c>
      <c r="AV170" s="8" t="n">
        <f aca="false">15+51/60</f>
        <v>15.85</v>
      </c>
      <c r="AW170" s="8" t="n">
        <f aca="false">46/60</f>
        <v>0.766666666666667</v>
      </c>
      <c r="AX170" s="8" t="n">
        <v>0</v>
      </c>
      <c r="AY170" s="4" t="s">
        <v>59</v>
      </c>
      <c r="AZ170" s="4" t="s">
        <v>60</v>
      </c>
      <c r="BA170" s="4" t="n">
        <v>0</v>
      </c>
      <c r="BB170" s="4"/>
      <c r="BC170" s="4"/>
    </row>
    <row r="171" customFormat="false" ht="16.9" hidden="false" customHeight="false" outlineLevel="0" collapsed="false">
      <c r="A171" s="11" t="n">
        <f aca="false">A170+1</f>
        <v>703</v>
      </c>
      <c r="B171" s="12" t="n">
        <v>44049.5125</v>
      </c>
      <c r="C171" s="4" t="n">
        <v>1</v>
      </c>
      <c r="D171" s="4"/>
      <c r="E171" s="4"/>
      <c r="F171" s="4" t="s">
        <v>71</v>
      </c>
      <c r="G171" s="6" t="n">
        <f aca="false">(88+92)/2</f>
        <v>90</v>
      </c>
      <c r="H171" s="6" t="n">
        <f aca="false">AVERAGE(74+70)/2</f>
        <v>72</v>
      </c>
      <c r="I171" s="6" t="n">
        <f aca="false">(59+45)/2</f>
        <v>52</v>
      </c>
      <c r="J171" s="6" t="s">
        <v>108</v>
      </c>
      <c r="K171" s="6" t="n">
        <v>6</v>
      </c>
      <c r="L171" s="6" t="n">
        <v>0</v>
      </c>
      <c r="M171" s="3" t="s">
        <v>129</v>
      </c>
      <c r="N171" s="4" t="s">
        <v>136</v>
      </c>
      <c r="O171" s="4"/>
      <c r="P171" s="4" t="s">
        <v>135</v>
      </c>
      <c r="Q171" s="8" t="n">
        <v>4.48</v>
      </c>
      <c r="R171" s="6" t="n">
        <v>798</v>
      </c>
      <c r="S171" s="6" t="n">
        <v>14368</v>
      </c>
      <c r="T171" s="6" t="n">
        <f aca="false">S171-R171</f>
        <v>13570</v>
      </c>
      <c r="U171" s="8" t="n">
        <f aca="false">(60+49)/60</f>
        <v>1.81666666666667</v>
      </c>
      <c r="V171" s="8" t="n">
        <f aca="false">(60+49)/60</f>
        <v>1.81666666666667</v>
      </c>
      <c r="W171" s="8" t="n">
        <f aca="false">V171-U171</f>
        <v>0</v>
      </c>
      <c r="X171" s="8" t="n">
        <f aca="false">Q171/U171</f>
        <v>2.46605504587156</v>
      </c>
      <c r="Y171" s="4" t="n">
        <v>3</v>
      </c>
      <c r="Z171" s="8" t="n">
        <f aca="false">Q171/Y171</f>
        <v>1.49333333333333</v>
      </c>
      <c r="AA171" s="8" t="n">
        <f aca="false">24+20/60</f>
        <v>24.3333333333333</v>
      </c>
      <c r="AB171" s="6" t="n">
        <f aca="false">Y171*23*9/12</f>
        <v>51.75</v>
      </c>
      <c r="AC171" s="6" t="n">
        <v>370</v>
      </c>
      <c r="AD171" s="6" t="n">
        <v>69</v>
      </c>
      <c r="AE171" s="4" t="n">
        <v>108</v>
      </c>
      <c r="AF171" s="8" t="n">
        <f aca="false">21+47/60</f>
        <v>21.7833333333333</v>
      </c>
      <c r="AG171" s="8" t="n">
        <f aca="false">22+25/60</f>
        <v>22.4166666666667</v>
      </c>
      <c r="AH171" s="8" t="n">
        <f aca="false">28+49/60</f>
        <v>28.8166666666667</v>
      </c>
      <c r="AI171" s="8" t="n">
        <f aca="false">24+20/60</f>
        <v>24.3333333333333</v>
      </c>
      <c r="AJ171" s="8" t="n">
        <f aca="false">60/2.5</f>
        <v>24</v>
      </c>
      <c r="AK171" s="8"/>
      <c r="AL171" s="8"/>
      <c r="AM171" s="8"/>
      <c r="AN171" s="8"/>
      <c r="AO171" s="8"/>
      <c r="AP171" s="4" t="n">
        <v>0</v>
      </c>
      <c r="AQ171" s="4" t="n">
        <v>0</v>
      </c>
      <c r="AR171" s="4" t="n">
        <v>0</v>
      </c>
      <c r="AS171" s="13" t="n">
        <f aca="false">60*U171-SUM(AT171:AX171)</f>
        <v>82.0333333333333</v>
      </c>
      <c r="AT171" s="8" t="n">
        <f aca="false">19+29/60</f>
        <v>19.4833333333333</v>
      </c>
      <c r="AU171" s="8" t="n">
        <f aca="false">6+46/60</f>
        <v>6.76666666666667</v>
      </c>
      <c r="AV171" s="8" t="n">
        <f aca="false">43/60</f>
        <v>0.716666666666667</v>
      </c>
      <c r="AW171" s="8" t="n">
        <v>0</v>
      </c>
      <c r="AX171" s="8" t="n">
        <v>0</v>
      </c>
      <c r="AY171" s="4" t="s">
        <v>59</v>
      </c>
      <c r="AZ171" s="4" t="s">
        <v>60</v>
      </c>
      <c r="BA171" s="4" t="n">
        <v>0</v>
      </c>
      <c r="BB171" s="4"/>
      <c r="BC171" s="4"/>
    </row>
    <row r="172" customFormat="false" ht="16.9" hidden="false" customHeight="false" outlineLevel="0" collapsed="false">
      <c r="A172" s="11" t="n">
        <f aca="false">A171+1</f>
        <v>704</v>
      </c>
      <c r="B172" s="12" t="n">
        <v>44050.4770833333</v>
      </c>
      <c r="C172" s="4" t="n">
        <v>1</v>
      </c>
      <c r="D172" s="4"/>
      <c r="E172" s="4"/>
      <c r="F172" s="4" t="s">
        <v>54</v>
      </c>
      <c r="G172" s="6" t="n">
        <v>91</v>
      </c>
      <c r="H172" s="6" t="n">
        <v>69</v>
      </c>
      <c r="I172" s="6" t="n">
        <v>50</v>
      </c>
      <c r="J172" s="6" t="s">
        <v>108</v>
      </c>
      <c r="K172" s="6" t="n">
        <f aca="false">(15+12)/2</f>
        <v>13.5</v>
      </c>
      <c r="L172" s="6" t="n">
        <v>0</v>
      </c>
      <c r="M172" s="3" t="s">
        <v>129</v>
      </c>
      <c r="N172" s="4" t="s">
        <v>136</v>
      </c>
      <c r="O172" s="4"/>
      <c r="P172" s="4" t="s">
        <v>135</v>
      </c>
      <c r="Q172" s="8" t="n">
        <v>4.5</v>
      </c>
      <c r="R172" s="6" t="n">
        <v>712</v>
      </c>
      <c r="S172" s="6" t="n">
        <v>14680</v>
      </c>
      <c r="T172" s="6" t="n">
        <f aca="false">S172-R172</f>
        <v>13968</v>
      </c>
      <c r="U172" s="8" t="n">
        <f aca="false">(60+50)/60</f>
        <v>1.83333333333333</v>
      </c>
      <c r="V172" s="8" t="n">
        <f aca="false">(60+50)/60</f>
        <v>1.83333333333333</v>
      </c>
      <c r="W172" s="8" t="n">
        <f aca="false">V172-U172</f>
        <v>0</v>
      </c>
      <c r="X172" s="8" t="n">
        <f aca="false">Q172/U172</f>
        <v>2.45454545454545</v>
      </c>
      <c r="Y172" s="4" t="n">
        <v>3</v>
      </c>
      <c r="Z172" s="8" t="n">
        <f aca="false">Q172/Y172</f>
        <v>1.5</v>
      </c>
      <c r="AA172" s="8" t="n">
        <f aca="false">24+27/60</f>
        <v>24.45</v>
      </c>
      <c r="AB172" s="6" t="n">
        <f aca="false">Y172*23*9/12</f>
        <v>51.75</v>
      </c>
      <c r="AC172" s="6" t="n">
        <v>665</v>
      </c>
      <c r="AD172" s="6" t="n">
        <v>92</v>
      </c>
      <c r="AE172" s="4" t="n">
        <v>118</v>
      </c>
      <c r="AF172" s="8" t="n">
        <f aca="false">23+48/60</f>
        <v>23.8</v>
      </c>
      <c r="AG172" s="8" t="n">
        <f aca="false">23+7/60</f>
        <v>23.1166666666667</v>
      </c>
      <c r="AH172" s="8" t="n">
        <f aca="false">22+32/60</f>
        <v>22.5333333333333</v>
      </c>
      <c r="AI172" s="8" t="n">
        <f aca="false">28+11/60</f>
        <v>28.1833333333333</v>
      </c>
      <c r="AJ172" s="8" t="n">
        <f aca="false">60/2.5</f>
        <v>24</v>
      </c>
      <c r="AK172" s="8"/>
      <c r="AL172" s="8"/>
      <c r="AM172" s="8"/>
      <c r="AN172" s="8"/>
      <c r="AO172" s="8"/>
      <c r="AP172" s="4" t="n">
        <v>0</v>
      </c>
      <c r="AQ172" s="4" t="n">
        <v>0</v>
      </c>
      <c r="AR172" s="4" t="n">
        <v>0</v>
      </c>
      <c r="AS172" s="14" t="n">
        <f aca="false">60*U172-SUM(AT172:AX172)</f>
        <v>14.55</v>
      </c>
      <c r="AT172" s="8" t="n">
        <f aca="false">18+40/60</f>
        <v>18.6666666666667</v>
      </c>
      <c r="AU172" s="8" t="n">
        <f aca="false">66+7/10</f>
        <v>66.7</v>
      </c>
      <c r="AV172" s="8" t="n">
        <f aca="false">10+5/60</f>
        <v>10.0833333333333</v>
      </c>
      <c r="AW172" s="8" t="n">
        <v>0</v>
      </c>
      <c r="AX172" s="8" t="n">
        <v>0</v>
      </c>
      <c r="AY172" s="4"/>
      <c r="AZ172" s="4"/>
      <c r="BA172" s="4"/>
      <c r="BB172" s="4"/>
      <c r="BC172" s="4"/>
    </row>
    <row r="173" customFormat="false" ht="16.9" hidden="false" customHeight="false" outlineLevel="0" collapsed="false">
      <c r="A173" s="11" t="n">
        <f aca="false">A172+1</f>
        <v>705</v>
      </c>
      <c r="B173" s="12" t="n">
        <v>44051.5</v>
      </c>
      <c r="C173" s="4" t="n">
        <v>0</v>
      </c>
      <c r="D173" s="4" t="s">
        <v>134</v>
      </c>
      <c r="E173" s="4"/>
      <c r="F173" s="4" t="s">
        <v>120</v>
      </c>
      <c r="G173" s="6" t="n">
        <v>92</v>
      </c>
      <c r="H173" s="6" t="n">
        <v>68</v>
      </c>
      <c r="I173" s="6" t="n">
        <f aca="false">(48+42)/2</f>
        <v>45</v>
      </c>
      <c r="J173" s="6" t="s">
        <v>108</v>
      </c>
      <c r="K173" s="6" t="n">
        <v>15</v>
      </c>
      <c r="L173" s="6" t="n">
        <v>24</v>
      </c>
      <c r="M173" s="3" t="s">
        <v>129</v>
      </c>
      <c r="N173" s="4"/>
      <c r="O173" s="4"/>
      <c r="P173" s="4"/>
      <c r="Q173" s="8"/>
      <c r="R173" s="6"/>
      <c r="S173" s="6"/>
      <c r="T173" s="6"/>
      <c r="U173" s="8"/>
      <c r="V173" s="8"/>
      <c r="W173" s="8"/>
      <c r="X173" s="8"/>
      <c r="Y173" s="4"/>
      <c r="Z173" s="8"/>
      <c r="AA173" s="8"/>
      <c r="AB173" s="6"/>
      <c r="AC173" s="6"/>
      <c r="AD173" s="6"/>
      <c r="AE173" s="4"/>
      <c r="AF173" s="8"/>
      <c r="AG173" s="8"/>
      <c r="AI173" s="8"/>
      <c r="AJ173" s="8"/>
      <c r="AK173" s="8"/>
      <c r="AL173" s="8"/>
      <c r="AM173" s="8"/>
      <c r="AN173" s="8"/>
      <c r="AO173" s="8"/>
      <c r="AP173" s="4"/>
      <c r="AQ173" s="4"/>
      <c r="AR173" s="4"/>
      <c r="AS173" s="14"/>
      <c r="AT173" s="8"/>
      <c r="AU173" s="8"/>
      <c r="AV173" s="8"/>
      <c r="AW173" s="8"/>
      <c r="AX173" s="8"/>
      <c r="AY173" s="4"/>
      <c r="AZ173" s="4"/>
      <c r="BA173" s="4"/>
      <c r="BB173" s="4"/>
      <c r="BC173" s="4"/>
    </row>
    <row r="174" customFormat="false" ht="16.9" hidden="false" customHeight="false" outlineLevel="0" collapsed="false">
      <c r="A174" s="11" t="n">
        <f aca="false">A173+1</f>
        <v>706</v>
      </c>
      <c r="B174" s="12" t="n">
        <v>44052.5215277778</v>
      </c>
      <c r="C174" s="4" t="n">
        <v>1</v>
      </c>
      <c r="D174" s="4"/>
      <c r="E174" s="4"/>
      <c r="F174" s="4" t="s">
        <v>71</v>
      </c>
      <c r="G174" s="6" t="n">
        <f aca="false">(91+94)/2</f>
        <v>92.5</v>
      </c>
      <c r="H174" s="6" t="n">
        <v>72</v>
      </c>
      <c r="I174" s="6" t="n">
        <f aca="false">(53+47)/2</f>
        <v>50</v>
      </c>
      <c r="J174" s="6" t="s">
        <v>72</v>
      </c>
      <c r="K174" s="6" t="n">
        <f aca="false">(15+10)/2</f>
        <v>12.5</v>
      </c>
      <c r="L174" s="6" t="n">
        <v>0</v>
      </c>
      <c r="M174" s="3" t="s">
        <v>129</v>
      </c>
      <c r="N174" s="4" t="s">
        <v>136</v>
      </c>
      <c r="O174" s="4"/>
      <c r="P174" s="4" t="s">
        <v>135</v>
      </c>
      <c r="Q174" s="8" t="n">
        <v>4.5</v>
      </c>
      <c r="R174" s="6" t="n">
        <v>798</v>
      </c>
      <c r="S174" s="6" t="n">
        <v>14368</v>
      </c>
      <c r="T174" s="6" t="n">
        <f aca="false">S174-R174</f>
        <v>13570</v>
      </c>
      <c r="U174" s="8" t="n">
        <f aca="false">(60+52)/60</f>
        <v>1.86666666666667</v>
      </c>
      <c r="V174" s="8" t="n">
        <f aca="false">(60+53)/60</f>
        <v>1.88333333333333</v>
      </c>
      <c r="W174" s="8" t="n">
        <f aca="false">V174-U174</f>
        <v>0.0166666666666666</v>
      </c>
      <c r="X174" s="8" t="n">
        <f aca="false">Q174/U174</f>
        <v>2.41071428571429</v>
      </c>
      <c r="Y174" s="4" t="n">
        <v>3</v>
      </c>
      <c r="Z174" s="8" t="n">
        <f aca="false">Q174/Y174</f>
        <v>1.5</v>
      </c>
      <c r="AA174" s="8" t="n">
        <f aca="false">24+52/60</f>
        <v>24.8666666666667</v>
      </c>
      <c r="AB174" s="6" t="n">
        <f aca="false">Y174*23*9/12</f>
        <v>51.75</v>
      </c>
      <c r="AC174" s="6" t="n">
        <v>570</v>
      </c>
      <c r="AD174" s="6" t="n">
        <v>98</v>
      </c>
      <c r="AE174" s="4" t="n">
        <v>124</v>
      </c>
      <c r="AF174" s="8" t="n">
        <f aca="false">24+41/60</f>
        <v>24.6833333333333</v>
      </c>
      <c r="AG174" s="8" t="n">
        <f aca="false">26+46/60</f>
        <v>26.7666666666667</v>
      </c>
      <c r="AH174" s="8" t="n">
        <f aca="false">24+50/60</f>
        <v>24.8333333333333</v>
      </c>
      <c r="AI174" s="8" t="n">
        <f aca="false">23+47/60</f>
        <v>23.7833333333333</v>
      </c>
      <c r="AJ174" s="8" t="n">
        <f aca="false">60/2.4</f>
        <v>25</v>
      </c>
      <c r="AK174" s="8"/>
      <c r="AL174" s="8"/>
      <c r="AM174" s="8"/>
      <c r="AN174" s="8"/>
      <c r="AO174" s="8"/>
      <c r="AP174" s="4" t="n">
        <v>0</v>
      </c>
      <c r="AQ174" s="4" t="n">
        <v>0</v>
      </c>
      <c r="AR174" s="4" t="n">
        <v>0</v>
      </c>
      <c r="AS174" s="14" t="n">
        <f aca="false">60*U174-SUM(AT174:AX174)</f>
        <v>0.0333333333333314</v>
      </c>
      <c r="AT174" s="8" t="n">
        <v>4</v>
      </c>
      <c r="AU174" s="8" t="n">
        <f aca="false">60+29.5</f>
        <v>89.5</v>
      </c>
      <c r="AV174" s="8" t="n">
        <f aca="false">17+13/60</f>
        <v>17.2166666666667</v>
      </c>
      <c r="AW174" s="8" t="n">
        <f aca="false">1+15/60</f>
        <v>1.25</v>
      </c>
      <c r="AX174" s="8" t="n">
        <v>0</v>
      </c>
      <c r="AY174" s="4" t="s">
        <v>59</v>
      </c>
      <c r="AZ174" s="4" t="s">
        <v>60</v>
      </c>
      <c r="BA174" s="4" t="n">
        <v>0</v>
      </c>
      <c r="BB174" s="4"/>
      <c r="BC174" s="4"/>
    </row>
    <row r="175" customFormat="false" ht="16.9" hidden="false" customHeight="false" outlineLevel="0" collapsed="false">
      <c r="A175" s="11" t="n">
        <f aca="false">A174+1</f>
        <v>707</v>
      </c>
      <c r="B175" s="12" t="n">
        <v>44053.5361111111</v>
      </c>
      <c r="C175" s="4" t="n">
        <v>1</v>
      </c>
      <c r="D175" s="4"/>
      <c r="E175" s="4"/>
      <c r="F175" s="4" t="s">
        <v>71</v>
      </c>
      <c r="G175" s="6" t="n">
        <f aca="false">(94+95)/2</f>
        <v>94.5</v>
      </c>
      <c r="H175" s="6" t="n">
        <f aca="false">(72+70)/2</f>
        <v>71</v>
      </c>
      <c r="I175" s="6" t="n">
        <f aca="false">(46+44)/2</f>
        <v>45</v>
      </c>
      <c r="J175" s="6" t="s">
        <v>139</v>
      </c>
      <c r="K175" s="6" t="n">
        <v>16</v>
      </c>
      <c r="L175" s="6" t="n">
        <v>0</v>
      </c>
      <c r="M175" s="3" t="s">
        <v>129</v>
      </c>
      <c r="N175" s="4" t="s">
        <v>136</v>
      </c>
      <c r="O175" s="4"/>
      <c r="P175" s="4" t="s">
        <v>135</v>
      </c>
      <c r="Q175" s="8" t="n">
        <v>3.39</v>
      </c>
      <c r="R175" s="6" t="n">
        <v>798</v>
      </c>
      <c r="S175" s="6" t="n">
        <v>11794</v>
      </c>
      <c r="T175" s="6" t="n">
        <f aca="false">S175-R175</f>
        <v>10996</v>
      </c>
      <c r="U175" s="8" t="n">
        <f aca="false">80/60</f>
        <v>1.33333333333333</v>
      </c>
      <c r="V175" s="8" t="n">
        <f aca="false">92/60</f>
        <v>1.53333333333333</v>
      </c>
      <c r="W175" s="8" t="n">
        <f aca="false">V175-U175</f>
        <v>0.2</v>
      </c>
      <c r="X175" s="8" t="n">
        <f aca="false">Q175/U175</f>
        <v>2.5425</v>
      </c>
      <c r="Y175" s="4" t="n">
        <v>2</v>
      </c>
      <c r="Z175" s="8" t="n">
        <f aca="false">Q175/Y175</f>
        <v>1.695</v>
      </c>
      <c r="AA175" s="8" t="n">
        <f aca="false">23+28/60</f>
        <v>23.4666666666667</v>
      </c>
      <c r="AB175" s="6" t="n">
        <f aca="false">Y175*23*9/12</f>
        <v>34.5</v>
      </c>
      <c r="AC175" s="6" t="n">
        <v>476</v>
      </c>
      <c r="AD175" s="6" t="n">
        <v>89</v>
      </c>
      <c r="AE175" s="4" t="n">
        <v>122</v>
      </c>
      <c r="AF175" s="8" t="n">
        <f aca="false">25+39/60</f>
        <v>25.65</v>
      </c>
      <c r="AG175" s="8" t="n">
        <f aca="false">23+3/60</f>
        <v>23.05</v>
      </c>
      <c r="AH175" s="8" t="n">
        <f aca="false">22+4/60</f>
        <v>22.0666666666667</v>
      </c>
      <c r="AI175" s="8" t="n">
        <f aca="false">60/2.7</f>
        <v>22.2222222222222</v>
      </c>
      <c r="AJ175" s="8"/>
      <c r="AK175" s="8"/>
      <c r="AL175" s="8"/>
      <c r="AM175" s="8"/>
      <c r="AN175" s="8"/>
      <c r="AO175" s="8"/>
      <c r="AP175" s="4" t="n">
        <v>2</v>
      </c>
      <c r="AQ175" s="4" t="n">
        <v>0</v>
      </c>
      <c r="AR175" s="4" t="n">
        <v>0</v>
      </c>
      <c r="AS175" s="14" t="n">
        <f aca="false">60*U175-SUM(AT175:AX175)</f>
        <v>6.71666666666667</v>
      </c>
      <c r="AT175" s="4" t="n">
        <f aca="false">37+54/60</f>
        <v>37.9</v>
      </c>
      <c r="AU175" s="8" t="n">
        <f aca="false">24+20/60</f>
        <v>24.3333333333333</v>
      </c>
      <c r="AV175" s="8" t="n">
        <f aca="false">10+47/60</f>
        <v>10.7833333333333</v>
      </c>
      <c r="AW175" s="8" t="n">
        <f aca="false">16/60</f>
        <v>0.266666666666667</v>
      </c>
      <c r="AX175" s="8" t="n">
        <v>0</v>
      </c>
      <c r="AY175" s="4" t="s">
        <v>59</v>
      </c>
      <c r="AZ175" s="4" t="s">
        <v>60</v>
      </c>
      <c r="BA175" s="4" t="n">
        <v>0</v>
      </c>
      <c r="BB175" s="4"/>
      <c r="BC175" s="4"/>
    </row>
    <row r="176" customFormat="false" ht="16.9" hidden="false" customHeight="false" outlineLevel="0" collapsed="false">
      <c r="A176" s="11" t="n">
        <f aca="false">A175+1</f>
        <v>708</v>
      </c>
      <c r="B176" s="12" t="n">
        <v>44054.4951388889</v>
      </c>
      <c r="C176" s="4" t="n">
        <v>1</v>
      </c>
      <c r="D176" s="4"/>
      <c r="E176" s="4"/>
      <c r="F176" s="4" t="s">
        <v>54</v>
      </c>
      <c r="G176" s="6" t="n">
        <f aca="false">(91+94)/2</f>
        <v>92.5</v>
      </c>
      <c r="H176" s="6" t="n">
        <v>75</v>
      </c>
      <c r="I176" s="6" t="n">
        <f aca="false">AVERAGE(59+52)/2</f>
        <v>55.5</v>
      </c>
      <c r="J176" s="4" t="s">
        <v>80</v>
      </c>
      <c r="K176" s="6" t="n">
        <v>15</v>
      </c>
      <c r="L176" s="6" t="n">
        <v>22</v>
      </c>
      <c r="M176" s="3" t="s">
        <v>129</v>
      </c>
      <c r="N176" s="4" t="s">
        <v>136</v>
      </c>
      <c r="O176" s="4"/>
      <c r="P176" s="4" t="s">
        <v>135</v>
      </c>
      <c r="Q176" s="8" t="n">
        <v>3.27</v>
      </c>
      <c r="R176" s="6" t="n">
        <v>798</v>
      </c>
      <c r="S176" s="6" t="n">
        <v>11661</v>
      </c>
      <c r="T176" s="6" t="n">
        <f aca="false">S176-R176</f>
        <v>10863</v>
      </c>
      <c r="U176" s="8" t="n">
        <f aca="false">(60+24)/60</f>
        <v>1.4</v>
      </c>
      <c r="V176" s="8" t="n">
        <f aca="false">(60+27)/60</f>
        <v>1.45</v>
      </c>
      <c r="W176" s="8" t="n">
        <f aca="false">V176-U176</f>
        <v>0.05</v>
      </c>
      <c r="X176" s="8" t="n">
        <f aca="false">Q176/U176</f>
        <v>2.33571428571429</v>
      </c>
      <c r="Y176" s="4" t="n">
        <v>2</v>
      </c>
      <c r="Z176" s="8" t="n">
        <f aca="false">Q176/Y176</f>
        <v>1.635</v>
      </c>
      <c r="AA176" s="8" t="n">
        <f aca="false">25+40/60</f>
        <v>25.6666666666667</v>
      </c>
      <c r="AB176" s="6" t="n">
        <f aca="false">Y176*23*9/12</f>
        <v>34.5</v>
      </c>
      <c r="AC176" s="6" t="n">
        <v>529</v>
      </c>
      <c r="AD176" s="6" t="n">
        <v>106</v>
      </c>
      <c r="AE176" s="4" t="n">
        <v>132</v>
      </c>
      <c r="AF176" s="8" t="n">
        <f aca="false">23+42/60</f>
        <v>23.7</v>
      </c>
      <c r="AG176" s="8" t="n">
        <f aca="false">22+55/60</f>
        <v>22.9166666666667</v>
      </c>
      <c r="AH176" s="8" t="n">
        <f aca="false">29+15/60</f>
        <v>29.25</v>
      </c>
      <c r="AI176" s="8" t="n">
        <f aca="false">60/2</f>
        <v>30</v>
      </c>
      <c r="AJ176" s="8"/>
      <c r="AK176" s="8"/>
      <c r="AL176" s="8"/>
      <c r="AM176" s="8"/>
      <c r="AN176" s="8"/>
      <c r="AO176" s="8"/>
      <c r="AP176" s="4" t="n">
        <v>1</v>
      </c>
      <c r="AQ176" s="4" t="n">
        <v>0</v>
      </c>
      <c r="AR176" s="4" t="n">
        <v>0</v>
      </c>
      <c r="AS176" s="14" t="n">
        <f aca="false">60*U176-SUM(AT176:AX176)</f>
        <v>0.233333333333334</v>
      </c>
      <c r="AT176" s="8" t="n">
        <f aca="false">2.25</f>
        <v>2.25</v>
      </c>
      <c r="AU176" s="8" t="n">
        <f aca="false">37+26/60</f>
        <v>37.4333333333333</v>
      </c>
      <c r="AV176" s="8" t="n">
        <f aca="false">31+15/60</f>
        <v>31.25</v>
      </c>
      <c r="AW176" s="8" t="n">
        <f aca="false">12+50/60</f>
        <v>12.8333333333333</v>
      </c>
      <c r="AX176" s="8" t="n">
        <v>0</v>
      </c>
      <c r="AY176" s="4" t="s">
        <v>59</v>
      </c>
      <c r="AZ176" s="4" t="s">
        <v>60</v>
      </c>
      <c r="BA176" s="4" t="n">
        <v>0</v>
      </c>
      <c r="BB176" s="4"/>
      <c r="BC176" s="4"/>
    </row>
    <row r="177" customFormat="false" ht="16.9" hidden="false" customHeight="false" outlineLevel="0" collapsed="false">
      <c r="A177" s="11" t="n">
        <f aca="false">A176+1</f>
        <v>709</v>
      </c>
      <c r="B177" s="12" t="n">
        <v>44055.5215277778</v>
      </c>
      <c r="C177" s="4" t="n">
        <v>1</v>
      </c>
      <c r="D177" s="4"/>
      <c r="E177" s="4"/>
      <c r="F177" s="4" t="s">
        <v>54</v>
      </c>
      <c r="G177" s="6" t="n">
        <v>97</v>
      </c>
      <c r="H177" s="6" t="n">
        <v>73</v>
      </c>
      <c r="I177" s="6" t="n">
        <v>47</v>
      </c>
      <c r="J177" s="6" t="s">
        <v>62</v>
      </c>
      <c r="K177" s="6" t="n">
        <v>9</v>
      </c>
      <c r="L177" s="6" t="n">
        <v>0</v>
      </c>
      <c r="M177" s="3" t="s">
        <v>129</v>
      </c>
      <c r="N177" s="4" t="s">
        <v>136</v>
      </c>
      <c r="O177" s="4"/>
      <c r="P177" s="4" t="s">
        <v>135</v>
      </c>
      <c r="Q177" s="8" t="n">
        <v>2.74</v>
      </c>
      <c r="R177" s="6" t="n">
        <v>1331</v>
      </c>
      <c r="S177" s="6" t="n">
        <v>12332</v>
      </c>
      <c r="T177" s="6" t="n">
        <f aca="false">S177-R177</f>
        <v>11001</v>
      </c>
      <c r="U177" s="8" t="n">
        <f aca="false">(60+27)/60</f>
        <v>1.45</v>
      </c>
      <c r="V177" s="8" t="n">
        <f aca="false">(60+31)/60</f>
        <v>1.51666666666667</v>
      </c>
      <c r="W177" s="8" t="n">
        <f aca="false">V177-U177</f>
        <v>0.0666666666666667</v>
      </c>
      <c r="X177" s="8" t="n">
        <f aca="false">Q177/U177</f>
        <v>1.88965517241379</v>
      </c>
      <c r="Y177" s="4" t="n">
        <v>1</v>
      </c>
      <c r="Z177" s="8" t="n">
        <f aca="false">Q177/Y177</f>
        <v>2.74</v>
      </c>
      <c r="AA177" s="8" t="n">
        <f aca="false">31+51/60</f>
        <v>31.85</v>
      </c>
      <c r="AB177" s="6" t="n">
        <f aca="false">AB174/3</f>
        <v>17.25</v>
      </c>
      <c r="AC177" s="6" t="n">
        <v>328</v>
      </c>
      <c r="AD177" s="6" t="n">
        <v>80</v>
      </c>
      <c r="AE177" s="4" t="n">
        <v>114</v>
      </c>
      <c r="AF177" s="8" t="n">
        <f aca="false">29+33/60</f>
        <v>29.55</v>
      </c>
      <c r="AG177" s="8" t="n">
        <f aca="false">37+17/60</f>
        <v>37.2833333333333</v>
      </c>
      <c r="AH177" s="8" t="n">
        <f aca="false">60/2.1</f>
        <v>28.5714285714286</v>
      </c>
      <c r="AI177" s="8"/>
      <c r="AJ177" s="8"/>
      <c r="AK177" s="8"/>
      <c r="AL177" s="8"/>
      <c r="AM177" s="8"/>
      <c r="AN177" s="8"/>
      <c r="AO177" s="8"/>
      <c r="AP177" s="4" t="n">
        <v>2</v>
      </c>
      <c r="AQ177" s="4" t="n">
        <v>0</v>
      </c>
      <c r="AR177" s="4" t="n">
        <v>0</v>
      </c>
      <c r="AS177" s="14" t="n">
        <f aca="false">60*U177-SUM(AT177:AX177)</f>
        <v>28.8166666666667</v>
      </c>
      <c r="AT177" s="8" t="n">
        <f aca="false">46+31/60</f>
        <v>46.5166666666667</v>
      </c>
      <c r="AU177" s="8" t="n">
        <f aca="false">7+6/60</f>
        <v>7.1</v>
      </c>
      <c r="AV177" s="8" t="n">
        <f aca="false">4+34/60</f>
        <v>4.56666666666667</v>
      </c>
      <c r="AW177" s="8" t="n">
        <v>0</v>
      </c>
      <c r="AX177" s="8" t="n">
        <v>0</v>
      </c>
      <c r="AY177" s="4" t="s">
        <v>59</v>
      </c>
      <c r="AZ177" s="4" t="s">
        <v>60</v>
      </c>
      <c r="BA177" s="4" t="n">
        <v>0</v>
      </c>
      <c r="BB177" s="4"/>
      <c r="BC177" s="4"/>
    </row>
    <row r="178" customFormat="false" ht="16.9" hidden="false" customHeight="false" outlineLevel="0" collapsed="false">
      <c r="A178" s="11" t="n">
        <f aca="false">A177+1</f>
        <v>710</v>
      </c>
      <c r="B178" s="12" t="n">
        <v>44056.4673611111</v>
      </c>
      <c r="C178" s="4" t="n">
        <v>1</v>
      </c>
      <c r="D178" s="4"/>
      <c r="E178" s="4"/>
      <c r="F178" s="4" t="s">
        <v>71</v>
      </c>
      <c r="G178" s="6" t="n">
        <f aca="false">(94+97)/2</f>
        <v>95.5</v>
      </c>
      <c r="H178" s="6" t="n">
        <v>75</v>
      </c>
      <c r="I178" s="6" t="n">
        <f aca="false">(54+47)/2</f>
        <v>50.5</v>
      </c>
      <c r="J178" s="6" t="s">
        <v>62</v>
      </c>
      <c r="K178" s="6" t="n">
        <f aca="false">(10+14)/2</f>
        <v>12</v>
      </c>
      <c r="L178" s="6" t="n">
        <v>21</v>
      </c>
      <c r="M178" s="3" t="s">
        <v>129</v>
      </c>
      <c r="N178" s="4" t="s">
        <v>136</v>
      </c>
      <c r="O178" s="4"/>
      <c r="P178" s="4" t="s">
        <v>135</v>
      </c>
      <c r="Q178" s="8" t="n">
        <v>4.55</v>
      </c>
      <c r="R178" s="6" t="n">
        <v>680</v>
      </c>
      <c r="S178" s="6" t="n">
        <v>17880</v>
      </c>
      <c r="T178" s="6" t="n">
        <f aca="false">S178-R178</f>
        <v>17200</v>
      </c>
      <c r="U178" s="8" t="n">
        <f aca="false">(60+52)/60</f>
        <v>1.86666666666667</v>
      </c>
      <c r="V178" s="8" t="n">
        <f aca="false">(60+55)/60</f>
        <v>1.91666666666667</v>
      </c>
      <c r="W178" s="8" t="n">
        <f aca="false">V178-U178</f>
        <v>0.05</v>
      </c>
      <c r="X178" s="8" t="n">
        <f aca="false">Q178/U178</f>
        <v>2.4375</v>
      </c>
      <c r="Y178" s="4" t="n">
        <v>3</v>
      </c>
      <c r="Z178" s="8" t="n">
        <f aca="false">Q178/Y178</f>
        <v>1.51666666666667</v>
      </c>
      <c r="AA178" s="8" t="n">
        <f aca="false">24+39/60</f>
        <v>24.65</v>
      </c>
      <c r="AB178" s="6" t="n">
        <f aca="false">Y178*23*9/12</f>
        <v>51.75</v>
      </c>
      <c r="AC178" s="6" t="n">
        <v>491</v>
      </c>
      <c r="AD178" s="6" t="n">
        <v>80</v>
      </c>
      <c r="AE178" s="4" t="n">
        <v>112</v>
      </c>
      <c r="AF178" s="8" t="n">
        <f aca="false">24+59/60</f>
        <v>24.9833333333333</v>
      </c>
      <c r="AG178" s="8" t="n">
        <f aca="false">25+38/60</f>
        <v>25.6333333333333</v>
      </c>
      <c r="AH178" s="8" t="n">
        <f aca="false">24+51/60</f>
        <v>24.85</v>
      </c>
      <c r="AI178" s="8" t="n">
        <f aca="false">24+32/60</f>
        <v>24.5333333333333</v>
      </c>
      <c r="AJ178" s="8" t="n">
        <f aca="false">60/2.7</f>
        <v>22.2222222222222</v>
      </c>
      <c r="AK178" s="8"/>
      <c r="AL178" s="8"/>
      <c r="AM178" s="8"/>
      <c r="AN178" s="8"/>
      <c r="AO178" s="8"/>
      <c r="AP178" s="4" t="n">
        <v>1</v>
      </c>
      <c r="AQ178" s="4" t="n">
        <v>0</v>
      </c>
      <c r="AR178" s="4" t="n">
        <v>0</v>
      </c>
      <c r="AS178" s="14" t="n">
        <f aca="false">60*U178-SUM(AT178:AX178)</f>
        <v>34.1666666666667</v>
      </c>
      <c r="AT178" s="8" t="n">
        <f aca="false">55+55/60</f>
        <v>55.9166666666667</v>
      </c>
      <c r="AU178" s="8" t="n">
        <f aca="false">18+6/60</f>
        <v>18.1</v>
      </c>
      <c r="AV178" s="8" t="n">
        <f aca="false">3+49/60</f>
        <v>3.81666666666667</v>
      </c>
      <c r="AW178" s="8" t="n">
        <v>0</v>
      </c>
      <c r="AX178" s="8" t="n">
        <v>0</v>
      </c>
      <c r="AY178" s="4" t="s">
        <v>59</v>
      </c>
      <c r="AZ178" s="4" t="s">
        <v>60</v>
      </c>
      <c r="BA178" s="4" t="n">
        <v>0</v>
      </c>
      <c r="BB178" s="4"/>
      <c r="BC178" s="4"/>
    </row>
    <row r="179" customFormat="false" ht="16.9" hidden="false" customHeight="false" outlineLevel="0" collapsed="false">
      <c r="A179" s="11" t="n">
        <f aca="false">A178+1</f>
        <v>711</v>
      </c>
      <c r="B179" s="12" t="n">
        <v>44057.4826388889</v>
      </c>
      <c r="C179" s="4" t="n">
        <v>1</v>
      </c>
      <c r="D179" s="4"/>
      <c r="E179" s="4"/>
      <c r="F179" s="4" t="s">
        <v>54</v>
      </c>
      <c r="G179" s="6" t="n">
        <f aca="false">(95+98)/2</f>
        <v>96.5</v>
      </c>
      <c r="H179" s="6" t="n">
        <v>71</v>
      </c>
      <c r="I179" s="6" t="n">
        <v>43</v>
      </c>
      <c r="J179" s="6" t="s">
        <v>62</v>
      </c>
      <c r="K179" s="6" t="n">
        <v>13</v>
      </c>
      <c r="L179" s="6" t="n">
        <v>21</v>
      </c>
      <c r="M179" s="3" t="s">
        <v>129</v>
      </c>
      <c r="N179" s="4" t="s">
        <v>136</v>
      </c>
      <c r="O179" s="4"/>
      <c r="P179" s="4" t="s">
        <v>135</v>
      </c>
      <c r="Q179" s="8" t="n">
        <v>4.55</v>
      </c>
      <c r="R179" s="6" t="n">
        <v>724</v>
      </c>
      <c r="S179" s="6" t="n">
        <v>15182</v>
      </c>
      <c r="T179" s="6" t="n">
        <f aca="false">S179-R179</f>
        <v>14458</v>
      </c>
      <c r="U179" s="8" t="n">
        <f aca="false">(60+51)/60</f>
        <v>1.85</v>
      </c>
      <c r="V179" s="8" t="n">
        <f aca="false">(60+57)/60</f>
        <v>1.95</v>
      </c>
      <c r="W179" s="8" t="n">
        <f aca="false">V179-U179</f>
        <v>0.0999999999999999</v>
      </c>
      <c r="X179" s="8" t="n">
        <f aca="false">Q179/U179</f>
        <v>2.45945945945946</v>
      </c>
      <c r="Y179" s="4" t="n">
        <v>3</v>
      </c>
      <c r="Z179" s="8" t="n">
        <f aca="false">Q179/Y179</f>
        <v>1.51666666666667</v>
      </c>
      <c r="AA179" s="8" t="n">
        <f aca="false">24+24/60</f>
        <v>24.4</v>
      </c>
      <c r="AB179" s="6" t="n">
        <v>69</v>
      </c>
      <c r="AC179" s="6" t="n">
        <v>476</v>
      </c>
      <c r="AD179" s="6" t="n">
        <v>82</v>
      </c>
      <c r="AE179" s="4" t="n">
        <v>105</v>
      </c>
      <c r="AF179" s="8" t="n">
        <f aca="false">20+56/60</f>
        <v>20.9333333333333</v>
      </c>
      <c r="AG179" s="8" t="n">
        <f aca="false">23+45/60</f>
        <v>23.75</v>
      </c>
      <c r="AH179" s="8" t="n">
        <f aca="false">27</f>
        <v>27</v>
      </c>
      <c r="AI179" s="8" t="n">
        <f aca="false">24+41/60</f>
        <v>24.6833333333333</v>
      </c>
      <c r="AJ179" s="8" t="n">
        <f aca="false">60/2.3</f>
        <v>26.0869565217391</v>
      </c>
      <c r="AK179" s="8"/>
      <c r="AL179" s="8"/>
      <c r="AM179" s="8"/>
      <c r="AN179" s="8"/>
      <c r="AO179" s="8"/>
      <c r="AP179" s="4" t="n">
        <v>1</v>
      </c>
      <c r="AQ179" s="4" t="n">
        <v>0</v>
      </c>
      <c r="AR179" s="4" t="n">
        <v>0</v>
      </c>
      <c r="AS179" s="14" t="n">
        <f aca="false">60*U179-SUM(AT179:AX179)</f>
        <v>14.3666666666667</v>
      </c>
      <c r="AT179" s="8" t="n">
        <f aca="false">78+31/60</f>
        <v>78.5166666666667</v>
      </c>
      <c r="AU179" s="8" t="n">
        <f aca="false">17+34/60</f>
        <v>17.5666666666667</v>
      </c>
      <c r="AV179" s="8" t="n">
        <f aca="false">33/60</f>
        <v>0.55</v>
      </c>
      <c r="AW179" s="8" t="n">
        <v>0</v>
      </c>
      <c r="AX179" s="8" t="n">
        <v>0</v>
      </c>
      <c r="AY179" s="4" t="s">
        <v>59</v>
      </c>
      <c r="AZ179" s="4" t="s">
        <v>60</v>
      </c>
      <c r="BA179" s="4" t="n">
        <v>0</v>
      </c>
      <c r="BB179" s="4"/>
      <c r="BC179" s="4"/>
    </row>
    <row r="180" customFormat="false" ht="16.9" hidden="false" customHeight="false" outlineLevel="0" collapsed="false">
      <c r="A180" s="11" t="n">
        <f aca="false">A179+1</f>
        <v>712</v>
      </c>
      <c r="B180" s="12" t="n">
        <v>44058.4097222222</v>
      </c>
      <c r="C180" s="4" t="n">
        <v>1</v>
      </c>
      <c r="D180" s="4"/>
      <c r="E180" s="4"/>
      <c r="F180" s="4" t="s">
        <v>54</v>
      </c>
      <c r="G180" s="6" t="n">
        <f aca="false">(86+89)/2</f>
        <v>87.5</v>
      </c>
      <c r="H180" s="6" t="n">
        <v>72</v>
      </c>
      <c r="I180" s="6" t="n">
        <f aca="false">(63+57)/2</f>
        <v>60</v>
      </c>
      <c r="J180" s="6" t="s">
        <v>62</v>
      </c>
      <c r="K180" s="6" t="n">
        <v>8</v>
      </c>
      <c r="L180" s="6" t="n">
        <v>0</v>
      </c>
      <c r="M180" s="3" t="s">
        <v>129</v>
      </c>
      <c r="N180" s="4" t="s">
        <v>136</v>
      </c>
      <c r="O180" s="4"/>
      <c r="P180" s="4" t="s">
        <v>135</v>
      </c>
      <c r="Q180" s="8" t="n">
        <v>4.87</v>
      </c>
      <c r="R180" s="6" t="n">
        <v>556</v>
      </c>
      <c r="S180" s="6" t="n">
        <v>16499</v>
      </c>
      <c r="T180" s="6" t="n">
        <f aca="false">S180-R180</f>
        <v>15943</v>
      </c>
      <c r="U180" s="8" t="n">
        <f aca="false">(120+3)/60</f>
        <v>2.05</v>
      </c>
      <c r="V180" s="8" t="n">
        <f aca="false">(120+8)/60</f>
        <v>2.13333333333333</v>
      </c>
      <c r="W180" s="8" t="n">
        <f aca="false">V180-U180</f>
        <v>0.0833333333333335</v>
      </c>
      <c r="X180" s="8" t="n">
        <f aca="false">Q180/U180</f>
        <v>2.37560975609756</v>
      </c>
      <c r="Y180" s="4" t="n">
        <v>3</v>
      </c>
      <c r="Z180" s="8" t="n">
        <f aca="false">Q180/Y180</f>
        <v>1.62333333333333</v>
      </c>
      <c r="AA180" s="8" t="n">
        <f aca="false">25+13/60</f>
        <v>25.2166666666667</v>
      </c>
      <c r="AB180" s="6" t="n">
        <v>49</v>
      </c>
      <c r="AC180" s="6" t="n">
        <v>534</v>
      </c>
      <c r="AD180" s="6" t="n">
        <v>85</v>
      </c>
      <c r="AE180" s="4" t="n">
        <v>122</v>
      </c>
      <c r="AF180" s="8" t="n">
        <f aca="false">23+59/60</f>
        <v>23.9833333333333</v>
      </c>
      <c r="AG180" s="8" t="n">
        <f aca="false">27+2/60</f>
        <v>27.0333333333333</v>
      </c>
      <c r="AH180" s="8" t="n">
        <f aca="false">26+15/60</f>
        <v>26.25</v>
      </c>
      <c r="AI180" s="8" t="n">
        <f aca="false">24+23/60</f>
        <v>24.3833333333333</v>
      </c>
      <c r="AJ180" s="8" t="n">
        <f aca="false">60/2.5</f>
        <v>24</v>
      </c>
      <c r="AK180" s="8"/>
      <c r="AL180" s="8"/>
      <c r="AM180" s="8"/>
      <c r="AN180" s="8"/>
      <c r="AO180" s="8"/>
      <c r="AP180" s="4" t="n">
        <v>1</v>
      </c>
      <c r="AQ180" s="4" t="n">
        <v>0</v>
      </c>
      <c r="AR180" s="4" t="n">
        <v>0</v>
      </c>
      <c r="AS180" s="14" t="n">
        <f aca="false">60*U180-SUM(AT180:AX180)</f>
        <v>18.1166666666667</v>
      </c>
      <c r="AT180" s="8" t="n">
        <f aca="false">67+58/60</f>
        <v>67.9666666666667</v>
      </c>
      <c r="AU180" s="8" t="n">
        <f aca="false">33+2/60</f>
        <v>33.0333333333333</v>
      </c>
      <c r="AV180" s="8" t="n">
        <f aca="false">3+53/60</f>
        <v>3.88333333333333</v>
      </c>
      <c r="AW180" s="8" t="n">
        <v>0</v>
      </c>
      <c r="AX180" s="8" t="n">
        <v>0</v>
      </c>
      <c r="AY180" s="4" t="s">
        <v>59</v>
      </c>
      <c r="AZ180" s="4" t="s">
        <v>60</v>
      </c>
      <c r="BA180" s="4" t="n">
        <v>0</v>
      </c>
      <c r="BB180" s="4"/>
      <c r="BC180" s="4"/>
    </row>
    <row r="181" customFormat="false" ht="16.9" hidden="false" customHeight="false" outlineLevel="0" collapsed="false">
      <c r="A181" s="11" t="n">
        <f aca="false">A180+1</f>
        <v>713</v>
      </c>
      <c r="B181" s="12" t="n">
        <v>44059.5090277778</v>
      </c>
      <c r="C181" s="4" t="n">
        <v>1</v>
      </c>
      <c r="D181" s="4"/>
      <c r="E181" s="4"/>
      <c r="F181" s="4" t="s">
        <v>61</v>
      </c>
      <c r="G181" s="6" t="n">
        <f aca="false">(94+97)/2</f>
        <v>95.5</v>
      </c>
      <c r="H181" s="6" t="n">
        <f aca="false">(71+69)/2</f>
        <v>70</v>
      </c>
      <c r="I181" s="6" t="n">
        <f aca="false">(43+37)/2</f>
        <v>40</v>
      </c>
      <c r="J181" s="6" t="s">
        <v>144</v>
      </c>
      <c r="K181" s="6" t="n">
        <f aca="false">5/2</f>
        <v>2.5</v>
      </c>
      <c r="L181" s="6" t="n">
        <v>0</v>
      </c>
      <c r="M181" s="3" t="s">
        <v>129</v>
      </c>
      <c r="N181" s="4" t="s">
        <v>136</v>
      </c>
      <c r="O181" s="4"/>
      <c r="P181" s="4" t="s">
        <v>135</v>
      </c>
      <c r="Q181" s="8" t="n">
        <v>4.18</v>
      </c>
      <c r="R181" s="6" t="n">
        <v>776</v>
      </c>
      <c r="S181" s="6" t="n">
        <v>17266</v>
      </c>
      <c r="T181" s="6" t="n">
        <f aca="false">S181-R181</f>
        <v>16490</v>
      </c>
      <c r="U181" s="8" t="n">
        <f aca="false">(120+15)/60</f>
        <v>2.25</v>
      </c>
      <c r="V181" s="8" t="n">
        <f aca="false">(120+18)/60</f>
        <v>2.3</v>
      </c>
      <c r="W181" s="8" t="n">
        <f aca="false">V181-U181</f>
        <v>0.0499999999999998</v>
      </c>
      <c r="X181" s="8" t="n">
        <f aca="false">Q181/U181</f>
        <v>1.85777777777778</v>
      </c>
      <c r="Y181" s="4" t="n">
        <v>3</v>
      </c>
      <c r="Z181" s="8" t="n">
        <f aca="false">Q181/Y181</f>
        <v>1.39333333333333</v>
      </c>
      <c r="AA181" s="8" t="n">
        <f aca="false">32+17/60</f>
        <v>32.2833333333333</v>
      </c>
      <c r="AB181" s="6" t="n">
        <v>62</v>
      </c>
      <c r="AC181" s="6" t="n">
        <v>744</v>
      </c>
      <c r="AD181" s="6" t="n">
        <v>106</v>
      </c>
      <c r="AE181" s="4" t="n">
        <v>133</v>
      </c>
      <c r="AF181" s="8" t="n">
        <f aca="false">28+48/60</f>
        <v>28.8</v>
      </c>
      <c r="AG181" s="8" t="n">
        <f aca="false">31+37/60</f>
        <v>31.6166666666667</v>
      </c>
      <c r="AH181" s="8" t="n">
        <f aca="false">32+35/60</f>
        <v>32.5833333333333</v>
      </c>
      <c r="AI181" s="8" t="n">
        <f aca="false">36+35/60</f>
        <v>36.5833333333333</v>
      </c>
      <c r="AJ181" s="8" t="n">
        <f aca="false">60/2</f>
        <v>30</v>
      </c>
      <c r="AK181" s="8"/>
      <c r="AL181" s="8"/>
      <c r="AM181" s="8"/>
      <c r="AN181" s="8"/>
      <c r="AO181" s="8"/>
      <c r="AP181" s="4" t="n">
        <v>0</v>
      </c>
      <c r="AQ181" s="4" t="n">
        <v>0</v>
      </c>
      <c r="AR181" s="4" t="n">
        <v>0</v>
      </c>
      <c r="AS181" s="14" t="n">
        <f aca="false">60*U181-SUM(AT181:AX181)</f>
        <v>0.0333333333333314</v>
      </c>
      <c r="AT181" s="8" t="n">
        <f aca="false">32/60</f>
        <v>0.533333333333333</v>
      </c>
      <c r="AU181" s="8" t="n">
        <f aca="false">55+17/60</f>
        <v>55.2833333333333</v>
      </c>
      <c r="AV181" s="8" t="n">
        <f aca="false">67+51/60</f>
        <v>67.85</v>
      </c>
      <c r="AW181" s="8" t="n">
        <f aca="false">11+18/60</f>
        <v>11.3</v>
      </c>
      <c r="AX181" s="8" t="n">
        <v>0</v>
      </c>
      <c r="AY181" s="4" t="s">
        <v>59</v>
      </c>
      <c r="AZ181" s="4" t="s">
        <v>60</v>
      </c>
      <c r="BA181" s="4" t="n">
        <v>1</v>
      </c>
      <c r="BB181" s="4" t="s">
        <v>105</v>
      </c>
      <c r="BC181" s="4"/>
    </row>
    <row r="182" customFormat="false" ht="16.9" hidden="false" customHeight="false" outlineLevel="0" collapsed="false">
      <c r="A182" s="11" t="n">
        <f aca="false">A181+1</f>
        <v>714</v>
      </c>
      <c r="B182" s="12" t="n">
        <v>44060.5</v>
      </c>
      <c r="C182" s="4" t="n">
        <v>1</v>
      </c>
      <c r="D182" s="4"/>
      <c r="E182" s="4"/>
      <c r="F182" s="4" t="s">
        <v>61</v>
      </c>
      <c r="G182" s="6" t="n">
        <v>87</v>
      </c>
      <c r="H182" s="6" t="n">
        <f aca="false">(67+70)/2</f>
        <v>68.5</v>
      </c>
      <c r="I182" s="6" t="n">
        <v>54</v>
      </c>
      <c r="J182" s="6" t="s">
        <v>128</v>
      </c>
      <c r="K182" s="6" t="n">
        <v>0</v>
      </c>
      <c r="L182" s="6" t="n">
        <v>0</v>
      </c>
      <c r="M182" s="3" t="s">
        <v>129</v>
      </c>
      <c r="N182" s="4" t="s">
        <v>136</v>
      </c>
      <c r="O182" s="4"/>
      <c r="P182" s="4" t="s">
        <v>135</v>
      </c>
      <c r="Q182" s="8" t="n">
        <f aca="false">AVERAGE(Q163:Q181)</f>
        <v>4.26055555555556</v>
      </c>
      <c r="R182" s="6"/>
      <c r="S182" s="6"/>
      <c r="T182" s="6" t="n">
        <f aca="false">AVERAGE(T174:T181)</f>
        <v>13815.125</v>
      </c>
      <c r="U182" s="8" t="n">
        <f aca="false">AVERAGE(U174:U181)</f>
        <v>1.75833333333333</v>
      </c>
      <c r="V182" s="8" t="n">
        <f aca="false">AVERAGE(V174:V181)</f>
        <v>1.83541666666667</v>
      </c>
      <c r="W182" s="8" t="n">
        <f aca="false">V182-U182</f>
        <v>0.0770833333333334</v>
      </c>
      <c r="X182" s="8" t="n">
        <f aca="false">Q182/U182</f>
        <v>2.42306477093207</v>
      </c>
      <c r="Y182" s="4" t="n">
        <v>3</v>
      </c>
      <c r="Z182" s="8" t="n">
        <f aca="false">Q182/Y182</f>
        <v>1.42018518518519</v>
      </c>
      <c r="AA182" s="8" t="n">
        <f aca="false">60/X182</f>
        <v>24.7620289477116</v>
      </c>
      <c r="AB182" s="6" t="n">
        <f aca="false">AVERAGE(AB174:AB181)</f>
        <v>46.21875</v>
      </c>
      <c r="AC182" s="6" t="n">
        <f aca="false">AVERAGE(AC174:AC181)</f>
        <v>518.5</v>
      </c>
      <c r="AD182" s="6" t="n">
        <f aca="false">AVERAGE(AD174:AD181)</f>
        <v>90.75</v>
      </c>
      <c r="AE182" s="4" t="n">
        <f aca="false">AVERAGE(AE175:AE181)</f>
        <v>120</v>
      </c>
      <c r="AF182" s="8" t="n">
        <f aca="false">AA182</f>
        <v>24.7620289477116</v>
      </c>
      <c r="AG182" s="8" t="n">
        <f aca="false">AA182</f>
        <v>24.7620289477116</v>
      </c>
      <c r="AH182" s="8" t="n">
        <f aca="false">AB182</f>
        <v>46.21875</v>
      </c>
      <c r="AI182" s="8" t="n">
        <f aca="false">AC182</f>
        <v>518.5</v>
      </c>
      <c r="AJ182" s="8" t="n">
        <f aca="false">AD182</f>
        <v>90.75</v>
      </c>
      <c r="AK182" s="8"/>
      <c r="AL182" s="8"/>
      <c r="AM182" s="8"/>
      <c r="AN182" s="8"/>
      <c r="AO182" s="8"/>
      <c r="AP182" s="4" t="n">
        <v>0</v>
      </c>
      <c r="AQ182" s="4" t="n">
        <v>0</v>
      </c>
      <c r="AR182" s="4" t="n">
        <v>0</v>
      </c>
      <c r="AS182" s="14" t="n">
        <f aca="false">60*U182-SUM(AT182:AX182)</f>
        <v>12.8104166666667</v>
      </c>
      <c r="AT182" s="8" t="n">
        <f aca="false">AVERAGE(AT174:AT181)</f>
        <v>36.7</v>
      </c>
      <c r="AU182" s="8" t="n">
        <f aca="false">AVERAGE(AU174:AU181)</f>
        <v>35.29375</v>
      </c>
      <c r="AV182" s="8" t="n">
        <f aca="false">AVERAGE(AV174:AV181)</f>
        <v>17.4895833333333</v>
      </c>
      <c r="AW182" s="8" t="n">
        <f aca="false">AVERAGE(AW174:AW181)</f>
        <v>3.20625</v>
      </c>
      <c r="AX182" s="8" t="n">
        <v>0</v>
      </c>
      <c r="AY182" s="4" t="s">
        <v>59</v>
      </c>
      <c r="AZ182" s="4" t="s">
        <v>60</v>
      </c>
      <c r="BA182" s="4" t="n">
        <v>0</v>
      </c>
      <c r="BB182" s="4"/>
      <c r="BC182" s="4"/>
    </row>
    <row r="183" customFormat="false" ht="16.9" hidden="false" customHeight="false" outlineLevel="0" collapsed="false">
      <c r="A183" s="11" t="n">
        <v>715</v>
      </c>
      <c r="B183" s="12" t="n">
        <v>44061.5</v>
      </c>
      <c r="C183" s="4" t="n">
        <v>0</v>
      </c>
      <c r="D183" s="4" t="s">
        <v>82</v>
      </c>
      <c r="E183" s="4"/>
      <c r="F183" s="4" t="s">
        <v>71</v>
      </c>
      <c r="G183" s="6" t="n">
        <v>91</v>
      </c>
      <c r="H183" s="6" t="n">
        <v>68</v>
      </c>
      <c r="I183" s="6" t="n">
        <v>41</v>
      </c>
      <c r="J183" s="6" t="s">
        <v>83</v>
      </c>
      <c r="K183" s="6" t="n">
        <v>15</v>
      </c>
      <c r="L183" s="6" t="n">
        <v>25</v>
      </c>
      <c r="M183" s="3" t="s">
        <v>129</v>
      </c>
      <c r="N183" s="4"/>
      <c r="O183" s="4"/>
      <c r="P183" s="4"/>
      <c r="Q183" s="8"/>
      <c r="R183" s="6"/>
      <c r="S183" s="6"/>
      <c r="T183" s="6"/>
      <c r="U183" s="8"/>
      <c r="V183" s="8"/>
      <c r="W183" s="8"/>
      <c r="X183" s="8"/>
      <c r="Y183" s="4"/>
      <c r="Z183" s="8"/>
      <c r="AA183" s="8"/>
      <c r="AB183" s="6"/>
      <c r="AC183" s="6"/>
      <c r="AD183" s="6"/>
      <c r="AE183" s="4"/>
      <c r="AF183" s="8"/>
      <c r="AG183" s="8"/>
      <c r="AI183" s="8"/>
      <c r="AJ183" s="8"/>
      <c r="AK183" s="8"/>
      <c r="AL183" s="8"/>
      <c r="AM183" s="8"/>
      <c r="AN183" s="8"/>
      <c r="AO183" s="8"/>
      <c r="AP183" s="4"/>
      <c r="AQ183" s="4"/>
      <c r="AR183" s="4"/>
      <c r="AS183" s="14"/>
      <c r="AT183" s="8"/>
      <c r="AU183" s="8"/>
      <c r="AV183" s="8"/>
      <c r="AW183" s="8"/>
      <c r="AX183" s="8"/>
      <c r="AY183" s="4"/>
      <c r="AZ183" s="4"/>
      <c r="BA183" s="4"/>
      <c r="BB183" s="4"/>
      <c r="BC183" s="4"/>
    </row>
    <row r="184" customFormat="false" ht="16.9" hidden="false" customHeight="false" outlineLevel="0" collapsed="false">
      <c r="A184" s="11" t="n">
        <f aca="false">A183+1</f>
        <v>716</v>
      </c>
      <c r="B184" s="12" t="n">
        <v>44062.5041666667</v>
      </c>
      <c r="C184" s="4" t="n">
        <v>1</v>
      </c>
      <c r="D184" s="4"/>
      <c r="E184" s="4"/>
      <c r="F184" s="4" t="s">
        <v>54</v>
      </c>
      <c r="G184" s="6" t="n">
        <v>87</v>
      </c>
      <c r="H184" s="6" t="n">
        <v>58</v>
      </c>
      <c r="I184" s="6" t="n">
        <v>37</v>
      </c>
      <c r="J184" s="6" t="s">
        <v>86</v>
      </c>
      <c r="K184" s="6" t="n">
        <v>8</v>
      </c>
      <c r="L184" s="6" t="n">
        <v>0</v>
      </c>
      <c r="M184" s="3" t="s">
        <v>129</v>
      </c>
      <c r="N184" s="4" t="s">
        <v>136</v>
      </c>
      <c r="O184" s="4"/>
      <c r="P184" s="4" t="s">
        <v>135</v>
      </c>
      <c r="Q184" s="8" t="n">
        <v>4.7</v>
      </c>
      <c r="R184" s="6" t="n">
        <v>1267</v>
      </c>
      <c r="S184" s="6" t="n">
        <v>17122</v>
      </c>
      <c r="T184" s="6" t="n">
        <f aca="false">S184-R184</f>
        <v>15855</v>
      </c>
      <c r="U184" s="8" t="n">
        <f aca="false">(120+7)/60</f>
        <v>2.11666666666667</v>
      </c>
      <c r="V184" s="8" t="n">
        <f aca="false">(120+16)/60</f>
        <v>2.26666666666667</v>
      </c>
      <c r="W184" s="8" t="n">
        <f aca="false">V184-U184</f>
        <v>0.15</v>
      </c>
      <c r="X184" s="8" t="n">
        <f aca="false">Q184/U184</f>
        <v>2.22047244094488</v>
      </c>
      <c r="Y184" s="4" t="n">
        <v>3</v>
      </c>
      <c r="Z184" s="8" t="n">
        <f aca="false">Q184/Y184</f>
        <v>1.56666666666667</v>
      </c>
      <c r="AA184" s="8" t="n">
        <f aca="false">26+57/60</f>
        <v>26.95</v>
      </c>
      <c r="AB184" s="6" t="n">
        <v>59</v>
      </c>
      <c r="AC184" s="6" t="n">
        <v>602</v>
      </c>
      <c r="AD184" s="6" t="n">
        <v>86</v>
      </c>
      <c r="AE184" s="4" t="n">
        <v>124</v>
      </c>
      <c r="AF184" s="8" t="n">
        <f aca="false">25+26/60</f>
        <v>25.4333333333333</v>
      </c>
      <c r="AG184" s="8" t="n">
        <f aca="false">30+7/60</f>
        <v>30.1166666666667</v>
      </c>
      <c r="AH184" s="8" t="n">
        <f aca="false">26+36/60</f>
        <v>26.6</v>
      </c>
      <c r="AI184" s="8" t="n">
        <f aca="false">26+25/60</f>
        <v>26.4166666666667</v>
      </c>
      <c r="AJ184" s="8" t="n">
        <f aca="false">60/2.3</f>
        <v>26.0869565217391</v>
      </c>
      <c r="AK184" s="8"/>
      <c r="AL184" s="8"/>
      <c r="AM184" s="8"/>
      <c r="AN184" s="8"/>
      <c r="AO184" s="8"/>
      <c r="AP184" s="4" t="n">
        <v>3</v>
      </c>
      <c r="AQ184" s="4" t="n">
        <v>0</v>
      </c>
      <c r="AR184" s="4" t="n">
        <v>0</v>
      </c>
      <c r="AS184" s="14" t="n">
        <f aca="false">60*U184-SUM(AT184:AX184)</f>
        <v>17.1666666666667</v>
      </c>
      <c r="AT184" s="8" t="n">
        <f aca="false">70+35/60</f>
        <v>70.5833333333333</v>
      </c>
      <c r="AU184" s="8" t="n">
        <f aca="false">26+19/60</f>
        <v>26.3166666666667</v>
      </c>
      <c r="AV184" s="8" t="n">
        <f aca="false">12+7/60</f>
        <v>12.1166666666667</v>
      </c>
      <c r="AW184" s="8" t="n">
        <f aca="false">49/60</f>
        <v>0.816666666666667</v>
      </c>
      <c r="AX184" s="8" t="n">
        <v>0</v>
      </c>
      <c r="AY184" s="4" t="s">
        <v>59</v>
      </c>
      <c r="AZ184" s="4" t="s">
        <v>60</v>
      </c>
      <c r="BA184" s="4" t="n">
        <v>0</v>
      </c>
      <c r="BB184" s="4"/>
      <c r="BC184" s="4"/>
    </row>
    <row r="185" customFormat="false" ht="16.9" hidden="false" customHeight="false" outlineLevel="0" collapsed="false">
      <c r="A185" s="11" t="n">
        <f aca="false">A184+1</f>
        <v>717</v>
      </c>
      <c r="B185" s="12" t="n">
        <v>44063.3291666667</v>
      </c>
      <c r="C185" s="4" t="n">
        <v>1</v>
      </c>
      <c r="D185" s="4"/>
      <c r="E185" s="4"/>
      <c r="F185" s="4" t="s">
        <v>120</v>
      </c>
      <c r="G185" s="6" t="n">
        <v>73</v>
      </c>
      <c r="H185" s="6" t="n">
        <v>54</v>
      </c>
      <c r="I185" s="6" t="n">
        <v>48</v>
      </c>
      <c r="J185" s="4" t="s">
        <v>75</v>
      </c>
      <c r="K185" s="6" t="n">
        <v>0</v>
      </c>
      <c r="L185" s="6" t="n">
        <v>0</v>
      </c>
      <c r="M185" s="3" t="s">
        <v>129</v>
      </c>
      <c r="N185" s="4" t="s">
        <v>136</v>
      </c>
      <c r="O185" s="4"/>
      <c r="P185" s="4" t="s">
        <v>145</v>
      </c>
      <c r="Q185" s="8" t="n">
        <v>4.08</v>
      </c>
      <c r="R185" s="6" t="n">
        <v>813</v>
      </c>
      <c r="S185" s="6" t="n">
        <v>9135</v>
      </c>
      <c r="T185" s="6" t="n">
        <f aca="false">S185-R185</f>
        <v>8322</v>
      </c>
      <c r="U185" s="8" t="n">
        <f aca="false">65/60</f>
        <v>1.08333333333333</v>
      </c>
      <c r="V185" s="8" t="n">
        <f aca="false">66/60</f>
        <v>1.1</v>
      </c>
      <c r="W185" s="8" t="n">
        <f aca="false">V185-U185</f>
        <v>0.0166666666666668</v>
      </c>
      <c r="X185" s="8" t="n">
        <f aca="false">Q185/U185</f>
        <v>3.76615384615385</v>
      </c>
      <c r="Y185" s="4" t="n">
        <v>1</v>
      </c>
      <c r="Z185" s="8" t="n">
        <f aca="false">Q185/Y185</f>
        <v>4.08</v>
      </c>
      <c r="AA185" s="8" t="n">
        <f aca="false">15+59/60</f>
        <v>15.9833333333333</v>
      </c>
      <c r="AB185" s="6" t="n">
        <v>105</v>
      </c>
      <c r="AC185" s="6" t="n">
        <v>525</v>
      </c>
      <c r="AD185" s="6" t="n">
        <v>113</v>
      </c>
      <c r="AE185" s="4" t="n">
        <v>151</v>
      </c>
      <c r="AF185" s="8" t="n">
        <f aca="false">15+33/60</f>
        <v>15.55</v>
      </c>
      <c r="AG185" s="8" t="n">
        <f aca="false">16+11/60</f>
        <v>16.1833333333333</v>
      </c>
      <c r="AH185" s="8" t="n">
        <f aca="false">16+24/60</f>
        <v>16.4</v>
      </c>
      <c r="AI185" s="8" t="n">
        <f aca="false">15+49/60</f>
        <v>15.8166666666667</v>
      </c>
      <c r="AJ185" s="8" t="n">
        <f aca="false">60/3.7</f>
        <v>16.2162162162162</v>
      </c>
      <c r="AK185" s="8"/>
      <c r="AL185" s="8"/>
      <c r="AM185" s="8"/>
      <c r="AN185" s="8"/>
      <c r="AO185" s="8"/>
      <c r="AP185" s="4" t="n">
        <v>0</v>
      </c>
      <c r="AQ185" s="4" t="n">
        <v>0</v>
      </c>
      <c r="AR185" s="4" t="n">
        <v>0</v>
      </c>
      <c r="AS185" s="14" t="n">
        <v>0</v>
      </c>
      <c r="AT185" s="8" t="n">
        <f aca="false">4+54/60</f>
        <v>4.9</v>
      </c>
      <c r="AU185" s="8" t="n">
        <f aca="false">28+9/60</f>
        <v>28.15</v>
      </c>
      <c r="AV185" s="8" t="n">
        <f aca="false">5+51/60</f>
        <v>5.85</v>
      </c>
      <c r="AW185" s="8" t="n">
        <f aca="false">7+3/60</f>
        <v>7.05</v>
      </c>
      <c r="AX185" s="8" t="n">
        <f aca="false">19+18/60</f>
        <v>19.3</v>
      </c>
      <c r="AY185" s="4" t="s">
        <v>59</v>
      </c>
      <c r="AZ185" s="4" t="s">
        <v>60</v>
      </c>
      <c r="BA185" s="4" t="n">
        <v>1</v>
      </c>
      <c r="BB185" s="4" t="s">
        <v>105</v>
      </c>
      <c r="BC185" s="4"/>
    </row>
    <row r="186" customFormat="false" ht="16.9" hidden="false" customHeight="false" outlineLevel="0" collapsed="false">
      <c r="A186" s="11" t="n">
        <f aca="false">A185+1</f>
        <v>718</v>
      </c>
      <c r="B186" s="12" t="n">
        <v>44064.5680555556</v>
      </c>
      <c r="C186" s="4" t="n">
        <v>1</v>
      </c>
      <c r="D186" s="4"/>
      <c r="E186" s="4"/>
      <c r="F186" s="4" t="s">
        <v>120</v>
      </c>
      <c r="G186" s="11" t="n">
        <v>93</v>
      </c>
      <c r="H186" s="6" t="n">
        <v>62</v>
      </c>
      <c r="I186" s="6" t="n">
        <v>37</v>
      </c>
      <c r="J186" s="6" t="s">
        <v>55</v>
      </c>
      <c r="K186" s="6" t="n">
        <v>3</v>
      </c>
      <c r="L186" s="6" t="n">
        <v>0</v>
      </c>
      <c r="M186" s="3" t="s">
        <v>129</v>
      </c>
      <c r="N186" s="4" t="s">
        <v>136</v>
      </c>
      <c r="O186" s="4"/>
      <c r="P186" s="4" t="s">
        <v>135</v>
      </c>
      <c r="Q186" s="8" t="n">
        <f aca="false">AVERAGE(Q178:Q182,Q184:Q185)*2/3</f>
        <v>2.9705291005291</v>
      </c>
      <c r="R186" s="6"/>
      <c r="S186" s="6"/>
      <c r="T186" s="6" t="n">
        <f aca="false">AVERAGE(T178:T182,T184)</f>
        <v>15626.8541666667</v>
      </c>
      <c r="U186" s="8" t="n">
        <f aca="false">(60+11)/60</f>
        <v>1.18333333333333</v>
      </c>
      <c r="V186" s="8" t="n">
        <f aca="false">(60+16)/60</f>
        <v>1.26666666666667</v>
      </c>
      <c r="W186" s="8" t="n">
        <f aca="false">V186-U186</f>
        <v>0.0833333333333333</v>
      </c>
      <c r="X186" s="8" t="n">
        <f aca="false">Q186/U186</f>
        <v>2.51030628213727</v>
      </c>
      <c r="Y186" s="4" t="n">
        <v>2</v>
      </c>
      <c r="Z186" s="8" t="n">
        <f aca="false">Q186/Y186</f>
        <v>1.48526455026455</v>
      </c>
      <c r="AA186" s="8" t="n">
        <f aca="false">60/X186</f>
        <v>23.9014658995779</v>
      </c>
      <c r="AB186" s="6" t="n">
        <v>56</v>
      </c>
      <c r="AC186" s="6" t="n">
        <v>454</v>
      </c>
      <c r="AD186" s="6" t="n">
        <v>98</v>
      </c>
      <c r="AE186" s="4" t="n">
        <v>131</v>
      </c>
      <c r="AF186" s="8" t="n">
        <f aca="false">AA186</f>
        <v>23.9014658995779</v>
      </c>
      <c r="AG186" s="8" t="n">
        <f aca="false">AF186</f>
        <v>23.9014658995779</v>
      </c>
      <c r="AH186" s="8" t="n">
        <f aca="false">AG186</f>
        <v>23.9014658995779</v>
      </c>
      <c r="AI186" s="8" t="n">
        <f aca="false">AH186</f>
        <v>23.9014658995779</v>
      </c>
      <c r="AJ186" s="8"/>
      <c r="AK186" s="8"/>
      <c r="AL186" s="8"/>
      <c r="AM186" s="8"/>
      <c r="AN186" s="8"/>
      <c r="AO186" s="8"/>
      <c r="AP186" s="4" t="n">
        <v>3</v>
      </c>
      <c r="AQ186" s="4" t="n">
        <v>1</v>
      </c>
      <c r="AR186" s="4" t="n">
        <v>0</v>
      </c>
      <c r="AS186" s="14" t="n">
        <v>0</v>
      </c>
      <c r="AT186" s="8" t="n">
        <f aca="false">20+59/60</f>
        <v>20.9833333333333</v>
      </c>
      <c r="AU186" s="8" t="n">
        <f aca="false">26+52/60</f>
        <v>26.8666666666667</v>
      </c>
      <c r="AV186" s="8" t="n">
        <f aca="false">20+52/60</f>
        <v>20.8666666666667</v>
      </c>
      <c r="AW186" s="8" t="n">
        <f aca="false">10+36/60</f>
        <v>10.6</v>
      </c>
      <c r="AX186" s="8" t="n">
        <v>0</v>
      </c>
      <c r="AY186" s="4" t="s">
        <v>59</v>
      </c>
      <c r="AZ186" s="4" t="s">
        <v>60</v>
      </c>
      <c r="BA186" s="4" t="n">
        <v>0</v>
      </c>
      <c r="BB186" s="4"/>
      <c r="BC186" s="4"/>
    </row>
    <row r="187" customFormat="false" ht="16.9" hidden="false" customHeight="false" outlineLevel="0" collapsed="false">
      <c r="A187" s="11" t="n">
        <f aca="false">A186+1</f>
        <v>719</v>
      </c>
      <c r="B187" s="12" t="n">
        <v>44065.5138888889</v>
      </c>
      <c r="C187" s="4" t="n">
        <v>1</v>
      </c>
      <c r="D187" s="4"/>
      <c r="E187" s="4"/>
      <c r="F187" s="4" t="s">
        <v>54</v>
      </c>
      <c r="G187" s="6" t="n">
        <f aca="false">(90+93)/2</f>
        <v>91.5</v>
      </c>
      <c r="H187" s="6" t="n">
        <f aca="false">(65+62)/2</f>
        <v>63.5</v>
      </c>
      <c r="I187" s="6" t="n">
        <f aca="false">(35+28)/2</f>
        <v>31.5</v>
      </c>
      <c r="J187" s="6" t="s">
        <v>121</v>
      </c>
      <c r="K187" s="6" t="n">
        <f aca="false">(7+12)/2</f>
        <v>9.5</v>
      </c>
      <c r="L187" s="6" t="n">
        <v>0</v>
      </c>
      <c r="M187" s="3" t="s">
        <v>129</v>
      </c>
      <c r="N187" s="4" t="s">
        <v>136</v>
      </c>
      <c r="O187" s="4"/>
      <c r="P187" s="4" t="s">
        <v>146</v>
      </c>
      <c r="Q187" s="8" t="n">
        <v>2.3</v>
      </c>
      <c r="R187" s="6" t="n">
        <v>901</v>
      </c>
      <c r="S187" s="6" t="n">
        <v>6585</v>
      </c>
      <c r="T187" s="6" t="n">
        <f aca="false">S187-R187</f>
        <v>5684</v>
      </c>
      <c r="U187" s="8" t="n">
        <f aca="false">48/60</f>
        <v>0.8</v>
      </c>
      <c r="V187" s="8" t="n">
        <f aca="false">56/60</f>
        <v>0.933333333333333</v>
      </c>
      <c r="W187" s="8" t="n">
        <f aca="false">V187-U187</f>
        <v>0.133333333333333</v>
      </c>
      <c r="X187" s="8" t="n">
        <f aca="false">Q187/U187</f>
        <v>2.875</v>
      </c>
      <c r="Y187" s="4" t="n">
        <v>1</v>
      </c>
      <c r="Z187" s="8" t="n">
        <f aca="false">Q187/Y187</f>
        <v>2.3</v>
      </c>
      <c r="AA187" s="8" t="n">
        <f aca="false">21+3/60</f>
        <v>21.05</v>
      </c>
      <c r="AB187" s="6" t="n">
        <v>269</v>
      </c>
      <c r="AC187" s="6" t="n">
        <v>435</v>
      </c>
      <c r="AD187" s="6" t="n">
        <v>124</v>
      </c>
      <c r="AE187" s="4" t="n">
        <v>152</v>
      </c>
      <c r="AF187" s="8" t="n">
        <f aca="false">20+20/60</f>
        <v>20.3333333333333</v>
      </c>
      <c r="AG187" s="8" t="n">
        <f aca="false">21+58/60</f>
        <v>21.9666666666667</v>
      </c>
      <c r="AH187" s="8" t="n">
        <f aca="false">60/2.9</f>
        <v>20.6896551724138</v>
      </c>
      <c r="AI187" s="8"/>
      <c r="AJ187" s="8"/>
      <c r="AK187" s="8"/>
      <c r="AL187" s="8"/>
      <c r="AM187" s="8"/>
      <c r="AN187" s="8"/>
      <c r="AO187" s="8"/>
      <c r="AP187" s="4" t="n">
        <v>1</v>
      </c>
      <c r="AQ187" s="4" t="n">
        <v>1</v>
      </c>
      <c r="AR187" s="4" t="n">
        <v>0</v>
      </c>
      <c r="AS187" s="14" t="n">
        <v>0</v>
      </c>
      <c r="AT187" s="8" t="n">
        <v>0</v>
      </c>
      <c r="AU187" s="8" t="n">
        <f aca="false">6</f>
        <v>6</v>
      </c>
      <c r="AV187" s="8" t="n">
        <f aca="false">7+19/60</f>
        <v>7.31666666666667</v>
      </c>
      <c r="AW187" s="8" t="n">
        <f aca="false">21+30/60</f>
        <v>21.5</v>
      </c>
      <c r="AX187" s="8" t="n">
        <f aca="false">13+41/60</f>
        <v>13.6833333333333</v>
      </c>
      <c r="AY187" s="4" t="s">
        <v>59</v>
      </c>
      <c r="AZ187" s="4" t="s">
        <v>60</v>
      </c>
      <c r="BA187" s="4" t="n">
        <v>0</v>
      </c>
      <c r="BB187" s="4"/>
      <c r="BC187" s="4"/>
    </row>
    <row r="188" customFormat="false" ht="16.9" hidden="false" customHeight="false" outlineLevel="0" collapsed="false">
      <c r="A188" s="11" t="n">
        <f aca="false">A187+1</f>
        <v>720</v>
      </c>
      <c r="B188" s="12" t="n">
        <v>44066.4951388889</v>
      </c>
      <c r="C188" s="4" t="n">
        <v>0</v>
      </c>
      <c r="D188" s="4" t="s">
        <v>79</v>
      </c>
      <c r="E188" s="4"/>
      <c r="F188" s="4" t="s">
        <v>120</v>
      </c>
      <c r="G188" s="6" t="n">
        <v>91</v>
      </c>
      <c r="H188" s="6" t="n">
        <v>63</v>
      </c>
      <c r="I188" s="6" t="n">
        <v>38</v>
      </c>
      <c r="J188" s="6" t="s">
        <v>108</v>
      </c>
      <c r="K188" s="6" t="n">
        <v>3</v>
      </c>
      <c r="L188" s="6" t="n">
        <v>0</v>
      </c>
      <c r="M188" s="3" t="s">
        <v>129</v>
      </c>
      <c r="N188" s="4"/>
      <c r="O188" s="4"/>
      <c r="P188" s="4"/>
      <c r="Q188" s="8"/>
      <c r="R188" s="6"/>
      <c r="S188" s="6"/>
      <c r="T188" s="6"/>
      <c r="U188" s="8"/>
      <c r="V188" s="8"/>
      <c r="W188" s="8"/>
      <c r="X188" s="8"/>
      <c r="Y188" s="4"/>
      <c r="Z188" s="8"/>
      <c r="AA188" s="8"/>
      <c r="AB188" s="6"/>
      <c r="AC188" s="6"/>
      <c r="AD188" s="6"/>
      <c r="AE188" s="4"/>
      <c r="AF188" s="8"/>
      <c r="AG188" s="8"/>
      <c r="AI188" s="8"/>
      <c r="AJ188" s="8"/>
      <c r="AK188" s="8"/>
      <c r="AL188" s="8"/>
      <c r="AM188" s="8"/>
      <c r="AN188" s="8"/>
      <c r="AO188" s="8"/>
      <c r="AP188" s="4"/>
      <c r="AQ188" s="4"/>
      <c r="AR188" s="4"/>
      <c r="AS188" s="14"/>
      <c r="AT188" s="8"/>
      <c r="AU188" s="8"/>
      <c r="AV188" s="8"/>
      <c r="AW188" s="8"/>
      <c r="AX188" s="8"/>
      <c r="AY188" s="4"/>
      <c r="AZ188" s="4"/>
      <c r="BA188" s="4"/>
      <c r="BB188" s="4"/>
      <c r="BC188" s="4"/>
    </row>
    <row r="189" customFormat="false" ht="16.9" hidden="false" customHeight="false" outlineLevel="0" collapsed="false">
      <c r="A189" s="11" t="n">
        <f aca="false">A188+1</f>
        <v>721</v>
      </c>
      <c r="B189" s="12" t="n">
        <v>44067.4951388889</v>
      </c>
      <c r="C189" s="4" t="n">
        <v>0</v>
      </c>
      <c r="D189" s="4" t="s">
        <v>82</v>
      </c>
      <c r="E189" s="4"/>
      <c r="F189" s="4" t="s">
        <v>120</v>
      </c>
      <c r="G189" s="6" t="n">
        <v>94</v>
      </c>
      <c r="H189" s="6" t="n">
        <v>65</v>
      </c>
      <c r="I189" s="6" t="n">
        <v>38</v>
      </c>
      <c r="J189" s="6" t="s">
        <v>101</v>
      </c>
      <c r="K189" s="6" t="n">
        <v>9</v>
      </c>
      <c r="L189" s="6" t="n">
        <v>0</v>
      </c>
      <c r="M189" s="3" t="s">
        <v>129</v>
      </c>
      <c r="N189" s="4"/>
      <c r="O189" s="4"/>
      <c r="P189" s="4"/>
      <c r="Q189" s="8"/>
      <c r="R189" s="6"/>
      <c r="S189" s="6"/>
      <c r="T189" s="6"/>
      <c r="U189" s="8"/>
      <c r="V189" s="8"/>
      <c r="W189" s="8"/>
      <c r="X189" s="8"/>
      <c r="Y189" s="4"/>
      <c r="Z189" s="8"/>
      <c r="AA189" s="8"/>
      <c r="AB189" s="6"/>
      <c r="AC189" s="6"/>
      <c r="AD189" s="6"/>
      <c r="AE189" s="4"/>
      <c r="AF189" s="8"/>
      <c r="AG189" s="8"/>
      <c r="AI189" s="8"/>
      <c r="AJ189" s="8"/>
      <c r="AK189" s="8"/>
      <c r="AL189" s="8"/>
      <c r="AM189" s="8"/>
      <c r="AN189" s="8"/>
      <c r="AO189" s="8"/>
      <c r="AP189" s="4"/>
      <c r="AQ189" s="4"/>
      <c r="AR189" s="4"/>
      <c r="AS189" s="14"/>
      <c r="AT189" s="8"/>
      <c r="AU189" s="8"/>
      <c r="AV189" s="8"/>
      <c r="AW189" s="8"/>
      <c r="AX189" s="8"/>
      <c r="AY189" s="4"/>
      <c r="AZ189" s="4"/>
      <c r="BA189" s="4"/>
      <c r="BB189" s="4"/>
      <c r="BC189" s="4"/>
    </row>
    <row r="190" customFormat="false" ht="16.9" hidden="false" customHeight="false" outlineLevel="0" collapsed="false">
      <c r="A190" s="11" t="n">
        <f aca="false">A189+1</f>
        <v>722</v>
      </c>
      <c r="B190" s="12" t="n">
        <v>44068.4805555556</v>
      </c>
      <c r="C190" s="4" t="n">
        <v>1</v>
      </c>
      <c r="D190" s="4"/>
      <c r="E190" s="4"/>
      <c r="F190" s="4" t="s">
        <v>54</v>
      </c>
      <c r="G190" s="6" t="n">
        <f aca="false">(91+94)/2</f>
        <v>92.5</v>
      </c>
      <c r="H190" s="6" t="n">
        <v>67</v>
      </c>
      <c r="I190" s="6" t="n">
        <f aca="false">(47+41)/2</f>
        <v>44</v>
      </c>
      <c r="J190" s="6" t="s">
        <v>128</v>
      </c>
      <c r="K190" s="6" t="n">
        <v>0</v>
      </c>
      <c r="L190" s="6" t="n">
        <v>0</v>
      </c>
      <c r="M190" s="3" t="s">
        <v>129</v>
      </c>
      <c r="N190" s="4" t="s">
        <v>136</v>
      </c>
      <c r="O190" s="4"/>
      <c r="P190" s="4" t="s">
        <v>135</v>
      </c>
      <c r="Q190" s="8" t="n">
        <v>4.85</v>
      </c>
      <c r="R190" s="6" t="n">
        <v>541</v>
      </c>
      <c r="S190" s="6" t="n">
        <v>16204</v>
      </c>
      <c r="T190" s="6" t="n">
        <f aca="false">S190-R190</f>
        <v>15663</v>
      </c>
      <c r="U190" s="8" t="n">
        <f aca="false">(123)/60</f>
        <v>2.05</v>
      </c>
      <c r="V190" s="8" t="n">
        <f aca="false">126/60</f>
        <v>2.1</v>
      </c>
      <c r="W190" s="8" t="n">
        <f aca="false">V190-U190</f>
        <v>0.0500000000000003</v>
      </c>
      <c r="X190" s="8" t="n">
        <f aca="false">Q190/U190</f>
        <v>2.36585365853659</v>
      </c>
      <c r="Y190" s="4" t="n">
        <v>3</v>
      </c>
      <c r="Z190" s="8" t="n">
        <f aca="false">Q190/Y190</f>
        <v>1.61666666666667</v>
      </c>
      <c r="AA190" s="8" t="n">
        <f aca="false">25+17/60</f>
        <v>25.2833333333333</v>
      </c>
      <c r="AB190" s="6" t="n">
        <v>79</v>
      </c>
      <c r="AC190" s="6" t="n">
        <v>508</v>
      </c>
      <c r="AD190" s="6" t="n">
        <v>87</v>
      </c>
      <c r="AE190" s="4" t="n">
        <v>113</v>
      </c>
      <c r="AF190" s="8" t="n">
        <f aca="false">23+46/60</f>
        <v>23.7666666666667</v>
      </c>
      <c r="AG190" s="8" t="n">
        <f aca="false">25+32/60</f>
        <v>25.5333333333333</v>
      </c>
      <c r="AH190" s="8" t="n">
        <f aca="false">24+65/60</f>
        <v>25.0833333333333</v>
      </c>
      <c r="AI190" s="8" t="n">
        <f aca="false">25+52/60</f>
        <v>25.8666666666667</v>
      </c>
      <c r="AJ190" s="8" t="n">
        <f aca="false">60/2.4</f>
        <v>25</v>
      </c>
      <c r="AK190" s="8"/>
      <c r="AL190" s="8"/>
      <c r="AM190" s="8"/>
      <c r="AN190" s="8"/>
      <c r="AO190" s="8"/>
      <c r="AP190" s="4" t="n">
        <v>1</v>
      </c>
      <c r="AQ190" s="4" t="n">
        <v>1</v>
      </c>
      <c r="AR190" s="4" t="n">
        <v>0</v>
      </c>
      <c r="AS190" s="14" t="n">
        <f aca="false">60*U190-SUM(AT190:AX190)</f>
        <v>7.55</v>
      </c>
      <c r="AT190" s="8" t="n">
        <f aca="false">67+3/60</f>
        <v>67.05</v>
      </c>
      <c r="AU190" s="8" t="n">
        <f aca="false">44+55/60</f>
        <v>44.9166666666667</v>
      </c>
      <c r="AV190" s="8" t="n">
        <f aca="false">3+29/60</f>
        <v>3.48333333333333</v>
      </c>
      <c r="AW190" s="8" t="n">
        <v>0</v>
      </c>
      <c r="AX190" s="8" t="n">
        <v>0</v>
      </c>
      <c r="AY190" s="4" t="s">
        <v>59</v>
      </c>
      <c r="AZ190" s="4" t="s">
        <v>60</v>
      </c>
      <c r="BA190" s="4" t="n">
        <v>0</v>
      </c>
      <c r="BB190" s="4"/>
      <c r="BC190" s="4"/>
    </row>
    <row r="191" customFormat="false" ht="16.9" hidden="false" customHeight="false" outlineLevel="0" collapsed="false">
      <c r="A191" s="11" t="n">
        <f aca="false">A190+1</f>
        <v>723</v>
      </c>
      <c r="B191" s="12" t="n">
        <v>44069.4180555556</v>
      </c>
      <c r="C191" s="4" t="n">
        <v>1</v>
      </c>
      <c r="D191" s="4"/>
      <c r="E191" s="4"/>
      <c r="F191" s="4" t="s">
        <v>61</v>
      </c>
      <c r="G191" s="6" t="n">
        <v>86</v>
      </c>
      <c r="H191" s="6" t="n">
        <v>86</v>
      </c>
      <c r="I191" s="6" t="n">
        <v>73</v>
      </c>
      <c r="J191" s="6" t="s">
        <v>55</v>
      </c>
      <c r="K191" s="6" t="n">
        <f aca="false">(5+8)/2</f>
        <v>6.5</v>
      </c>
      <c r="L191" s="6" t="n">
        <v>0</v>
      </c>
      <c r="M191" s="3" t="s">
        <v>129</v>
      </c>
      <c r="N191" s="4" t="s">
        <v>136</v>
      </c>
      <c r="O191" s="4"/>
      <c r="P191" s="4" t="s">
        <v>87</v>
      </c>
      <c r="Q191" s="8" t="n">
        <v>4.68</v>
      </c>
      <c r="R191" s="6"/>
      <c r="S191" s="6" t="n">
        <v>10418</v>
      </c>
      <c r="T191" s="6"/>
      <c r="U191" s="8" t="n">
        <f aca="false">81/60</f>
        <v>1.35</v>
      </c>
      <c r="V191" s="8" t="n">
        <f aca="false">99/60</f>
        <v>1.65</v>
      </c>
      <c r="W191" s="8" t="n">
        <f aca="false">V191-U191</f>
        <v>0.3</v>
      </c>
      <c r="X191" s="8" t="n">
        <f aca="false">Q191/U191</f>
        <v>3.46666666666667</v>
      </c>
      <c r="Y191" s="4" t="n">
        <v>1</v>
      </c>
      <c r="Z191" s="8" t="n">
        <f aca="false">Q191/Y191</f>
        <v>4.68</v>
      </c>
      <c r="AA191" s="8" t="n">
        <f aca="false">17+19/60</f>
        <v>17.3166666666667</v>
      </c>
      <c r="AB191" s="6" t="n">
        <v>397</v>
      </c>
      <c r="AC191" s="6" t="n">
        <v>768</v>
      </c>
      <c r="AD191" s="6" t="n">
        <v>122</v>
      </c>
      <c r="AE191" s="4" t="n">
        <v>168</v>
      </c>
      <c r="AF191" s="8" t="n">
        <f aca="false">16+20/60</f>
        <v>16.3333333333333</v>
      </c>
      <c r="AG191" s="8" t="n">
        <f aca="false">16+35/60</f>
        <v>16.5833333333333</v>
      </c>
      <c r="AH191" s="8" t="n">
        <f aca="false">16+41/60</f>
        <v>16.6833333333333</v>
      </c>
      <c r="AI191" s="8" t="n">
        <f aca="false">18+6/60</f>
        <v>18.1</v>
      </c>
      <c r="AJ191" s="8" t="n">
        <f aca="false">60/2</f>
        <v>30</v>
      </c>
      <c r="AK191" s="8"/>
      <c r="AL191" s="8"/>
      <c r="AM191" s="8"/>
      <c r="AN191" s="8"/>
      <c r="AO191" s="8"/>
      <c r="AP191" s="4" t="n">
        <v>3</v>
      </c>
      <c r="AQ191" s="4" t="n">
        <v>0</v>
      </c>
      <c r="AR191" s="4" t="n">
        <v>0</v>
      </c>
      <c r="AS191" s="14" t="n">
        <f aca="false">60*U191-SUM(AT191:AX191)</f>
        <v>6.8</v>
      </c>
      <c r="AT191" s="8" t="n">
        <f aca="false">11/60</f>
        <v>0.183333333333333</v>
      </c>
      <c r="AU191" s="8" t="n">
        <f aca="false">17+29/60</f>
        <v>17.4833333333333</v>
      </c>
      <c r="AV191" s="8" t="n">
        <f aca="false">8+41/60</f>
        <v>8.68333333333333</v>
      </c>
      <c r="AW191" s="8" t="n">
        <f aca="false">5+27/60</f>
        <v>5.45</v>
      </c>
      <c r="AX191" s="8" t="n">
        <f aca="false">42+24/60</f>
        <v>42.4</v>
      </c>
      <c r="AY191" s="4" t="s">
        <v>59</v>
      </c>
      <c r="AZ191" s="4" t="s">
        <v>60</v>
      </c>
      <c r="BA191" s="4" t="n">
        <v>1</v>
      </c>
      <c r="BB191" s="4" t="s">
        <v>147</v>
      </c>
      <c r="BC191" s="4"/>
    </row>
    <row r="192" customFormat="false" ht="16.9" hidden="false" customHeight="false" outlineLevel="0" collapsed="false">
      <c r="A192" s="11" t="n">
        <f aca="false">A191+1</f>
        <v>724</v>
      </c>
      <c r="B192" s="12" t="n">
        <v>44070.4486111111</v>
      </c>
      <c r="C192" s="4" t="n">
        <v>1</v>
      </c>
      <c r="D192" s="4"/>
      <c r="E192" s="4"/>
      <c r="F192" s="4" t="s">
        <v>54</v>
      </c>
      <c r="G192" s="6" t="n">
        <f aca="false">(81+90)/2</f>
        <v>85.5</v>
      </c>
      <c r="H192" s="6" t="n">
        <v>71</v>
      </c>
      <c r="I192" s="6" t="n">
        <f aca="false">AVERAGE(59,52)</f>
        <v>55.5</v>
      </c>
      <c r="J192" s="6" t="s">
        <v>83</v>
      </c>
      <c r="K192" s="6" t="n">
        <f aca="false">AVERAGE(6,3)</f>
        <v>4.5</v>
      </c>
      <c r="L192" s="6" t="n">
        <v>0</v>
      </c>
      <c r="M192" s="3" t="s">
        <v>129</v>
      </c>
      <c r="N192" s="4" t="s">
        <v>136</v>
      </c>
      <c r="O192" s="4"/>
      <c r="P192" s="4" t="s">
        <v>135</v>
      </c>
      <c r="Q192" s="8" t="n">
        <v>3.8</v>
      </c>
      <c r="R192" s="6"/>
      <c r="S192" s="6"/>
      <c r="T192" s="6"/>
      <c r="U192" s="8" t="n">
        <f aca="false">96/60</f>
        <v>1.6</v>
      </c>
      <c r="V192" s="8" t="n">
        <f aca="false">99/60</f>
        <v>1.65</v>
      </c>
      <c r="W192" s="8" t="n">
        <f aca="false">V192-U192</f>
        <v>0.0499999999999998</v>
      </c>
      <c r="X192" s="8" t="n">
        <f aca="false">Q192/U192</f>
        <v>2.375</v>
      </c>
      <c r="Y192" s="4" t="n">
        <v>2</v>
      </c>
      <c r="Z192" s="8" t="n">
        <f aca="false">Q192/Y192</f>
        <v>1.9</v>
      </c>
      <c r="AA192" s="8" t="n">
        <f aca="false">25+10/60</f>
        <v>25.1666666666667</v>
      </c>
      <c r="AB192" s="6" t="n">
        <v>43</v>
      </c>
      <c r="AC192" s="6" t="n">
        <v>408</v>
      </c>
      <c r="AD192" s="6" t="n">
        <v>84</v>
      </c>
      <c r="AE192" s="4" t="n">
        <v>125</v>
      </c>
      <c r="AF192" s="8" t="n">
        <f aca="false">19+26/60</f>
        <v>19.4333333333333</v>
      </c>
      <c r="AG192" s="8" t="n">
        <f aca="false">25+46/60</f>
        <v>25.7666666666667</v>
      </c>
      <c r="AH192" s="8" t="n">
        <f aca="false">29+21/60</f>
        <v>29.35</v>
      </c>
      <c r="AI192" s="8" t="n">
        <f aca="false">60/2.3</f>
        <v>26.0869565217391</v>
      </c>
      <c r="AJ192" s="8"/>
      <c r="AK192" s="8"/>
      <c r="AL192" s="8"/>
      <c r="AM192" s="8"/>
      <c r="AN192" s="8"/>
      <c r="AO192" s="8"/>
      <c r="AP192" s="4" t="n">
        <v>0</v>
      </c>
      <c r="AQ192" s="4" t="n">
        <v>0</v>
      </c>
      <c r="AR192" s="4" t="n">
        <v>0</v>
      </c>
      <c r="AS192" s="14" t="n">
        <f aca="false">38+58/60</f>
        <v>38.9666666666667</v>
      </c>
      <c r="AT192" s="8" t="n">
        <f aca="false">34+127/60</f>
        <v>36.1166666666667</v>
      </c>
      <c r="AU192" s="8" t="n">
        <f aca="false">1+51/60</f>
        <v>1.85</v>
      </c>
      <c r="AV192" s="8" t="n">
        <f aca="false">20/60</f>
        <v>0.333333333333333</v>
      </c>
      <c r="AW192" s="8" t="n">
        <v>0</v>
      </c>
      <c r="AX192" s="8" t="n">
        <v>0</v>
      </c>
      <c r="AY192" s="4" t="s">
        <v>59</v>
      </c>
      <c r="AZ192" s="4" t="s">
        <v>60</v>
      </c>
      <c r="BA192" s="4" t="n">
        <v>0</v>
      </c>
      <c r="BB192" s="4"/>
      <c r="BC192" s="4"/>
    </row>
    <row r="193" customFormat="false" ht="16.9" hidden="false" customHeight="false" outlineLevel="0" collapsed="false">
      <c r="A193" s="11" t="n">
        <f aca="false">A192+1</f>
        <v>725</v>
      </c>
      <c r="B193" s="12" t="n">
        <v>44071.4854166667</v>
      </c>
      <c r="C193" s="4" t="n">
        <v>1</v>
      </c>
      <c r="D193" s="4"/>
      <c r="E193" s="4"/>
      <c r="F193" s="4" t="s">
        <v>120</v>
      </c>
      <c r="G193" s="6" t="n">
        <f aca="false">(93+97)/2</f>
        <v>95</v>
      </c>
      <c r="H193" s="6" t="n">
        <v>73</v>
      </c>
      <c r="I193" s="6" t="n">
        <f aca="false">(46+43)/2</f>
        <v>44.5</v>
      </c>
      <c r="J193" s="6" t="s">
        <v>62</v>
      </c>
      <c r="K193" s="6" t="n">
        <v>5</v>
      </c>
      <c r="L193" s="6" t="n">
        <v>0</v>
      </c>
      <c r="M193" s="3" t="s">
        <v>129</v>
      </c>
      <c r="N193" s="4" t="s">
        <v>136</v>
      </c>
      <c r="O193" s="4"/>
      <c r="P193" s="4" t="s">
        <v>58</v>
      </c>
      <c r="Q193" s="8" t="n">
        <v>3.54</v>
      </c>
      <c r="R193" s="6"/>
      <c r="S193" s="6"/>
      <c r="T193" s="6"/>
      <c r="U193" s="8" t="n">
        <f aca="false">95/60</f>
        <v>1.58333333333333</v>
      </c>
      <c r="V193" s="8" t="n">
        <f aca="false">99/60</f>
        <v>1.65</v>
      </c>
      <c r="W193" s="8" t="n">
        <f aca="false">V193-U193</f>
        <v>0.0666666666666667</v>
      </c>
      <c r="X193" s="8" t="n">
        <f aca="false">Q192/U193</f>
        <v>2.4</v>
      </c>
      <c r="Y193" s="4" t="n">
        <v>3</v>
      </c>
      <c r="Z193" s="8" t="n">
        <f aca="false">Q192/Y193</f>
        <v>1.26666666666667</v>
      </c>
      <c r="AA193" s="8" t="n">
        <f aca="false">25+10/60</f>
        <v>25.1666666666667</v>
      </c>
      <c r="AB193" s="6" t="n">
        <v>43</v>
      </c>
      <c r="AC193" s="6" t="n">
        <v>408</v>
      </c>
      <c r="AD193" s="6" t="n">
        <v>122</v>
      </c>
      <c r="AE193" s="4" t="n">
        <v>145</v>
      </c>
      <c r="AF193" s="8" t="n">
        <f aca="false">18+44/60</f>
        <v>18.7333333333333</v>
      </c>
      <c r="AG193" s="8" t="n">
        <f aca="false">19+46/60</f>
        <v>19.7666666666667</v>
      </c>
      <c r="AH193" s="8" t="n">
        <f aca="false">22+45/60</f>
        <v>22.75</v>
      </c>
      <c r="AI193" s="8" t="n">
        <f aca="false">60/2.9</f>
        <v>20.6896551724138</v>
      </c>
      <c r="AJ193" s="8"/>
      <c r="AK193" s="8"/>
      <c r="AL193" s="8"/>
      <c r="AM193" s="8"/>
      <c r="AN193" s="8"/>
      <c r="AO193" s="8"/>
      <c r="AP193" s="4" t="n">
        <v>0</v>
      </c>
      <c r="AQ193" s="4" t="n">
        <v>0</v>
      </c>
      <c r="AR193" s="4" t="n">
        <v>0</v>
      </c>
      <c r="AS193" s="14" t="n">
        <f aca="false">60*U193-SUM(AT193:AX193)</f>
        <v>29.4566666666667</v>
      </c>
      <c r="AT193" s="8" t="n">
        <f aca="false">38+51/60</f>
        <v>38.85</v>
      </c>
      <c r="AU193" s="8" t="n">
        <f aca="false">24+17/50</f>
        <v>24.34</v>
      </c>
      <c r="AV193" s="8" t="n">
        <f aca="false">1+51/50</f>
        <v>2.02</v>
      </c>
      <c r="AW193" s="8" t="n">
        <f aca="false">20/60</f>
        <v>0.333333333333333</v>
      </c>
      <c r="AX193" s="8" t="n">
        <v>0</v>
      </c>
      <c r="AY193" s="4" t="s">
        <v>59</v>
      </c>
      <c r="AZ193" s="4" t="s">
        <v>60</v>
      </c>
      <c r="BA193" s="4" t="n">
        <v>0</v>
      </c>
      <c r="BB193" s="4"/>
      <c r="BC193" s="4"/>
    </row>
    <row r="194" customFormat="false" ht="16.9" hidden="false" customHeight="false" outlineLevel="0" collapsed="false">
      <c r="A194" s="11" t="n">
        <f aca="false">A193+1</f>
        <v>726</v>
      </c>
      <c r="B194" s="12" t="n">
        <v>44072.4569444444</v>
      </c>
      <c r="C194" s="4" t="n">
        <v>1</v>
      </c>
      <c r="D194" s="4"/>
      <c r="E194" s="4"/>
      <c r="F194" s="4" t="s">
        <v>120</v>
      </c>
      <c r="G194" s="6" t="n">
        <f aca="false">(90+94)/2</f>
        <v>92</v>
      </c>
      <c r="H194" s="6" t="n">
        <v>75</v>
      </c>
      <c r="I194" s="6" t="n">
        <f aca="false">(63+54)/2</f>
        <v>58.5</v>
      </c>
      <c r="J194" s="4" t="s">
        <v>80</v>
      </c>
      <c r="K194" s="6" t="n">
        <f aca="false">(16+13)/2</f>
        <v>14.5</v>
      </c>
      <c r="L194" s="6" t="n">
        <v>0</v>
      </c>
      <c r="M194" s="3" t="s">
        <v>129</v>
      </c>
      <c r="N194" s="4" t="s">
        <v>136</v>
      </c>
      <c r="O194" s="4"/>
      <c r="P194" s="4" t="s">
        <v>135</v>
      </c>
      <c r="Q194" s="8" t="n">
        <v>3.31</v>
      </c>
      <c r="R194" s="6" t="n">
        <v>1277</v>
      </c>
      <c r="S194" s="6" t="n">
        <v>11928</v>
      </c>
      <c r="T194" s="6" t="n">
        <f aca="false">S194-R194</f>
        <v>10651</v>
      </c>
      <c r="U194" s="8" t="n">
        <f aca="false">85/60</f>
        <v>1.41666666666667</v>
      </c>
      <c r="V194" s="8" t="n">
        <f aca="false">85/60</f>
        <v>1.41666666666667</v>
      </c>
      <c r="W194" s="8" t="n">
        <f aca="false">V194-U194</f>
        <v>0</v>
      </c>
      <c r="X194" s="8" t="n">
        <f aca="false">Q193/U194</f>
        <v>2.49882352941176</v>
      </c>
      <c r="Y194" s="4" t="n">
        <v>2</v>
      </c>
      <c r="Z194" s="8" t="n">
        <f aca="false">Q194/V194</f>
        <v>2.33647058823529</v>
      </c>
      <c r="AA194" s="8" t="n">
        <f aca="false">25+34/60</f>
        <v>25.5666666666667</v>
      </c>
      <c r="AB194" s="6" t="n">
        <v>39</v>
      </c>
      <c r="AC194" s="6" t="n">
        <v>347</v>
      </c>
      <c r="AD194" s="6" t="n">
        <v>80</v>
      </c>
      <c r="AE194" s="4" t="n">
        <v>111</v>
      </c>
      <c r="AF194" s="8" t="n">
        <f aca="false">21+31/60</f>
        <v>21.5166666666667</v>
      </c>
      <c r="AG194" s="8" t="n">
        <f aca="false">27+9/60</f>
        <v>27.15</v>
      </c>
      <c r="AH194" s="8" t="n">
        <f aca="false">28+35/60</f>
        <v>28.5833333333333</v>
      </c>
      <c r="AI194" s="8" t="n">
        <f aca="false">60/2.5</f>
        <v>24</v>
      </c>
      <c r="AJ194" s="8"/>
      <c r="AK194" s="8"/>
      <c r="AL194" s="8"/>
      <c r="AM194" s="8"/>
      <c r="AN194" s="8"/>
      <c r="AO194" s="8"/>
      <c r="AP194" s="4" t="n">
        <v>0</v>
      </c>
      <c r="AQ194" s="4" t="n">
        <v>0</v>
      </c>
      <c r="AR194" s="4" t="n">
        <v>0</v>
      </c>
      <c r="AS194" s="14" t="n">
        <f aca="false">60*U194-SUM(AT194:AX194)</f>
        <v>35.4166666666667</v>
      </c>
      <c r="AT194" s="14" t="n">
        <f aca="false">26+33/60</f>
        <v>26.55</v>
      </c>
      <c r="AU194" s="8" t="n">
        <f aca="false">20+15/60</f>
        <v>20.25</v>
      </c>
      <c r="AV194" s="8" t="n">
        <f aca="false">2+47/60</f>
        <v>2.78333333333333</v>
      </c>
      <c r="AW194" s="8" t="n">
        <v>0</v>
      </c>
      <c r="AX194" s="8" t="n">
        <v>0</v>
      </c>
      <c r="AY194" s="4" t="s">
        <v>59</v>
      </c>
      <c r="AZ194" s="4" t="s">
        <v>60</v>
      </c>
      <c r="BA194" s="4" t="n">
        <v>0</v>
      </c>
      <c r="BB194" s="4"/>
      <c r="BC194" s="4"/>
    </row>
    <row r="195" customFormat="false" ht="16.9" hidden="false" customHeight="false" outlineLevel="0" collapsed="false">
      <c r="A195" s="11" t="n">
        <f aca="false">A194+1</f>
        <v>727</v>
      </c>
      <c r="B195" s="12" t="n">
        <v>44073.5763888889</v>
      </c>
      <c r="C195" s="4" t="n">
        <v>1</v>
      </c>
      <c r="D195" s="4"/>
      <c r="E195" s="4"/>
      <c r="F195" s="4" t="s">
        <v>61</v>
      </c>
      <c r="G195" s="6" t="n">
        <f aca="false">(84+88)/2</f>
        <v>86</v>
      </c>
      <c r="H195" s="6" t="n">
        <v>76</v>
      </c>
      <c r="I195" s="6" t="n">
        <f aca="false">AVERAGE(76+70)/2</f>
        <v>73</v>
      </c>
      <c r="J195" s="6" t="s">
        <v>62</v>
      </c>
      <c r="K195" s="6" t="n">
        <f aca="false">(8+4)/2</f>
        <v>6</v>
      </c>
      <c r="L195" s="6" t="n">
        <v>0</v>
      </c>
      <c r="M195" s="3" t="s">
        <v>129</v>
      </c>
      <c r="N195" s="4" t="s">
        <v>136</v>
      </c>
      <c r="O195" s="4"/>
      <c r="P195" s="4" t="s">
        <v>69</v>
      </c>
      <c r="Q195" s="8" t="n">
        <v>4.29</v>
      </c>
      <c r="R195" s="6" t="n">
        <v>1560</v>
      </c>
      <c r="S195" s="6" t="n">
        <v>10829</v>
      </c>
      <c r="T195" s="6" t="n">
        <f aca="false">S195-R195</f>
        <v>9269</v>
      </c>
      <c r="U195" s="8" t="n">
        <f aca="false">73/60</f>
        <v>1.21666666666667</v>
      </c>
      <c r="V195" s="8" t="n">
        <f aca="false">85/60</f>
        <v>1.41666666666667</v>
      </c>
      <c r="W195" s="8" t="n">
        <f aca="false">V195-U195</f>
        <v>0.2</v>
      </c>
      <c r="X195" s="8" t="n">
        <f aca="false">Q195/U195</f>
        <v>3.52602739726027</v>
      </c>
      <c r="Y195" s="4" t="n">
        <v>1</v>
      </c>
      <c r="Z195" s="8" t="n">
        <f aca="false">Q195/Y195</f>
        <v>4.29</v>
      </c>
      <c r="AA195" s="8" t="n">
        <f aca="false">17+5/60</f>
        <v>17.0833333333333</v>
      </c>
      <c r="AB195" s="6" t="n">
        <v>260</v>
      </c>
      <c r="AC195" s="6" t="n">
        <v>710</v>
      </c>
      <c r="AD195" s="6" t="n">
        <v>127</v>
      </c>
      <c r="AE195" s="4" t="n">
        <v>150</v>
      </c>
      <c r="AF195" s="8" t="n">
        <f aca="false">16+14/60</f>
        <v>16.2333333333333</v>
      </c>
      <c r="AG195" s="8" t="n">
        <f aca="false">16+35/60</f>
        <v>16.5833333333333</v>
      </c>
      <c r="AH195" s="8" t="n">
        <f aca="false">17+30/60</f>
        <v>17.5</v>
      </c>
      <c r="AI195" s="8" t="n">
        <f aca="false">17+48/60</f>
        <v>17.8</v>
      </c>
      <c r="AJ195" s="8" t="n">
        <f aca="false">60/3.4</f>
        <v>17.6470588235294</v>
      </c>
      <c r="AK195" s="8"/>
      <c r="AL195" s="8"/>
      <c r="AM195" s="8"/>
      <c r="AN195" s="8"/>
      <c r="AO195" s="8"/>
      <c r="AP195" s="4" t="n">
        <v>3</v>
      </c>
      <c r="AQ195" s="4" t="n">
        <v>0</v>
      </c>
      <c r="AR195" s="4" t="n">
        <v>0</v>
      </c>
      <c r="AS195" s="14" t="n">
        <v>0</v>
      </c>
      <c r="AT195" s="8" t="n">
        <f aca="false">36/60</f>
        <v>0.6</v>
      </c>
      <c r="AU195" s="8" t="n">
        <f aca="false">15+21/60</f>
        <v>15.35</v>
      </c>
      <c r="AV195" s="8" t="n">
        <f aca="false">4+43/60</f>
        <v>4.71666666666667</v>
      </c>
      <c r="AW195" s="8" t="n">
        <f aca="false">7+54/60</f>
        <v>7.9</v>
      </c>
      <c r="AX195" s="8" t="n">
        <f aca="false">44+43/60</f>
        <v>44.7166666666667</v>
      </c>
      <c r="AY195" s="4" t="s">
        <v>59</v>
      </c>
      <c r="AZ195" s="4" t="s">
        <v>60</v>
      </c>
      <c r="BA195" s="4" t="n">
        <v>0</v>
      </c>
      <c r="BB195" s="4"/>
      <c r="BC195" s="4"/>
    </row>
    <row r="196" customFormat="false" ht="16.9" hidden="false" customHeight="false" outlineLevel="0" collapsed="false">
      <c r="A196" s="11" t="n">
        <v>728</v>
      </c>
      <c r="B196" s="12" t="n">
        <v>44074.4576388889</v>
      </c>
      <c r="C196" s="4" t="n">
        <v>1</v>
      </c>
      <c r="D196" s="4"/>
      <c r="E196" s="4"/>
      <c r="F196" s="4" t="s">
        <v>61</v>
      </c>
      <c r="G196" s="6" t="n">
        <v>90</v>
      </c>
      <c r="H196" s="6" t="n">
        <v>77</v>
      </c>
      <c r="I196" s="6" t="n">
        <v>66</v>
      </c>
      <c r="J196" s="4" t="s">
        <v>80</v>
      </c>
      <c r="K196" s="6" t="n">
        <v>12</v>
      </c>
      <c r="L196" s="6" t="n">
        <v>0</v>
      </c>
      <c r="M196" s="3" t="s">
        <v>129</v>
      </c>
      <c r="N196" s="4" t="s">
        <v>136</v>
      </c>
      <c r="O196" s="4"/>
      <c r="P196" s="4" t="s">
        <v>112</v>
      </c>
      <c r="Q196" s="8" t="n">
        <v>4.04</v>
      </c>
      <c r="R196" s="6"/>
      <c r="S196" s="6"/>
      <c r="T196" s="6"/>
      <c r="U196" s="8" t="n">
        <f aca="false">67/60</f>
        <v>1.11666666666667</v>
      </c>
      <c r="V196" s="8" t="n">
        <f aca="false">83/60</f>
        <v>1.38333333333333</v>
      </c>
      <c r="W196" s="8" t="n">
        <f aca="false">V196-U196</f>
        <v>0.266666666666667</v>
      </c>
      <c r="X196" s="8" t="n">
        <f aca="false">Q196/U196</f>
        <v>3.61791044776119</v>
      </c>
      <c r="Y196" s="4" t="n">
        <v>1</v>
      </c>
      <c r="Z196" s="8" t="n">
        <f aca="false">Q196/Y196</f>
        <v>4.04</v>
      </c>
      <c r="AA196" s="8" t="n">
        <f aca="false">16+36/60</f>
        <v>16.6</v>
      </c>
      <c r="AB196" s="6" t="n">
        <v>1020</v>
      </c>
      <c r="AC196" s="6" t="n">
        <v>606</v>
      </c>
      <c r="AD196" s="6" t="n">
        <v>121</v>
      </c>
      <c r="AE196" s="4" t="n">
        <v>159</v>
      </c>
      <c r="AF196" s="8" t="n">
        <f aca="false">15+47/60</f>
        <v>15.7833333333333</v>
      </c>
      <c r="AG196" s="8" t="n">
        <f aca="false">17+7/60</f>
        <v>17.1166666666667</v>
      </c>
      <c r="AH196" s="8" t="n">
        <f aca="false">16+34/60</f>
        <v>16.5666666666667</v>
      </c>
      <c r="AI196" s="8" t="n">
        <f aca="false">16+49/60</f>
        <v>16.8166666666667</v>
      </c>
      <c r="AJ196" s="8" t="n">
        <f aca="false">60/2.9</f>
        <v>20.6896551724138</v>
      </c>
      <c r="AK196" s="8"/>
      <c r="AL196" s="8"/>
      <c r="AM196" s="8"/>
      <c r="AN196" s="8"/>
      <c r="AO196" s="8"/>
      <c r="AP196" s="4" t="n">
        <v>3</v>
      </c>
      <c r="AQ196" s="4" t="n">
        <v>0</v>
      </c>
      <c r="AR196" s="4" t="n">
        <v>0</v>
      </c>
      <c r="AS196" s="14" t="n">
        <v>0</v>
      </c>
      <c r="AT196" s="8" t="n">
        <f aca="false">14/60</f>
        <v>0.233333333333333</v>
      </c>
      <c r="AU196" s="8" t="n">
        <f aca="false">22+10/60</f>
        <v>22.1666666666667</v>
      </c>
      <c r="AV196" s="8" t="n">
        <f aca="false">11+47/60</f>
        <v>11.7833333333333</v>
      </c>
      <c r="AW196" s="8" t="n">
        <f aca="false">6+56/60</f>
        <v>6.93333333333333</v>
      </c>
      <c r="AX196" s="8" t="n">
        <f aca="false">26+2/60</f>
        <v>26.0333333333333</v>
      </c>
      <c r="AY196" s="4" t="s">
        <v>59</v>
      </c>
      <c r="AZ196" s="4" t="s">
        <v>60</v>
      </c>
      <c r="BA196" s="4" t="n">
        <v>0</v>
      </c>
      <c r="BB196" s="4"/>
      <c r="BC196" s="4"/>
    </row>
    <row r="197" customFormat="false" ht="16.9" hidden="false" customHeight="false" outlineLevel="0" collapsed="false">
      <c r="A197" s="11" t="n">
        <v>729</v>
      </c>
      <c r="B197" s="12" t="n">
        <v>44075.4951388889</v>
      </c>
      <c r="C197" s="4" t="n">
        <v>0</v>
      </c>
      <c r="D197" s="4" t="s">
        <v>82</v>
      </c>
      <c r="E197" s="4"/>
      <c r="F197" s="4" t="s">
        <v>106</v>
      </c>
      <c r="G197" s="6" t="n">
        <v>78</v>
      </c>
      <c r="H197" s="6" t="n">
        <v>71</v>
      </c>
      <c r="I197" s="6" t="n">
        <v>81</v>
      </c>
      <c r="J197" s="6" t="s">
        <v>101</v>
      </c>
      <c r="K197" s="6" t="n">
        <v>24</v>
      </c>
      <c r="L197" s="6" t="n">
        <v>32</v>
      </c>
      <c r="M197" s="3" t="s">
        <v>129</v>
      </c>
      <c r="N197" s="4"/>
      <c r="O197" s="4"/>
      <c r="P197" s="4"/>
      <c r="Q197" s="8"/>
      <c r="R197" s="6"/>
      <c r="S197" s="6"/>
      <c r="T197" s="6"/>
      <c r="U197" s="8"/>
      <c r="V197" s="8"/>
      <c r="W197" s="8"/>
      <c r="X197" s="8"/>
      <c r="Y197" s="4"/>
      <c r="Z197" s="8"/>
      <c r="AA197" s="8"/>
      <c r="AB197" s="6"/>
      <c r="AC197" s="6"/>
      <c r="AD197" s="6"/>
      <c r="AE197" s="4"/>
      <c r="AF197" s="8"/>
      <c r="AG197" s="8"/>
      <c r="AI197" s="8"/>
      <c r="AJ197" s="8"/>
      <c r="AK197" s="8"/>
      <c r="AL197" s="8"/>
      <c r="AM197" s="8"/>
      <c r="AN197" s="8"/>
      <c r="AO197" s="8"/>
      <c r="AP197" s="4"/>
      <c r="AQ197" s="4"/>
      <c r="AR197" s="4"/>
      <c r="AS197" s="14"/>
      <c r="AT197" s="8"/>
      <c r="AU197" s="8"/>
      <c r="AV197" s="8"/>
      <c r="AW197" s="8"/>
      <c r="AX197" s="8"/>
      <c r="AY197" s="4"/>
      <c r="AZ197" s="4"/>
      <c r="BA197" s="4"/>
      <c r="BB197" s="4"/>
      <c r="BC197" s="4"/>
    </row>
    <row r="198" customFormat="false" ht="16.9" hidden="false" customHeight="false" outlineLevel="0" collapsed="false">
      <c r="A198" s="11" t="n">
        <f aca="false">A197+1</f>
        <v>730</v>
      </c>
      <c r="B198" s="12" t="n">
        <v>44076.5590277778</v>
      </c>
      <c r="C198" s="4" t="n">
        <v>1</v>
      </c>
      <c r="D198" s="4"/>
      <c r="E198" s="4"/>
      <c r="F198" s="4" t="s">
        <v>61</v>
      </c>
      <c r="G198" s="6" t="n">
        <v>77</v>
      </c>
      <c r="H198" s="6" t="n">
        <v>73</v>
      </c>
      <c r="I198" s="6" t="n">
        <v>84</v>
      </c>
      <c r="J198" s="4" t="s">
        <v>88</v>
      </c>
      <c r="K198" s="6" t="n">
        <v>14</v>
      </c>
      <c r="L198" s="6" t="n">
        <v>24</v>
      </c>
      <c r="M198" s="3" t="s">
        <v>63</v>
      </c>
      <c r="N198" s="4" t="s">
        <v>136</v>
      </c>
      <c r="O198" s="4"/>
      <c r="P198" s="4" t="s">
        <v>66</v>
      </c>
      <c r="Q198" s="8" t="n">
        <v>4.98</v>
      </c>
      <c r="R198" s="6" t="n">
        <v>1123</v>
      </c>
      <c r="S198" s="6" t="n">
        <v>11819</v>
      </c>
      <c r="T198" s="6" t="n">
        <f aca="false">S198-R198</f>
        <v>10696</v>
      </c>
      <c r="U198" s="8" t="n">
        <f aca="false">85/60</f>
        <v>1.41666666666667</v>
      </c>
      <c r="V198" s="8" t="n">
        <f aca="false">88/60</f>
        <v>1.46666666666667</v>
      </c>
      <c r="W198" s="8" t="n">
        <f aca="false">V198-U198</f>
        <v>0.0499999999999998</v>
      </c>
      <c r="X198" s="8" t="n">
        <f aca="false">Q198/U198</f>
        <v>3.51529411764706</v>
      </c>
      <c r="Y198" s="4" t="n">
        <v>1</v>
      </c>
      <c r="Z198" s="8" t="n">
        <f aca="false">Q198/Y198</f>
        <v>4.98</v>
      </c>
      <c r="AA198" s="8" t="n">
        <f aca="false">17+9/60</f>
        <v>17.15</v>
      </c>
      <c r="AB198" s="6" t="n">
        <v>509</v>
      </c>
      <c r="AC198" s="6" t="n">
        <v>631</v>
      </c>
      <c r="AD198" s="6" t="n">
        <v>113</v>
      </c>
      <c r="AE198" s="4" t="n">
        <v>141</v>
      </c>
      <c r="AF198" s="8" t="n">
        <f aca="false">17+30/60</f>
        <v>17.5</v>
      </c>
      <c r="AG198" s="8" t="n">
        <f aca="false">17+8/60</f>
        <v>17.1333333333333</v>
      </c>
      <c r="AH198" s="8" t="n">
        <f aca="false">17+5/60</f>
        <v>17.0833333333333</v>
      </c>
      <c r="AI198" s="8" t="n">
        <f aca="false">17+11/60</f>
        <v>17.1833333333333</v>
      </c>
      <c r="AJ198" s="8" t="n">
        <f aca="false">60/3.6</f>
        <v>16.6666666666667</v>
      </c>
      <c r="AK198" s="8"/>
      <c r="AL198" s="8"/>
      <c r="AM198" s="8"/>
      <c r="AN198" s="8"/>
      <c r="AO198" s="8"/>
      <c r="AP198" s="4" t="n">
        <v>1</v>
      </c>
      <c r="AQ198" s="4" t="n">
        <v>0</v>
      </c>
      <c r="AR198" s="4" t="n">
        <v>0</v>
      </c>
      <c r="AS198" s="14" t="n">
        <f aca="false">60*U198-SUM(AT198:AX198)</f>
        <v>9.45</v>
      </c>
      <c r="AT198" s="8" t="n">
        <f aca="false">4+18/60</f>
        <v>4.3</v>
      </c>
      <c r="AU198" s="8" t="n">
        <f aca="false">18+29/60</f>
        <v>18.4833333333333</v>
      </c>
      <c r="AV198" s="8" t="n">
        <f aca="false">28+7/60</f>
        <v>28.1166666666667</v>
      </c>
      <c r="AW198" s="8" t="n">
        <f aca="false">21+41/60</f>
        <v>21.6833333333333</v>
      </c>
      <c r="AX198" s="8" t="n">
        <f aca="false">2+58/60</f>
        <v>2.96666666666667</v>
      </c>
      <c r="AY198" s="4" t="s">
        <v>59</v>
      </c>
      <c r="AZ198" s="4" t="s">
        <v>60</v>
      </c>
      <c r="BA198" s="4" t="n">
        <v>0</v>
      </c>
      <c r="BB198" s="4"/>
      <c r="BC198" s="4"/>
    </row>
    <row r="199" customFormat="false" ht="16.9" hidden="false" customHeight="false" outlineLevel="0" collapsed="false">
      <c r="A199" s="11" t="n">
        <f aca="false">A198+1</f>
        <v>731</v>
      </c>
      <c r="B199" s="12" t="n">
        <v>44077.4701388889</v>
      </c>
      <c r="C199" s="4" t="n">
        <v>1</v>
      </c>
      <c r="D199" s="4"/>
      <c r="E199" s="4"/>
      <c r="F199" s="4" t="s">
        <v>90</v>
      </c>
      <c r="G199" s="6" t="n">
        <v>77</v>
      </c>
      <c r="H199" s="6" t="n">
        <v>73</v>
      </c>
      <c r="I199" s="6" t="n">
        <f aca="false">(91+84)/2</f>
        <v>87.5</v>
      </c>
      <c r="J199" s="4" t="s">
        <v>142</v>
      </c>
      <c r="K199" s="6" t="n">
        <v>8</v>
      </c>
      <c r="L199" s="6" t="n">
        <v>0</v>
      </c>
      <c r="M199" s="3" t="s">
        <v>63</v>
      </c>
      <c r="N199" s="4" t="s">
        <v>136</v>
      </c>
      <c r="O199" s="4"/>
      <c r="P199" s="4" t="s">
        <v>64</v>
      </c>
      <c r="Q199" s="8" t="n">
        <v>6.45</v>
      </c>
      <c r="R199" s="6" t="n">
        <v>947</v>
      </c>
      <c r="S199" s="6" t="n">
        <v>14525</v>
      </c>
      <c r="T199" s="6" t="n">
        <f aca="false">S199-R199</f>
        <v>13578</v>
      </c>
      <c r="U199" s="8" t="n">
        <f aca="false">106/60</f>
        <v>1.76666666666667</v>
      </c>
      <c r="V199" s="8" t="n">
        <f aca="false">109/60</f>
        <v>1.81666666666667</v>
      </c>
      <c r="W199" s="8" t="n">
        <f aca="false">V199-U199</f>
        <v>0.05</v>
      </c>
      <c r="X199" s="8" t="n">
        <f aca="false">Q199/U199</f>
        <v>3.65094339622642</v>
      </c>
      <c r="Y199" s="4" t="n">
        <v>1</v>
      </c>
      <c r="Z199" s="8" t="n">
        <f aca="false">Q199/Y199</f>
        <v>6.45</v>
      </c>
      <c r="AA199" s="8" t="n">
        <f aca="false">16+30/60</f>
        <v>16.5</v>
      </c>
      <c r="AB199" s="6" t="n">
        <v>522</v>
      </c>
      <c r="AC199" s="6" t="n">
        <v>693</v>
      </c>
      <c r="AD199" s="6" t="n">
        <v>92</v>
      </c>
      <c r="AE199" s="4" t="n">
        <v>120</v>
      </c>
      <c r="AF199" s="8" t="n">
        <f aca="false">16+4/60</f>
        <v>16.0666666666667</v>
      </c>
      <c r="AG199" s="8" t="n">
        <f aca="false">15+54/60</f>
        <v>15.9</v>
      </c>
      <c r="AH199" s="8" t="n">
        <f aca="false">16+57/60</f>
        <v>16.95</v>
      </c>
      <c r="AI199" s="8" t="n">
        <f aca="false">17+2/60</f>
        <v>17.0333333333333</v>
      </c>
      <c r="AJ199" s="8" t="n">
        <f aca="false">16+24/60</f>
        <v>16.4</v>
      </c>
      <c r="AK199" s="8" t="n">
        <f aca="false">16+40/60</f>
        <v>16.6666666666667</v>
      </c>
      <c r="AL199" s="8" t="n">
        <f aca="false">60/3.7</f>
        <v>16.2162162162162</v>
      </c>
      <c r="AM199" s="8"/>
      <c r="AN199" s="8"/>
      <c r="AO199" s="8"/>
      <c r="AP199" s="4" t="n">
        <v>3</v>
      </c>
      <c r="AQ199" s="4" t="n">
        <v>0</v>
      </c>
      <c r="AR199" s="4" t="n">
        <v>0</v>
      </c>
      <c r="AS199" s="14" t="n">
        <v>0</v>
      </c>
      <c r="AT199" s="8" t="n">
        <f aca="false">39+40/60</f>
        <v>39.6666666666667</v>
      </c>
      <c r="AU199" s="8" t="n">
        <f aca="false">55+10/60</f>
        <v>55.1666666666667</v>
      </c>
      <c r="AV199" s="8" t="n">
        <f aca="false">11+19/60</f>
        <v>11.3166666666667</v>
      </c>
      <c r="AW199" s="8" t="n">
        <f aca="false">7/60</f>
        <v>0.116666666666667</v>
      </c>
      <c r="AX199" s="8" t="n">
        <v>0</v>
      </c>
      <c r="AY199" s="4" t="s">
        <v>59</v>
      </c>
      <c r="AZ199" s="4" t="s">
        <v>60</v>
      </c>
      <c r="BA199" s="4" t="n">
        <v>0</v>
      </c>
      <c r="BB199" s="4"/>
      <c r="BC199" s="4"/>
    </row>
    <row r="200" customFormat="false" ht="16.9" hidden="false" customHeight="false" outlineLevel="0" collapsed="false">
      <c r="A200" s="11" t="n">
        <f aca="false">A199+1</f>
        <v>732</v>
      </c>
      <c r="B200" s="12" t="n">
        <v>44078.4743055556</v>
      </c>
      <c r="C200" s="4" t="n">
        <v>1</v>
      </c>
      <c r="D200" s="4"/>
      <c r="E200" s="4"/>
      <c r="F200" s="4" t="s">
        <v>61</v>
      </c>
      <c r="G200" s="6" t="n">
        <v>83</v>
      </c>
      <c r="H200" s="6" t="n">
        <v>72</v>
      </c>
      <c r="I200" s="6" t="n">
        <f aca="false">(76+71)/2</f>
        <v>73.5</v>
      </c>
      <c r="J200" s="4" t="s">
        <v>124</v>
      </c>
      <c r="K200" s="6" t="n">
        <v>5</v>
      </c>
      <c r="L200" s="6" t="n">
        <v>0</v>
      </c>
      <c r="M200" s="3" t="s">
        <v>129</v>
      </c>
      <c r="N200" s="4" t="s">
        <v>136</v>
      </c>
      <c r="O200" s="4"/>
      <c r="P200" s="15" t="s">
        <v>131</v>
      </c>
      <c r="Q200" s="8" t="n">
        <v>5.12</v>
      </c>
      <c r="R200" s="6" t="n">
        <v>800</v>
      </c>
      <c r="S200" s="6" t="n">
        <v>11895</v>
      </c>
      <c r="T200" s="6" t="n">
        <f aca="false">S200-R200</f>
        <v>11095</v>
      </c>
      <c r="U200" s="8" t="n">
        <f aca="false">(60+29)/60</f>
        <v>1.48333333333333</v>
      </c>
      <c r="V200" s="8" t="n">
        <f aca="false">(60+38)/60</f>
        <v>1.63333333333333</v>
      </c>
      <c r="W200" s="8" t="n">
        <f aca="false">V200-U200</f>
        <v>0.15</v>
      </c>
      <c r="X200" s="8" t="n">
        <f aca="false">Q200/U200</f>
        <v>3.45168539325843</v>
      </c>
      <c r="Y200" s="4" t="n">
        <v>1</v>
      </c>
      <c r="Z200" s="8" t="n">
        <f aca="false">Q200/Y200</f>
        <v>5.12</v>
      </c>
      <c r="AA200" s="8" t="n">
        <f aca="false">17+22/60</f>
        <v>17.3666666666667</v>
      </c>
      <c r="AB200" s="6" t="n">
        <v>656</v>
      </c>
      <c r="AC200" s="6" t="n">
        <v>895</v>
      </c>
      <c r="AD200" s="6" t="n">
        <v>128</v>
      </c>
      <c r="AE200" s="4" t="n">
        <v>152</v>
      </c>
      <c r="AF200" s="8" t="n">
        <f aca="false">16+37/60</f>
        <v>16.6166666666667</v>
      </c>
      <c r="AG200" s="8" t="n">
        <f aca="false">16+41/60</f>
        <v>16.6833333333333</v>
      </c>
      <c r="AH200" s="8" t="n">
        <f aca="false">16+51/60</f>
        <v>16.85</v>
      </c>
      <c r="AI200" s="8" t="n">
        <f aca="false">16+57/60</f>
        <v>16.95</v>
      </c>
      <c r="AJ200" s="8" t="n">
        <f aca="false">19+33/60</f>
        <v>19.55</v>
      </c>
      <c r="AK200" s="8" t="n">
        <f aca="false">60/3.2</f>
        <v>18.75</v>
      </c>
      <c r="AL200" s="8"/>
      <c r="AM200" s="8"/>
      <c r="AN200" s="8"/>
      <c r="AO200" s="8"/>
      <c r="AP200" s="4" t="n">
        <v>3</v>
      </c>
      <c r="AQ200" s="4" t="n">
        <v>1</v>
      </c>
      <c r="AR200" s="4" t="n">
        <v>0</v>
      </c>
      <c r="AS200" s="14" t="n">
        <f aca="false">60*U200-SUM(AT200:AX200)</f>
        <v>8.38333333333333</v>
      </c>
      <c r="AT200" s="8" t="n">
        <f aca="false">0</f>
        <v>0</v>
      </c>
      <c r="AU200" s="8" t="n">
        <f aca="false">6+37/60</f>
        <v>6.61666666666667</v>
      </c>
      <c r="AV200" s="8" t="n">
        <f aca="false">9+3/60</f>
        <v>9.05</v>
      </c>
      <c r="AW200" s="8" t="n">
        <f aca="false">41/60+41</f>
        <v>41.6833333333333</v>
      </c>
      <c r="AX200" s="8" t="n">
        <f aca="false">23+16/60</f>
        <v>23.2666666666667</v>
      </c>
      <c r="AY200" s="4" t="s">
        <v>59</v>
      </c>
      <c r="AZ200" s="4" t="s">
        <v>60</v>
      </c>
      <c r="BA200" s="4" t="n">
        <v>0</v>
      </c>
      <c r="BB200" s="4"/>
      <c r="BC200" s="4"/>
    </row>
    <row r="201" customFormat="false" ht="16.9" hidden="false" customHeight="false" outlineLevel="0" collapsed="false">
      <c r="A201" s="11" t="n">
        <f aca="false">A200+1</f>
        <v>733</v>
      </c>
      <c r="B201" s="12" t="n">
        <v>44079.6229166667</v>
      </c>
      <c r="C201" s="4" t="n">
        <v>1</v>
      </c>
      <c r="D201" s="4"/>
      <c r="E201" s="4"/>
      <c r="F201" s="4" t="s">
        <v>61</v>
      </c>
      <c r="G201" s="11" t="n">
        <v>89</v>
      </c>
      <c r="H201" s="4" t="n">
        <v>70</v>
      </c>
      <c r="I201" s="4" t="n">
        <v>53</v>
      </c>
      <c r="J201" s="4" t="s">
        <v>110</v>
      </c>
      <c r="K201" s="4" t="n">
        <v>7</v>
      </c>
      <c r="L201" s="4" t="n">
        <v>0</v>
      </c>
      <c r="M201" s="3" t="s">
        <v>63</v>
      </c>
      <c r="N201" s="4"/>
      <c r="O201" s="4"/>
      <c r="P201" s="4"/>
      <c r="Q201" s="4"/>
      <c r="R201" s="11"/>
      <c r="S201" s="4"/>
      <c r="T201" s="11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16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</row>
    <row r="202" customFormat="false" ht="16.9" hidden="false" customHeight="false" outlineLevel="0" collapsed="false">
      <c r="A202" s="11" t="n">
        <f aca="false">A201+1</f>
        <v>734</v>
      </c>
      <c r="B202" s="12" t="n">
        <v>44080.4951388889</v>
      </c>
      <c r="C202" s="4" t="n">
        <v>0</v>
      </c>
      <c r="D202" s="4" t="s">
        <v>134</v>
      </c>
      <c r="E202" s="4"/>
      <c r="F202" s="4" t="s">
        <v>120</v>
      </c>
      <c r="G202" s="6" t="n">
        <v>83</v>
      </c>
      <c r="H202" s="6" t="n">
        <v>75</v>
      </c>
      <c r="I202" s="6" t="n">
        <v>77</v>
      </c>
      <c r="J202" s="6" t="s">
        <v>139</v>
      </c>
      <c r="K202" s="6" t="n">
        <v>8</v>
      </c>
      <c r="L202" s="6" t="n">
        <v>0</v>
      </c>
      <c r="M202" s="3" t="s">
        <v>129</v>
      </c>
      <c r="N202" s="4" t="s">
        <v>136</v>
      </c>
      <c r="O202" s="4"/>
      <c r="P202" s="4" t="s">
        <v>109</v>
      </c>
      <c r="Q202" s="8" t="n">
        <v>2.22</v>
      </c>
      <c r="R202" s="6" t="n">
        <v>1167</v>
      </c>
      <c r="S202" s="6" t="n">
        <v>5976</v>
      </c>
      <c r="T202" s="6" t="n">
        <f aca="false">S202-R202</f>
        <v>4809</v>
      </c>
      <c r="U202" s="8" t="n">
        <f aca="false">36/60</f>
        <v>0.6</v>
      </c>
      <c r="V202" s="8" t="n">
        <f aca="false">36/60</f>
        <v>0.6</v>
      </c>
      <c r="W202" s="8" t="n">
        <f aca="false">V202-U202</f>
        <v>0</v>
      </c>
      <c r="X202" s="8" t="n">
        <f aca="false">Q202/U202</f>
        <v>3.7</v>
      </c>
      <c r="Y202" s="4" t="n">
        <v>2</v>
      </c>
      <c r="Z202" s="8" t="n">
        <f aca="false">Q202/Y202</f>
        <v>1.11</v>
      </c>
      <c r="AA202" s="8" t="n">
        <f aca="false">16+15/60</f>
        <v>16.25</v>
      </c>
      <c r="AB202" s="6" t="n">
        <v>43</v>
      </c>
      <c r="AC202" s="6" t="n">
        <v>235</v>
      </c>
      <c r="AD202" s="6" t="n">
        <v>100</v>
      </c>
      <c r="AE202" s="4" t="n">
        <v>124</v>
      </c>
      <c r="AF202" s="8" t="n">
        <f aca="false">16+27/60</f>
        <v>16.45</v>
      </c>
      <c r="AG202" s="8" t="n">
        <f aca="false">16+5/60</f>
        <v>16.0833333333333</v>
      </c>
      <c r="AH202" s="8" t="n">
        <f aca="false">60/3.7</f>
        <v>16.2162162162162</v>
      </c>
      <c r="AI202" s="8"/>
      <c r="AJ202" s="8"/>
      <c r="AK202" s="8"/>
      <c r="AL202" s="8"/>
      <c r="AM202" s="8"/>
      <c r="AN202" s="8"/>
      <c r="AO202" s="8"/>
      <c r="AP202" s="4" t="n">
        <v>0</v>
      </c>
      <c r="AQ202" s="4" t="n">
        <v>0</v>
      </c>
      <c r="AR202" s="4" t="n">
        <v>0</v>
      </c>
      <c r="AS202" s="14" t="n">
        <f aca="false">60*U202-SUM(AT202:AX202)</f>
        <v>0.150000000000006</v>
      </c>
      <c r="AT202" s="8" t="n">
        <f aca="false">2+2/60</f>
        <v>2.03333333333333</v>
      </c>
      <c r="AU202" s="8" t="n">
        <f aca="false">26+4/60</f>
        <v>26.0666666666667</v>
      </c>
      <c r="AV202" s="8" t="n">
        <f aca="false">6+57/60</f>
        <v>6.95</v>
      </c>
      <c r="AW202" s="8" t="n">
        <f aca="false">48/60</f>
        <v>0.8</v>
      </c>
      <c r="AX202" s="8" t="n">
        <v>0</v>
      </c>
      <c r="AY202" s="4" t="s">
        <v>59</v>
      </c>
      <c r="AZ202" s="4" t="s">
        <v>60</v>
      </c>
      <c r="BA202" s="4" t="n">
        <v>0</v>
      </c>
      <c r="BB202" s="4"/>
      <c r="BC202" s="4"/>
    </row>
    <row r="203" customFormat="false" ht="16.9" hidden="false" customHeight="false" outlineLevel="0" collapsed="false">
      <c r="A203" s="11" t="n">
        <f aca="false">A202+1</f>
        <v>735</v>
      </c>
      <c r="B203" s="12" t="n">
        <v>44081.4673611111</v>
      </c>
      <c r="C203" s="4" t="n">
        <v>1</v>
      </c>
      <c r="D203" s="4"/>
      <c r="E203" s="4"/>
      <c r="F203" s="4" t="s">
        <v>54</v>
      </c>
      <c r="G203" s="6" t="n">
        <v>92</v>
      </c>
      <c r="H203" s="6" t="n">
        <v>70</v>
      </c>
      <c r="I203" s="4" t="n">
        <v>52</v>
      </c>
      <c r="J203" s="4" t="s">
        <v>80</v>
      </c>
      <c r="K203" s="6" t="n">
        <v>12</v>
      </c>
      <c r="L203" s="6" t="n">
        <v>0</v>
      </c>
      <c r="M203" s="3" t="s">
        <v>129</v>
      </c>
      <c r="N203" s="4" t="s">
        <v>136</v>
      </c>
      <c r="O203" s="4"/>
      <c r="P203" s="4" t="s">
        <v>126</v>
      </c>
      <c r="Q203" s="8" t="n">
        <v>5.86</v>
      </c>
      <c r="R203" s="6" t="n">
        <v>786</v>
      </c>
      <c r="S203" s="6"/>
      <c r="T203" s="6"/>
      <c r="U203" s="8" t="n">
        <f aca="false">(60+47)/60</f>
        <v>1.78333333333333</v>
      </c>
      <c r="V203" s="8" t="n">
        <f aca="false">(120+12)/60</f>
        <v>2.2</v>
      </c>
      <c r="W203" s="8" t="n">
        <f aca="false">V203-U203</f>
        <v>0.416666666666667</v>
      </c>
      <c r="X203" s="8" t="n">
        <f aca="false">Q203/U203</f>
        <v>3.28598130841121</v>
      </c>
      <c r="Y203" s="4" t="n">
        <v>1</v>
      </c>
      <c r="Z203" s="8" t="n">
        <f aca="false">Q203/Y203</f>
        <v>5.86</v>
      </c>
      <c r="AA203" s="8" t="n">
        <f aca="false">18+17/60</f>
        <v>18.2833333333333</v>
      </c>
      <c r="AB203" s="6" t="n">
        <v>850</v>
      </c>
      <c r="AC203" s="6" t="n">
        <v>991</v>
      </c>
      <c r="AD203" s="6" t="n">
        <v>121</v>
      </c>
      <c r="AE203" s="4" t="n">
        <v>128</v>
      </c>
      <c r="AF203" s="8" t="n">
        <f aca="false">16+13/60</f>
        <v>16.2166666666667</v>
      </c>
      <c r="AG203" s="8" t="n">
        <f aca="false">17+1/60</f>
        <v>17.0166666666667</v>
      </c>
      <c r="AH203" s="8" t="n">
        <f aca="false">18+55/60</f>
        <v>18.9166666666667</v>
      </c>
      <c r="AI203" s="8" t="n">
        <f aca="false">18+49/60</f>
        <v>18.8166666666667</v>
      </c>
      <c r="AJ203" s="8" t="n">
        <f aca="false">19+32/60</f>
        <v>19.5333333333333</v>
      </c>
      <c r="AK203" s="8" t="n">
        <f aca="false">60/3.1</f>
        <v>19.3548387096774</v>
      </c>
      <c r="AL203" s="8"/>
      <c r="AM203" s="8"/>
      <c r="AN203" s="8"/>
      <c r="AO203" s="8"/>
      <c r="AP203" s="4" t="n">
        <v>4</v>
      </c>
      <c r="AQ203" s="4" t="n">
        <v>1</v>
      </c>
      <c r="AR203" s="4" t="n">
        <v>0</v>
      </c>
      <c r="AS203" s="14" t="n">
        <v>0</v>
      </c>
      <c r="AT203" s="8" t="n">
        <f aca="false">14/60</f>
        <v>0.233333333333333</v>
      </c>
      <c r="AU203" s="8" t="n">
        <f aca="false">26+56/60</f>
        <v>26.9333333333333</v>
      </c>
      <c r="AV203" s="8" t="n">
        <f aca="false">9+20/60</f>
        <v>9.33333333333333</v>
      </c>
      <c r="AW203" s="8" t="n">
        <f aca="false">42+27/60</f>
        <v>42.45</v>
      </c>
      <c r="AX203" s="8" t="n">
        <f aca="false">28+17/60</f>
        <v>28.2833333333333</v>
      </c>
      <c r="AY203" s="4" t="s">
        <v>59</v>
      </c>
      <c r="AZ203" s="4" t="s">
        <v>60</v>
      </c>
      <c r="BA203" s="4" t="n">
        <v>0</v>
      </c>
      <c r="BB203" s="4"/>
      <c r="BC203" s="4"/>
    </row>
    <row r="204" customFormat="false" ht="16.9" hidden="false" customHeight="false" outlineLevel="0" collapsed="false">
      <c r="A204" s="11" t="n">
        <f aca="false">A203+1</f>
        <v>736</v>
      </c>
      <c r="B204" s="12" t="n">
        <v>44082.4756944445</v>
      </c>
      <c r="C204" s="4" t="n">
        <v>1</v>
      </c>
      <c r="D204" s="4"/>
      <c r="E204" s="4"/>
      <c r="F204" s="4" t="s">
        <v>61</v>
      </c>
      <c r="G204" s="6" t="n">
        <v>87</v>
      </c>
      <c r="H204" s="6" t="n">
        <v>73</v>
      </c>
      <c r="I204" s="6" t="n">
        <f aca="false">(67+61)/2</f>
        <v>64</v>
      </c>
      <c r="J204" s="6" t="s">
        <v>62</v>
      </c>
      <c r="K204" s="6" t="n">
        <v>16</v>
      </c>
      <c r="L204" s="6" t="n">
        <v>28</v>
      </c>
      <c r="M204" s="3" t="s">
        <v>63</v>
      </c>
      <c r="N204" s="4" t="s">
        <v>136</v>
      </c>
      <c r="O204" s="4"/>
      <c r="P204" s="4" t="s">
        <v>94</v>
      </c>
      <c r="Q204" s="8" t="n">
        <v>5.24</v>
      </c>
      <c r="R204" s="6"/>
      <c r="S204" s="6"/>
      <c r="T204" s="6"/>
      <c r="U204" s="8" t="n">
        <f aca="false">(60+26)/60</f>
        <v>1.43333333333333</v>
      </c>
      <c r="V204" s="8" t="n">
        <f aca="false">(60+40)/60</f>
        <v>1.66666666666667</v>
      </c>
      <c r="W204" s="8" t="n">
        <f aca="false">V204-U204</f>
        <v>0.233333333333333</v>
      </c>
      <c r="X204" s="8" t="n">
        <f aca="false">Q204/U204</f>
        <v>3.65581395348837</v>
      </c>
      <c r="Y204" s="4" t="n">
        <v>1</v>
      </c>
      <c r="Z204" s="8" t="n">
        <f aca="false">Q204/Y204</f>
        <v>5.24</v>
      </c>
      <c r="AA204" s="8" t="n">
        <f aca="false">16+27/60</f>
        <v>16.45</v>
      </c>
      <c r="AB204" s="6" t="n">
        <v>1355</v>
      </c>
      <c r="AC204" s="6" t="n">
        <v>810</v>
      </c>
      <c r="AD204" s="6" t="n">
        <v>111</v>
      </c>
      <c r="AE204" s="4" t="n">
        <v>151</v>
      </c>
      <c r="AF204" s="8" t="n">
        <f aca="false">15+41/60</f>
        <v>15.6833333333333</v>
      </c>
      <c r="AG204" s="8" t="n">
        <f aca="false">15+48/60</f>
        <v>15.8</v>
      </c>
      <c r="AH204" s="8" t="n">
        <f aca="false">16+45/60</f>
        <v>16.75</v>
      </c>
      <c r="AI204" s="8" t="n">
        <f aca="false">16+44/60</f>
        <v>16.7333333333333</v>
      </c>
      <c r="AJ204" s="8" t="n">
        <f aca="false">16+45/60</f>
        <v>16.75</v>
      </c>
      <c r="AK204" s="8" t="n">
        <f aca="false">60/3.2</f>
        <v>18.75</v>
      </c>
      <c r="AL204" s="8"/>
      <c r="AM204" s="8"/>
      <c r="AN204" s="8"/>
      <c r="AO204" s="8"/>
      <c r="AP204" s="4" t="n">
        <v>4</v>
      </c>
      <c r="AQ204" s="4" t="n">
        <v>0</v>
      </c>
      <c r="AR204" s="4" t="n">
        <v>0</v>
      </c>
      <c r="AS204" s="14" t="n">
        <f aca="false">60*U204-SUM(AT204:AX204)</f>
        <v>13.6</v>
      </c>
      <c r="AT204" s="8" t="n">
        <f aca="false">18+29/60</f>
        <v>18.4833333333333</v>
      </c>
      <c r="AU204" s="8" t="n">
        <f aca="false">3+23/60</f>
        <v>3.38333333333333</v>
      </c>
      <c r="AV204" s="8" t="n">
        <f aca="false">3+4/60</f>
        <v>3.06666666666667</v>
      </c>
      <c r="AW204" s="8" t="n">
        <f aca="false">8+27/60</f>
        <v>8.45</v>
      </c>
      <c r="AX204" s="8" t="n">
        <f aca="false">39+1/60</f>
        <v>39.0166666666667</v>
      </c>
      <c r="AY204" s="4" t="s">
        <v>59</v>
      </c>
      <c r="AZ204" s="4" t="s">
        <v>60</v>
      </c>
      <c r="BA204" s="4" t="n">
        <v>0</v>
      </c>
      <c r="BB204" s="4"/>
      <c r="BC204" s="4"/>
    </row>
    <row r="205" customFormat="false" ht="16.9" hidden="false" customHeight="false" outlineLevel="0" collapsed="false">
      <c r="A205" s="11" t="n">
        <f aca="false">A204+1</f>
        <v>737</v>
      </c>
      <c r="B205" s="12" t="n">
        <v>44083.4951388889</v>
      </c>
      <c r="C205" s="4" t="n">
        <v>0</v>
      </c>
      <c r="D205" s="4" t="s">
        <v>148</v>
      </c>
      <c r="E205" s="4"/>
      <c r="F205" s="4" t="s">
        <v>65</v>
      </c>
      <c r="G205" s="6" t="n">
        <v>81</v>
      </c>
      <c r="H205" s="6" t="n">
        <v>74</v>
      </c>
      <c r="I205" s="6" t="n">
        <v>76</v>
      </c>
      <c r="J205" s="4" t="s">
        <v>88</v>
      </c>
      <c r="K205" s="6" t="n">
        <v>10</v>
      </c>
      <c r="L205" s="6" t="n">
        <v>0</v>
      </c>
      <c r="M205" s="3" t="s">
        <v>63</v>
      </c>
      <c r="N205" s="4"/>
      <c r="O205" s="4"/>
      <c r="P205" s="4"/>
      <c r="Q205" s="8"/>
      <c r="R205" s="6"/>
      <c r="S205" s="6"/>
      <c r="T205" s="6"/>
      <c r="U205" s="8"/>
      <c r="V205" s="8"/>
      <c r="W205" s="8"/>
      <c r="X205" s="8"/>
      <c r="Y205" s="4"/>
      <c r="Z205" s="8"/>
      <c r="AA205" s="8"/>
      <c r="AB205" s="6"/>
      <c r="AC205" s="6"/>
      <c r="AD205" s="6"/>
      <c r="AE205" s="4"/>
      <c r="AF205" s="8"/>
      <c r="AG205" s="8"/>
      <c r="AI205" s="8"/>
      <c r="AJ205" s="8"/>
      <c r="AK205" s="8"/>
      <c r="AL205" s="8"/>
      <c r="AM205" s="8"/>
      <c r="AN205" s="8"/>
      <c r="AO205" s="8"/>
      <c r="AP205" s="4"/>
      <c r="AQ205" s="4"/>
      <c r="AR205" s="4"/>
      <c r="AS205" s="14"/>
      <c r="AT205" s="8"/>
      <c r="AU205" s="8"/>
      <c r="AV205" s="8"/>
      <c r="AW205" s="8"/>
      <c r="AX205" s="8"/>
      <c r="AY205" s="4"/>
      <c r="AZ205" s="4"/>
      <c r="BA205" s="4"/>
      <c r="BB205" s="4"/>
      <c r="BC205" s="4"/>
    </row>
    <row r="206" customFormat="false" ht="16.9" hidden="false" customHeight="false" outlineLevel="0" collapsed="false">
      <c r="A206" s="11" t="n">
        <f aca="false">A205+1</f>
        <v>738</v>
      </c>
      <c r="B206" s="12" t="n">
        <v>44084.5798611111</v>
      </c>
      <c r="C206" s="4" t="n">
        <v>1</v>
      </c>
      <c r="D206" s="4"/>
      <c r="E206" s="4"/>
      <c r="F206" s="4" t="s">
        <v>61</v>
      </c>
      <c r="G206" s="6" t="n">
        <v>74</v>
      </c>
      <c r="H206" s="6" t="n">
        <v>63</v>
      </c>
      <c r="I206" s="6" t="n">
        <v>68</v>
      </c>
      <c r="J206" s="4" t="s">
        <v>111</v>
      </c>
      <c r="K206" s="6" t="n">
        <v>9</v>
      </c>
      <c r="L206" s="6" t="n">
        <v>0</v>
      </c>
      <c r="M206" s="3" t="s">
        <v>63</v>
      </c>
      <c r="N206" s="4" t="s">
        <v>136</v>
      </c>
      <c r="O206" s="4" t="s">
        <v>149</v>
      </c>
      <c r="P206" s="4" t="s">
        <v>112</v>
      </c>
      <c r="Q206" s="8" t="n">
        <v>6</v>
      </c>
      <c r="R206" s="6" t="n">
        <v>513</v>
      </c>
      <c r="S206" s="6" t="n">
        <v>12809</v>
      </c>
      <c r="T206" s="6" t="n">
        <f aca="false">S206-R206</f>
        <v>12296</v>
      </c>
      <c r="U206" s="8" t="n">
        <f aca="false">(60+34)/60</f>
        <v>1.56666666666667</v>
      </c>
      <c r="V206" s="8" t="n">
        <f aca="false">(60+39)/60</f>
        <v>1.65</v>
      </c>
      <c r="W206" s="8" t="n">
        <f aca="false">V206-U206</f>
        <v>0.0833333333333333</v>
      </c>
      <c r="X206" s="8" t="n">
        <f aca="false">Q206/U206</f>
        <v>3.82978723404255</v>
      </c>
      <c r="Y206" s="4" t="n">
        <v>1</v>
      </c>
      <c r="Z206" s="8" t="n">
        <f aca="false">Q206/Y206</f>
        <v>6</v>
      </c>
      <c r="AA206" s="8" t="n">
        <f aca="false">15+35/60</f>
        <v>15.5833333333333</v>
      </c>
      <c r="AB206" s="6" t="n">
        <v>312</v>
      </c>
      <c r="AC206" s="6" t="n">
        <v>644</v>
      </c>
      <c r="AD206" s="6" t="n">
        <v>90</v>
      </c>
      <c r="AE206" s="4" t="n">
        <v>115</v>
      </c>
      <c r="AF206" s="8" t="n">
        <f aca="false">15+28/60</f>
        <v>15.4666666666667</v>
      </c>
      <c r="AG206" s="8" t="n">
        <f aca="false">15+21/60</f>
        <v>15.35</v>
      </c>
      <c r="AH206" s="8" t="n">
        <f aca="false">15+39/60</f>
        <v>15.65</v>
      </c>
      <c r="AI206" s="8" t="n">
        <f aca="false">16+13/60</f>
        <v>16.2166666666667</v>
      </c>
      <c r="AJ206" s="8" t="n">
        <f aca="false">15+6/60</f>
        <v>15.1</v>
      </c>
      <c r="AK206" s="8" t="n">
        <f aca="false">15+41/60</f>
        <v>15.6833333333333</v>
      </c>
      <c r="AL206" s="8" t="n">
        <v>0</v>
      </c>
      <c r="AM206" s="8"/>
      <c r="AN206" s="8"/>
      <c r="AO206" s="8"/>
      <c r="AP206" s="4" t="n">
        <v>2</v>
      </c>
      <c r="AQ206" s="4" t="n">
        <v>0</v>
      </c>
      <c r="AR206" s="4" t="n">
        <v>0</v>
      </c>
      <c r="AS206" s="14" t="n">
        <f aca="false">60*U206-SUM(AT206:AX206)</f>
        <v>13.1166666666667</v>
      </c>
      <c r="AT206" s="8" t="n">
        <f aca="false">21+33/60</f>
        <v>21.55</v>
      </c>
      <c r="AU206" s="8" t="n">
        <f aca="false">55+36/60</f>
        <v>55.6</v>
      </c>
      <c r="AV206" s="8" t="n">
        <f aca="false">3+44/60</f>
        <v>3.73333333333333</v>
      </c>
      <c r="AW206" s="8" t="n">
        <v>0</v>
      </c>
      <c r="AX206" s="8" t="n">
        <v>0</v>
      </c>
      <c r="AY206" s="4" t="s">
        <v>59</v>
      </c>
      <c r="AZ206" s="4" t="s">
        <v>60</v>
      </c>
      <c r="BA206" s="4" t="n">
        <v>0</v>
      </c>
      <c r="BB206" s="4"/>
      <c r="BC206" s="4"/>
    </row>
    <row r="207" customFormat="false" ht="16.9" hidden="false" customHeight="false" outlineLevel="0" collapsed="false">
      <c r="A207" s="11" t="n">
        <f aca="false">A206+1</f>
        <v>739</v>
      </c>
      <c r="B207" s="12" t="n">
        <v>44085.5104166667</v>
      </c>
      <c r="C207" s="4" t="n">
        <v>1</v>
      </c>
      <c r="D207" s="4"/>
      <c r="E207" s="4"/>
      <c r="F207" s="4" t="s">
        <v>61</v>
      </c>
      <c r="G207" s="6" t="n">
        <v>71</v>
      </c>
      <c r="H207" s="6" t="n">
        <v>63</v>
      </c>
      <c r="I207" s="6" t="n">
        <v>68</v>
      </c>
      <c r="J207" s="4" t="s">
        <v>86</v>
      </c>
      <c r="K207" s="6" t="n">
        <v>3</v>
      </c>
      <c r="L207" s="6" t="n">
        <v>0</v>
      </c>
      <c r="M207" s="3" t="s">
        <v>63</v>
      </c>
      <c r="N207" s="4" t="s">
        <v>150</v>
      </c>
      <c r="O207" s="4" t="s">
        <v>149</v>
      </c>
      <c r="P207" s="4" t="s">
        <v>69</v>
      </c>
      <c r="Q207" s="8" t="n">
        <v>6.09</v>
      </c>
      <c r="R207" s="6" t="n">
        <v>581</v>
      </c>
      <c r="S207" s="6" t="n">
        <v>13154</v>
      </c>
      <c r="T207" s="6" t="n">
        <f aca="false">S207-R207</f>
        <v>12573</v>
      </c>
      <c r="U207" s="8" t="n">
        <f aca="false">(60+39)/60</f>
        <v>1.65</v>
      </c>
      <c r="V207" s="8" t="n">
        <f aca="false">(60+42)/60</f>
        <v>1.7</v>
      </c>
      <c r="W207" s="8" t="n">
        <f aca="false">V207-U207</f>
        <v>0.05</v>
      </c>
      <c r="X207" s="8" t="n">
        <f aca="false">Q207/U207</f>
        <v>3.69090909090909</v>
      </c>
      <c r="Y207" s="4" t="n">
        <v>1</v>
      </c>
      <c r="Z207" s="8" t="n">
        <f aca="false">Q207/Y207</f>
        <v>6.09</v>
      </c>
      <c r="AA207" s="8" t="n">
        <f aca="false">16+19/60</f>
        <v>16.3166666666667</v>
      </c>
      <c r="AB207" s="6" t="n">
        <v>925</v>
      </c>
      <c r="AC207" s="6" t="n">
        <v>666</v>
      </c>
      <c r="AD207" s="6" t="n">
        <v>88</v>
      </c>
      <c r="AE207" s="4" t="n">
        <v>128</v>
      </c>
      <c r="AF207" s="8" t="n">
        <f aca="false">16+5/60</f>
        <v>16.0833333333333</v>
      </c>
      <c r="AG207" s="8" t="n">
        <f aca="false">15+46/60</f>
        <v>15.7666666666667</v>
      </c>
      <c r="AH207" s="8" t="n">
        <f aca="false">15+59/60</f>
        <v>15.9833333333333</v>
      </c>
      <c r="AI207" s="8" t="n">
        <f aca="false">16+26/60</f>
        <v>16.4333333333333</v>
      </c>
      <c r="AJ207" s="8" t="n">
        <f aca="false">16+27/60</f>
        <v>16.45</v>
      </c>
      <c r="AK207" s="8" t="n">
        <f aca="false">16+40/60</f>
        <v>16.6666666666667</v>
      </c>
      <c r="AL207" s="8" t="n">
        <f aca="false">60/2.8</f>
        <v>21.4285714285714</v>
      </c>
      <c r="AM207" s="8"/>
      <c r="AN207" s="8"/>
      <c r="AO207" s="8"/>
      <c r="AP207" s="4" t="n">
        <v>2</v>
      </c>
      <c r="AQ207" s="4" t="n">
        <v>0</v>
      </c>
      <c r="AR207" s="4" t="n">
        <v>0</v>
      </c>
      <c r="AS207" s="14" t="n">
        <f aca="false">60*U207-SUM(AT207:AX207)</f>
        <v>15.0833333333333</v>
      </c>
      <c r="AT207" s="8" t="n">
        <f aca="false">37+28/60</f>
        <v>37.4666666666667</v>
      </c>
      <c r="AU207" s="8" t="n">
        <f aca="false">35+56/60</f>
        <v>35.9333333333333</v>
      </c>
      <c r="AV207" s="8" t="n">
        <f aca="false">7+14/60</f>
        <v>7.23333333333333</v>
      </c>
      <c r="AW207" s="8" t="n">
        <f aca="false">3+17/60</f>
        <v>3.28333333333333</v>
      </c>
      <c r="AX207" s="8" t="n">
        <v>0</v>
      </c>
      <c r="AY207" s="4" t="s">
        <v>59</v>
      </c>
      <c r="AZ207" s="4" t="s">
        <v>60</v>
      </c>
      <c r="BA207" s="4" t="n">
        <v>0</v>
      </c>
      <c r="BB207" s="4"/>
      <c r="BC207" s="4"/>
    </row>
    <row r="208" customFormat="false" ht="16.9" hidden="false" customHeight="false" outlineLevel="0" collapsed="false">
      <c r="A208" s="11" t="n">
        <f aca="false">A207+1</f>
        <v>740</v>
      </c>
      <c r="B208" s="12" t="n">
        <v>44086.4458333333</v>
      </c>
      <c r="C208" s="4" t="n">
        <v>1</v>
      </c>
      <c r="D208" s="4"/>
      <c r="E208" s="4"/>
      <c r="F208" s="4" t="s">
        <v>61</v>
      </c>
      <c r="G208" s="6" t="n">
        <f aca="false">79+35/60*(81-79)</f>
        <v>80.1666666666667</v>
      </c>
      <c r="H208" s="6" t="n">
        <v>68</v>
      </c>
      <c r="I208" s="6" t="n">
        <v>69</v>
      </c>
      <c r="J208" s="4" t="s">
        <v>86</v>
      </c>
      <c r="K208" s="6" t="n">
        <v>3</v>
      </c>
      <c r="L208" s="6" t="n">
        <v>0</v>
      </c>
      <c r="M208" s="3" t="s">
        <v>63</v>
      </c>
      <c r="N208" s="4" t="s">
        <v>150</v>
      </c>
      <c r="O208" s="4" t="s">
        <v>149</v>
      </c>
      <c r="P208" s="4" t="s">
        <v>146</v>
      </c>
      <c r="Q208" s="8" t="n">
        <v>4.84</v>
      </c>
      <c r="R208" s="6" t="n">
        <v>546</v>
      </c>
      <c r="S208" s="6" t="n">
        <v>11454</v>
      </c>
      <c r="T208" s="6" t="n">
        <f aca="false">S208-R208</f>
        <v>10908</v>
      </c>
      <c r="U208" s="8" t="n">
        <f aca="false">(60+35)/60</f>
        <v>1.58333333333333</v>
      </c>
      <c r="V208" s="8" t="n">
        <f aca="false">(60+48)/60</f>
        <v>1.8</v>
      </c>
      <c r="W208" s="8" t="n">
        <f aca="false">V208-U208</f>
        <v>0.216666666666667</v>
      </c>
      <c r="X208" s="8" t="n">
        <f aca="false">Q208/U208</f>
        <v>3.05684210526316</v>
      </c>
      <c r="Y208" s="4" t="n">
        <v>1</v>
      </c>
      <c r="Z208" s="8" t="n">
        <f aca="false">Q208/Y208</f>
        <v>4.84</v>
      </c>
      <c r="AA208" s="8" t="n">
        <f aca="false">19+42/60</f>
        <v>19.7</v>
      </c>
      <c r="AB208" s="6" t="n">
        <v>604</v>
      </c>
      <c r="AC208" s="6" t="n">
        <v>554</v>
      </c>
      <c r="AD208" s="6" t="n">
        <v>112</v>
      </c>
      <c r="AE208" s="4" t="n">
        <v>139</v>
      </c>
      <c r="AF208" s="8" t="n">
        <f aca="false">17+45/60</f>
        <v>17.75</v>
      </c>
      <c r="AG208" s="8" t="n">
        <f aca="false">21+52/60</f>
        <v>21.8666666666667</v>
      </c>
      <c r="AH208" s="8" t="n">
        <f aca="false">21+47/60</f>
        <v>21.7833333333333</v>
      </c>
      <c r="AI208" s="8" t="n">
        <f aca="false">17+43/60</f>
        <v>17.7166666666667</v>
      </c>
      <c r="AJ208" s="8" t="n">
        <f aca="false">16+18/2</f>
        <v>25</v>
      </c>
      <c r="AK208" s="8" t="n">
        <f aca="false">60/3.1</f>
        <v>19.3548387096774</v>
      </c>
      <c r="AL208" s="8"/>
      <c r="AM208" s="8"/>
      <c r="AN208" s="8"/>
      <c r="AO208" s="8"/>
      <c r="AP208" s="4" t="n">
        <v>1</v>
      </c>
      <c r="AQ208" s="4" t="n">
        <v>0</v>
      </c>
      <c r="AR208" s="4" t="n">
        <v>0</v>
      </c>
      <c r="AS208" s="14" t="n">
        <f aca="false">60*U208-SUM(AT208:AX208)</f>
        <v>1.46666666666667</v>
      </c>
      <c r="AT208" s="8" t="n">
        <f aca="false">28+36/60</f>
        <v>28.6</v>
      </c>
      <c r="AU208" s="8" t="n">
        <f aca="false">54+7/60</f>
        <v>54.1166666666667</v>
      </c>
      <c r="AV208" s="8" t="n">
        <f aca="false">10+49/60</f>
        <v>10.8166666666667</v>
      </c>
      <c r="AW208" s="8" t="n">
        <v>0</v>
      </c>
      <c r="AX208" s="8" t="n">
        <v>0</v>
      </c>
      <c r="AY208" s="4" t="s">
        <v>59</v>
      </c>
      <c r="AZ208" s="4" t="s">
        <v>60</v>
      </c>
      <c r="BA208" s="4" t="n">
        <v>0</v>
      </c>
      <c r="BB208" s="4"/>
      <c r="BC208" s="4"/>
    </row>
    <row r="209" customFormat="false" ht="16.9" hidden="false" customHeight="false" outlineLevel="0" collapsed="false">
      <c r="A209" s="11" t="n">
        <f aca="false">A208+1</f>
        <v>741</v>
      </c>
      <c r="B209" s="12" t="n">
        <v>44087.5770833333</v>
      </c>
      <c r="C209" s="4" t="n">
        <v>1</v>
      </c>
      <c r="D209" s="4"/>
      <c r="E209" s="4"/>
      <c r="F209" s="4" t="s">
        <v>54</v>
      </c>
      <c r="G209" s="6" t="n">
        <v>69</v>
      </c>
      <c r="H209" s="6" t="n">
        <v>69</v>
      </c>
      <c r="I209" s="6" t="n">
        <f aca="false">(57+51)/2</f>
        <v>54</v>
      </c>
      <c r="J209" s="4" t="s">
        <v>86</v>
      </c>
      <c r="K209" s="6" t="n">
        <f aca="false">(14+10)/2</f>
        <v>12</v>
      </c>
      <c r="L209" s="6" t="n">
        <v>21</v>
      </c>
      <c r="M209" s="3" t="s">
        <v>63</v>
      </c>
      <c r="N209" s="4" t="s">
        <v>150</v>
      </c>
      <c r="O209" s="4" t="s">
        <v>149</v>
      </c>
      <c r="P209" s="4" t="s">
        <v>87</v>
      </c>
      <c r="Q209" s="8" t="n">
        <v>5.32</v>
      </c>
      <c r="R209" s="6" t="n">
        <v>1557</v>
      </c>
      <c r="S209" s="6" t="n">
        <f aca="false">13164</f>
        <v>13164</v>
      </c>
      <c r="T209" s="6" t="n">
        <f aca="false">S209-R209</f>
        <v>11607</v>
      </c>
      <c r="U209" s="8" t="n">
        <f aca="false">(60+37)/60</f>
        <v>1.61666666666667</v>
      </c>
      <c r="V209" s="8" t="n">
        <f aca="false">(60+39)/60</f>
        <v>1.65</v>
      </c>
      <c r="W209" s="8" t="n">
        <f aca="false">V209-U209</f>
        <v>0.0333333333333332</v>
      </c>
      <c r="X209" s="8" t="n">
        <f aca="false">Q209/U209</f>
        <v>3.29072164948454</v>
      </c>
      <c r="Y209" s="4" t="n">
        <v>1</v>
      </c>
      <c r="Z209" s="8" t="n">
        <f aca="false">Q209/Y209</f>
        <v>5.32</v>
      </c>
      <c r="AA209" s="8" t="n">
        <f aca="false">18+14/60</f>
        <v>18.2333333333333</v>
      </c>
      <c r="AB209" s="6" t="n">
        <v>338</v>
      </c>
      <c r="AC209" s="6" t="n">
        <v>632</v>
      </c>
      <c r="AD209" s="6" t="n">
        <v>130</v>
      </c>
      <c r="AE209" s="4" t="n">
        <v>142</v>
      </c>
      <c r="AF209" s="8" t="n">
        <f aca="false">16+53/60</f>
        <v>16.8833333333333</v>
      </c>
      <c r="AG209" s="8" t="n">
        <f aca="false">17+5/60</f>
        <v>17.0833333333333</v>
      </c>
      <c r="AH209" s="8" t="n">
        <f aca="false">17+29/60</f>
        <v>17.4833333333333</v>
      </c>
      <c r="AI209" s="8" t="n">
        <f aca="false">18+51/60</f>
        <v>18.85</v>
      </c>
      <c r="AJ209" s="8" t="n">
        <f aca="false">19+37/50</f>
        <v>19.74</v>
      </c>
      <c r="AK209" s="8" t="n">
        <f aca="false">60/2.7</f>
        <v>22.2222222222222</v>
      </c>
      <c r="AL209" s="8"/>
      <c r="AM209" s="8"/>
      <c r="AN209" s="8"/>
      <c r="AO209" s="8"/>
      <c r="AP209" s="4" t="n">
        <v>1</v>
      </c>
      <c r="AQ209" s="4" t="n">
        <v>1</v>
      </c>
      <c r="AR209" s="4" t="n">
        <v>0</v>
      </c>
      <c r="AS209" s="14" t="n">
        <v>0</v>
      </c>
      <c r="AT209" s="8" t="n">
        <f aca="false">1+38/60</f>
        <v>1.63333333333333</v>
      </c>
      <c r="AU209" s="8" t="n">
        <f aca="false">15+26/60</f>
        <v>15.4333333333333</v>
      </c>
      <c r="AV209" s="8" t="n">
        <f aca="false">79+58/60</f>
        <v>79.9666666666667</v>
      </c>
      <c r="AW209" s="8" t="n">
        <v>0</v>
      </c>
      <c r="AX209" s="8" t="n">
        <v>0</v>
      </c>
      <c r="AY209" s="4" t="s">
        <v>59</v>
      </c>
      <c r="AZ209" s="4" t="s">
        <v>60</v>
      </c>
      <c r="BA209" s="4" t="n">
        <v>0</v>
      </c>
      <c r="BB209" s="4"/>
      <c r="BC209" s="4"/>
    </row>
    <row r="210" customFormat="false" ht="16.9" hidden="false" customHeight="false" outlineLevel="0" collapsed="false">
      <c r="A210" s="11" t="n">
        <f aca="false">A209+1</f>
        <v>742</v>
      </c>
      <c r="B210" s="12" t="n">
        <v>44088.7625</v>
      </c>
      <c r="C210" s="4" t="n">
        <v>1</v>
      </c>
      <c r="D210" s="4"/>
      <c r="E210" s="4"/>
      <c r="F210" s="4" t="s">
        <v>120</v>
      </c>
      <c r="G210" s="6" t="n">
        <v>88</v>
      </c>
      <c r="H210" s="6" t="n">
        <v>66</v>
      </c>
      <c r="I210" s="6" t="n">
        <v>52</v>
      </c>
      <c r="J210" s="6" t="s">
        <v>83</v>
      </c>
      <c r="K210" s="6" t="n">
        <v>7</v>
      </c>
      <c r="L210" s="6" t="n">
        <v>0</v>
      </c>
      <c r="M210" s="3" t="s">
        <v>63</v>
      </c>
      <c r="N210" s="4" t="s">
        <v>150</v>
      </c>
      <c r="O210" s="4" t="s">
        <v>149</v>
      </c>
      <c r="P210" s="15" t="s">
        <v>131</v>
      </c>
      <c r="Q210" s="8" t="n">
        <v>6.35</v>
      </c>
      <c r="R210" s="6" t="n">
        <v>2103</v>
      </c>
      <c r="S210" s="6" t="n">
        <v>13168</v>
      </c>
      <c r="T210" s="6" t="n">
        <f aca="false">S210-R210</f>
        <v>11065</v>
      </c>
      <c r="U210" s="8" t="n">
        <f aca="false">(60+52)/60</f>
        <v>1.86666666666667</v>
      </c>
      <c r="V210" s="8" t="n">
        <f aca="false">(60+56)/60</f>
        <v>1.93333333333333</v>
      </c>
      <c r="W210" s="8" t="n">
        <f aca="false">V210-U210</f>
        <v>0.0666666666666667</v>
      </c>
      <c r="X210" s="8" t="n">
        <f aca="false">Q210/U210</f>
        <v>3.40178571428571</v>
      </c>
      <c r="Y210" s="4" t="n">
        <v>1</v>
      </c>
      <c r="Z210" s="8" t="n">
        <f aca="false">Q210/Y210</f>
        <v>6.35</v>
      </c>
      <c r="AA210" s="8" t="n">
        <f aca="false">18+14/60</f>
        <v>18.2333333333333</v>
      </c>
      <c r="AB210" s="6" t="n">
        <v>626</v>
      </c>
      <c r="AC210" s="6" t="n">
        <v>701</v>
      </c>
      <c r="AD210" s="6" t="n">
        <v>115</v>
      </c>
      <c r="AE210" s="4" t="n">
        <v>140</v>
      </c>
      <c r="AF210" s="8" t="n">
        <f aca="false">17+23/60</f>
        <v>17.3833333333333</v>
      </c>
      <c r="AG210" s="8" t="n">
        <f aca="false">17+19/60</f>
        <v>17.3166666666667</v>
      </c>
      <c r="AH210" s="8" t="n">
        <f aca="false">17+17/60</f>
        <v>17.2833333333333</v>
      </c>
      <c r="AI210" s="8" t="n">
        <f aca="false">+18+11/60</f>
        <v>18.1833333333333</v>
      </c>
      <c r="AJ210" s="8" t="n">
        <f aca="false">18+11/60</f>
        <v>18.1833333333333</v>
      </c>
      <c r="AK210" s="8" t="n">
        <f aca="false">18+11/60</f>
        <v>18.1833333333333</v>
      </c>
      <c r="AL210" s="8" t="n">
        <f aca="false">60/3.2</f>
        <v>18.75</v>
      </c>
      <c r="AM210" s="8"/>
      <c r="AN210" s="8"/>
      <c r="AO210" s="8"/>
      <c r="AP210" s="4" t="n">
        <v>4</v>
      </c>
      <c r="AQ210" s="4" t="n">
        <v>0</v>
      </c>
      <c r="AR210" s="4" t="n">
        <v>0</v>
      </c>
      <c r="AS210" s="14" t="n">
        <f aca="false">60*U210-SUM(AT210:AX210)</f>
        <v>4.96666666666667</v>
      </c>
      <c r="AT210" s="8" t="n">
        <f aca="false">27+23/60</f>
        <v>27.3833333333333</v>
      </c>
      <c r="AU210" s="8" t="n">
        <f aca="false">49+26/60</f>
        <v>49.4333333333333</v>
      </c>
      <c r="AV210" s="8" t="n">
        <f aca="false">30+13/60</f>
        <v>30.2166666666667</v>
      </c>
      <c r="AW210" s="8" t="n">
        <v>0</v>
      </c>
      <c r="AX210" s="8" t="n">
        <v>0</v>
      </c>
      <c r="AY210" s="4" t="s">
        <v>59</v>
      </c>
      <c r="AZ210" s="4" t="s">
        <v>60</v>
      </c>
      <c r="BA210" s="4" t="n">
        <v>0</v>
      </c>
      <c r="BB210" s="4"/>
      <c r="BC210" s="4"/>
    </row>
    <row r="211" customFormat="false" ht="16.9" hidden="false" customHeight="false" outlineLevel="0" collapsed="false">
      <c r="A211" s="11" t="n">
        <f aca="false">A210+1</f>
        <v>743</v>
      </c>
      <c r="B211" s="12" t="n">
        <v>44089.4618055556</v>
      </c>
      <c r="C211" s="4" t="n">
        <v>1</v>
      </c>
      <c r="D211" s="4"/>
      <c r="E211" s="4"/>
      <c r="F211" s="4" t="s">
        <v>54</v>
      </c>
      <c r="G211" s="6" t="n">
        <v>85</v>
      </c>
      <c r="H211" s="6" t="n">
        <v>70</v>
      </c>
      <c r="I211" s="6" t="n">
        <f aca="false">(63+59)/2</f>
        <v>61</v>
      </c>
      <c r="J211" s="6" t="s">
        <v>83</v>
      </c>
      <c r="K211" s="6" t="n">
        <f aca="false">(3+7)/2</f>
        <v>5</v>
      </c>
      <c r="L211" s="6" t="n">
        <v>0</v>
      </c>
      <c r="M211" s="3" t="s">
        <v>129</v>
      </c>
      <c r="N211" s="4" t="s">
        <v>150</v>
      </c>
      <c r="O211" s="4" t="s">
        <v>149</v>
      </c>
      <c r="P211" s="4" t="s">
        <v>66</v>
      </c>
      <c r="Q211" s="8" t="n">
        <v>5.89</v>
      </c>
      <c r="R211" s="6" t="n">
        <v>776</v>
      </c>
      <c r="S211" s="6" t="n">
        <v>13433</v>
      </c>
      <c r="T211" s="6" t="n">
        <f aca="false">S211-R211</f>
        <v>12657</v>
      </c>
      <c r="U211" s="8" t="n">
        <f aca="false">(60+41)/60</f>
        <v>1.68333333333333</v>
      </c>
      <c r="V211" s="8" t="n">
        <f aca="false">(60+56)/60</f>
        <v>1.93333333333333</v>
      </c>
      <c r="W211" s="8" t="n">
        <f aca="false">V211-U211</f>
        <v>0.25</v>
      </c>
      <c r="X211" s="8" t="n">
        <f aca="false">Q211/U211</f>
        <v>3.4990099009901</v>
      </c>
      <c r="Y211" s="4" t="n">
        <v>1</v>
      </c>
      <c r="Z211" s="8" t="n">
        <f aca="false">Q211/Y211</f>
        <v>5.89</v>
      </c>
      <c r="AA211" s="8" t="n">
        <f aca="false">17+4/60</f>
        <v>17.0666666666667</v>
      </c>
      <c r="AB211" s="6" t="n">
        <v>761</v>
      </c>
      <c r="AC211" s="6" t="n">
        <v>692</v>
      </c>
      <c r="AD211" s="6" t="n">
        <v>118</v>
      </c>
      <c r="AE211" s="4" t="n">
        <v>149</v>
      </c>
      <c r="AF211" s="8" t="n">
        <f aca="false">16+16/60</f>
        <v>16.2666666666667</v>
      </c>
      <c r="AG211" s="8" t="n">
        <f aca="false">16+17/60</f>
        <v>16.2833333333333</v>
      </c>
      <c r="AH211" s="8" t="n">
        <f aca="false">17+22/60</f>
        <v>17.3666666666667</v>
      </c>
      <c r="AI211" s="8" t="n">
        <f aca="false">18+10/60</f>
        <v>18.1666666666667</v>
      </c>
      <c r="AJ211" s="8" t="n">
        <f aca="false">60/3.6</f>
        <v>16.6666666666667</v>
      </c>
      <c r="AK211" s="8"/>
      <c r="AL211" s="8"/>
      <c r="AM211" s="8"/>
      <c r="AN211" s="8"/>
      <c r="AO211" s="8"/>
      <c r="AP211" s="4" t="n">
        <v>4</v>
      </c>
      <c r="AQ211" s="4" t="n">
        <v>0</v>
      </c>
      <c r="AR211" s="4" t="n">
        <v>0</v>
      </c>
      <c r="AS211" s="14" t="n">
        <f aca="false">60*U211-SUM(AT211:AX211)</f>
        <v>0.36666666666666</v>
      </c>
      <c r="AT211" s="14" t="n">
        <f aca="false">32+59/60</f>
        <v>32.9833333333333</v>
      </c>
      <c r="AU211" s="8" t="n">
        <f aca="false">31+4/60</f>
        <v>31.0666666666667</v>
      </c>
      <c r="AV211" s="8" t="n">
        <f aca="false">34+11/60</f>
        <v>34.1833333333333</v>
      </c>
      <c r="AW211" s="8" t="n">
        <f aca="false">2+24/60</f>
        <v>2.4</v>
      </c>
      <c r="AX211" s="8" t="n">
        <v>0</v>
      </c>
      <c r="AY211" s="4" t="s">
        <v>59</v>
      </c>
      <c r="AZ211" s="4" t="s">
        <v>60</v>
      </c>
      <c r="BA211" s="4" t="n">
        <v>0</v>
      </c>
      <c r="BB211" s="4"/>
      <c r="BC211" s="4"/>
    </row>
    <row r="212" customFormat="false" ht="16.9" hidden="false" customHeight="false" outlineLevel="0" collapsed="false">
      <c r="A212" s="11" t="n">
        <f aca="false">A211+1</f>
        <v>744</v>
      </c>
      <c r="B212" s="12" t="n">
        <v>44090.5486111111</v>
      </c>
      <c r="C212" s="4" t="n">
        <v>0</v>
      </c>
      <c r="D212" s="4" t="s">
        <v>79</v>
      </c>
      <c r="E212" s="4"/>
      <c r="F212" s="4" t="s">
        <v>120</v>
      </c>
      <c r="G212" s="6" t="n">
        <v>89</v>
      </c>
      <c r="H212" s="6" t="n">
        <v>70</v>
      </c>
      <c r="I212" s="6" t="n">
        <f aca="false">(57+51)/2</f>
        <v>54</v>
      </c>
      <c r="J212" s="6" t="s">
        <v>83</v>
      </c>
      <c r="K212" s="6" t="n">
        <v>9</v>
      </c>
      <c r="L212" s="6" t="n">
        <v>0</v>
      </c>
      <c r="M212" s="3" t="s">
        <v>129</v>
      </c>
      <c r="N212" s="4" t="s">
        <v>150</v>
      </c>
      <c r="O212" s="4" t="s">
        <v>149</v>
      </c>
      <c r="P212" s="4" t="s">
        <v>126</v>
      </c>
      <c r="Q212" s="8" t="n">
        <v>5.41</v>
      </c>
      <c r="R212" s="6" t="n">
        <v>426</v>
      </c>
      <c r="S212" s="6" t="n">
        <v>12416</v>
      </c>
      <c r="T212" s="6" t="n">
        <f aca="false">S212-R212</f>
        <v>11990</v>
      </c>
      <c r="U212" s="8" t="n">
        <f aca="false">(60+33)/60</f>
        <v>1.55</v>
      </c>
      <c r="V212" s="8" t="n">
        <f aca="false">(60+40)/60</f>
        <v>1.66666666666667</v>
      </c>
      <c r="W212" s="8" t="n">
        <f aca="false">V212-U212</f>
        <v>0.116666666666667</v>
      </c>
      <c r="X212" s="8" t="n">
        <f aca="false">Q212/U212</f>
        <v>3.49032258064516</v>
      </c>
      <c r="Y212" s="4" t="n">
        <v>1</v>
      </c>
      <c r="Z212" s="8" t="n">
        <f aca="false">Q212/Y212</f>
        <v>5.41</v>
      </c>
      <c r="AA212" s="8" t="n">
        <f aca="false">17+10/60</f>
        <v>17.1666666666667</v>
      </c>
      <c r="AB212" s="6" t="n">
        <v>679</v>
      </c>
      <c r="AC212" s="6" t="n">
        <v>631</v>
      </c>
      <c r="AD212" s="6" t="n">
        <v>124</v>
      </c>
      <c r="AE212" s="4" t="n">
        <v>140</v>
      </c>
      <c r="AF212" s="8" t="n">
        <f aca="false">15+35/60</f>
        <v>15.5833333333333</v>
      </c>
      <c r="AG212" s="8" t="n">
        <f aca="false">17+14/60</f>
        <v>17.2333333333333</v>
      </c>
      <c r="AH212" s="8" t="n">
        <f aca="false">19+2/60</f>
        <v>19.0333333333333</v>
      </c>
      <c r="AI212" s="8" t="n">
        <f aca="false">17+17/60</f>
        <v>17.2833333333333</v>
      </c>
      <c r="AJ212" s="8" t="n">
        <f aca="false">16+50/60</f>
        <v>16.8333333333333</v>
      </c>
      <c r="AK212" s="8" t="n">
        <f aca="false">60/3.6</f>
        <v>16.6666666666667</v>
      </c>
      <c r="AL212" s="8"/>
      <c r="AM212" s="8"/>
      <c r="AN212" s="8"/>
      <c r="AO212" s="8"/>
      <c r="AP212" s="4" t="n">
        <v>3</v>
      </c>
      <c r="AQ212" s="4" t="n">
        <v>0</v>
      </c>
      <c r="AR212" s="4" t="n">
        <v>0</v>
      </c>
      <c r="AS212" s="14" t="n">
        <f aca="false">60*U212-SUM(AT212:AX212)</f>
        <v>0.0499999999999972</v>
      </c>
      <c r="AT212" s="8" t="n">
        <f aca="false">5+10/60</f>
        <v>5.16666666666667</v>
      </c>
      <c r="AU212" s="4" t="n">
        <f aca="false">35+15/60</f>
        <v>35.25</v>
      </c>
      <c r="AV212" s="8" t="n">
        <f aca="false">52+32/60</f>
        <v>52.5333333333333</v>
      </c>
      <c r="AW212" s="8" t="n">
        <v>0</v>
      </c>
      <c r="AX212" s="8" t="n">
        <v>0</v>
      </c>
      <c r="AY212" s="4" t="s">
        <v>59</v>
      </c>
      <c r="AZ212" s="4" t="s">
        <v>60</v>
      </c>
      <c r="BA212" s="4" t="n">
        <v>0</v>
      </c>
      <c r="BB212" s="4"/>
      <c r="BC212" s="4"/>
    </row>
    <row r="213" customFormat="false" ht="16.9" hidden="false" customHeight="false" outlineLevel="0" collapsed="false">
      <c r="A213" s="11" t="n">
        <f aca="false">A212+1</f>
        <v>745</v>
      </c>
      <c r="B213" s="12" t="n">
        <v>44091.5111111111</v>
      </c>
      <c r="C213" s="4" t="n">
        <v>1</v>
      </c>
      <c r="D213" s="4"/>
      <c r="E213" s="4"/>
      <c r="F213" s="4" t="s">
        <v>54</v>
      </c>
      <c r="G213" s="6" t="n">
        <v>88</v>
      </c>
      <c r="H213" s="6" t="n">
        <f aca="false">(65+62)/2</f>
        <v>63.5</v>
      </c>
      <c r="I213" s="6" t="n">
        <f aca="false">(51+54)/2</f>
        <v>52.5</v>
      </c>
      <c r="J213" s="4" t="s">
        <v>86</v>
      </c>
      <c r="K213" s="6" t="n">
        <v>8</v>
      </c>
      <c r="L213" s="6" t="n">
        <v>0</v>
      </c>
      <c r="M213" s="3" t="s">
        <v>63</v>
      </c>
      <c r="N213" s="4" t="s">
        <v>150</v>
      </c>
      <c r="O213" s="4" t="s">
        <v>149</v>
      </c>
      <c r="P213" s="4" t="s">
        <v>94</v>
      </c>
      <c r="Q213" s="8" t="n">
        <v>6.49</v>
      </c>
      <c r="R213" s="6" t="n">
        <v>1196</v>
      </c>
      <c r="S213" s="6" t="n">
        <f aca="false">15478-500</f>
        <v>14978</v>
      </c>
      <c r="T213" s="6" t="n">
        <f aca="false">S213-R213</f>
        <v>13782</v>
      </c>
      <c r="U213" s="8" t="n">
        <f aca="false">(60+46)/60</f>
        <v>1.76666666666667</v>
      </c>
      <c r="V213" s="8" t="n">
        <f aca="false">(120+9)/60</f>
        <v>2.15</v>
      </c>
      <c r="W213" s="8" t="n">
        <f aca="false">V213-U213</f>
        <v>0.383333333333333</v>
      </c>
      <c r="X213" s="8" t="n">
        <f aca="false">Q213/U213</f>
        <v>3.67358490566038</v>
      </c>
      <c r="Y213" s="4" t="n">
        <v>1</v>
      </c>
      <c r="Z213" s="8" t="n">
        <f aca="false">Q213/Y213</f>
        <v>6.49</v>
      </c>
      <c r="AA213" s="8" t="n">
        <f aca="false">16+18/60</f>
        <v>16.3</v>
      </c>
      <c r="AB213" s="6" t="n">
        <v>591</v>
      </c>
      <c r="AC213" s="6" t="n">
        <v>648</v>
      </c>
      <c r="AD213" s="6" t="n">
        <v>93</v>
      </c>
      <c r="AE213" s="4" t="n">
        <v>119</v>
      </c>
      <c r="AF213" s="8" t="n">
        <f aca="false">16+1/60</f>
        <v>16.0166666666667</v>
      </c>
      <c r="AG213" s="8" t="n">
        <f aca="false">15+56/60</f>
        <v>15.9333333333333</v>
      </c>
      <c r="AH213" s="8" t="n">
        <f aca="false">16+2/60</f>
        <v>16.0333333333333</v>
      </c>
      <c r="AI213" s="8" t="n">
        <f aca="false">16+42/60</f>
        <v>16.7</v>
      </c>
      <c r="AJ213" s="8" t="n">
        <f aca="false">16+10/60</f>
        <v>16.1666666666667</v>
      </c>
      <c r="AK213" s="8" t="n">
        <f aca="false">16+41/60</f>
        <v>16.6833333333333</v>
      </c>
      <c r="AL213" s="8" t="n">
        <f aca="false">60/3.7</f>
        <v>16.2162162162162</v>
      </c>
      <c r="AM213" s="8"/>
      <c r="AN213" s="8"/>
      <c r="AO213" s="8"/>
      <c r="AP213" s="4" t="n">
        <v>2</v>
      </c>
      <c r="AQ213" s="4" t="n">
        <v>0</v>
      </c>
      <c r="AR213" s="4" t="n">
        <v>0</v>
      </c>
      <c r="AS213" s="14" t="n">
        <f aca="false">60*U213-SUM(AT213:AX213)</f>
        <v>24.0166666666667</v>
      </c>
      <c r="AT213" s="8" t="n">
        <f aca="false">68+32/60</f>
        <v>68.5333333333333</v>
      </c>
      <c r="AU213" s="8" t="n">
        <f aca="false">13+27/60</f>
        <v>13.45</v>
      </c>
      <c r="AV213" s="8" t="n">
        <v>0</v>
      </c>
      <c r="AW213" s="8" t="n">
        <v>0</v>
      </c>
      <c r="AX213" s="8" t="n">
        <v>0</v>
      </c>
      <c r="AY213" s="4" t="s">
        <v>59</v>
      </c>
      <c r="AZ213" s="4" t="s">
        <v>60</v>
      </c>
      <c r="BA213" s="4" t="n">
        <v>0</v>
      </c>
      <c r="BB213" s="4"/>
      <c r="BC213" s="4"/>
    </row>
    <row r="214" customFormat="false" ht="16.9" hidden="false" customHeight="false" outlineLevel="0" collapsed="false">
      <c r="A214" s="11" t="n">
        <f aca="false">A213+1</f>
        <v>746</v>
      </c>
      <c r="B214" s="12" t="n">
        <v>44092.5263888889</v>
      </c>
      <c r="C214" s="4" t="n">
        <v>1</v>
      </c>
      <c r="D214" s="4"/>
      <c r="E214" s="4"/>
      <c r="F214" s="4" t="s">
        <v>54</v>
      </c>
      <c r="G214" s="6" t="n">
        <v>86</v>
      </c>
      <c r="H214" s="6" t="n">
        <v>64</v>
      </c>
      <c r="I214" s="6" t="n">
        <v>49</v>
      </c>
      <c r="J214" s="6" t="s">
        <v>97</v>
      </c>
      <c r="K214" s="6" t="n">
        <v>7</v>
      </c>
      <c r="L214" s="6" t="n">
        <v>0</v>
      </c>
      <c r="M214" s="3" t="s">
        <v>63</v>
      </c>
      <c r="N214" s="4" t="s">
        <v>150</v>
      </c>
      <c r="O214" s="4" t="s">
        <v>149</v>
      </c>
      <c r="P214" s="4" t="s">
        <v>112</v>
      </c>
      <c r="Q214" s="8" t="n">
        <v>6.17</v>
      </c>
      <c r="R214" s="6" t="n">
        <v>1315</v>
      </c>
      <c r="S214" s="6" t="n">
        <v>14154</v>
      </c>
      <c r="T214" s="6" t="n">
        <f aca="false">S214-R214</f>
        <v>12839</v>
      </c>
      <c r="U214" s="8" t="n">
        <f aca="false">(60+41)/60</f>
        <v>1.68333333333333</v>
      </c>
      <c r="V214" s="8" t="n">
        <f aca="false">(60+53)/60</f>
        <v>1.88333333333333</v>
      </c>
      <c r="W214" s="8" t="n">
        <f aca="false">V214-U214</f>
        <v>0.2</v>
      </c>
      <c r="X214" s="8" t="n">
        <f aca="false">Q214/U214</f>
        <v>3.66534653465347</v>
      </c>
      <c r="Y214" s="4" t="n">
        <v>1</v>
      </c>
      <c r="Z214" s="8" t="n">
        <f aca="false">Q214/Y214</f>
        <v>6.17</v>
      </c>
      <c r="AA214" s="8" t="n">
        <f aca="false">16+25/60</f>
        <v>16.4166666666667</v>
      </c>
      <c r="AB214" s="6" t="n">
        <v>279</v>
      </c>
      <c r="AC214" s="6" t="n">
        <v>691</v>
      </c>
      <c r="AD214" s="6" t="n">
        <v>106</v>
      </c>
      <c r="AE214" s="4" t="n">
        <v>142</v>
      </c>
      <c r="AF214" s="8" t="n">
        <f aca="false">16+8/60</f>
        <v>16.1333333333333</v>
      </c>
      <c r="AG214" s="8" t="n">
        <f aca="false">16+17/60</f>
        <v>16.2833333333333</v>
      </c>
      <c r="AH214" s="8" t="n">
        <f aca="false">16+12/60</f>
        <v>16.2</v>
      </c>
      <c r="AI214" s="8" t="n">
        <f aca="false">18+7/60</f>
        <v>18.1166666666667</v>
      </c>
      <c r="AJ214" s="8" t="n">
        <f aca="false">15+38/60</f>
        <v>15.6333333333333</v>
      </c>
      <c r="AK214" s="8" t="n">
        <f aca="false">16+4/60</f>
        <v>16.0666666666667</v>
      </c>
      <c r="AL214" s="8" t="n">
        <f aca="false">60/3.6</f>
        <v>16.6666666666667</v>
      </c>
      <c r="AM214" s="8"/>
      <c r="AN214" s="8"/>
      <c r="AO214" s="8"/>
      <c r="AP214" s="4" t="n">
        <v>2</v>
      </c>
      <c r="AQ214" s="4" t="n">
        <v>0</v>
      </c>
      <c r="AR214" s="4" t="n">
        <v>0</v>
      </c>
      <c r="AS214" s="14" t="n">
        <f aca="false">60*U214-SUM(AT214:AX214)</f>
        <v>25.5666666666667</v>
      </c>
      <c r="AT214" s="8" t="n">
        <f aca="false">32+29/60</f>
        <v>32.4833333333333</v>
      </c>
      <c r="AU214" s="8" t="n">
        <f aca="false">16+6/60</f>
        <v>16.1</v>
      </c>
      <c r="AV214" s="8" t="n">
        <f aca="false">26+51/60</f>
        <v>26.85</v>
      </c>
      <c r="AW214" s="8" t="n">
        <v>0</v>
      </c>
      <c r="AX214" s="8" t="n">
        <v>0</v>
      </c>
      <c r="AY214" s="4" t="s">
        <v>59</v>
      </c>
      <c r="AZ214" s="4" t="s">
        <v>60</v>
      </c>
      <c r="BA214" s="4" t="n">
        <v>0</v>
      </c>
      <c r="BB214" s="4"/>
      <c r="BC214" s="4"/>
    </row>
    <row r="215" customFormat="false" ht="16.9" hidden="false" customHeight="false" outlineLevel="0" collapsed="false">
      <c r="A215" s="11" t="n">
        <f aca="false">A214+1</f>
        <v>747</v>
      </c>
      <c r="B215" s="12" t="n">
        <v>44093.5027777778</v>
      </c>
      <c r="C215" s="4" t="n">
        <v>1</v>
      </c>
      <c r="D215" s="4"/>
      <c r="E215" s="4"/>
      <c r="F215" s="4" t="s">
        <v>120</v>
      </c>
      <c r="G215" s="6" t="n">
        <v>75</v>
      </c>
      <c r="H215" s="6" t="n">
        <v>59</v>
      </c>
      <c r="I215" s="6" t="n">
        <v>57</v>
      </c>
      <c r="J215" s="4" t="s">
        <v>99</v>
      </c>
      <c r="K215" s="6" t="n">
        <v>10</v>
      </c>
      <c r="L215" s="6" t="n">
        <v>0</v>
      </c>
      <c r="M215" s="3" t="s">
        <v>63</v>
      </c>
      <c r="N215" s="4" t="s">
        <v>150</v>
      </c>
      <c r="O215" s="4" t="s">
        <v>149</v>
      </c>
      <c r="P215" s="4" t="s">
        <v>126</v>
      </c>
      <c r="Q215" s="8" t="n">
        <v>7.2</v>
      </c>
      <c r="R215" s="6" t="n">
        <v>455</v>
      </c>
      <c r="S215" s="6" t="n">
        <v>15511</v>
      </c>
      <c r="T215" s="6" t="n">
        <f aca="false">S215-R215</f>
        <v>15056</v>
      </c>
      <c r="U215" s="8" t="n">
        <f aca="false">121/60</f>
        <v>2.01666666666667</v>
      </c>
      <c r="V215" s="8" t="n">
        <f aca="false">128/60</f>
        <v>2.13333333333333</v>
      </c>
      <c r="W215" s="8" t="n">
        <f aca="false">V215-U215</f>
        <v>0.116666666666667</v>
      </c>
      <c r="X215" s="8" t="n">
        <f aca="false">Q215/U215</f>
        <v>3.5702479338843</v>
      </c>
      <c r="Y215" s="4" t="n">
        <v>1</v>
      </c>
      <c r="Z215" s="8" t="n">
        <f aca="false">Q215/Y215</f>
        <v>7.2</v>
      </c>
      <c r="AA215" s="8" t="n">
        <f aca="false">16+52/60</f>
        <v>16.8666666666667</v>
      </c>
      <c r="AB215" s="6" t="n">
        <v>331</v>
      </c>
      <c r="AC215" s="6" t="n">
        <v>739</v>
      </c>
      <c r="AD215" s="6" t="n">
        <v>82</v>
      </c>
      <c r="AE215" s="4" t="n">
        <v>112</v>
      </c>
      <c r="AF215" s="8" t="n">
        <f aca="false">15+47/60</f>
        <v>15.7833333333333</v>
      </c>
      <c r="AG215" s="8" t="n">
        <f aca="false">16+33/60</f>
        <v>16.55</v>
      </c>
      <c r="AH215" s="8" t="n">
        <f aca="false">17+6/60</f>
        <v>17.1</v>
      </c>
      <c r="AI215" s="8" t="n">
        <f aca="false">17+27/60</f>
        <v>17.45</v>
      </c>
      <c r="AJ215" s="8" t="n">
        <f aca="false">17+20/60</f>
        <v>17.3333333333333</v>
      </c>
      <c r="AK215" s="8" t="n">
        <f aca="false">+16+22/60</f>
        <v>16.3666666666667</v>
      </c>
      <c r="AL215" s="8" t="n">
        <f aca="false">17+22.4/60</f>
        <v>17.3733333333333</v>
      </c>
      <c r="AM215" s="8" t="n">
        <f aca="false">60/3.5</f>
        <v>17.1428571428571</v>
      </c>
      <c r="AN215" s="8"/>
      <c r="AO215" s="8"/>
      <c r="AP215" s="4" t="n">
        <v>1</v>
      </c>
      <c r="AQ215" s="4" t="n">
        <v>1</v>
      </c>
      <c r="AR215" s="4" t="n">
        <v>0</v>
      </c>
      <c r="AS215" s="14" t="n">
        <f aca="false">60*U215-SUM(AT215:AX215)</f>
        <v>79.65</v>
      </c>
      <c r="AT215" s="8" t="n">
        <f aca="false">40+46/60</f>
        <v>40.7666666666667</v>
      </c>
      <c r="AU215" s="8" t="n">
        <f aca="false">35/60</f>
        <v>0.583333333333333</v>
      </c>
      <c r="AV215" s="8" t="n">
        <v>0</v>
      </c>
      <c r="AW215" s="8" t="n">
        <v>0</v>
      </c>
      <c r="AX215" s="8" t="n">
        <v>0</v>
      </c>
      <c r="AY215" s="4" t="s">
        <v>59</v>
      </c>
      <c r="AZ215" s="4" t="s">
        <v>60</v>
      </c>
      <c r="BA215" s="4" t="n">
        <v>0</v>
      </c>
      <c r="BB215" s="4"/>
      <c r="BC215" s="4"/>
    </row>
    <row r="216" customFormat="false" ht="16.9" hidden="false" customHeight="false" outlineLevel="0" collapsed="false">
      <c r="A216" s="11" t="n">
        <f aca="false">A215+1</f>
        <v>748</v>
      </c>
      <c r="B216" s="12" t="n">
        <v>44094.5625</v>
      </c>
      <c r="C216" s="4" t="n">
        <v>1</v>
      </c>
      <c r="D216" s="4"/>
      <c r="E216" s="4"/>
      <c r="F216" s="4" t="s">
        <v>71</v>
      </c>
      <c r="G216" s="6" t="n">
        <v>80</v>
      </c>
      <c r="H216" s="6" t="n">
        <v>56</v>
      </c>
      <c r="I216" s="6" t="n">
        <v>80</v>
      </c>
      <c r="J216" s="6" t="s">
        <v>101</v>
      </c>
      <c r="K216" s="6" t="n">
        <v>12</v>
      </c>
      <c r="L216" s="6" t="n">
        <v>20</v>
      </c>
      <c r="M216" s="3" t="s">
        <v>63</v>
      </c>
      <c r="N216" s="4" t="s">
        <v>150</v>
      </c>
      <c r="O216" s="4" t="s">
        <v>149</v>
      </c>
      <c r="P216" s="4" t="s">
        <v>151</v>
      </c>
      <c r="Q216" s="4" t="n">
        <v>6.18</v>
      </c>
      <c r="R216" s="11" t="n">
        <v>1556</v>
      </c>
      <c r="S216" s="4" t="n">
        <v>15104</v>
      </c>
      <c r="T216" s="6" t="n">
        <f aca="false">S216-R216</f>
        <v>13548</v>
      </c>
      <c r="U216" s="8" t="n">
        <f aca="false">(60+46)/60</f>
        <v>1.76666666666667</v>
      </c>
      <c r="V216" s="8" t="n">
        <f aca="false">(120+7)/60</f>
        <v>2.11666666666667</v>
      </c>
      <c r="W216" s="8" t="n">
        <f aca="false">V216-U216</f>
        <v>0.35</v>
      </c>
      <c r="X216" s="8" t="n">
        <f aca="false">Q216/U216</f>
        <v>3.49811320754717</v>
      </c>
      <c r="Y216" s="4" t="n">
        <v>1</v>
      </c>
      <c r="Z216" s="8" t="n">
        <f aca="false">Q216/Y216</f>
        <v>6.18</v>
      </c>
      <c r="AA216" s="8" t="n">
        <f aca="false">17+12/60</f>
        <v>17.2</v>
      </c>
      <c r="AB216" s="6" t="n">
        <v>154</v>
      </c>
      <c r="AC216" s="6" t="n">
        <v>671</v>
      </c>
      <c r="AD216" s="6" t="n">
        <v>104</v>
      </c>
      <c r="AE216" s="4" t="n">
        <v>129</v>
      </c>
      <c r="AF216" s="8" t="n">
        <f aca="false">16+22/60</f>
        <v>16.3666666666667</v>
      </c>
      <c r="AG216" s="8" t="n">
        <f aca="false">16+52/60</f>
        <v>16.8666666666667</v>
      </c>
      <c r="AH216" s="8" t="n">
        <f aca="false">18+45/60</f>
        <v>18.75</v>
      </c>
      <c r="AI216" s="8" t="n">
        <f aca="false">17+6/60</f>
        <v>17.1</v>
      </c>
      <c r="AJ216" s="8" t="n">
        <f aca="false">16+29/60</f>
        <v>16.4833333333333</v>
      </c>
      <c r="AK216" s="8" t="n">
        <f aca="false">17+1/60</f>
        <v>17.0166666666667</v>
      </c>
      <c r="AL216" s="8" t="n">
        <f aca="false">60/2.9</f>
        <v>20.6896551724138</v>
      </c>
      <c r="AM216" s="8"/>
      <c r="AN216" s="8"/>
      <c r="AO216" s="8"/>
      <c r="AP216" s="4" t="n">
        <v>2</v>
      </c>
      <c r="AQ216" s="4" t="n">
        <v>0</v>
      </c>
      <c r="AR216" s="4" t="n">
        <v>0</v>
      </c>
      <c r="AS216" s="14" t="n">
        <f aca="false">60*U216-SUM(AT216:AX216)</f>
        <v>0.556666666666672</v>
      </c>
      <c r="AT216" s="8" t="n">
        <v>76.41</v>
      </c>
      <c r="AU216" s="8" t="n">
        <f aca="false">26+36/60</f>
        <v>26.6</v>
      </c>
      <c r="AV216" s="8" t="n">
        <f aca="false">2+26/60</f>
        <v>2.43333333333333</v>
      </c>
      <c r="AW216" s="8" t="n">
        <v>0</v>
      </c>
      <c r="AX216" s="8" t="n">
        <v>0</v>
      </c>
      <c r="AY216" s="4" t="s">
        <v>59</v>
      </c>
      <c r="AZ216" s="4" t="s">
        <v>60</v>
      </c>
      <c r="BA216" s="4" t="n">
        <v>0</v>
      </c>
      <c r="BB216" s="4"/>
      <c r="BC216" s="4"/>
    </row>
    <row r="217" customFormat="false" ht="16.9" hidden="false" customHeight="false" outlineLevel="0" collapsed="false">
      <c r="A217" s="11" t="n">
        <f aca="false">A216+1</f>
        <v>749</v>
      </c>
      <c r="B217" s="12" t="n">
        <v>44095.49375</v>
      </c>
      <c r="C217" s="4" t="n">
        <v>1</v>
      </c>
      <c r="D217" s="4"/>
      <c r="E217" s="4"/>
      <c r="F217" s="4" t="s">
        <v>90</v>
      </c>
      <c r="G217" s="6" t="n">
        <v>76</v>
      </c>
      <c r="H217" s="6" t="n">
        <v>65</v>
      </c>
      <c r="I217" s="6" t="n">
        <v>71</v>
      </c>
      <c r="J217" s="6" t="s">
        <v>110</v>
      </c>
      <c r="K217" s="6" t="n">
        <v>9</v>
      </c>
      <c r="L217" s="6" t="n">
        <v>0</v>
      </c>
      <c r="M217" s="3" t="s">
        <v>63</v>
      </c>
      <c r="N217" s="4" t="s">
        <v>150</v>
      </c>
      <c r="O217" s="4" t="s">
        <v>149</v>
      </c>
      <c r="P217" s="4" t="s">
        <v>146</v>
      </c>
      <c r="Q217" s="8" t="n">
        <v>5.79</v>
      </c>
      <c r="R217" s="6" t="n">
        <v>1195</v>
      </c>
      <c r="S217" s="6" t="n">
        <v>14173</v>
      </c>
      <c r="T217" s="6" t="n">
        <f aca="false">S217-R217</f>
        <v>12978</v>
      </c>
      <c r="U217" s="8" t="n">
        <f aca="false">(50+51)/60</f>
        <v>1.68333333333333</v>
      </c>
      <c r="V217" s="8" t="n">
        <f aca="false">(50+59)/60</f>
        <v>1.81666666666667</v>
      </c>
      <c r="W217" s="8" t="n">
        <f aca="false">V217-U217</f>
        <v>0.133333333333333</v>
      </c>
      <c r="X217" s="8" t="n">
        <f aca="false">Q217/U217</f>
        <v>3.43960396039604</v>
      </c>
      <c r="Y217" s="4" t="n">
        <v>1</v>
      </c>
      <c r="Z217" s="8" t="n">
        <f aca="false">Q217/Y217</f>
        <v>5.79</v>
      </c>
      <c r="AA217" s="8" t="n">
        <f aca="false">19+12/60</f>
        <v>19.2</v>
      </c>
      <c r="AB217" s="6" t="n">
        <v>689</v>
      </c>
      <c r="AC217" s="6" t="n">
        <v>660</v>
      </c>
      <c r="AD217" s="6" t="n">
        <v>119</v>
      </c>
      <c r="AE217" s="4" t="n">
        <v>142</v>
      </c>
      <c r="AF217" s="8" t="n">
        <f aca="false">16+24/60</f>
        <v>16.4</v>
      </c>
      <c r="AG217" s="8" t="n">
        <f aca="false">17+15/60</f>
        <v>17.25</v>
      </c>
      <c r="AH217" s="8" t="n">
        <f aca="false">22+44/60</f>
        <v>22.7333333333333</v>
      </c>
      <c r="AI217" s="8" t="n">
        <f aca="false">21+13/60</f>
        <v>21.2166666666667</v>
      </c>
      <c r="AJ217" s="8" t="n">
        <f aca="false">19+19/60</f>
        <v>19.3166666666667</v>
      </c>
      <c r="AK217" s="8" t="n">
        <f aca="false">60/3.3</f>
        <v>18.1818181818182</v>
      </c>
      <c r="AL217" s="8"/>
      <c r="AM217" s="8"/>
      <c r="AN217" s="8"/>
      <c r="AO217" s="8"/>
      <c r="AP217" s="4" t="n">
        <v>1</v>
      </c>
      <c r="AQ217" s="4" t="n">
        <v>0</v>
      </c>
      <c r="AR217" s="4" t="n">
        <v>0</v>
      </c>
      <c r="AS217" s="14" t="n">
        <v>0</v>
      </c>
      <c r="AT217" s="8" t="n">
        <f aca="false">11+4/60</f>
        <v>11.0666666666667</v>
      </c>
      <c r="AU217" s="8" t="n">
        <f aca="false">74+36/60</f>
        <v>74.6</v>
      </c>
      <c r="AV217" s="8" t="n">
        <f aca="false">25+34/60/60</f>
        <v>25.0094444444444</v>
      </c>
      <c r="AW217" s="8" t="n">
        <v>0</v>
      </c>
      <c r="AX217" s="8" t="n">
        <v>0</v>
      </c>
      <c r="AY217" s="4" t="s">
        <v>59</v>
      </c>
      <c r="AZ217" s="4" t="s">
        <v>60</v>
      </c>
      <c r="BA217" s="4" t="n">
        <v>0</v>
      </c>
      <c r="BB217" s="4"/>
      <c r="BC217" s="4"/>
    </row>
    <row r="218" customFormat="false" ht="16.9" hidden="false" customHeight="false" outlineLevel="0" collapsed="false">
      <c r="A218" s="11" t="n">
        <f aca="false">A217+1</f>
        <v>750</v>
      </c>
      <c r="B218" s="12" t="n">
        <v>44096.4951388889</v>
      </c>
      <c r="C218" s="4" t="n">
        <v>0</v>
      </c>
      <c r="D218" s="4" t="s">
        <v>95</v>
      </c>
      <c r="E218" s="4"/>
      <c r="F218" s="4" t="s">
        <v>90</v>
      </c>
      <c r="G218" s="6" t="n">
        <v>69</v>
      </c>
      <c r="H218" s="6" t="n">
        <v>67</v>
      </c>
      <c r="I218" s="6" t="n">
        <v>96</v>
      </c>
      <c r="J218" s="6" t="s">
        <v>110</v>
      </c>
      <c r="K218" s="6" t="n">
        <v>8</v>
      </c>
      <c r="L218" s="6" t="n">
        <v>0</v>
      </c>
      <c r="M218" s="3" t="s">
        <v>129</v>
      </c>
      <c r="N218" s="4"/>
      <c r="O218" s="4"/>
      <c r="P218" s="4"/>
      <c r="Q218" s="8"/>
      <c r="R218" s="6"/>
      <c r="S218" s="6"/>
      <c r="T218" s="6"/>
      <c r="U218" s="8"/>
      <c r="V218" s="8"/>
      <c r="W218" s="8"/>
      <c r="X218" s="8"/>
      <c r="Y218" s="4"/>
      <c r="Z218" s="8"/>
      <c r="AA218" s="8"/>
      <c r="AB218" s="6"/>
      <c r="AC218" s="6"/>
      <c r="AD218" s="6"/>
      <c r="AE218" s="4"/>
      <c r="AF218" s="8"/>
      <c r="AG218" s="8"/>
      <c r="AI218" s="8"/>
      <c r="AJ218" s="8"/>
      <c r="AK218" s="8"/>
      <c r="AL218" s="8"/>
      <c r="AM218" s="8"/>
      <c r="AN218" s="8"/>
      <c r="AO218" s="8"/>
      <c r="AP218" s="4"/>
      <c r="AQ218" s="4"/>
      <c r="AR218" s="4"/>
      <c r="AS218" s="14"/>
      <c r="AT218" s="8"/>
      <c r="AU218" s="8"/>
      <c r="AV218" s="8"/>
      <c r="AW218" s="8"/>
      <c r="AX218" s="8"/>
      <c r="AY218" s="4"/>
      <c r="AZ218" s="4"/>
      <c r="BA218" s="4"/>
      <c r="BB218" s="4"/>
      <c r="BC218" s="4"/>
    </row>
    <row r="219" customFormat="false" ht="16.9" hidden="false" customHeight="false" outlineLevel="0" collapsed="false">
      <c r="A219" s="11" t="n">
        <f aca="false">A218+1</f>
        <v>751</v>
      </c>
      <c r="B219" s="12" t="n">
        <v>44097.5972222222</v>
      </c>
      <c r="C219" s="4" t="n">
        <v>1</v>
      </c>
      <c r="D219" s="4"/>
      <c r="E219" s="4"/>
      <c r="F219" s="4" t="s">
        <v>65</v>
      </c>
      <c r="G219" s="6" t="n">
        <v>71</v>
      </c>
      <c r="H219" s="6" t="n">
        <v>63</v>
      </c>
      <c r="I219" s="6" t="n">
        <v>75</v>
      </c>
      <c r="J219" s="6" t="s">
        <v>83</v>
      </c>
      <c r="K219" s="6" t="n">
        <v>13</v>
      </c>
      <c r="L219" s="6" t="n">
        <v>0</v>
      </c>
      <c r="M219" s="3" t="s">
        <v>63</v>
      </c>
      <c r="N219" s="4" t="s">
        <v>150</v>
      </c>
      <c r="O219" s="4" t="s">
        <v>149</v>
      </c>
      <c r="P219" s="15" t="s">
        <v>131</v>
      </c>
      <c r="Q219" s="8" t="n">
        <v>6.38</v>
      </c>
      <c r="R219" s="6" t="n">
        <v>1227</v>
      </c>
      <c r="S219" s="6" t="n">
        <v>14924</v>
      </c>
      <c r="T219" s="6" t="n">
        <f aca="false">S219-R219</f>
        <v>13697</v>
      </c>
      <c r="U219" s="8" t="n">
        <f aca="false">(60+52)/60</f>
        <v>1.86666666666667</v>
      </c>
      <c r="V219" s="8" t="n">
        <f aca="false">(60+59)/60</f>
        <v>1.98333333333333</v>
      </c>
      <c r="W219" s="8" t="n">
        <f aca="false">V219-U219</f>
        <v>0.116666666666667</v>
      </c>
      <c r="X219" s="8" t="n">
        <f aca="false">Q219/U219</f>
        <v>3.41785714285714</v>
      </c>
      <c r="Y219" s="4" t="n">
        <v>1</v>
      </c>
      <c r="Z219" s="8" t="n">
        <f aca="false">Q219/Y219</f>
        <v>6.38</v>
      </c>
      <c r="AA219" s="8" t="n">
        <f aca="false">17+35/60</f>
        <v>17.5833333333333</v>
      </c>
      <c r="AB219" s="6" t="n">
        <v>315</v>
      </c>
      <c r="AC219" s="6" t="n">
        <v>694</v>
      </c>
      <c r="AD219" s="6" t="n">
        <v>88</v>
      </c>
      <c r="AE219" s="4" t="n">
        <v>115</v>
      </c>
      <c r="AF219" s="8" t="n">
        <f aca="false">16+41/60</f>
        <v>16.6833333333333</v>
      </c>
      <c r="AG219" s="8" t="n">
        <f aca="false">17+2/60</f>
        <v>17.0333333333333</v>
      </c>
      <c r="AH219" s="8" t="n">
        <f aca="false">17+14/60</f>
        <v>17.2333333333333</v>
      </c>
      <c r="AI219" s="8" t="n">
        <f aca="false">20+18/60</f>
        <v>20.3</v>
      </c>
      <c r="AJ219" s="8" t="n">
        <f aca="false">17+36/60</f>
        <v>17.6</v>
      </c>
      <c r="AK219" s="8" t="n">
        <f aca="false">16+52/60</f>
        <v>16.8666666666667</v>
      </c>
      <c r="AL219" s="8" t="n">
        <f aca="false">60/3.4</f>
        <v>17.6470588235294</v>
      </c>
      <c r="AM219" s="8"/>
      <c r="AN219" s="8"/>
      <c r="AO219" s="8"/>
      <c r="AP219" s="4" t="n">
        <v>1</v>
      </c>
      <c r="AQ219" s="4" t="n">
        <v>0</v>
      </c>
      <c r="AR219" s="4" t="n">
        <v>0</v>
      </c>
      <c r="AS219" s="14" t="n">
        <f aca="false">60*U219-SUM(AT219:AX219)</f>
        <v>59.7</v>
      </c>
      <c r="AT219" s="8" t="n">
        <f aca="false">45+39/60</f>
        <v>45.65</v>
      </c>
      <c r="AU219" s="8" t="n">
        <f aca="false">6+39/60</f>
        <v>6.65</v>
      </c>
      <c r="AV219" s="8" t="n">
        <v>0</v>
      </c>
      <c r="AW219" s="8" t="n">
        <v>0</v>
      </c>
      <c r="AX219" s="8" t="n">
        <v>0</v>
      </c>
      <c r="AY219" s="4" t="s">
        <v>59</v>
      </c>
      <c r="AZ219" s="4" t="s">
        <v>60</v>
      </c>
      <c r="BA219" s="4" t="n">
        <v>0</v>
      </c>
      <c r="BB219" s="4"/>
      <c r="BC219" s="4"/>
    </row>
    <row r="220" customFormat="false" ht="16.9" hidden="false" customHeight="false" outlineLevel="0" collapsed="false">
      <c r="A220" s="11" t="n">
        <f aca="false">A219+1</f>
        <v>752</v>
      </c>
      <c r="B220" s="12" t="n">
        <v>44098.6152777778</v>
      </c>
      <c r="C220" s="4" t="n">
        <v>1</v>
      </c>
      <c r="D220" s="4"/>
      <c r="E220" s="4"/>
      <c r="F220" s="4" t="s">
        <v>61</v>
      </c>
      <c r="G220" s="6" t="n">
        <v>70</v>
      </c>
      <c r="H220" s="6" t="n">
        <v>61</v>
      </c>
      <c r="I220" s="6" t="n">
        <v>73</v>
      </c>
      <c r="J220" s="4" t="s">
        <v>75</v>
      </c>
      <c r="K220" s="6" t="n">
        <v>0</v>
      </c>
      <c r="L220" s="6" t="n">
        <v>0</v>
      </c>
      <c r="M220" s="3" t="s">
        <v>63</v>
      </c>
      <c r="N220" s="4" t="s">
        <v>150</v>
      </c>
      <c r="O220" s="4" t="s">
        <v>149</v>
      </c>
      <c r="P220" s="4" t="s">
        <v>92</v>
      </c>
      <c r="Q220" s="8" t="n">
        <v>4.84</v>
      </c>
      <c r="R220" s="6"/>
      <c r="S220" s="6"/>
      <c r="T220" s="6"/>
      <c r="U220" s="8" t="n">
        <f aca="false">80/60</f>
        <v>1.33333333333333</v>
      </c>
      <c r="V220" s="8" t="n">
        <f aca="false">81/60</f>
        <v>1.35</v>
      </c>
      <c r="W220" s="8" t="n">
        <f aca="false">V220-U220</f>
        <v>0.0166666666666668</v>
      </c>
      <c r="X220" s="8" t="n">
        <f aca="false">Q220/U220</f>
        <v>3.63</v>
      </c>
      <c r="Y220" s="4" t="n">
        <v>2</v>
      </c>
      <c r="Z220" s="8" t="n">
        <f aca="false">Q220/Y220</f>
        <v>2.42</v>
      </c>
      <c r="AA220" s="8" t="n">
        <f aca="false">16+36/60</f>
        <v>16.6</v>
      </c>
      <c r="AB220" s="6" t="n">
        <v>262</v>
      </c>
      <c r="AC220" s="6" t="n">
        <v>600</v>
      </c>
      <c r="AD220" s="6" t="n">
        <v>124</v>
      </c>
      <c r="AE220" s="4" t="n">
        <v>158</v>
      </c>
      <c r="AF220" s="8" t="n">
        <f aca="false">17+26/60</f>
        <v>17.4333333333333</v>
      </c>
      <c r="AG220" s="8" t="n">
        <f aca="false">15+25/60</f>
        <v>15.4166666666667</v>
      </c>
      <c r="AH220" s="8" t="n">
        <f aca="false">16+30/60</f>
        <v>16.5</v>
      </c>
      <c r="AI220" s="8" t="n">
        <f aca="false">16+30/60</f>
        <v>16.5</v>
      </c>
      <c r="AJ220" s="8" t="n">
        <f aca="false">60/3.5</f>
        <v>17.1428571428571</v>
      </c>
      <c r="AK220" s="8"/>
      <c r="AL220" s="8"/>
      <c r="AM220" s="8"/>
      <c r="AN220" s="8"/>
      <c r="AO220" s="8"/>
      <c r="AP220" s="4" t="n">
        <v>0</v>
      </c>
      <c r="AQ220" s="4" t="n">
        <v>0</v>
      </c>
      <c r="AR220" s="4" t="n">
        <v>0</v>
      </c>
      <c r="AS220" s="14" t="n">
        <f aca="false">60*U220-SUM(AT220:AX220)</f>
        <v>3.63333333333333</v>
      </c>
      <c r="AT220" s="8" t="n">
        <f aca="false">16+29/60</f>
        <v>16.4833333333333</v>
      </c>
      <c r="AU220" s="8" t="n">
        <f aca="false">8+44/60</f>
        <v>8.73333333333333</v>
      </c>
      <c r="AV220" s="8" t="n">
        <f aca="false">51+9/60</f>
        <v>51.15</v>
      </c>
      <c r="AW220" s="8" t="n">
        <v>0</v>
      </c>
      <c r="AX220" s="8" t="n">
        <v>0</v>
      </c>
      <c r="AY220" s="4" t="s">
        <v>59</v>
      </c>
      <c r="AZ220" s="4" t="s">
        <v>60</v>
      </c>
      <c r="BA220" s="4" t="n">
        <v>0</v>
      </c>
      <c r="BB220" s="4"/>
      <c r="BC220" s="4"/>
    </row>
    <row r="221" customFormat="false" ht="16.9" hidden="false" customHeight="false" outlineLevel="0" collapsed="false">
      <c r="A221" s="11" t="n">
        <f aca="false">A220+1</f>
        <v>753</v>
      </c>
      <c r="B221" s="12" t="n">
        <v>44099.5118055556</v>
      </c>
      <c r="C221" s="4" t="n">
        <v>1</v>
      </c>
      <c r="D221" s="4"/>
      <c r="E221" s="4"/>
      <c r="F221" s="4" t="s">
        <v>120</v>
      </c>
      <c r="G221" s="6" t="n">
        <f aca="false">(73+76)/2</f>
        <v>74.5</v>
      </c>
      <c r="H221" s="6" t="n">
        <v>64</v>
      </c>
      <c r="I221" s="6" t="n">
        <f aca="false">(73+67)/2</f>
        <v>70</v>
      </c>
      <c r="J221" s="6" t="s">
        <v>62</v>
      </c>
      <c r="K221" s="6" t="n">
        <v>10</v>
      </c>
      <c r="L221" s="6" t="n">
        <v>0</v>
      </c>
      <c r="M221" s="3" t="s">
        <v>63</v>
      </c>
      <c r="N221" s="4" t="s">
        <v>150</v>
      </c>
      <c r="O221" s="4" t="s">
        <v>149</v>
      </c>
      <c r="P221" s="4" t="s">
        <v>69</v>
      </c>
      <c r="Q221" s="8" t="n">
        <v>6.83</v>
      </c>
      <c r="R221" s="6" t="n">
        <v>616</v>
      </c>
      <c r="S221" s="6" t="n">
        <v>15219</v>
      </c>
      <c r="T221" s="6" t="n">
        <f aca="false">S221-R221</f>
        <v>14603</v>
      </c>
      <c r="U221" s="8" t="n">
        <f aca="false">(60+58)/60</f>
        <v>1.96666666666667</v>
      </c>
      <c r="V221" s="8" t="n">
        <f aca="false">(120+23)/60</f>
        <v>2.38333333333333</v>
      </c>
      <c r="W221" s="8" t="n">
        <f aca="false">V221-U221</f>
        <v>0.416666666666667</v>
      </c>
      <c r="X221" s="8" t="n">
        <f aca="false">Q221/U221</f>
        <v>3.4728813559322</v>
      </c>
      <c r="Y221" s="4" t="n">
        <v>1</v>
      </c>
      <c r="Z221" s="8" t="n">
        <f aca="false">Q221/Y221</f>
        <v>6.83</v>
      </c>
      <c r="AA221" s="8" t="n">
        <f aca="false">17+16/60</f>
        <v>17.2666666666667</v>
      </c>
      <c r="AB221" s="6" t="n">
        <v>1752</v>
      </c>
      <c r="AC221" s="6" t="n">
        <v>696</v>
      </c>
      <c r="AD221" s="6" t="n">
        <v>103</v>
      </c>
      <c r="AE221" s="4" t="n">
        <v>150</v>
      </c>
      <c r="AF221" s="8" t="n">
        <f aca="false">15+46/60</f>
        <v>15.7666666666667</v>
      </c>
      <c r="AG221" s="8" t="n">
        <f aca="false">15+19/60</f>
        <v>15.3166666666667</v>
      </c>
      <c r="AH221" s="8" t="n">
        <f aca="false">15+29/60</f>
        <v>15.4833333333333</v>
      </c>
      <c r="AI221" s="8" t="n">
        <f aca="false">16+47/60</f>
        <v>16.7833333333333</v>
      </c>
      <c r="AJ221" s="8" t="n">
        <f aca="false">18+44/60</f>
        <v>18.7333333333333</v>
      </c>
      <c r="AK221" s="8" t="n">
        <f aca="false">18+33/60</f>
        <v>18.55</v>
      </c>
      <c r="AL221" s="8" t="n">
        <f aca="false">17+16/60</f>
        <v>17.2666666666667</v>
      </c>
      <c r="AM221" s="8"/>
      <c r="AN221" s="8"/>
      <c r="AO221" s="8"/>
      <c r="AP221" s="4" t="n">
        <v>6</v>
      </c>
      <c r="AQ221" s="4" t="n">
        <v>0</v>
      </c>
      <c r="AR221" s="4" t="n">
        <v>0</v>
      </c>
      <c r="AS221" s="14" t="n">
        <f aca="false">60*U221-SUM(AT221:AX221)</f>
        <v>29.65</v>
      </c>
      <c r="AT221" s="8" t="n">
        <f aca="false">27+57/60</f>
        <v>27.95</v>
      </c>
      <c r="AU221" s="8" t="n">
        <f aca="false">37+56/60</f>
        <v>37.9333333333333</v>
      </c>
      <c r="AV221" s="8" t="n">
        <f aca="false">20+34/60</f>
        <v>20.5666666666667</v>
      </c>
      <c r="AW221" s="8" t="n">
        <f aca="false">1+54/60</f>
        <v>1.9</v>
      </c>
      <c r="AX221" s="8" t="n">
        <v>0</v>
      </c>
      <c r="AY221" s="4" t="s">
        <v>59</v>
      </c>
      <c r="AZ221" s="4" t="s">
        <v>60</v>
      </c>
      <c r="BA221" s="4" t="n">
        <v>0</v>
      </c>
      <c r="BB221" s="4"/>
      <c r="BC221" s="4"/>
    </row>
    <row r="222" customFormat="false" ht="16.9" hidden="false" customHeight="false" outlineLevel="0" collapsed="false">
      <c r="A222" s="11" t="n">
        <f aca="false">A221+1</f>
        <v>754</v>
      </c>
      <c r="B222" s="12" t="n">
        <v>44100.5222222222</v>
      </c>
      <c r="C222" s="4" t="n">
        <v>1</v>
      </c>
      <c r="D222" s="4"/>
      <c r="E222" s="4"/>
      <c r="F222" s="4" t="s">
        <v>71</v>
      </c>
      <c r="G222" s="6" t="n">
        <f aca="false">(84+86+87)/3</f>
        <v>85.6666666666667</v>
      </c>
      <c r="H222" s="6" t="n">
        <f aca="false">(69+69+66)/3</f>
        <v>68</v>
      </c>
      <c r="I222" s="6" t="n">
        <f aca="false">(67+57+49)/3</f>
        <v>57.6666666666667</v>
      </c>
      <c r="J222" s="6" t="s">
        <v>62</v>
      </c>
      <c r="K222" s="6" t="n">
        <f aca="false">(12+16+15)/2</f>
        <v>21.5</v>
      </c>
      <c r="L222" s="6" t="n">
        <v>24</v>
      </c>
      <c r="M222" s="3" t="s">
        <v>129</v>
      </c>
      <c r="N222" s="4" t="s">
        <v>150</v>
      </c>
      <c r="O222" s="4" t="s">
        <v>149</v>
      </c>
      <c r="P222" s="4" t="s">
        <v>146</v>
      </c>
      <c r="Q222" s="8" t="n">
        <v>5.95</v>
      </c>
      <c r="R222" s="6" t="n">
        <v>708</v>
      </c>
      <c r="S222" s="6" t="n">
        <v>14498</v>
      </c>
      <c r="T222" s="6" t="n">
        <f aca="false">S222-R222</f>
        <v>13790</v>
      </c>
      <c r="U222" s="8" t="n">
        <f aca="false">(60+84)/60</f>
        <v>2.4</v>
      </c>
      <c r="V222" s="8" t="n">
        <f aca="false">(120+29)/60</f>
        <v>2.48333333333333</v>
      </c>
      <c r="W222" s="8" t="n">
        <f aca="false">V222-U222</f>
        <v>0.0833333333333335</v>
      </c>
      <c r="X222" s="8" t="n">
        <f aca="false">Q222/U222</f>
        <v>2.47916666666667</v>
      </c>
      <c r="Y222" s="4" t="n">
        <v>1</v>
      </c>
      <c r="Z222" s="8" t="n">
        <f aca="false">Q222/Y222</f>
        <v>5.95</v>
      </c>
      <c r="AA222" s="8" t="n">
        <f aca="false">19+46/60</f>
        <v>19.7666666666667</v>
      </c>
      <c r="AB222" s="6" t="n">
        <v>1795</v>
      </c>
      <c r="AC222" s="6" t="n">
        <v>716</v>
      </c>
      <c r="AD222" s="6" t="n">
        <v>109</v>
      </c>
      <c r="AE222" s="4" t="n">
        <v>143</v>
      </c>
      <c r="AF222" s="8" t="n">
        <f aca="false">16+57/60</f>
        <v>16.95</v>
      </c>
      <c r="AG222" s="8" t="n">
        <f aca="false">17+46/60</f>
        <v>17.7666666666667</v>
      </c>
      <c r="AH222" s="8" t="n">
        <f aca="false">18+56/60</f>
        <v>18.9333333333333</v>
      </c>
      <c r="AI222" s="8" t="n">
        <f aca="false">22+51/60</f>
        <v>22.85</v>
      </c>
      <c r="AJ222" s="8" t="n">
        <f aca="false">22+51/60</f>
        <v>22.85</v>
      </c>
      <c r="AK222" s="8" t="n">
        <f aca="false">60/2.9</f>
        <v>20.6896551724138</v>
      </c>
      <c r="AL222" s="8"/>
      <c r="AM222" s="8"/>
      <c r="AN222" s="8"/>
      <c r="AO222" s="8"/>
      <c r="AP222" s="4" t="n">
        <v>2</v>
      </c>
      <c r="AQ222" s="4" t="n">
        <v>0</v>
      </c>
      <c r="AR222" s="4" t="n">
        <v>0</v>
      </c>
      <c r="AS222" s="14" t="n">
        <f aca="false">60*U222-SUM(AT222:AX222)</f>
        <v>32.3166666666667</v>
      </c>
      <c r="AT222" s="8" t="n">
        <f aca="false">41+4/60</f>
        <v>41.0666666666667</v>
      </c>
      <c r="AU222" s="8" t="n">
        <f aca="false">56+8/60</f>
        <v>56.1333333333333</v>
      </c>
      <c r="AV222" s="8" t="n">
        <f aca="false">14+26/60</f>
        <v>14.4333333333333</v>
      </c>
      <c r="AW222" s="8" t="n">
        <f aca="false">3/60</f>
        <v>0.05</v>
      </c>
      <c r="AX222" s="8" t="n">
        <v>0</v>
      </c>
      <c r="AY222" s="4" t="s">
        <v>59</v>
      </c>
      <c r="AZ222" s="4" t="s">
        <v>60</v>
      </c>
      <c r="BA222" s="4" t="n">
        <v>0</v>
      </c>
      <c r="BB222" s="4"/>
      <c r="BC222" s="4"/>
    </row>
    <row r="223" customFormat="false" ht="14.9" hidden="false" customHeight="true" outlineLevel="0" collapsed="false">
      <c r="A223" s="11" t="n">
        <f aca="false">A222+1</f>
        <v>755</v>
      </c>
      <c r="B223" s="12" t="n">
        <v>44101.525</v>
      </c>
      <c r="C223" s="4" t="n">
        <v>1</v>
      </c>
      <c r="D223" s="4"/>
      <c r="E223" s="4"/>
      <c r="F223" s="4" t="s">
        <v>106</v>
      </c>
      <c r="G223" s="6" t="n">
        <v>86</v>
      </c>
      <c r="H223" s="6" t="n">
        <v>72</v>
      </c>
      <c r="I223" s="6" t="n">
        <v>63</v>
      </c>
      <c r="J223" s="6" t="s">
        <v>62</v>
      </c>
      <c r="K223" s="6" t="n">
        <v>26</v>
      </c>
      <c r="L223" s="6" t="n">
        <v>35</v>
      </c>
      <c r="M223" s="3" t="s">
        <v>129</v>
      </c>
      <c r="N223" s="4" t="s">
        <v>150</v>
      </c>
      <c r="O223" s="4" t="s">
        <v>149</v>
      </c>
      <c r="P223" s="4" t="s">
        <v>87</v>
      </c>
      <c r="Q223" s="8" t="n">
        <v>4.5</v>
      </c>
      <c r="R223" s="6" t="n">
        <v>1310</v>
      </c>
      <c r="S223" s="6" t="n">
        <v>10870</v>
      </c>
      <c r="T223" s="6" t="n">
        <f aca="false">S223-R223</f>
        <v>9560</v>
      </c>
      <c r="U223" s="8" t="n">
        <f aca="false">(60+20)/60</f>
        <v>1.33333333333333</v>
      </c>
      <c r="V223" s="8" t="n">
        <f aca="false">(60+34)/60</f>
        <v>1.56666666666667</v>
      </c>
      <c r="W223" s="8" t="n">
        <f aca="false">V223-U223</f>
        <v>0.233333333333333</v>
      </c>
      <c r="X223" s="8" t="n">
        <f aca="false">Q223/U223</f>
        <v>3.375</v>
      </c>
      <c r="Y223" s="4" t="n">
        <v>1</v>
      </c>
      <c r="Z223" s="8" t="n">
        <f aca="false">Q223/Y223</f>
        <v>4.5</v>
      </c>
      <c r="AA223" s="8" t="n">
        <f aca="false">17+54/60</f>
        <v>17.9</v>
      </c>
      <c r="AB223" s="6" t="n">
        <f aca="false">420</f>
        <v>420</v>
      </c>
      <c r="AC223" s="6" t="n">
        <v>500</v>
      </c>
      <c r="AD223" s="6" t="n">
        <v>104</v>
      </c>
      <c r="AE223" s="4" t="n">
        <v>142</v>
      </c>
      <c r="AF223" s="8" t="n">
        <f aca="false">16+52/60</f>
        <v>16.8666666666667</v>
      </c>
      <c r="AG223" s="8" t="n">
        <f aca="false">16+53/60</f>
        <v>16.8833333333333</v>
      </c>
      <c r="AH223" s="8" t="n">
        <f aca="false">17+30/60</f>
        <v>17.5</v>
      </c>
      <c r="AI223" s="8" t="n">
        <f aca="false">19+44/60</f>
        <v>19.7333333333333</v>
      </c>
      <c r="AJ223" s="8" t="n">
        <f aca="false">60/3.1</f>
        <v>19.3548387096774</v>
      </c>
      <c r="AK223" s="8"/>
      <c r="AL223" s="8"/>
      <c r="AM223" s="8"/>
      <c r="AN223" s="8"/>
      <c r="AO223" s="8"/>
      <c r="AP223" s="4" t="n">
        <v>1</v>
      </c>
      <c r="AQ223" s="4" t="n">
        <v>0</v>
      </c>
      <c r="AR223" s="4" t="n">
        <v>0</v>
      </c>
      <c r="AS223" s="14" t="n">
        <v>0</v>
      </c>
      <c r="AT223" s="8" t="n">
        <f aca="false">58+56/60</f>
        <v>58.9333333333333</v>
      </c>
      <c r="AU223" s="8" t="n">
        <f aca="false">16+66/60</f>
        <v>17.1</v>
      </c>
      <c r="AV223" s="8" t="n">
        <f aca="false">4+17/60</f>
        <v>4.28333333333333</v>
      </c>
      <c r="AW223" s="8" t="n">
        <v>0</v>
      </c>
      <c r="AX223" s="8" t="n">
        <v>0</v>
      </c>
      <c r="AY223" s="4" t="s">
        <v>59</v>
      </c>
      <c r="AZ223" s="4" t="s">
        <v>60</v>
      </c>
      <c r="BA223" s="4" t="n">
        <v>0</v>
      </c>
      <c r="BB223" s="4"/>
      <c r="BC223" s="4"/>
    </row>
    <row r="224" customFormat="false" ht="16.9" hidden="false" customHeight="false" outlineLevel="0" collapsed="false">
      <c r="A224" s="11" t="n">
        <f aca="false">A223+1</f>
        <v>756</v>
      </c>
      <c r="B224" s="12" t="n">
        <v>44102.5430555556</v>
      </c>
      <c r="C224" s="4" t="n">
        <v>1</v>
      </c>
      <c r="D224" s="4"/>
      <c r="E224" s="4"/>
      <c r="F224" s="4" t="s">
        <v>93</v>
      </c>
      <c r="G224" s="6" t="n">
        <v>76</v>
      </c>
      <c r="H224" s="6" t="n">
        <v>43</v>
      </c>
      <c r="I224" s="6" t="n">
        <f aca="false">(33+29)/2</f>
        <v>31</v>
      </c>
      <c r="J224" s="6" t="s">
        <v>83</v>
      </c>
      <c r="K224" s="6" t="n">
        <f aca="false">(18+21)/2</f>
        <v>19.5</v>
      </c>
      <c r="L224" s="6" t="n">
        <v>30</v>
      </c>
      <c r="M224" s="3" t="s">
        <v>63</v>
      </c>
      <c r="N224" s="4" t="s">
        <v>150</v>
      </c>
      <c r="O224" s="4" t="s">
        <v>149</v>
      </c>
      <c r="P224" s="4" t="s">
        <v>94</v>
      </c>
      <c r="Q224" s="8" t="n">
        <v>6.91</v>
      </c>
      <c r="R224" s="6" t="n">
        <v>1991</v>
      </c>
      <c r="S224" s="6" t="n">
        <v>16178</v>
      </c>
      <c r="T224" s="6" t="n">
        <f aca="false">S224-R224</f>
        <v>14187</v>
      </c>
      <c r="U224" s="8" t="n">
        <f aca="false">(60+50)/60</f>
        <v>1.83333333333333</v>
      </c>
      <c r="V224" s="8" t="n">
        <f aca="false">120/60</f>
        <v>2</v>
      </c>
      <c r="W224" s="8" t="n">
        <f aca="false">V224-U224</f>
        <v>0.166666666666667</v>
      </c>
      <c r="X224" s="8" t="n">
        <f aca="false">Q224/U224</f>
        <v>3.76909090909091</v>
      </c>
      <c r="Y224" s="4" t="n">
        <v>1</v>
      </c>
      <c r="Z224" s="8" t="n">
        <f aca="false">Q224/Y224</f>
        <v>6.91</v>
      </c>
      <c r="AA224" s="8" t="n">
        <f aca="false">15+53/60</f>
        <v>15.8833333333333</v>
      </c>
      <c r="AB224" s="6" t="n">
        <v>102</v>
      </c>
      <c r="AC224" s="6" t="n">
        <v>719</v>
      </c>
      <c r="AD224" s="6" t="n">
        <v>95</v>
      </c>
      <c r="AE224" s="4" t="n">
        <v>125</v>
      </c>
      <c r="AF224" s="8" t="n">
        <f aca="false">15+34/60</f>
        <v>15.5666666666667</v>
      </c>
      <c r="AG224" s="8" t="n">
        <f aca="false">15+22/60</f>
        <v>15.3666666666667</v>
      </c>
      <c r="AH224" s="8" t="n">
        <f aca="false">16+27/60</f>
        <v>16.45</v>
      </c>
      <c r="AI224" s="8" t="n">
        <f aca="false">16+23/60</f>
        <v>16.3833333333333</v>
      </c>
      <c r="AJ224" s="8" t="n">
        <f aca="false">16+3/60</f>
        <v>16.05</v>
      </c>
      <c r="AK224" s="8" t="n">
        <f aca="false">60/3.7</f>
        <v>16.2162162162162</v>
      </c>
      <c r="AL224" s="8"/>
      <c r="AM224" s="8"/>
      <c r="AN224" s="8"/>
      <c r="AO224" s="8"/>
      <c r="AP224" s="4" t="n">
        <v>2</v>
      </c>
      <c r="AQ224" s="4" t="n">
        <v>1</v>
      </c>
      <c r="AR224" s="4" t="n">
        <v>0</v>
      </c>
      <c r="AS224" s="14" t="n">
        <f aca="false">60*U224-SUM(AT224:AX224)</f>
        <v>23.7633333333333</v>
      </c>
      <c r="AT224" s="8" t="n">
        <f aca="false">79+26/50</f>
        <v>79.52</v>
      </c>
      <c r="AU224" s="8" t="n">
        <f aca="false">6+42/60</f>
        <v>6.7</v>
      </c>
      <c r="AV224" s="8" t="n">
        <f aca="false">1/60</f>
        <v>0.0166666666666667</v>
      </c>
      <c r="AW224" s="8" t="n">
        <v>0</v>
      </c>
      <c r="AX224" s="8" t="n">
        <v>0</v>
      </c>
      <c r="AY224" s="4" t="s">
        <v>59</v>
      </c>
      <c r="AZ224" s="4" t="s">
        <v>60</v>
      </c>
      <c r="BA224" s="4" t="n">
        <v>0</v>
      </c>
      <c r="BB224" s="4"/>
      <c r="BC224" s="4"/>
    </row>
    <row r="225" customFormat="false" ht="16.9" hidden="false" customHeight="false" outlineLevel="0" collapsed="false">
      <c r="A225" s="11" t="n">
        <f aca="false">A224+1</f>
        <v>757</v>
      </c>
      <c r="B225" s="12" t="n">
        <v>44103.5375</v>
      </c>
      <c r="C225" s="4" t="n">
        <v>1</v>
      </c>
      <c r="D225" s="4"/>
      <c r="E225" s="4"/>
      <c r="F225" s="4" t="s">
        <v>71</v>
      </c>
      <c r="G225" s="6" t="n">
        <v>81</v>
      </c>
      <c r="H225" s="6" t="n">
        <v>32</v>
      </c>
      <c r="I225" s="6" t="n">
        <v>17</v>
      </c>
      <c r="J225" s="6" t="s">
        <v>110</v>
      </c>
      <c r="K225" s="6" t="n">
        <v>11</v>
      </c>
      <c r="L225" s="6" t="n">
        <f aca="false">(20+32)/2</f>
        <v>26</v>
      </c>
      <c r="M225" s="3" t="s">
        <v>63</v>
      </c>
      <c r="N225" s="4" t="s">
        <v>150</v>
      </c>
      <c r="O225" s="4" t="s">
        <v>149</v>
      </c>
      <c r="P225" s="4" t="s">
        <v>112</v>
      </c>
      <c r="Q225" s="8" t="n">
        <v>6.16</v>
      </c>
      <c r="R225" s="6" t="n">
        <v>1078</v>
      </c>
      <c r="S225" s="6" t="n">
        <v>13392</v>
      </c>
      <c r="T225" s="6" t="n">
        <f aca="false">S225-R225</f>
        <v>12314</v>
      </c>
      <c r="U225" s="8" t="n">
        <f aca="false">(60+37)/60</f>
        <v>1.61666666666667</v>
      </c>
      <c r="V225" s="8" t="n">
        <f aca="false">(60+42)/60</f>
        <v>1.7</v>
      </c>
      <c r="W225" s="8" t="n">
        <f aca="false">V225-U225</f>
        <v>0.0833333333333333</v>
      </c>
      <c r="X225" s="8" t="n">
        <f aca="false">Q225/U225</f>
        <v>3.81030927835052</v>
      </c>
      <c r="Y225" s="4" t="n">
        <v>1</v>
      </c>
      <c r="Z225" s="8" t="n">
        <f aca="false">Q225/Y225</f>
        <v>6.16</v>
      </c>
      <c r="AA225" s="8" t="n">
        <f aca="false">15+39/60</f>
        <v>15.65</v>
      </c>
      <c r="AB225" s="6" t="n">
        <v>308</v>
      </c>
      <c r="AC225" s="6" t="n">
        <v>565</v>
      </c>
      <c r="AD225" s="6" t="n">
        <v>84</v>
      </c>
      <c r="AE225" s="4" t="n">
        <v>125</v>
      </c>
      <c r="AF225" s="8" t="n">
        <f aca="false">15+24/60</f>
        <v>15.4</v>
      </c>
      <c r="AG225" s="8" t="n">
        <f aca="false">15+27/60</f>
        <v>15.45</v>
      </c>
      <c r="AH225" s="8" t="n">
        <f aca="false">15+27/60</f>
        <v>15.45</v>
      </c>
      <c r="AI225" s="8" t="n">
        <f aca="false">17+6/60</f>
        <v>17.1</v>
      </c>
      <c r="AJ225" s="8" t="n">
        <f aca="false">15+6/60</f>
        <v>15.1</v>
      </c>
      <c r="AK225" s="8" t="n">
        <f aca="false">15+23/60</f>
        <v>15.3833333333333</v>
      </c>
      <c r="AL225" s="8" t="n">
        <f aca="false">60/3.7</f>
        <v>16.2162162162162</v>
      </c>
      <c r="AM225" s="8"/>
      <c r="AN225" s="8"/>
      <c r="AO225" s="8"/>
      <c r="AP225" s="4" t="n">
        <v>2</v>
      </c>
      <c r="AQ225" s="4" t="n">
        <v>0</v>
      </c>
      <c r="AR225" s="4" t="n">
        <v>0</v>
      </c>
      <c r="AS225" s="14" t="n">
        <f aca="false">60*U225-SUM(AT225:AX225)</f>
        <v>68.3333333333333</v>
      </c>
      <c r="AT225" s="8" t="n">
        <f aca="false">26+1/60</f>
        <v>26.0166666666667</v>
      </c>
      <c r="AU225" s="8" t="n">
        <f aca="false">2+39/60</f>
        <v>2.65</v>
      </c>
      <c r="AV225" s="8" t="n">
        <v>0</v>
      </c>
      <c r="AW225" s="8" t="n">
        <v>0</v>
      </c>
      <c r="AX225" s="8" t="n">
        <v>0</v>
      </c>
      <c r="AY225" s="4" t="s">
        <v>59</v>
      </c>
      <c r="AZ225" s="4" t="s">
        <v>60</v>
      </c>
      <c r="BA225" s="4" t="n">
        <v>0</v>
      </c>
      <c r="BB225" s="4"/>
      <c r="BC225" s="4"/>
    </row>
    <row r="226" customFormat="false" ht="16.9" hidden="false" customHeight="false" outlineLevel="0" collapsed="false">
      <c r="A226" s="11" t="n">
        <f aca="false">A225+1</f>
        <v>758</v>
      </c>
      <c r="B226" s="12" t="n">
        <v>44104.5222222222</v>
      </c>
      <c r="C226" s="4" t="n">
        <v>1</v>
      </c>
      <c r="D226" s="4"/>
      <c r="E226" s="4"/>
      <c r="F226" s="4" t="s">
        <v>71</v>
      </c>
      <c r="G226" s="6" t="n">
        <v>90</v>
      </c>
      <c r="H226" s="6" t="n">
        <v>42</v>
      </c>
      <c r="I226" s="6" t="n">
        <v>19</v>
      </c>
      <c r="J226" s="4" t="s">
        <v>101</v>
      </c>
      <c r="K226" s="6" t="n">
        <v>5</v>
      </c>
      <c r="L226" s="6" t="n">
        <v>0</v>
      </c>
      <c r="M226" s="3" t="s">
        <v>63</v>
      </c>
      <c r="N226" s="4" t="s">
        <v>150</v>
      </c>
      <c r="O226" s="4" t="s">
        <v>149</v>
      </c>
      <c r="P226" s="4" t="s">
        <v>69</v>
      </c>
      <c r="Q226" s="8" t="n">
        <v>6.82</v>
      </c>
      <c r="R226" s="6" t="n">
        <v>246</v>
      </c>
      <c r="S226" s="6"/>
      <c r="T226" s="6"/>
      <c r="U226" s="8" t="n">
        <f aca="false">(60+57)/60</f>
        <v>1.95</v>
      </c>
      <c r="V226" s="8" t="n">
        <f aca="false">(120+15)/60</f>
        <v>2.25</v>
      </c>
      <c r="W226" s="8" t="n">
        <f aca="false">V226-U226</f>
        <v>0.3</v>
      </c>
      <c r="X226" s="8" t="n">
        <f aca="false">Q226/V226</f>
        <v>3.03111111111111</v>
      </c>
      <c r="Y226" s="4" t="n">
        <v>1</v>
      </c>
      <c r="Z226" s="8" t="n">
        <f aca="false">Q226/Y226</f>
        <v>6.82</v>
      </c>
      <c r="AA226" s="8" t="n">
        <f aca="false">17+12/60</f>
        <v>17.2</v>
      </c>
      <c r="AB226" s="6" t="n">
        <v>433</v>
      </c>
      <c r="AC226" s="6" t="n">
        <v>787</v>
      </c>
      <c r="AD226" s="6" t="n">
        <v>115</v>
      </c>
      <c r="AE226" s="4" t="n">
        <v>140</v>
      </c>
      <c r="AF226" s="8" t="n">
        <f aca="false">16+24/60</f>
        <v>16.4</v>
      </c>
      <c r="AG226" s="8" t="n">
        <f aca="false">16+18/60</f>
        <v>16.3</v>
      </c>
      <c r="AH226" s="8" t="n">
        <f aca="false">17+2/60</f>
        <v>17.0333333333333</v>
      </c>
      <c r="AI226" s="8" t="n">
        <f aca="false">18-28/60</f>
        <v>17.5333333333333</v>
      </c>
      <c r="AJ226" s="8" t="n">
        <f aca="false">17+20/60</f>
        <v>17.3333333333333</v>
      </c>
      <c r="AK226" s="8" t="n">
        <f aca="false">17+18/60</f>
        <v>17.3</v>
      </c>
      <c r="AL226" s="8" t="n">
        <f aca="false">60/3.5</f>
        <v>17.1428571428571</v>
      </c>
      <c r="AM226" s="8"/>
      <c r="AN226" s="8"/>
      <c r="AO226" s="8"/>
      <c r="AP226" s="4" t="n">
        <v>3</v>
      </c>
      <c r="AQ226" s="4" t="n">
        <v>1</v>
      </c>
      <c r="AR226" s="4" t="n">
        <v>0</v>
      </c>
      <c r="AS226" s="14" t="n">
        <f aca="false">60*U226-SUM(AT226:AX226)</f>
        <v>0.550000000000011</v>
      </c>
      <c r="AT226" s="8" t="n">
        <f aca="false">28+54/60</f>
        <v>28.9</v>
      </c>
      <c r="AU226" s="8" t="n">
        <f aca="false">61+44/60</f>
        <v>61.7333333333333</v>
      </c>
      <c r="AV226" s="8" t="n">
        <f aca="false">25+49/60</f>
        <v>25.8166666666667</v>
      </c>
      <c r="AW226" s="8" t="n">
        <v>0</v>
      </c>
      <c r="AX226" s="8" t="n">
        <v>0</v>
      </c>
      <c r="AY226" s="4" t="s">
        <v>59</v>
      </c>
      <c r="AZ226" s="4" t="s">
        <v>60</v>
      </c>
      <c r="BA226" s="4" t="n">
        <v>0</v>
      </c>
      <c r="BB226" s="4"/>
      <c r="BC226" s="4"/>
    </row>
    <row r="227" customFormat="false" ht="16.9" hidden="false" customHeight="false" outlineLevel="0" collapsed="false">
      <c r="A227" s="11" t="n">
        <f aca="false">A226+1</f>
        <v>759</v>
      </c>
      <c r="B227" s="12" t="n">
        <v>44105.4479166667</v>
      </c>
      <c r="C227" s="4" t="n">
        <v>1</v>
      </c>
      <c r="D227" s="4"/>
      <c r="E227" s="4"/>
      <c r="F227" s="4" t="s">
        <v>71</v>
      </c>
      <c r="G227" s="6" t="n">
        <v>80</v>
      </c>
      <c r="H227" s="6" t="n">
        <v>46</v>
      </c>
      <c r="I227" s="6" t="n">
        <v>31</v>
      </c>
      <c r="J227" s="6" t="s">
        <v>121</v>
      </c>
      <c r="K227" s="6" t="n">
        <v>14</v>
      </c>
      <c r="L227" s="6" t="n">
        <v>0</v>
      </c>
      <c r="M227" s="3" t="s">
        <v>63</v>
      </c>
      <c r="N227" s="4" t="s">
        <v>150</v>
      </c>
      <c r="O227" s="4" t="s">
        <v>149</v>
      </c>
      <c r="P227" s="4" t="s">
        <v>126</v>
      </c>
      <c r="Q227" s="8" t="n">
        <v>7.4</v>
      </c>
      <c r="R227" s="6" t="n">
        <v>958</v>
      </c>
      <c r="S227" s="6" t="n">
        <v>16670</v>
      </c>
      <c r="T227" s="6" t="n">
        <f aca="false">S227-R227</f>
        <v>15712</v>
      </c>
      <c r="U227" s="8" t="n">
        <f aca="false">(120+9)/60</f>
        <v>2.15</v>
      </c>
      <c r="V227" s="8" t="n">
        <f aca="false">(120+28)/60</f>
        <v>2.46666666666667</v>
      </c>
      <c r="W227" s="8" t="n">
        <f aca="false">V227-U227</f>
        <v>0.316666666666667</v>
      </c>
      <c r="X227" s="8" t="n">
        <f aca="false">Q227/V227</f>
        <v>3</v>
      </c>
      <c r="Y227" s="4" t="n">
        <v>1</v>
      </c>
      <c r="Z227" s="8" t="n">
        <f aca="false">Q227/Y227</f>
        <v>7.4</v>
      </c>
      <c r="AA227" s="8" t="n">
        <f aca="false">17+30/60</f>
        <v>17.5</v>
      </c>
      <c r="AB227" s="6" t="n">
        <v>164</v>
      </c>
      <c r="AC227" s="6" t="n">
        <v>799</v>
      </c>
      <c r="AD227" s="6" t="n">
        <v>109</v>
      </c>
      <c r="AE227" s="4" t="n">
        <v>137</v>
      </c>
      <c r="AF227" s="8" t="n">
        <f aca="false">16+9/60</f>
        <v>16.15</v>
      </c>
      <c r="AG227" s="8" t="n">
        <f aca="false">16+2/60</f>
        <v>16.0333333333333</v>
      </c>
      <c r="AH227" s="8" t="n">
        <f aca="false">17+29/60</f>
        <v>17.4833333333333</v>
      </c>
      <c r="AI227" s="8" t="n">
        <f aca="false">18+42/60</f>
        <v>18.7</v>
      </c>
      <c r="AJ227" s="8" t="n">
        <f aca="false">18+37/60</f>
        <v>18.6166666666667</v>
      </c>
      <c r="AK227" s="8" t="n">
        <f aca="false">17+7/60</f>
        <v>17.1166666666667</v>
      </c>
      <c r="AL227" s="8" t="n">
        <f aca="false">18+24/60</f>
        <v>18.4</v>
      </c>
      <c r="AM227" s="8" t="n">
        <f aca="false">60/3.4</f>
        <v>17.6470588235294</v>
      </c>
      <c r="AN227" s="8"/>
      <c r="AO227" s="8"/>
      <c r="AP227" s="4" t="n">
        <v>3</v>
      </c>
      <c r="AQ227" s="4" t="n">
        <v>0</v>
      </c>
      <c r="AR227" s="4" t="n">
        <v>0</v>
      </c>
      <c r="AS227" s="14" t="n">
        <v>0</v>
      </c>
      <c r="AT227" s="8" t="n">
        <f aca="false">46+39/60</f>
        <v>46.65</v>
      </c>
      <c r="AU227" s="8" t="n">
        <f aca="false">120+27/60</f>
        <v>120.45</v>
      </c>
      <c r="AV227" s="8" t="n">
        <f aca="false">1+22/60</f>
        <v>1.36666666666667</v>
      </c>
      <c r="AW227" s="8" t="n">
        <v>0</v>
      </c>
      <c r="AX227" s="8" t="n">
        <v>0</v>
      </c>
      <c r="AY227" s="4" t="s">
        <v>59</v>
      </c>
      <c r="AZ227" s="4" t="s">
        <v>60</v>
      </c>
      <c r="BA227" s="4" t="n">
        <v>0</v>
      </c>
      <c r="BB227" s="4"/>
      <c r="BC227" s="4"/>
    </row>
    <row r="228" customFormat="false" ht="16.9" hidden="false" customHeight="false" outlineLevel="0" collapsed="false">
      <c r="A228" s="11" t="n">
        <f aca="false">A227+1</f>
        <v>760</v>
      </c>
      <c r="B228" s="12" t="n">
        <v>44106.4555555556</v>
      </c>
      <c r="C228" s="4" t="n">
        <v>1</v>
      </c>
      <c r="D228" s="4"/>
      <c r="E228" s="4"/>
      <c r="F228" s="4" t="s">
        <v>71</v>
      </c>
      <c r="G228" s="6" t="n">
        <f aca="false">(70+73)/2</f>
        <v>71.5</v>
      </c>
      <c r="H228" s="6" t="n">
        <f aca="false">(39+36)/2</f>
        <v>37.5</v>
      </c>
      <c r="I228" s="6" t="n">
        <f aca="false">(32+26)/2</f>
        <v>29</v>
      </c>
      <c r="J228" s="6" t="s">
        <v>110</v>
      </c>
      <c r="K228" s="6" t="n">
        <v>9</v>
      </c>
      <c r="L228" s="6" t="n">
        <v>0</v>
      </c>
      <c r="M228" s="3" t="s">
        <v>63</v>
      </c>
      <c r="N228" s="4" t="s">
        <v>150</v>
      </c>
      <c r="O228" s="4" t="s">
        <v>149</v>
      </c>
      <c r="P228" s="15" t="s">
        <v>131</v>
      </c>
      <c r="Q228" s="8" t="n">
        <v>6.93</v>
      </c>
      <c r="R228" s="6" t="n">
        <v>296</v>
      </c>
      <c r="S228" s="6" t="n">
        <v>15107</v>
      </c>
      <c r="T228" s="6" t="n">
        <f aca="false">S228-R228</f>
        <v>14811</v>
      </c>
      <c r="U228" s="8" t="n">
        <f aca="false">(60+57)/60</f>
        <v>1.95</v>
      </c>
      <c r="V228" s="8" t="n">
        <f aca="false">(120+7)/60</f>
        <v>2.11666666666667</v>
      </c>
      <c r="W228" s="8" t="n">
        <f aca="false">V228-U228</f>
        <v>0.166666666666667</v>
      </c>
      <c r="X228" s="8" t="n">
        <f aca="false">Q228/V228</f>
        <v>3.2740157480315</v>
      </c>
      <c r="Y228" s="4" t="n">
        <v>1</v>
      </c>
      <c r="Z228" s="8" t="n">
        <f aca="false">Q228/Y228</f>
        <v>6.93</v>
      </c>
      <c r="AA228" s="8" t="n">
        <f aca="false">16+55/60</f>
        <v>16.9166666666667</v>
      </c>
      <c r="AB228" s="6" t="n">
        <v>659</v>
      </c>
      <c r="AC228" s="6" t="n">
        <v>756</v>
      </c>
      <c r="AD228" s="6" t="n">
        <v>95</v>
      </c>
      <c r="AE228" s="4" t="n">
        <v>125</v>
      </c>
      <c r="AF228" s="8" t="n">
        <f aca="false">16+28/60</f>
        <v>16.4666666666667</v>
      </c>
      <c r="AG228" s="8" t="n">
        <f aca="false">16+44/60</f>
        <v>16.7333333333333</v>
      </c>
      <c r="AH228" s="8" t="n">
        <f aca="false">17+6/30</f>
        <v>17.2</v>
      </c>
      <c r="AI228" s="8" t="n">
        <f aca="false">17+17/60</f>
        <v>17.2833333333333</v>
      </c>
      <c r="AJ228" s="8" t="n">
        <f aca="false">16+55/60</f>
        <v>16.9166666666667</v>
      </c>
      <c r="AK228" s="8" t="n">
        <f aca="false">16+7/60</f>
        <v>16.1166666666667</v>
      </c>
      <c r="AL228" s="8" t="n">
        <f aca="false">60/3.5</f>
        <v>17.1428571428571</v>
      </c>
      <c r="AM228" s="8"/>
      <c r="AN228" s="8"/>
      <c r="AO228" s="8"/>
      <c r="AP228" s="4" t="n">
        <v>1</v>
      </c>
      <c r="AQ228" s="4" t="n">
        <v>0</v>
      </c>
      <c r="AR228" s="4" t="n">
        <v>0</v>
      </c>
      <c r="AS228" s="14" t="n">
        <f aca="false">60*U228-SUM(AT228:AX228)</f>
        <v>40.4666666666667</v>
      </c>
      <c r="AT228" s="8" t="n">
        <f aca="false">62+55/60</f>
        <v>62.9166666666667</v>
      </c>
      <c r="AU228" s="8" t="n">
        <f aca="false">13+37/60</f>
        <v>13.6166666666667</v>
      </c>
      <c r="AV228" s="8" t="n">
        <v>0</v>
      </c>
      <c r="AW228" s="8" t="n">
        <v>0</v>
      </c>
      <c r="AX228" s="8" t="n">
        <v>0</v>
      </c>
      <c r="AY228" s="4" t="s">
        <v>59</v>
      </c>
      <c r="AZ228" s="4" t="s">
        <v>60</v>
      </c>
      <c r="BA228" s="4" t="n">
        <v>0</v>
      </c>
      <c r="BB228" s="4"/>
      <c r="BC228" s="4"/>
    </row>
    <row r="229" customFormat="false" ht="16.9" hidden="false" customHeight="false" outlineLevel="0" collapsed="false">
      <c r="A229" s="11" t="n">
        <f aca="false">A228+1</f>
        <v>761</v>
      </c>
      <c r="B229" s="12" t="n">
        <v>44107.5201388889</v>
      </c>
      <c r="C229" s="4" t="n">
        <v>1</v>
      </c>
      <c r="D229" s="4"/>
      <c r="E229" s="4"/>
      <c r="F229" s="4" t="s">
        <v>71</v>
      </c>
      <c r="G229" s="6" t="n">
        <f aca="false">(79+83)/2</f>
        <v>81</v>
      </c>
      <c r="H229" s="6" t="n">
        <v>52</v>
      </c>
      <c r="I229" s="6" t="n">
        <f aca="false">(46+39)/2</f>
        <v>42.5</v>
      </c>
      <c r="J229" s="6" t="s">
        <v>108</v>
      </c>
      <c r="K229" s="6" t="n">
        <v>23</v>
      </c>
      <c r="L229" s="6" t="n">
        <v>29</v>
      </c>
      <c r="M229" s="3" t="s">
        <v>63</v>
      </c>
      <c r="N229" s="4" t="s">
        <v>150</v>
      </c>
      <c r="O229" s="4" t="s">
        <v>149</v>
      </c>
      <c r="P229" s="4" t="s">
        <v>66</v>
      </c>
      <c r="Q229" s="8" t="n">
        <v>6.14</v>
      </c>
      <c r="R229" s="6" t="n">
        <v>484</v>
      </c>
      <c r="S229" s="6" t="n">
        <v>13467</v>
      </c>
      <c r="T229" s="6" t="n">
        <f aca="false">S229-R229</f>
        <v>12983</v>
      </c>
      <c r="U229" s="8" t="n">
        <f aca="false">(60+43)/60</f>
        <v>1.71666666666667</v>
      </c>
      <c r="V229" s="8" t="n">
        <f aca="false">(60+48)/60</f>
        <v>1.8</v>
      </c>
      <c r="W229" s="8" t="n">
        <f aca="false">V229-U229</f>
        <v>0.0833333333333335</v>
      </c>
      <c r="X229" s="8" t="n">
        <f aca="false">Q229/V229</f>
        <v>3.41111111111111</v>
      </c>
      <c r="Y229" s="4" t="n">
        <v>1</v>
      </c>
      <c r="Z229" s="8" t="n">
        <f aca="false">Q229/Y229</f>
        <v>6.14</v>
      </c>
      <c r="AA229" s="8" t="n">
        <f aca="false">16+44/60</f>
        <v>16.7333333333333</v>
      </c>
      <c r="AB229" s="6" t="n">
        <v>584</v>
      </c>
      <c r="AC229" s="6" t="n">
        <v>709</v>
      </c>
      <c r="AD229" s="6" t="n">
        <v>118</v>
      </c>
      <c r="AE229" s="4" t="n">
        <v>145</v>
      </c>
      <c r="AF229" s="8" t="n">
        <f aca="false">16+14/60</f>
        <v>16.2333333333333</v>
      </c>
      <c r="AG229" s="8" t="n">
        <f aca="false">16+11/60</f>
        <v>16.1833333333333</v>
      </c>
      <c r="AH229" s="8" t="n">
        <f aca="false">16+22/60</f>
        <v>16.3666666666667</v>
      </c>
      <c r="AI229" s="8" t="n">
        <f aca="false">18+11/60</f>
        <v>18.1833333333333</v>
      </c>
      <c r="AJ229" s="8" t="n">
        <f aca="false">16+42/60</f>
        <v>16.7</v>
      </c>
      <c r="AK229" s="8" t="n">
        <f aca="false">16+46/60</f>
        <v>16.7666666666667</v>
      </c>
      <c r="AL229" s="8" t="n">
        <f aca="false">60/3.6</f>
        <v>16.6666666666667</v>
      </c>
      <c r="AM229" s="8"/>
      <c r="AN229" s="8"/>
      <c r="AO229" s="8"/>
      <c r="AP229" s="4" t="n">
        <v>2</v>
      </c>
      <c r="AQ229" s="4" t="n">
        <v>0</v>
      </c>
      <c r="AR229" s="4" t="n">
        <v>0</v>
      </c>
      <c r="AS229" s="14" t="n">
        <f aca="false">60*U229-SUM(AT229:AX229)</f>
        <v>14.5333333333333</v>
      </c>
      <c r="AT229" s="8" t="n">
        <f aca="false">5+29/60</f>
        <v>5.48333333333333</v>
      </c>
      <c r="AU229" s="8" t="n">
        <f aca="false">40+27/60</f>
        <v>40.45</v>
      </c>
      <c r="AV229" s="8" t="n">
        <f aca="false">41+13/60</f>
        <v>41.2166666666667</v>
      </c>
      <c r="AW229" s="8" t="n">
        <f aca="false">1+19/60</f>
        <v>1.31666666666667</v>
      </c>
      <c r="AX229" s="8" t="n">
        <v>0</v>
      </c>
      <c r="AY229" s="4" t="s">
        <v>59</v>
      </c>
      <c r="AZ229" s="4" t="s">
        <v>60</v>
      </c>
      <c r="BA229" s="4" t="n">
        <v>0</v>
      </c>
      <c r="BB229" s="4"/>
      <c r="BC229" s="4"/>
    </row>
    <row r="230" customFormat="false" ht="16.9" hidden="false" customHeight="false" outlineLevel="0" collapsed="false">
      <c r="A230" s="11" t="n">
        <f aca="false">A229+1</f>
        <v>762</v>
      </c>
      <c r="B230" s="12" t="n">
        <v>44108.5993055556</v>
      </c>
      <c r="C230" s="4" t="n">
        <v>1</v>
      </c>
      <c r="D230" s="4"/>
      <c r="E230" s="4"/>
      <c r="F230" s="4" t="s">
        <v>71</v>
      </c>
      <c r="G230" s="6" t="n">
        <v>78</v>
      </c>
      <c r="H230" s="6" t="n">
        <v>45</v>
      </c>
      <c r="I230" s="6" t="n">
        <f aca="false">(32+29)/2</f>
        <v>30.5</v>
      </c>
      <c r="J230" s="6" t="s">
        <v>83</v>
      </c>
      <c r="K230" s="6" t="n">
        <v>17</v>
      </c>
      <c r="L230" s="6" t="n">
        <v>24</v>
      </c>
      <c r="M230" s="3" t="s">
        <v>63</v>
      </c>
      <c r="N230" s="4" t="s">
        <v>150</v>
      </c>
      <c r="O230" s="4" t="s">
        <v>149</v>
      </c>
      <c r="P230" s="4" t="s">
        <v>87</v>
      </c>
      <c r="Q230" s="8" t="n">
        <v>6.12</v>
      </c>
      <c r="R230" s="6" t="n">
        <v>1582</v>
      </c>
      <c r="S230" s="6" t="n">
        <v>14460</v>
      </c>
      <c r="T230" s="6" t="n">
        <v>12878</v>
      </c>
      <c r="U230" s="8" t="n">
        <f aca="false">(60+47)/60</f>
        <v>1.78333333333333</v>
      </c>
      <c r="V230" s="8" t="n">
        <f aca="false">(60+50)/60</f>
        <v>1.83333333333333</v>
      </c>
      <c r="W230" s="8" t="n">
        <f aca="false">V230-U230</f>
        <v>0.0499999999999998</v>
      </c>
      <c r="X230" s="8" t="n">
        <f aca="false">Q230/V230</f>
        <v>3.33818181818182</v>
      </c>
      <c r="Y230" s="4" t="n">
        <v>1</v>
      </c>
      <c r="Z230" s="8" t="n">
        <f aca="false">Q230/Y230</f>
        <v>6.12</v>
      </c>
      <c r="AA230" s="8" t="n">
        <f aca="false">17+27/60</f>
        <v>17.45</v>
      </c>
      <c r="AB230" s="6" t="n">
        <v>105</v>
      </c>
      <c r="AC230" s="6" t="n">
        <v>642</v>
      </c>
      <c r="AD230" s="6" t="n">
        <v>108</v>
      </c>
      <c r="AE230" s="4" t="n">
        <v>130</v>
      </c>
      <c r="AF230" s="8" t="n">
        <f aca="false">16+59/60</f>
        <v>16.9833333333333</v>
      </c>
      <c r="AG230" s="8" t="n">
        <f aca="false">16+55/60</f>
        <v>16.9166666666667</v>
      </c>
      <c r="AH230" s="8" t="n">
        <f aca="false">17+8/60</f>
        <v>17.1333333333333</v>
      </c>
      <c r="AI230" s="8" t="n">
        <f aca="false">17+523.6/60</f>
        <v>25.7266666666667</v>
      </c>
      <c r="AJ230" s="8" t="n">
        <f aca="false">18+48/60</f>
        <v>18.8</v>
      </c>
      <c r="AK230" s="8" t="n">
        <f aca="false">17+2/60</f>
        <v>17.0333333333333</v>
      </c>
      <c r="AL230" s="8" t="n">
        <f aca="false">60/3.4</f>
        <v>17.6470588235294</v>
      </c>
      <c r="AM230" s="8"/>
      <c r="AN230" s="8"/>
      <c r="AO230" s="8"/>
      <c r="AP230" s="4" t="n">
        <v>1</v>
      </c>
      <c r="AQ230" s="4" t="n">
        <v>2</v>
      </c>
      <c r="AR230" s="4" t="n">
        <v>0</v>
      </c>
      <c r="AS230" s="14" t="n">
        <f aca="false">60*U230-SUM(AT230:AX230)</f>
        <v>13.5833333333333</v>
      </c>
      <c r="AT230" s="8" t="n">
        <f aca="false">16+36/60</f>
        <v>16.6</v>
      </c>
      <c r="AU230" s="8" t="n">
        <f aca="false">74+41/60</f>
        <v>74.6833333333333</v>
      </c>
      <c r="AV230" s="8" t="n">
        <f aca="false">2+8/60</f>
        <v>2.13333333333333</v>
      </c>
      <c r="AW230" s="8" t="n">
        <v>0</v>
      </c>
      <c r="AX230" s="8" t="n">
        <v>0</v>
      </c>
      <c r="AY230" s="4" t="s">
        <v>59</v>
      </c>
      <c r="AZ230" s="4" t="s">
        <v>60</v>
      </c>
      <c r="BA230" s="4" t="n">
        <v>0</v>
      </c>
      <c r="BB230" s="4"/>
      <c r="BC230" s="4"/>
    </row>
    <row r="231" customFormat="false" ht="16.9" hidden="false" customHeight="false" outlineLevel="0" collapsed="false">
      <c r="A231" s="11" t="n">
        <f aca="false">A230+1</f>
        <v>763</v>
      </c>
      <c r="B231" s="12" t="n">
        <v>44109.5152777778</v>
      </c>
      <c r="C231" s="4" t="n">
        <v>1</v>
      </c>
      <c r="D231" s="4"/>
      <c r="E231" s="4"/>
      <c r="F231" s="4" t="s">
        <v>71</v>
      </c>
      <c r="G231" s="6" t="n">
        <v>73</v>
      </c>
      <c r="H231" s="6" t="n">
        <v>53</v>
      </c>
      <c r="I231" s="6" t="n">
        <f aca="false">(51+48)/2</f>
        <v>49.5</v>
      </c>
      <c r="J231" s="6" t="s">
        <v>62</v>
      </c>
      <c r="K231" s="6" t="n">
        <v>7</v>
      </c>
      <c r="L231" s="6" t="n">
        <v>0</v>
      </c>
      <c r="M231" s="3" t="s">
        <v>63</v>
      </c>
      <c r="N231" s="4" t="s">
        <v>150</v>
      </c>
      <c r="O231" s="4" t="s">
        <v>149</v>
      </c>
      <c r="P231" s="4" t="s">
        <v>94</v>
      </c>
      <c r="Q231" s="8" t="n">
        <v>7.56</v>
      </c>
      <c r="R231" s="6" t="n">
        <v>777</v>
      </c>
      <c r="S231" s="6" t="n">
        <v>16649</v>
      </c>
      <c r="T231" s="6" t="n">
        <f aca="false">S231-R231</f>
        <v>15872</v>
      </c>
      <c r="U231" s="8" t="n">
        <f aca="false">(120+2)/60</f>
        <v>2.03333333333333</v>
      </c>
      <c r="V231" s="8" t="n">
        <f aca="false">(120+10)/60</f>
        <v>2.16666666666667</v>
      </c>
      <c r="W231" s="8" t="n">
        <f aca="false">V231-U231</f>
        <v>0.133333333333333</v>
      </c>
      <c r="X231" s="8" t="n">
        <f aca="false">Q231/V231</f>
        <v>3.48923076923077</v>
      </c>
      <c r="Y231" s="4" t="n">
        <v>1</v>
      </c>
      <c r="Z231" s="8" t="n">
        <f aca="false">Q231/Y231</f>
        <v>7.56</v>
      </c>
      <c r="AA231" s="8" t="n">
        <f aca="false">16+9/60</f>
        <v>16.15</v>
      </c>
      <c r="AB231" s="6" t="n">
        <v>433</v>
      </c>
      <c r="AC231" s="6" t="n">
        <v>808</v>
      </c>
      <c r="AD231" s="6" t="n">
        <v>118</v>
      </c>
      <c r="AE231" s="4" t="n">
        <v>138</v>
      </c>
      <c r="AF231" s="8" t="n">
        <f aca="false">15+37/60</f>
        <v>15.6166666666667</v>
      </c>
      <c r="AG231" s="8" t="n">
        <f aca="false">15+38/60</f>
        <v>15.6333333333333</v>
      </c>
      <c r="AH231" s="8" t="n">
        <f aca="false">16+23/60</f>
        <v>16.3833333333333</v>
      </c>
      <c r="AI231" s="8" t="n">
        <f aca="false">16+19/60</f>
        <v>16.3166666666667</v>
      </c>
      <c r="AJ231" s="8" t="n">
        <f aca="false">16+15/60</f>
        <v>16.25</v>
      </c>
      <c r="AK231" s="8" t="n">
        <f aca="false">16+4/60</f>
        <v>16.0666666666667</v>
      </c>
      <c r="AL231" s="8" t="n">
        <f aca="false">16+44/60</f>
        <v>16.7333333333333</v>
      </c>
      <c r="AM231" s="8" t="n">
        <f aca="false">60/3.7</f>
        <v>16.2162162162162</v>
      </c>
      <c r="AN231" s="8"/>
      <c r="AO231" s="8"/>
      <c r="AP231" s="4" t="n">
        <v>2</v>
      </c>
      <c r="AQ231" s="4" t="n">
        <v>1</v>
      </c>
      <c r="AR231" s="4" t="n">
        <v>0</v>
      </c>
      <c r="AS231" s="14" t="n">
        <f aca="false">60*U231-SUM(AT231:AX231)</f>
        <v>0.816666666666663</v>
      </c>
      <c r="AT231" s="8" t="n">
        <f aca="false">19+22/60</f>
        <v>19.3666666666667</v>
      </c>
      <c r="AU231" s="8" t="n">
        <f aca="false">+(80+6/60)</f>
        <v>80.1</v>
      </c>
      <c r="AV231" s="8" t="n">
        <f aca="false">21+43/60</f>
        <v>21.7166666666667</v>
      </c>
      <c r="AW231" s="8" t="n">
        <v>0</v>
      </c>
      <c r="AX231" s="8" t="n">
        <v>0</v>
      </c>
      <c r="AY231" s="4" t="s">
        <v>59</v>
      </c>
      <c r="AZ231" s="4" t="s">
        <v>60</v>
      </c>
      <c r="BA231" s="4" t="n">
        <v>0</v>
      </c>
      <c r="BB231" s="4"/>
      <c r="BC231" s="4"/>
    </row>
    <row r="232" customFormat="false" ht="16.9" hidden="false" customHeight="false" outlineLevel="0" collapsed="false">
      <c r="A232" s="11" t="n">
        <f aca="false">A231+1</f>
        <v>764</v>
      </c>
      <c r="B232" s="12" t="n">
        <v>44110.4819444444</v>
      </c>
      <c r="C232" s="4" t="n">
        <v>1</v>
      </c>
      <c r="D232" s="4"/>
      <c r="E232" s="4"/>
      <c r="F232" s="4" t="s">
        <v>71</v>
      </c>
      <c r="G232" s="6" t="n">
        <f aca="false">(80+83+84)/3</f>
        <v>82.3333333333333</v>
      </c>
      <c r="H232" s="6" t="n">
        <v>65</v>
      </c>
      <c r="I232" s="6" t="n">
        <f aca="false">(60+64+63)/3</f>
        <v>62.3333333333333</v>
      </c>
      <c r="J232" s="6" t="s">
        <v>108</v>
      </c>
      <c r="K232" s="6" t="n">
        <f aca="false">(7+10+5)/3</f>
        <v>7.33333333333333</v>
      </c>
      <c r="L232" s="6" t="n">
        <v>0</v>
      </c>
      <c r="M232" s="3" t="s">
        <v>63</v>
      </c>
      <c r="N232" s="4" t="s">
        <v>150</v>
      </c>
      <c r="O232" s="4" t="s">
        <v>149</v>
      </c>
      <c r="P232" s="4" t="s">
        <v>146</v>
      </c>
      <c r="Q232" s="8" t="n">
        <v>6.93</v>
      </c>
      <c r="R232" s="6" t="n">
        <v>828</v>
      </c>
      <c r="S232" s="6" t="n">
        <v>17207</v>
      </c>
      <c r="T232" s="6" t="n">
        <f aca="false">S232-R232</f>
        <v>16379</v>
      </c>
      <c r="U232" s="8" t="n">
        <f aca="false">(120+23)/60</f>
        <v>2.38333333333333</v>
      </c>
      <c r="V232" s="8" t="n">
        <f aca="false">(120+46)/60</f>
        <v>2.76666666666667</v>
      </c>
      <c r="W232" s="8" t="n">
        <f aca="false">V232-U232</f>
        <v>0.383333333333333</v>
      </c>
      <c r="X232" s="8" t="n">
        <f aca="false">Q232/U232</f>
        <v>2.90769230769231</v>
      </c>
      <c r="Y232" s="4" t="n">
        <v>1</v>
      </c>
      <c r="Z232" s="8" t="n">
        <f aca="false">Q232/Y232</f>
        <v>6.93</v>
      </c>
      <c r="AA232" s="8" t="n">
        <f aca="false">20+19/60</f>
        <v>20.3166666666667</v>
      </c>
      <c r="AB232" s="6" t="n">
        <v>1289</v>
      </c>
      <c r="AC232" s="6" t="n">
        <v>872</v>
      </c>
      <c r="AD232" s="6" t="n">
        <v>126</v>
      </c>
      <c r="AE232" s="4" t="n">
        <v>152</v>
      </c>
      <c r="AF232" s="8" t="n">
        <f aca="false">17+8/60</f>
        <v>17.1333333333333</v>
      </c>
      <c r="AG232" s="8" t="n">
        <f aca="false">17+30/60</f>
        <v>17.5</v>
      </c>
      <c r="AH232" s="8" t="n">
        <f aca="false">18+30/60</f>
        <v>18.5</v>
      </c>
      <c r="AI232" s="8" t="n">
        <f aca="false">24+18/60</f>
        <v>24.3</v>
      </c>
      <c r="AJ232" s="8" t="n">
        <f aca="false">23+53/60</f>
        <v>23.8833333333333</v>
      </c>
      <c r="AK232" s="8" t="n">
        <f aca="false">19+60/60</f>
        <v>20</v>
      </c>
      <c r="AL232" s="8" t="n">
        <f aca="false">60/2.9</f>
        <v>20.6896551724138</v>
      </c>
      <c r="AM232" s="8"/>
      <c r="AN232" s="8"/>
      <c r="AO232" s="8"/>
      <c r="AP232" s="4" t="n">
        <v>3</v>
      </c>
      <c r="AQ232" s="4" t="n">
        <v>3</v>
      </c>
      <c r="AR232" s="4" t="n">
        <v>0</v>
      </c>
      <c r="AS232" s="14" t="n">
        <f aca="false">60*U232-SUM(AT232:AX232)</f>
        <v>2.71666666666667</v>
      </c>
      <c r="AT232" s="8" t="n">
        <f aca="false">16+18/60</f>
        <v>16.3</v>
      </c>
      <c r="AU232" s="8" t="n">
        <f aca="false">28+15/60</f>
        <v>28.25</v>
      </c>
      <c r="AV232" s="8" t="n">
        <f aca="false">87+40/60</f>
        <v>87.6666666666667</v>
      </c>
      <c r="AW232" s="8" t="n">
        <f aca="false">8+4/60</f>
        <v>8.06666666666667</v>
      </c>
      <c r="AX232" s="8" t="n">
        <v>0</v>
      </c>
      <c r="AY232" s="4" t="s">
        <v>59</v>
      </c>
      <c r="AZ232" s="4" t="s">
        <v>60</v>
      </c>
      <c r="BA232" s="4" t="n">
        <v>0</v>
      </c>
      <c r="BB232" s="4"/>
      <c r="BC232" s="4"/>
    </row>
    <row r="233" customFormat="false" ht="16.9" hidden="false" customHeight="false" outlineLevel="0" collapsed="false">
      <c r="A233" s="11" t="n">
        <f aca="false">A232+1</f>
        <v>765</v>
      </c>
      <c r="B233" s="12" t="n">
        <v>44111.4381944444</v>
      </c>
      <c r="C233" s="4" t="n">
        <v>1</v>
      </c>
      <c r="D233" s="4"/>
      <c r="E233" s="4"/>
      <c r="F233" s="4" t="s">
        <v>71</v>
      </c>
      <c r="G233" s="6" t="n">
        <v>88</v>
      </c>
      <c r="H233" s="6" t="n">
        <v>62</v>
      </c>
      <c r="I233" s="6" t="n">
        <f aca="false">(60+54)/2</f>
        <v>57</v>
      </c>
      <c r="J233" s="4" t="s">
        <v>88</v>
      </c>
      <c r="K233" s="6" t="n">
        <v>9</v>
      </c>
      <c r="L233" s="6" t="n">
        <v>0</v>
      </c>
      <c r="M233" s="3" t="s">
        <v>63</v>
      </c>
      <c r="N233" s="4" t="s">
        <v>150</v>
      </c>
      <c r="O233" s="4" t="s">
        <v>149</v>
      </c>
      <c r="P233" s="4" t="s">
        <v>112</v>
      </c>
      <c r="Q233" s="8" t="n">
        <v>6.3</v>
      </c>
      <c r="R233" s="6" t="n">
        <v>1101</v>
      </c>
      <c r="S233" s="6" t="n">
        <v>14636</v>
      </c>
      <c r="T233" s="6" t="n">
        <f aca="false">S233-R233</f>
        <v>13535</v>
      </c>
      <c r="U233" s="8" t="n">
        <f aca="false">(60+46)/60</f>
        <v>1.76666666666667</v>
      </c>
      <c r="V233" s="8" t="n">
        <f aca="false">(60+52)/60</f>
        <v>1.86666666666667</v>
      </c>
      <c r="W233" s="8" t="n">
        <f aca="false">V233-U233</f>
        <v>0.1</v>
      </c>
      <c r="X233" s="8" t="n">
        <f aca="false">Q233/U233</f>
        <v>3.56603773584906</v>
      </c>
      <c r="Y233" s="4" t="n">
        <v>1</v>
      </c>
      <c r="Z233" s="8" t="n">
        <f aca="false">Q233/Y233</f>
        <v>6.3</v>
      </c>
      <c r="AA233" s="8" t="n">
        <f aca="false">16+50/60</f>
        <v>16.8333333333333</v>
      </c>
      <c r="AB233" s="6" t="n">
        <v>522</v>
      </c>
      <c r="AC233" s="6" t="n">
        <v>670</v>
      </c>
      <c r="AD233" s="6" t="n">
        <v>122</v>
      </c>
      <c r="AE233" s="4" t="n">
        <v>140</v>
      </c>
      <c r="AF233" s="8" t="n">
        <f aca="false">16+28/60</f>
        <v>16.4666666666667</v>
      </c>
      <c r="AG233" s="8" t="n">
        <f aca="false">16+55/60</f>
        <v>16.9166666666667</v>
      </c>
      <c r="AH233" s="8" t="n">
        <f aca="false">16+30/60</f>
        <v>16.5</v>
      </c>
      <c r="AI233" s="8" t="n">
        <f aca="false">17+16/60</f>
        <v>17.2666666666667</v>
      </c>
      <c r="AJ233" s="8" t="n">
        <f aca="false">16+33/60</f>
        <v>16.55</v>
      </c>
      <c r="AK233" s="8" t="n">
        <f aca="false">17+8/60</f>
        <v>17.1333333333333</v>
      </c>
      <c r="AL233" s="8" t="n">
        <f aca="false">60/3.61</f>
        <v>16.6204986149585</v>
      </c>
      <c r="AM233" s="8"/>
      <c r="AN233" s="8"/>
      <c r="AO233" s="8"/>
      <c r="AP233" s="4" t="n">
        <v>3</v>
      </c>
      <c r="AQ233" s="4" t="n">
        <v>0</v>
      </c>
      <c r="AR233" s="4" t="n">
        <v>0</v>
      </c>
      <c r="AS233" s="14" t="n">
        <v>0</v>
      </c>
      <c r="AT233" s="8" t="n">
        <f aca="false">2+59/60</f>
        <v>2.98333333333333</v>
      </c>
      <c r="AU233" s="8" t="n">
        <f aca="false">67+35/60</f>
        <v>67.5833333333333</v>
      </c>
      <c r="AV233" s="8" t="n">
        <f aca="false">35+34/60</f>
        <v>35.5666666666667</v>
      </c>
      <c r="AW233" s="8" t="n">
        <v>0</v>
      </c>
      <c r="AX233" s="8" t="n">
        <v>0</v>
      </c>
      <c r="AY233" s="4" t="s">
        <v>59</v>
      </c>
      <c r="AZ233" s="4" t="s">
        <v>60</v>
      </c>
      <c r="BA233" s="4" t="n">
        <v>0</v>
      </c>
      <c r="BB233" s="4"/>
      <c r="BC233" s="4"/>
    </row>
    <row r="234" customFormat="false" ht="16.9" hidden="false" customHeight="false" outlineLevel="0" collapsed="false">
      <c r="A234" s="11" t="n">
        <f aca="false">A233+1</f>
        <v>766</v>
      </c>
      <c r="B234" s="12" t="n">
        <v>44112.50625</v>
      </c>
      <c r="C234" s="4" t="n">
        <v>1</v>
      </c>
      <c r="D234" s="4"/>
      <c r="E234" s="4"/>
      <c r="F234" s="4" t="s">
        <v>71</v>
      </c>
      <c r="G234" s="6" t="n">
        <f aca="false">(79+81)/2</f>
        <v>80</v>
      </c>
      <c r="H234" s="6" t="n">
        <v>61</v>
      </c>
      <c r="I234" s="6" t="n">
        <f aca="false">(54+47)/2</f>
        <v>50.5</v>
      </c>
      <c r="J234" s="6" t="s">
        <v>108</v>
      </c>
      <c r="K234" s="6" t="n">
        <v>6</v>
      </c>
      <c r="L234" s="6" t="n">
        <v>0</v>
      </c>
      <c r="M234" s="3" t="s">
        <v>63</v>
      </c>
      <c r="N234" s="4" t="s">
        <v>150</v>
      </c>
      <c r="O234" s="4" t="s">
        <v>149</v>
      </c>
      <c r="P234" s="4" t="s">
        <v>92</v>
      </c>
      <c r="Q234" s="8" t="n">
        <v>4.12</v>
      </c>
      <c r="R234" s="6" t="n">
        <v>1505</v>
      </c>
      <c r="S234" s="6" t="n">
        <v>10493</v>
      </c>
      <c r="T234" s="6" t="n">
        <f aca="false">S234-R234</f>
        <v>8988</v>
      </c>
      <c r="U234" s="8" t="n">
        <f aca="false">(60+12)/60</f>
        <v>1.2</v>
      </c>
      <c r="V234" s="8" t="n">
        <f aca="false">(60+15)/60</f>
        <v>1.25</v>
      </c>
      <c r="W234" s="8" t="n">
        <f aca="false">V234-U234</f>
        <v>0.05</v>
      </c>
      <c r="X234" s="8" t="n">
        <f aca="false">Q234/U234</f>
        <v>3.43333333333333</v>
      </c>
      <c r="Y234" s="4" t="n">
        <v>2</v>
      </c>
      <c r="Z234" s="8" t="n">
        <f aca="false">Q234/Y234</f>
        <v>2.06</v>
      </c>
      <c r="AA234" s="8" t="n">
        <f aca="false">17+29/60</f>
        <v>17.4833333333333</v>
      </c>
      <c r="AB234" s="6" t="n">
        <v>515</v>
      </c>
      <c r="AC234" s="6" t="n">
        <v>462</v>
      </c>
      <c r="AD234" s="6" t="n">
        <v>122</v>
      </c>
      <c r="AE234" s="4" t="n">
        <v>148</v>
      </c>
      <c r="AF234" s="8" t="n">
        <f aca="false">17+44/60</f>
        <v>17.7333333333333</v>
      </c>
      <c r="AG234" s="8" t="n">
        <f aca="false">16+36/60</f>
        <v>16.6</v>
      </c>
      <c r="AH234" s="8" t="n">
        <f aca="false">18+30/60</f>
        <v>18.5</v>
      </c>
      <c r="AI234" s="8" t="n">
        <f aca="false">17+8/60</f>
        <v>17.1333333333333</v>
      </c>
      <c r="AJ234" s="8" t="n">
        <f aca="false">60/3.5</f>
        <v>17.1428571428571</v>
      </c>
      <c r="AK234" s="8"/>
      <c r="AL234" s="8"/>
      <c r="AM234" s="8"/>
      <c r="AN234" s="8"/>
      <c r="AO234" s="8"/>
      <c r="AP234" s="4" t="n">
        <v>1</v>
      </c>
      <c r="AQ234" s="4" t="n">
        <v>0</v>
      </c>
      <c r="AR234" s="4" t="n">
        <v>0</v>
      </c>
      <c r="AS234" s="14" t="n">
        <f aca="false">60*U234-SUM(AT234:AX234)</f>
        <v>1.3</v>
      </c>
      <c r="AT234" s="8" t="n">
        <v>15</v>
      </c>
      <c r="AU234" s="8" t="n">
        <f aca="false">12+30/60</f>
        <v>12.5</v>
      </c>
      <c r="AV234" s="8" t="n">
        <f aca="false">41+53/60</f>
        <v>41.8833333333333</v>
      </c>
      <c r="AW234" s="8" t="n">
        <f aca="false">1+19/60</f>
        <v>1.31666666666667</v>
      </c>
      <c r="AX234" s="8" t="n">
        <v>0</v>
      </c>
      <c r="AY234" s="4" t="s">
        <v>59</v>
      </c>
      <c r="AZ234" s="4" t="s">
        <v>60</v>
      </c>
      <c r="BA234" s="4" t="n">
        <v>0</v>
      </c>
      <c r="BB234" s="4"/>
      <c r="BC234" s="4"/>
    </row>
    <row r="235" customFormat="false" ht="16.9" hidden="false" customHeight="false" outlineLevel="0" collapsed="false">
      <c r="A235" s="11" t="n">
        <f aca="false">A234+1</f>
        <v>767</v>
      </c>
      <c r="B235" s="12" t="n">
        <v>44113.49375</v>
      </c>
      <c r="C235" s="4" t="n">
        <v>1</v>
      </c>
      <c r="D235" s="4"/>
      <c r="E235" s="4"/>
      <c r="F235" s="4" t="s">
        <v>54</v>
      </c>
      <c r="G235" s="6" t="n">
        <v>80</v>
      </c>
      <c r="H235" s="6" t="n">
        <v>69</v>
      </c>
      <c r="I235" s="6" t="n">
        <f aca="false">(69+72)/2</f>
        <v>70.5</v>
      </c>
      <c r="J235" s="6" t="s">
        <v>110</v>
      </c>
      <c r="K235" s="6" t="n">
        <f aca="false">(5+8)/2</f>
        <v>6.5</v>
      </c>
      <c r="L235" s="6" t="n">
        <v>0</v>
      </c>
      <c r="M235" s="3" t="s">
        <v>63</v>
      </c>
      <c r="N235" s="4" t="s">
        <v>150</v>
      </c>
      <c r="O235" s="4" t="s">
        <v>149</v>
      </c>
      <c r="P235" s="4" t="s">
        <v>87</v>
      </c>
      <c r="Q235" s="8" t="n">
        <v>7.85</v>
      </c>
      <c r="R235" s="6" t="n">
        <v>1038</v>
      </c>
      <c r="S235" s="6" t="n">
        <v>17518</v>
      </c>
      <c r="T235" s="6" t="n">
        <f aca="false">S235-R235</f>
        <v>16480</v>
      </c>
      <c r="U235" s="8" t="n">
        <f aca="false">(120+12)/60</f>
        <v>2.2</v>
      </c>
      <c r="V235" s="8" t="n">
        <f aca="false">(120+36)/60</f>
        <v>2.6</v>
      </c>
      <c r="W235" s="8" t="n">
        <f aca="false">V235-U235</f>
        <v>0.4</v>
      </c>
      <c r="X235" s="8" t="n">
        <f aca="false">Q235/U235</f>
        <v>3.56818181818182</v>
      </c>
      <c r="Y235" s="4" t="n">
        <v>1</v>
      </c>
      <c r="Z235" s="8" t="n">
        <f aca="false">Q235/Y235</f>
        <v>7.85</v>
      </c>
      <c r="AA235" s="8" t="n">
        <f aca="false">16+50/60</f>
        <v>16.8333333333333</v>
      </c>
      <c r="AB235" s="6" t="n">
        <v>1135</v>
      </c>
      <c r="AC235" s="6" t="n">
        <v>839</v>
      </c>
      <c r="AD235" s="6" t="n">
        <v>124</v>
      </c>
      <c r="AE235" s="4" t="n">
        <v>146</v>
      </c>
      <c r="AF235" s="8" t="n">
        <f aca="false">16+5/60</f>
        <v>16.0833333333333</v>
      </c>
      <c r="AG235" s="8" t="n">
        <f aca="false">16+18/60</f>
        <v>16.3</v>
      </c>
      <c r="AH235" s="8" t="n">
        <f aca="false">16+36/60</f>
        <v>16.6</v>
      </c>
      <c r="AI235" s="8" t="n">
        <f aca="false">16+26/60</f>
        <v>16.4333333333333</v>
      </c>
      <c r="AJ235" s="8" t="n">
        <f aca="false">17+23/60</f>
        <v>17.3833333333333</v>
      </c>
      <c r="AK235" s="8" t="n">
        <f aca="false">17+11/60</f>
        <v>17.1833333333333</v>
      </c>
      <c r="AL235" s="8" t="n">
        <f aca="false">17+46/60</f>
        <v>17.7666666666667</v>
      </c>
      <c r="AM235" s="8" t="n">
        <f aca="false">60/3.6</f>
        <v>16.6666666666667</v>
      </c>
      <c r="AN235" s="8"/>
      <c r="AO235" s="8"/>
      <c r="AP235" s="4" t="n">
        <v>2</v>
      </c>
      <c r="AQ235" s="4" t="n">
        <v>2</v>
      </c>
      <c r="AR235" s="4" t="n">
        <v>0</v>
      </c>
      <c r="AS235" s="14" t="n">
        <v>0</v>
      </c>
      <c r="AT235" s="8" t="n">
        <f aca="false">15+46/60</f>
        <v>15.7666666666667</v>
      </c>
      <c r="AU235" s="8" t="n">
        <f aca="false">32+25/60</f>
        <v>32.4166666666667</v>
      </c>
      <c r="AV235" s="8" t="n">
        <f aca="false">83+28/60</f>
        <v>83.4666666666667</v>
      </c>
      <c r="AW235" s="8" t="n">
        <f aca="false">27/60</f>
        <v>0.45</v>
      </c>
      <c r="AX235" s="8" t="n">
        <v>0</v>
      </c>
      <c r="AY235" s="4" t="s">
        <v>59</v>
      </c>
      <c r="AZ235" s="4" t="s">
        <v>60</v>
      </c>
      <c r="BA235" s="4" t="n">
        <v>0</v>
      </c>
      <c r="BB235" s="4"/>
      <c r="BC235" s="4"/>
    </row>
    <row r="236" customFormat="false" ht="16.9" hidden="false" customHeight="false" outlineLevel="0" collapsed="false">
      <c r="A236" s="11" t="n">
        <f aca="false">A235+1</f>
        <v>768</v>
      </c>
      <c r="B236" s="12" t="n">
        <v>44114.5034722222</v>
      </c>
      <c r="C236" s="4" t="n">
        <v>1</v>
      </c>
      <c r="D236" s="4"/>
      <c r="E236" s="4"/>
      <c r="F236" s="4" t="s">
        <v>120</v>
      </c>
      <c r="G236" s="6" t="n">
        <f aca="false">78+23/60*(81-78)</f>
        <v>79.15</v>
      </c>
      <c r="H236" s="6" t="n">
        <f aca="false">68+23/60*(65-68)</f>
        <v>66.85</v>
      </c>
      <c r="I236" s="6" t="n">
        <f aca="false">78-23/60*(71-58)</f>
        <v>73.0166666666667</v>
      </c>
      <c r="J236" s="6" t="s">
        <v>72</v>
      </c>
      <c r="K236" s="6" t="n">
        <v>3</v>
      </c>
      <c r="L236" s="6" t="n">
        <v>0</v>
      </c>
      <c r="M236" s="3" t="s">
        <v>63</v>
      </c>
      <c r="N236" s="4" t="s">
        <v>150</v>
      </c>
      <c r="O236" s="4" t="s">
        <v>149</v>
      </c>
      <c r="P236" s="4" t="s">
        <v>64</v>
      </c>
      <c r="Q236" s="8" t="n">
        <v>4.96</v>
      </c>
      <c r="R236" s="6" t="n">
        <v>441</v>
      </c>
      <c r="S236" s="6" t="n">
        <v>11013</v>
      </c>
      <c r="T236" s="6" t="n">
        <f aca="false">S236-R236</f>
        <v>10572</v>
      </c>
      <c r="U236" s="8" t="n">
        <f aca="false">(60+24)/60</f>
        <v>1.4</v>
      </c>
      <c r="V236" s="8" t="n">
        <f aca="false">(60+27)/60</f>
        <v>1.45</v>
      </c>
      <c r="W236" s="8" t="n">
        <f aca="false">V236-U236</f>
        <v>0.05</v>
      </c>
      <c r="X236" s="4"/>
      <c r="Y236" s="4" t="n">
        <v>2</v>
      </c>
      <c r="Z236" s="8" t="n">
        <f aca="false">Q236/Y236</f>
        <v>2.48</v>
      </c>
      <c r="AA236" s="8" t="n">
        <f aca="false">16+49/60</f>
        <v>16.8166666666667</v>
      </c>
      <c r="AB236" s="6" t="n">
        <v>236</v>
      </c>
      <c r="AC236" s="6" t="n">
        <v>521</v>
      </c>
      <c r="AD236" s="6" t="n">
        <v>119</v>
      </c>
      <c r="AE236" s="4" t="n">
        <v>135</v>
      </c>
      <c r="AF236" s="8" t="n">
        <f aca="false">16+22/60</f>
        <v>16.3666666666667</v>
      </c>
      <c r="AG236" s="8" t="n">
        <f aca="false">16+23/60</f>
        <v>16.3833333333333</v>
      </c>
      <c r="AH236" s="8" t="n">
        <f aca="false">17+1/60</f>
        <v>17.0166666666667</v>
      </c>
      <c r="AI236" s="8" t="n">
        <f aca="false">17+6/60</f>
        <v>17.1</v>
      </c>
      <c r="AJ236" s="8" t="n">
        <f aca="false">60/3.6</f>
        <v>16.6666666666667</v>
      </c>
      <c r="AK236" s="8"/>
      <c r="AL236" s="8"/>
      <c r="AM236" s="8"/>
      <c r="AN236" s="8"/>
      <c r="AO236" s="8"/>
      <c r="AP236" s="4" t="n">
        <v>1</v>
      </c>
      <c r="AQ236" s="4" t="n">
        <v>0</v>
      </c>
      <c r="AR236" s="4" t="n">
        <v>0</v>
      </c>
      <c r="AS236" s="14" t="n">
        <f aca="false">60*U236-SUM(AT236:AX236)</f>
        <v>0.700000000000003</v>
      </c>
      <c r="AT236" s="8" t="n">
        <f aca="false">13/60</f>
        <v>0.216666666666667</v>
      </c>
      <c r="AU236" s="8" t="n">
        <f aca="false">76+29/60</f>
        <v>76.4833333333333</v>
      </c>
      <c r="AV236" s="8" t="n">
        <f aca="false">6+48/80</f>
        <v>6.6</v>
      </c>
      <c r="AW236" s="8" t="n">
        <v>0</v>
      </c>
      <c r="AX236" s="8" t="n">
        <v>0</v>
      </c>
      <c r="AY236" s="4" t="s">
        <v>59</v>
      </c>
      <c r="AZ236" s="4" t="s">
        <v>60</v>
      </c>
      <c r="BA236" s="4" t="n">
        <v>0</v>
      </c>
      <c r="BB236" s="4"/>
      <c r="BC236" s="4"/>
    </row>
    <row r="237" customFormat="false" ht="16.9" hidden="false" customHeight="false" outlineLevel="0" collapsed="false">
      <c r="A237" s="11" t="n">
        <f aca="false">A236+1</f>
        <v>769</v>
      </c>
      <c r="B237" s="12" t="n">
        <v>44115.4951388889</v>
      </c>
      <c r="C237" s="4" t="n">
        <v>0</v>
      </c>
      <c r="D237" s="4" t="s">
        <v>95</v>
      </c>
      <c r="E237" s="4"/>
      <c r="F237" s="4" t="s">
        <v>71</v>
      </c>
      <c r="G237" s="6" t="n">
        <v>71</v>
      </c>
      <c r="H237" s="6" t="n">
        <v>61</v>
      </c>
      <c r="I237" s="6" t="n">
        <v>72</v>
      </c>
      <c r="J237" s="6" t="s">
        <v>86</v>
      </c>
      <c r="K237" s="6" t="n">
        <v>9</v>
      </c>
      <c r="L237" s="6" t="n">
        <v>0</v>
      </c>
      <c r="M237" s="3" t="s">
        <v>63</v>
      </c>
      <c r="N237" s="4"/>
      <c r="O237" s="4"/>
      <c r="P237" s="4"/>
      <c r="Q237" s="8"/>
      <c r="R237" s="6"/>
      <c r="S237" s="6"/>
      <c r="T237" s="6"/>
      <c r="U237" s="8"/>
      <c r="V237" s="8"/>
      <c r="W237" s="8"/>
      <c r="X237" s="8"/>
      <c r="Y237" s="4"/>
      <c r="Z237" s="8"/>
      <c r="AA237" s="8"/>
      <c r="AB237" s="6"/>
      <c r="AC237" s="6"/>
      <c r="AD237" s="6"/>
      <c r="AE237" s="4"/>
      <c r="AF237" s="8"/>
      <c r="AG237" s="8"/>
      <c r="AI237" s="8"/>
      <c r="AJ237" s="8"/>
      <c r="AK237" s="8"/>
      <c r="AL237" s="8"/>
      <c r="AM237" s="8"/>
      <c r="AN237" s="8"/>
      <c r="AO237" s="8"/>
      <c r="AP237" s="4"/>
      <c r="AQ237" s="4"/>
      <c r="AR237" s="4"/>
      <c r="AS237" s="14"/>
      <c r="AT237" s="8"/>
      <c r="AU237" s="8"/>
      <c r="AV237" s="8"/>
      <c r="AW237" s="8"/>
      <c r="AX237" s="8"/>
      <c r="AY237" s="4"/>
      <c r="AZ237" s="4"/>
      <c r="BA237" s="4"/>
      <c r="BB237" s="4"/>
      <c r="BC237" s="4"/>
    </row>
    <row r="238" customFormat="false" ht="16.9" hidden="false" customHeight="false" outlineLevel="0" collapsed="false">
      <c r="A238" s="11" t="n">
        <f aca="false">A237+1</f>
        <v>770</v>
      </c>
      <c r="B238" s="12" t="n">
        <v>44116.4597222222</v>
      </c>
      <c r="C238" s="4" t="n">
        <v>1</v>
      </c>
      <c r="D238" s="4"/>
      <c r="E238" s="4"/>
      <c r="F238" s="4" t="s">
        <v>71</v>
      </c>
      <c r="G238" s="6" t="n">
        <f aca="false">(75+79)/2</f>
        <v>77</v>
      </c>
      <c r="H238" s="6" t="n">
        <v>42</v>
      </c>
      <c r="I238" s="6" t="n">
        <v>28</v>
      </c>
      <c r="J238" s="6" t="s">
        <v>83</v>
      </c>
      <c r="K238" s="6" t="n">
        <v>22</v>
      </c>
      <c r="L238" s="6" t="n">
        <v>30</v>
      </c>
      <c r="M238" s="3" t="s">
        <v>63</v>
      </c>
      <c r="N238" s="4" t="s">
        <v>150</v>
      </c>
      <c r="O238" s="4" t="s">
        <v>149</v>
      </c>
      <c r="P238" s="15" t="s">
        <v>131</v>
      </c>
      <c r="Q238" s="8" t="n">
        <v>6.85</v>
      </c>
      <c r="R238" s="6" t="n">
        <v>860</v>
      </c>
      <c r="S238" s="6" t="n">
        <f aca="false">T238+R238</f>
        <v>15780</v>
      </c>
      <c r="T238" s="6" t="n">
        <v>14920</v>
      </c>
      <c r="U238" s="8" t="n">
        <f aca="false">(120+3)/60</f>
        <v>2.05</v>
      </c>
      <c r="V238" s="8" t="n">
        <f aca="false">(120+16)/60</f>
        <v>2.26666666666667</v>
      </c>
      <c r="W238" s="8" t="n">
        <f aca="false">V238-U238</f>
        <v>0.216666666666667</v>
      </c>
      <c r="X238" s="8" t="n">
        <f aca="false">Q236/U236</f>
        <v>3.54285714285714</v>
      </c>
      <c r="Y238" s="4" t="n">
        <v>1</v>
      </c>
      <c r="Z238" s="8" t="n">
        <f aca="false">Q238/Y238</f>
        <v>6.85</v>
      </c>
      <c r="AA238" s="8" t="n">
        <f aca="false">17+56/60</f>
        <v>17.9333333333333</v>
      </c>
      <c r="AB238" s="6" t="n">
        <v>292</v>
      </c>
      <c r="AC238" s="6" t="n">
        <v>555</v>
      </c>
      <c r="AD238" s="6" t="n">
        <v>69</v>
      </c>
      <c r="AE238" s="4" t="n">
        <v>110</v>
      </c>
      <c r="AF238" s="8" t="n">
        <f aca="false">16+52/60</f>
        <v>16.8666666666667</v>
      </c>
      <c r="AG238" s="8" t="n">
        <f aca="false">17+31/60</f>
        <v>17.5166666666667</v>
      </c>
      <c r="AH238" s="8" t="n">
        <f aca="false">17+54/60</f>
        <v>17.9</v>
      </c>
      <c r="AI238" s="8" t="n">
        <f aca="false">18+51/60</f>
        <v>18.85</v>
      </c>
      <c r="AJ238" s="8" t="n">
        <f aca="false">18+14/60</f>
        <v>18.2333333333333</v>
      </c>
      <c r="AK238" s="8" t="n">
        <f aca="false">17+54/60</f>
        <v>17.9</v>
      </c>
      <c r="AL238" s="8" t="n">
        <f aca="false">60/3.3</f>
        <v>18.1818181818182</v>
      </c>
      <c r="AM238" s="4"/>
      <c r="AN238" s="8"/>
      <c r="AO238" s="8"/>
      <c r="AP238" s="4" t="n">
        <v>2</v>
      </c>
      <c r="AQ238" s="4" t="n">
        <v>0</v>
      </c>
      <c r="AR238" s="4" t="n">
        <v>0</v>
      </c>
      <c r="AS238" s="14" t="n">
        <f aca="false">60*U238-SUM(AT238:AX238)</f>
        <v>116.433333333333</v>
      </c>
      <c r="AT238" s="8" t="n">
        <f aca="false">6+18/60</f>
        <v>6.3</v>
      </c>
      <c r="AU238" s="8" t="n">
        <f aca="false">16/60</f>
        <v>0.266666666666667</v>
      </c>
      <c r="AV238" s="8" t="n">
        <v>0</v>
      </c>
      <c r="AW238" s="8" t="n">
        <v>0</v>
      </c>
      <c r="AX238" s="8" t="n">
        <v>0</v>
      </c>
      <c r="AY238" s="4" t="s">
        <v>59</v>
      </c>
      <c r="AZ238" s="4" t="s">
        <v>60</v>
      </c>
      <c r="BA238" s="4" t="n">
        <v>0</v>
      </c>
      <c r="BB238" s="4"/>
      <c r="BC238" s="4"/>
    </row>
    <row r="239" customFormat="false" ht="16.9" hidden="false" customHeight="false" outlineLevel="0" collapsed="false">
      <c r="A239" s="11" t="n">
        <v>771</v>
      </c>
      <c r="B239" s="12" t="n">
        <v>44117.5930555556</v>
      </c>
      <c r="C239" s="4" t="n">
        <v>1</v>
      </c>
      <c r="D239" s="4"/>
      <c r="E239" s="4"/>
      <c r="F239" s="4" t="s">
        <v>54</v>
      </c>
      <c r="G239" s="6" t="n">
        <f aca="false">(77+81)/2</f>
        <v>79</v>
      </c>
      <c r="H239" s="6" t="n">
        <v>42</v>
      </c>
      <c r="I239" s="6" t="n">
        <v>26</v>
      </c>
      <c r="J239" s="6" t="s">
        <v>139</v>
      </c>
      <c r="K239" s="6" t="n">
        <v>6</v>
      </c>
      <c r="L239" s="6" t="n">
        <v>0</v>
      </c>
      <c r="M239" s="3" t="s">
        <v>63</v>
      </c>
      <c r="N239" s="4" t="s">
        <v>150</v>
      </c>
      <c r="O239" s="4" t="s">
        <v>149</v>
      </c>
      <c r="P239" s="4" t="s">
        <v>152</v>
      </c>
      <c r="Q239" s="8" t="n">
        <v>7.71</v>
      </c>
      <c r="R239" s="6" t="n">
        <v>500</v>
      </c>
      <c r="S239" s="6" t="n">
        <v>17039</v>
      </c>
      <c r="T239" s="6" t="n">
        <f aca="false">S239-R239</f>
        <v>16539</v>
      </c>
      <c r="U239" s="8" t="n">
        <f aca="false">(120+6)/60</f>
        <v>2.1</v>
      </c>
      <c r="V239" s="8" t="n">
        <f aca="false">(120+15)/60</f>
        <v>2.25</v>
      </c>
      <c r="W239" s="8" t="n">
        <f aca="false">V239-U239</f>
        <v>0.15</v>
      </c>
      <c r="X239" s="8" t="n">
        <f aca="false">Q239/U239</f>
        <v>3.67142857142857</v>
      </c>
      <c r="Y239" s="4" t="n">
        <v>1</v>
      </c>
      <c r="Z239" s="8" t="n">
        <f aca="false">Q239/Y239</f>
        <v>7.71</v>
      </c>
      <c r="AA239" s="8" t="n">
        <f aca="false">16+24/60</f>
        <v>16.4</v>
      </c>
      <c r="AB239" s="6" t="n">
        <v>1037</v>
      </c>
      <c r="AC239" s="6" t="n">
        <v>820</v>
      </c>
      <c r="AD239" s="6" t="n">
        <v>128</v>
      </c>
      <c r="AE239" s="4" t="n">
        <v>141</v>
      </c>
      <c r="AF239" s="8" t="n">
        <f aca="false">16+31/60</f>
        <v>16.5166666666667</v>
      </c>
      <c r="AG239" s="8" t="n">
        <f aca="false">15+58/60</f>
        <v>15.9666666666667</v>
      </c>
      <c r="AH239" s="8" t="n">
        <f aca="false">16+7/60</f>
        <v>16.1166666666667</v>
      </c>
      <c r="AI239" s="8" t="n">
        <f aca="false">16+38/60</f>
        <v>16.6333333333333</v>
      </c>
      <c r="AJ239" s="8" t="n">
        <f aca="false">16+26/60</f>
        <v>16.4333333333333</v>
      </c>
      <c r="AK239" s="8" t="n">
        <f aca="false">15+54/60</f>
        <v>15.9</v>
      </c>
      <c r="AL239" s="8" t="n">
        <f aca="false">60/3.7</f>
        <v>16.2162162162162</v>
      </c>
      <c r="AM239" s="8"/>
      <c r="AN239" s="8"/>
      <c r="AO239" s="8"/>
      <c r="AP239" s="4" t="n">
        <v>2</v>
      </c>
      <c r="AQ239" s="4" t="n">
        <v>0</v>
      </c>
      <c r="AR239" s="4" t="n">
        <v>0</v>
      </c>
      <c r="AS239" s="14" t="n">
        <v>0</v>
      </c>
      <c r="AT239" s="8" t="n">
        <f aca="false">4+41/60</f>
        <v>4.68333333333333</v>
      </c>
      <c r="AU239" s="8" t="n">
        <f aca="false">26+32/60</f>
        <v>26.5333333333333</v>
      </c>
      <c r="AV239" s="8" t="n">
        <f aca="false">(95+14/60)</f>
        <v>95.2333333333333</v>
      </c>
      <c r="AW239" s="8" t="n">
        <v>0</v>
      </c>
      <c r="AX239" s="8" t="n">
        <v>0</v>
      </c>
      <c r="AY239" s="4" t="s">
        <v>59</v>
      </c>
      <c r="AZ239" s="4" t="s">
        <v>60</v>
      </c>
      <c r="BA239" s="4" t="n">
        <v>0</v>
      </c>
      <c r="BB239" s="4"/>
      <c r="BC239" s="4"/>
    </row>
    <row r="240" customFormat="false" ht="16.9" hidden="false" customHeight="false" outlineLevel="0" collapsed="false">
      <c r="A240" s="11" t="n">
        <v>772</v>
      </c>
      <c r="B240" s="12" t="n">
        <v>44118.4534722222</v>
      </c>
      <c r="C240" s="4" t="n">
        <v>1</v>
      </c>
      <c r="D240" s="4"/>
      <c r="E240" s="4"/>
      <c r="F240" s="4" t="s">
        <v>71</v>
      </c>
      <c r="G240" s="6" t="n">
        <f aca="false">79+11/60*(83-79)</f>
        <v>79.7333333333333</v>
      </c>
      <c r="H240" s="6" t="n">
        <f aca="false">60+11/60*(64-60)</f>
        <v>60.7333333333333</v>
      </c>
      <c r="I240" s="6" t="n">
        <f aca="false">56+11/60+(60-63)</f>
        <v>53.1833333333333</v>
      </c>
      <c r="J240" s="6" t="s">
        <v>62</v>
      </c>
      <c r="K240" s="6" t="n">
        <v>13</v>
      </c>
      <c r="L240" s="6" t="n">
        <v>28</v>
      </c>
      <c r="M240" s="3" t="s">
        <v>63</v>
      </c>
      <c r="N240" s="4" t="s">
        <v>150</v>
      </c>
      <c r="O240" s="4" t="s">
        <v>149</v>
      </c>
      <c r="P240" s="4" t="s">
        <v>109</v>
      </c>
      <c r="Q240" s="8" t="n">
        <v>4.2</v>
      </c>
      <c r="R240" s="6"/>
      <c r="S240" s="6"/>
      <c r="T240" s="6" t="n">
        <v>9478</v>
      </c>
      <c r="U240" s="8" t="n">
        <v>1.11</v>
      </c>
      <c r="V240" s="8"/>
      <c r="W240" s="8"/>
      <c r="X240" s="8" t="n">
        <f aca="false">Q240/U240</f>
        <v>3.78378378378378</v>
      </c>
      <c r="Y240" s="4" t="n">
        <v>4</v>
      </c>
      <c r="Z240" s="8" t="n">
        <f aca="false">Q240/Y240</f>
        <v>1.05</v>
      </c>
      <c r="AA240" s="8" t="n">
        <v>15.9</v>
      </c>
      <c r="AB240" s="6" t="n">
        <v>98.5</v>
      </c>
      <c r="AC240" s="6" t="n">
        <v>552</v>
      </c>
      <c r="AD240" s="6"/>
      <c r="AE240" s="4"/>
      <c r="AF240" s="8"/>
      <c r="AG240" s="8"/>
      <c r="AI240" s="8"/>
      <c r="AJ240" s="8"/>
      <c r="AK240" s="8"/>
      <c r="AL240" s="8"/>
      <c r="AM240" s="8"/>
      <c r="AN240" s="8"/>
      <c r="AO240" s="8"/>
      <c r="AP240" s="4" t="n">
        <v>1</v>
      </c>
      <c r="AQ240" s="4" t="n">
        <v>1</v>
      </c>
      <c r="AR240" s="4" t="n">
        <v>0</v>
      </c>
      <c r="AS240" s="14"/>
      <c r="AT240" s="8"/>
      <c r="AU240" s="8"/>
      <c r="AV240" s="8"/>
      <c r="AW240" s="8"/>
      <c r="AX240" s="8"/>
      <c r="AY240" s="4" t="s">
        <v>59</v>
      </c>
      <c r="AZ240" s="4" t="s">
        <v>60</v>
      </c>
      <c r="BA240" s="4" t="n">
        <v>1</v>
      </c>
      <c r="BB240" s="4"/>
      <c r="BC240" s="4"/>
    </row>
    <row r="241" customFormat="false" ht="16.9" hidden="false" customHeight="false" outlineLevel="0" collapsed="false">
      <c r="A241" s="11" t="n">
        <v>773</v>
      </c>
      <c r="B241" s="12" t="n">
        <v>44119.5958333333</v>
      </c>
      <c r="C241" s="4" t="n">
        <v>1</v>
      </c>
      <c r="D241" s="4"/>
      <c r="E241" s="4"/>
      <c r="F241" s="4" t="s">
        <v>65</v>
      </c>
      <c r="G241" s="6" t="n">
        <v>70</v>
      </c>
      <c r="H241" s="6" t="n">
        <v>57</v>
      </c>
      <c r="I241" s="6" t="n">
        <v>62</v>
      </c>
      <c r="J241" s="6" t="s">
        <v>101</v>
      </c>
      <c r="K241" s="6" t="n">
        <v>18</v>
      </c>
      <c r="L241" s="6" t="n">
        <v>31</v>
      </c>
      <c r="M241" s="3" t="s">
        <v>63</v>
      </c>
      <c r="N241" s="4" t="s">
        <v>150</v>
      </c>
      <c r="O241" s="4" t="s">
        <v>149</v>
      </c>
      <c r="P241" s="4" t="s">
        <v>64</v>
      </c>
      <c r="Q241" s="8" t="n">
        <v>4.9</v>
      </c>
      <c r="R241" s="6"/>
      <c r="S241" s="6"/>
      <c r="T241" s="6"/>
      <c r="U241" s="8" t="n">
        <f aca="false">(60+17)/60</f>
        <v>1.28333333333333</v>
      </c>
      <c r="V241" s="8" t="n">
        <f aca="false">U241</f>
        <v>1.28333333333333</v>
      </c>
      <c r="W241" s="8" t="n">
        <f aca="false">V241-U241</f>
        <v>0</v>
      </c>
      <c r="X241" s="8" t="n">
        <f aca="false">Q241/U241</f>
        <v>3.81818181818182</v>
      </c>
      <c r="Y241" s="4" t="n">
        <v>2</v>
      </c>
      <c r="Z241" s="8" t="n">
        <f aca="false">Q241/Y241</f>
        <v>2.45</v>
      </c>
      <c r="AA241" s="8" t="n">
        <f aca="false">15+43/60</f>
        <v>15.7166666666667</v>
      </c>
      <c r="AB241" s="6" t="n">
        <v>121</v>
      </c>
      <c r="AC241" s="6" t="n">
        <v>614</v>
      </c>
      <c r="AD241" s="6" t="n">
        <v>78</v>
      </c>
      <c r="AE241" s="4" t="n">
        <v>99</v>
      </c>
      <c r="AF241" s="8" t="n">
        <f aca="false">15+31/60</f>
        <v>15.5166666666667</v>
      </c>
      <c r="AG241" s="8" t="n">
        <v>16</v>
      </c>
      <c r="AH241" s="8" t="n">
        <f aca="false">15+41/60</f>
        <v>15.6833333333333</v>
      </c>
      <c r="AI241" s="8" t="n">
        <f aca="false">15+41/60</f>
        <v>15.6833333333333</v>
      </c>
      <c r="AJ241" s="8" t="n">
        <f aca="false">60/3.8</f>
        <v>15.7894736842105</v>
      </c>
      <c r="AK241" s="8"/>
      <c r="AL241" s="8"/>
      <c r="AM241" s="8"/>
      <c r="AN241" s="8"/>
      <c r="AO241" s="8"/>
      <c r="AP241" s="4" t="n">
        <v>0</v>
      </c>
      <c r="AQ241" s="4" t="n">
        <v>0</v>
      </c>
      <c r="AR241" s="4" t="n">
        <v>0</v>
      </c>
      <c r="AS241" s="14" t="n">
        <f aca="false">60*U241-SUM(AT241:AX241)</f>
        <v>67.2833333333333</v>
      </c>
      <c r="AT241" s="8" t="n">
        <f aca="false">9+43/60</f>
        <v>9.71666666666667</v>
      </c>
      <c r="AU241" s="8" t="n">
        <v>0</v>
      </c>
      <c r="AV241" s="8" t="n">
        <v>0</v>
      </c>
      <c r="AW241" s="8" t="n">
        <v>0</v>
      </c>
      <c r="AX241" s="8" t="n">
        <v>0</v>
      </c>
      <c r="AY241" s="4" t="s">
        <v>59</v>
      </c>
      <c r="AZ241" s="4" t="s">
        <v>60</v>
      </c>
      <c r="BA241" s="4" t="n">
        <v>0</v>
      </c>
      <c r="BB241" s="4"/>
      <c r="BC241" s="4"/>
    </row>
    <row r="242" customFormat="false" ht="16.9" hidden="false" customHeight="false" outlineLevel="0" collapsed="false">
      <c r="A242" s="11" t="n">
        <v>774</v>
      </c>
      <c r="B242" s="12" t="n">
        <v>44120.6159722222</v>
      </c>
      <c r="C242" s="4" t="n">
        <v>1</v>
      </c>
      <c r="D242" s="4"/>
      <c r="E242" s="4"/>
      <c r="F242" s="4" t="s">
        <v>61</v>
      </c>
      <c r="G242" s="6" t="n">
        <v>71</v>
      </c>
      <c r="H242" s="6" t="n">
        <v>70</v>
      </c>
      <c r="I242" s="6" t="n">
        <v>79</v>
      </c>
      <c r="J242" s="6" t="s">
        <v>83</v>
      </c>
      <c r="K242" s="6" t="n">
        <v>6</v>
      </c>
      <c r="L242" s="6" t="n">
        <v>0</v>
      </c>
      <c r="M242" s="3" t="s">
        <v>63</v>
      </c>
      <c r="N242" s="4" t="s">
        <v>150</v>
      </c>
      <c r="O242" s="4" t="s">
        <v>149</v>
      </c>
      <c r="P242" s="4" t="s">
        <v>126</v>
      </c>
      <c r="Q242" s="8" t="n">
        <v>7.32</v>
      </c>
      <c r="R242" s="6" t="n">
        <v>500</v>
      </c>
      <c r="S242" s="6" t="n">
        <v>16244</v>
      </c>
      <c r="T242" s="6" t="n">
        <f aca="false">S242-R242</f>
        <v>15744</v>
      </c>
      <c r="U242" s="8" t="n">
        <f aca="false">(120+3)/60</f>
        <v>2.05</v>
      </c>
      <c r="V242" s="8" t="n">
        <f aca="false">(120+16)/60</f>
        <v>2.26666666666667</v>
      </c>
      <c r="W242" s="8" t="n">
        <f aca="false">V242-U242</f>
        <v>0.216666666666667</v>
      </c>
      <c r="X242" s="8" t="n">
        <f aca="false">Q242/U242</f>
        <v>3.57073170731707</v>
      </c>
      <c r="Y242" s="4" t="n">
        <v>1</v>
      </c>
      <c r="Z242" s="8" t="n">
        <f aca="false">Q242/Y242</f>
        <v>7.32</v>
      </c>
      <c r="AA242" s="8" t="n">
        <f aca="false">16+49/60</f>
        <v>16.8166666666667</v>
      </c>
      <c r="AB242" s="6" t="n">
        <v>210</v>
      </c>
      <c r="AC242" s="6" t="n">
        <v>777</v>
      </c>
      <c r="AD242" s="6" t="n">
        <v>111</v>
      </c>
      <c r="AE242" s="4" t="n">
        <v>130</v>
      </c>
      <c r="AF242" s="8" t="n">
        <f aca="false">16+11/60</f>
        <v>16.1833333333333</v>
      </c>
      <c r="AG242" s="8" t="n">
        <f aca="false">16+41/60</f>
        <v>16.6833333333333</v>
      </c>
      <c r="AH242" s="8" t="n">
        <f aca="false">17+43/60</f>
        <v>17.7166666666667</v>
      </c>
      <c r="AI242" s="8" t="n">
        <f aca="false">16+41/60</f>
        <v>16.6833333333333</v>
      </c>
      <c r="AJ242" s="8" t="n">
        <f aca="false">16+45/60</f>
        <v>16.75</v>
      </c>
      <c r="AK242" s="8" t="n">
        <f aca="false">16+21/60</f>
        <v>16.35</v>
      </c>
      <c r="AL242" s="8" t="n">
        <f aca="false">60/3.6</f>
        <v>16.6666666666667</v>
      </c>
      <c r="AM242" s="8"/>
      <c r="AN242" s="8"/>
      <c r="AO242" s="8"/>
      <c r="AP242" s="4" t="n">
        <v>0</v>
      </c>
      <c r="AQ242" s="4" t="n">
        <v>0</v>
      </c>
      <c r="AR242" s="4" t="n">
        <v>0</v>
      </c>
      <c r="AS242" s="14" t="n">
        <f aca="false">60*U242-SUM(AT242:AX242)</f>
        <v>0.633333333333326</v>
      </c>
      <c r="AT242" s="8" t="n">
        <f aca="false">29+11/60</f>
        <v>29.1833333333333</v>
      </c>
      <c r="AU242" s="8" t="n">
        <f aca="false">(60+32) +4/60</f>
        <v>92.0666666666667</v>
      </c>
      <c r="AV242" s="8" t="n">
        <f aca="false">1+7/60</f>
        <v>1.11666666666667</v>
      </c>
      <c r="AW242" s="8" t="n">
        <v>0</v>
      </c>
      <c r="AX242" s="8" t="n">
        <v>0</v>
      </c>
      <c r="AY242" s="4" t="s">
        <v>59</v>
      </c>
      <c r="AZ242" s="4" t="s">
        <v>60</v>
      </c>
      <c r="BA242" s="4" t="n">
        <v>0</v>
      </c>
      <c r="BB242" s="4"/>
      <c r="BC242" s="4"/>
    </row>
    <row r="243" customFormat="false" ht="16.9" hidden="false" customHeight="false" outlineLevel="0" collapsed="false">
      <c r="A243" s="11" t="n">
        <v>775</v>
      </c>
      <c r="B243" s="12" t="n">
        <v>44121.5291666667</v>
      </c>
      <c r="C243" s="4" t="n">
        <v>1</v>
      </c>
      <c r="D243" s="4"/>
      <c r="E243" s="4"/>
      <c r="F243" s="4" t="s">
        <v>65</v>
      </c>
      <c r="G243" s="6" t="n">
        <v>69</v>
      </c>
      <c r="H243" s="6" t="n">
        <v>55</v>
      </c>
      <c r="I243" s="6" t="n">
        <v>61</v>
      </c>
      <c r="J243" s="6" t="s">
        <v>62</v>
      </c>
      <c r="K243" s="6" t="n">
        <v>15</v>
      </c>
      <c r="L243" s="6" t="n">
        <v>29</v>
      </c>
      <c r="M243" s="3" t="s">
        <v>63</v>
      </c>
      <c r="N243" s="4" t="s">
        <v>150</v>
      </c>
      <c r="O243" s="4" t="s">
        <v>149</v>
      </c>
      <c r="P243" s="4" t="s">
        <v>94</v>
      </c>
      <c r="Q243" s="8" t="n">
        <v>8.35</v>
      </c>
      <c r="R243" s="6" t="n">
        <v>779</v>
      </c>
      <c r="S243" s="6" t="n">
        <v>17975</v>
      </c>
      <c r="T243" s="6" t="n">
        <f aca="false">S243-R243</f>
        <v>17196</v>
      </c>
      <c r="U243" s="8" t="n">
        <f aca="false">(120+8)/60</f>
        <v>2.13333333333333</v>
      </c>
      <c r="V243" s="8" t="n">
        <f aca="false">(120+15)/60</f>
        <v>2.25</v>
      </c>
      <c r="W243" s="8" t="n">
        <f aca="false">V243-U243</f>
        <v>0.116666666666667</v>
      </c>
      <c r="X243" s="8" t="n">
        <f aca="false">Q243/U243</f>
        <v>3.9140625</v>
      </c>
      <c r="Y243" s="4" t="n">
        <v>1</v>
      </c>
      <c r="Z243" s="8" t="n">
        <f aca="false">Q243/Y243</f>
        <v>8.35</v>
      </c>
      <c r="AA243" s="8" t="n">
        <f aca="false">15+21/50</f>
        <v>15.42</v>
      </c>
      <c r="AB243" s="6" t="n">
        <v>856</v>
      </c>
      <c r="AC243" s="6" t="n">
        <v>698</v>
      </c>
      <c r="AD243" s="6" t="n">
        <v>76</v>
      </c>
      <c r="AE243" s="4" t="n">
        <v>112</v>
      </c>
      <c r="AF243" s="8" t="n">
        <f aca="false">15+13/60</f>
        <v>15.2166666666667</v>
      </c>
      <c r="AG243" s="8" t="n">
        <f aca="false">15+11/60</f>
        <v>15.1833333333333</v>
      </c>
      <c r="AH243" s="8" t="n">
        <f aca="false">15+8/60</f>
        <v>15.1333333333333</v>
      </c>
      <c r="AI243" s="8" t="n">
        <f aca="false">16+4/60</f>
        <v>16.0666666666667</v>
      </c>
      <c r="AJ243" s="8" t="n">
        <f aca="false">15+3/60</f>
        <v>15.05</v>
      </c>
      <c r="AK243" s="8" t="n">
        <f aca="false">15+8/60</f>
        <v>15.1333333333333</v>
      </c>
      <c r="AL243" s="8" t="n">
        <f aca="false">15+24/60</f>
        <v>15.4</v>
      </c>
      <c r="AM243" s="8" t="n">
        <f aca="false">15+30/60</f>
        <v>15.5</v>
      </c>
      <c r="AN243" s="8" t="n">
        <f aca="false">60/3.8</f>
        <v>15.7894736842105</v>
      </c>
      <c r="AO243" s="8"/>
      <c r="AP243" s="4" t="n">
        <v>2</v>
      </c>
      <c r="AQ243" s="4" t="n">
        <v>0</v>
      </c>
      <c r="AR243" s="4" t="n">
        <v>0</v>
      </c>
      <c r="AS243" s="14" t="n">
        <f aca="false">60*U243-SUM(AT243:AX243)</f>
        <v>113.933333333333</v>
      </c>
      <c r="AT243" s="8" t="n">
        <f aca="false">13+20/60</f>
        <v>13.3333333333333</v>
      </c>
      <c r="AU243" s="8" t="n">
        <f aca="false">44/60</f>
        <v>0.733333333333333</v>
      </c>
      <c r="AV243" s="8" t="n">
        <v>0</v>
      </c>
      <c r="AW243" s="8" t="n">
        <v>0</v>
      </c>
      <c r="AX243" s="8" t="n">
        <v>0</v>
      </c>
      <c r="AY243" s="4" t="s">
        <v>59</v>
      </c>
      <c r="AZ243" s="4" t="s">
        <v>60</v>
      </c>
      <c r="BA243" s="4" t="n">
        <v>0</v>
      </c>
      <c r="BB243" s="4"/>
      <c r="BC243" s="4"/>
    </row>
    <row r="244" customFormat="false" ht="16.9" hidden="false" customHeight="false" outlineLevel="0" collapsed="false">
      <c r="A244" s="11" t="n">
        <v>776</v>
      </c>
      <c r="B244" s="12" t="n">
        <v>44122.5194444444</v>
      </c>
      <c r="C244" s="4" t="n">
        <v>1</v>
      </c>
      <c r="D244" s="4"/>
      <c r="E244" s="4"/>
      <c r="F244" s="4" t="s">
        <v>61</v>
      </c>
      <c r="G244" s="6" t="n">
        <v>82</v>
      </c>
      <c r="H244" s="6" t="n">
        <v>68</v>
      </c>
      <c r="I244" s="6" t="n">
        <f aca="false">(58+55)/2</f>
        <v>56.5</v>
      </c>
      <c r="J244" s="6" t="s">
        <v>62</v>
      </c>
      <c r="K244" s="6" t="n">
        <f aca="false">(18+21)/2</f>
        <v>19.5</v>
      </c>
      <c r="L244" s="6" t="n">
        <v>30</v>
      </c>
      <c r="M244" s="3" t="s">
        <v>63</v>
      </c>
      <c r="N244" s="4" t="s">
        <v>150</v>
      </c>
      <c r="O244" s="4" t="s">
        <v>149</v>
      </c>
      <c r="P244" s="4" t="s">
        <v>146</v>
      </c>
      <c r="Q244" s="8" t="n">
        <v>5.07</v>
      </c>
      <c r="R244" s="6"/>
      <c r="S244" s="6"/>
      <c r="T244" s="6"/>
      <c r="U244" s="8" t="n">
        <f aca="false">(60+43)/60</f>
        <v>1.71666666666667</v>
      </c>
      <c r="V244" s="8" t="n">
        <f aca="false">(60+56)/60</f>
        <v>1.93333333333333</v>
      </c>
      <c r="W244" s="8" t="n">
        <f aca="false">V244-U244</f>
        <v>0.216666666666667</v>
      </c>
      <c r="X244" s="8" t="n">
        <f aca="false">Q244/U244</f>
        <v>2.95339805825243</v>
      </c>
      <c r="Y244" s="4" t="n">
        <v>1</v>
      </c>
      <c r="Z244" s="8" t="n">
        <f aca="false">Q244/Y244</f>
        <v>5.07</v>
      </c>
      <c r="AA244" s="8" t="n">
        <f aca="false">20+14/60</f>
        <v>20.2333333333333</v>
      </c>
      <c r="AB244" s="6" t="n">
        <v>715</v>
      </c>
      <c r="AC244" s="6" t="n">
        <v>563</v>
      </c>
      <c r="AD244" s="6" t="n">
        <v>122</v>
      </c>
      <c r="AE244" s="4" t="n">
        <v>150</v>
      </c>
      <c r="AF244" s="8" t="n">
        <f aca="false">17+14/60</f>
        <v>17.2333333333333</v>
      </c>
      <c r="AG244" s="8" t="n">
        <f aca="false">17+35/60</f>
        <v>17.5833333333333</v>
      </c>
      <c r="AH244" s="8" t="n">
        <f aca="false">23+3/60</f>
        <v>23.05</v>
      </c>
      <c r="AI244" s="8" t="n">
        <f aca="false">24+11/60</f>
        <v>24.1833333333333</v>
      </c>
      <c r="AJ244" s="8" t="n">
        <f aca="false">19+8/60</f>
        <v>19.1333333333333</v>
      </c>
      <c r="AK244" s="8" t="n">
        <f aca="false">60/2.9</f>
        <v>20.6896551724138</v>
      </c>
      <c r="AL244" s="8"/>
      <c r="AM244" s="8"/>
      <c r="AN244" s="8"/>
      <c r="AO244" s="8"/>
      <c r="AP244" s="4" t="n">
        <v>2</v>
      </c>
      <c r="AQ244" s="4" t="n">
        <v>0</v>
      </c>
      <c r="AR244" s="4" t="n">
        <v>0</v>
      </c>
      <c r="AS244" s="14" t="n">
        <f aca="false">60*U244-SUM(AT244:AX244)</f>
        <v>0.48333333333332</v>
      </c>
      <c r="AT244" s="8" t="n">
        <f aca="false">1+9/60</f>
        <v>1.15</v>
      </c>
      <c r="AU244" s="8" t="n">
        <f aca="false">68+46/60</f>
        <v>68.7666666666667</v>
      </c>
      <c r="AV244" s="8" t="n">
        <f aca="false">32+19/60</f>
        <v>32.3166666666667</v>
      </c>
      <c r="AW244" s="8" t="n">
        <f aca="false">17/60</f>
        <v>0.283333333333333</v>
      </c>
      <c r="AX244" s="8" t="n">
        <v>0</v>
      </c>
      <c r="AY244" s="4" t="s">
        <v>59</v>
      </c>
      <c r="AZ244" s="4" t="s">
        <v>60</v>
      </c>
      <c r="BA244" s="4" t="n">
        <v>0</v>
      </c>
      <c r="BB244" s="4"/>
      <c r="BC244" s="4"/>
    </row>
    <row r="245" customFormat="false" ht="16.9" hidden="false" customHeight="false" outlineLevel="0" collapsed="false">
      <c r="A245" s="11" t="n">
        <v>777</v>
      </c>
      <c r="B245" s="12" t="n">
        <v>44123.4583333333</v>
      </c>
      <c r="C245" s="4" t="n">
        <v>0</v>
      </c>
      <c r="D245" s="4" t="s">
        <v>95</v>
      </c>
      <c r="E245" s="4"/>
      <c r="F245" s="4" t="s">
        <v>103</v>
      </c>
      <c r="G245" s="6" t="n">
        <v>56</v>
      </c>
      <c r="H245" s="6" t="n">
        <v>52</v>
      </c>
      <c r="I245" s="6" t="n">
        <v>87</v>
      </c>
      <c r="J245" s="4" t="s">
        <v>86</v>
      </c>
      <c r="K245" s="6" t="n">
        <v>70</v>
      </c>
      <c r="L245" s="6" t="n">
        <v>0</v>
      </c>
      <c r="M245" s="3" t="s">
        <v>129</v>
      </c>
      <c r="N245" s="4"/>
      <c r="O245" s="4"/>
      <c r="P245" s="4"/>
      <c r="Q245" s="8"/>
      <c r="R245" s="6"/>
      <c r="S245" s="6"/>
      <c r="T245" s="6"/>
      <c r="U245" s="8"/>
      <c r="V245" s="8"/>
      <c r="W245" s="8"/>
      <c r="X245" s="8"/>
      <c r="Y245" s="4"/>
      <c r="Z245" s="8"/>
      <c r="AA245" s="8"/>
      <c r="AB245" s="6"/>
      <c r="AC245" s="6"/>
      <c r="AD245" s="6"/>
      <c r="AE245" s="4"/>
      <c r="AF245" s="8"/>
      <c r="AG245" s="8"/>
      <c r="AI245" s="8"/>
      <c r="AJ245" s="8"/>
      <c r="AK245" s="8"/>
      <c r="AL245" s="8"/>
      <c r="AM245" s="8"/>
      <c r="AN245" s="8"/>
      <c r="AO245" s="8"/>
      <c r="AP245" s="4"/>
      <c r="AQ245" s="4"/>
      <c r="AR245" s="4"/>
      <c r="AS245" s="14"/>
      <c r="AT245" s="8"/>
      <c r="AU245" s="8"/>
      <c r="AV245" s="8"/>
      <c r="AW245" s="8"/>
      <c r="AX245" s="8"/>
      <c r="AY245" s="4"/>
      <c r="AZ245" s="4"/>
      <c r="BA245" s="4"/>
      <c r="BB245" s="4"/>
      <c r="BC245" s="4"/>
    </row>
    <row r="246" customFormat="false" ht="16.9" hidden="false" customHeight="false" outlineLevel="0" collapsed="false">
      <c r="A246" s="11" t="n">
        <v>778</v>
      </c>
      <c r="B246" s="12" t="n">
        <v>44124.5625</v>
      </c>
      <c r="C246" s="4" t="n">
        <v>1</v>
      </c>
      <c r="D246" s="4"/>
      <c r="E246" s="4"/>
      <c r="F246" s="4" t="s">
        <v>93</v>
      </c>
      <c r="G246" s="6" t="n">
        <v>77</v>
      </c>
      <c r="H246" s="6" t="n">
        <v>62</v>
      </c>
      <c r="I246" s="6" t="n">
        <v>60</v>
      </c>
      <c r="J246" s="4" t="s">
        <v>80</v>
      </c>
      <c r="K246" s="6" t="n">
        <v>20</v>
      </c>
      <c r="L246" s="6" t="n">
        <v>0</v>
      </c>
      <c r="M246" s="3" t="s">
        <v>63</v>
      </c>
      <c r="N246" s="4" t="s">
        <v>150</v>
      </c>
      <c r="O246" s="4" t="s">
        <v>149</v>
      </c>
      <c r="P246" s="4" t="s">
        <v>112</v>
      </c>
      <c r="Q246" s="8" t="n">
        <v>6.31</v>
      </c>
      <c r="R246" s="6" t="n">
        <v>643</v>
      </c>
      <c r="S246" s="6" t="n">
        <v>14684</v>
      </c>
      <c r="T246" s="6" t="n">
        <f aca="false">S246-R246</f>
        <v>14041</v>
      </c>
      <c r="U246" s="8" t="n">
        <f aca="false">(60+42)/60</f>
        <v>1.7</v>
      </c>
      <c r="V246" s="8" t="n">
        <f aca="false">(60+53)/60</f>
        <v>1.88333333333333</v>
      </c>
      <c r="W246" s="8" t="n">
        <f aca="false">V246-U246</f>
        <v>0.183333333333333</v>
      </c>
      <c r="X246" s="8" t="n">
        <f aca="false">Q246/U246</f>
        <v>3.71176470588235</v>
      </c>
      <c r="Y246" s="4" t="n">
        <v>1</v>
      </c>
      <c r="Z246" s="8" t="n">
        <f aca="false">Q246/Y246</f>
        <v>6.31</v>
      </c>
      <c r="AA246" s="8" t="n">
        <f aca="false">16+14/60</f>
        <v>16.2333333333333</v>
      </c>
      <c r="AB246" s="6" t="n">
        <v>233</v>
      </c>
      <c r="AC246" s="6" t="n">
        <v>673</v>
      </c>
      <c r="AD246" s="6" t="n">
        <v>136</v>
      </c>
      <c r="AE246" s="4" t="n">
        <v>140</v>
      </c>
      <c r="AF246" s="8" t="n">
        <f aca="false">16+8/60</f>
        <v>16.1333333333333</v>
      </c>
      <c r="AG246" s="8" t="n">
        <f aca="false">16+27/60</f>
        <v>16.45</v>
      </c>
      <c r="AH246" s="8" t="n">
        <f aca="false">15+58/60</f>
        <v>15.9666666666667</v>
      </c>
      <c r="AI246" s="8" t="n">
        <f aca="false">16+30/60</f>
        <v>16.5</v>
      </c>
      <c r="AJ246" s="8" t="n">
        <f aca="false">16</f>
        <v>16</v>
      </c>
      <c r="AK246" s="8" t="n">
        <f aca="false">16+18/60</f>
        <v>16.3</v>
      </c>
      <c r="AL246" s="8" t="n">
        <f aca="false">60/3.7</f>
        <v>16.2162162162162</v>
      </c>
      <c r="AM246" s="8"/>
      <c r="AN246" s="8"/>
      <c r="AO246" s="8"/>
      <c r="AP246" s="4" t="n">
        <v>2</v>
      </c>
      <c r="AQ246" s="4" t="n">
        <v>1</v>
      </c>
      <c r="AR246" s="4" t="n">
        <v>0</v>
      </c>
      <c r="AS246" s="14" t="n">
        <v>0</v>
      </c>
      <c r="AT246" s="8" t="n">
        <f aca="false">53/60</f>
        <v>0.883333333333333</v>
      </c>
      <c r="AU246" s="8" t="n">
        <f aca="false">6+1/60</f>
        <v>6.01666666666667</v>
      </c>
      <c r="AV246" s="8" t="n">
        <f aca="false">81+35/60</f>
        <v>81.5833333333333</v>
      </c>
      <c r="AW246" s="8" t="n">
        <f aca="false">14+2/60</f>
        <v>14.0333333333333</v>
      </c>
      <c r="AX246" s="8" t="n">
        <v>0</v>
      </c>
      <c r="AY246" s="4" t="s">
        <v>59</v>
      </c>
      <c r="AZ246" s="4" t="s">
        <v>60</v>
      </c>
      <c r="BA246" s="4" t="n">
        <v>0</v>
      </c>
      <c r="BB246" s="4"/>
      <c r="BC246" s="4"/>
    </row>
    <row r="247" customFormat="false" ht="16.9" hidden="false" customHeight="false" outlineLevel="0" collapsed="false">
      <c r="A247" s="11" t="n">
        <v>779</v>
      </c>
      <c r="B247" s="12" t="n">
        <v>44125.5173611111</v>
      </c>
      <c r="C247" s="4" t="n">
        <v>1</v>
      </c>
      <c r="D247" s="4"/>
      <c r="E247" s="4"/>
      <c r="F247" s="4" t="s">
        <v>61</v>
      </c>
      <c r="G247" s="6" t="n">
        <v>79</v>
      </c>
      <c r="H247" s="6" t="n">
        <v>66</v>
      </c>
      <c r="I247" s="6" t="n">
        <v>64</v>
      </c>
      <c r="J247" s="6" t="s">
        <v>62</v>
      </c>
      <c r="K247" s="6" t="n">
        <v>17</v>
      </c>
      <c r="L247" s="6" t="n">
        <v>29</v>
      </c>
      <c r="M247" s="3" t="s">
        <v>63</v>
      </c>
      <c r="N247" s="4" t="s">
        <v>150</v>
      </c>
      <c r="O247" s="4" t="s">
        <v>149</v>
      </c>
      <c r="P247" s="4" t="s">
        <v>92</v>
      </c>
      <c r="Q247" s="8" t="n">
        <v>4.14</v>
      </c>
      <c r="R247" s="6" t="n">
        <v>878</v>
      </c>
      <c r="S247" s="6" t="n">
        <v>9876</v>
      </c>
      <c r="T247" s="6" t="n">
        <f aca="false">S247-R247</f>
        <v>8998</v>
      </c>
      <c r="U247" s="8" t="n">
        <f aca="false">71/60</f>
        <v>1.18333333333333</v>
      </c>
      <c r="V247" s="8" t="n">
        <f aca="false">75/60</f>
        <v>1.25</v>
      </c>
      <c r="W247" s="8" t="n">
        <f aca="false">V247-U247</f>
        <v>0.0666666666666667</v>
      </c>
      <c r="X247" s="8" t="n">
        <f aca="false">Q247/U247</f>
        <v>3.49859154929577</v>
      </c>
      <c r="Y247" s="4" t="n">
        <v>2</v>
      </c>
      <c r="Z247" s="8" t="n">
        <f aca="false">Q247/Y247</f>
        <v>2.07</v>
      </c>
      <c r="AA247" s="8" t="n">
        <f aca="false">17+15/60</f>
        <v>17.25</v>
      </c>
      <c r="AB247" s="6" t="n">
        <v>545</v>
      </c>
      <c r="AC247" s="6" t="n">
        <v>459</v>
      </c>
      <c r="AD247" s="6" t="n">
        <v>122</v>
      </c>
      <c r="AE247" s="4" t="n">
        <v>152</v>
      </c>
      <c r="AF247" s="8" t="n">
        <f aca="false">17+17/60</f>
        <v>17.2833333333333</v>
      </c>
      <c r="AG247" s="8" t="n">
        <f aca="false">16+17/60</f>
        <v>16.2833333333333</v>
      </c>
      <c r="AH247" s="8" t="n">
        <f aca="false">18+47.6</f>
        <v>65.6</v>
      </c>
      <c r="AI247" s="8" t="n">
        <f aca="false">16+34/60</f>
        <v>16.5666666666667</v>
      </c>
      <c r="AJ247" s="8" t="n">
        <f aca="false">60/3.5</f>
        <v>17.1428571428571</v>
      </c>
      <c r="AK247" s="8"/>
      <c r="AL247" s="8"/>
      <c r="AM247" s="8"/>
      <c r="AN247" s="8"/>
      <c r="AO247" s="8"/>
      <c r="AP247" s="4" t="n">
        <v>2</v>
      </c>
      <c r="AQ247" s="4" t="n">
        <v>0</v>
      </c>
      <c r="AR247" s="4" t="n">
        <v>0</v>
      </c>
      <c r="AS247" s="14" t="n">
        <f aca="false">60*U247-SUM(AT247:AX247)</f>
        <v>0.0033333333333303</v>
      </c>
      <c r="AT247" s="8" t="n">
        <f aca="false">11+33/60</f>
        <v>11.55</v>
      </c>
      <c r="AU247" s="8" t="n">
        <f aca="false">24+27/60</f>
        <v>24.45</v>
      </c>
      <c r="AV247" s="8" t="n">
        <f aca="false">32+43/60</f>
        <v>32.7166666666667</v>
      </c>
      <c r="AW247" s="8" t="n">
        <v>2.28</v>
      </c>
      <c r="AX247" s="8" t="n">
        <v>0</v>
      </c>
      <c r="AY247" s="4" t="s">
        <v>59</v>
      </c>
      <c r="AZ247" s="4" t="s">
        <v>60</v>
      </c>
      <c r="BA247" s="4" t="n">
        <v>0</v>
      </c>
      <c r="BB247" s="4"/>
      <c r="BC247" s="4"/>
    </row>
    <row r="248" customFormat="false" ht="16.9" hidden="false" customHeight="false" outlineLevel="0" collapsed="false">
      <c r="A248" s="11" t="n">
        <v>780</v>
      </c>
      <c r="B248" s="12" t="n">
        <v>44126.4777777778</v>
      </c>
      <c r="C248" s="4" t="n">
        <v>1</v>
      </c>
      <c r="D248" s="4"/>
      <c r="E248" s="4"/>
      <c r="F248" s="4" t="s">
        <v>61</v>
      </c>
      <c r="G248" s="6" t="n">
        <f aca="false">AVERAGE(82,84,84,86)</f>
        <v>84</v>
      </c>
      <c r="H248" s="6" t="n">
        <f aca="false">AVERAGE(66,66,66,67)</f>
        <v>66.25</v>
      </c>
      <c r="I248" s="6" t="n">
        <f aca="false">AVERAGE(62,59,55,55)</f>
        <v>57.75</v>
      </c>
      <c r="J248" s="6" t="s">
        <v>108</v>
      </c>
      <c r="K248" s="6" t="n">
        <f aca="false">AVERAGE(14,14,16,20)</f>
        <v>16</v>
      </c>
      <c r="L248" s="6" t="n">
        <v>29</v>
      </c>
      <c r="M248" s="3" t="s">
        <v>63</v>
      </c>
      <c r="N248" s="4" t="s">
        <v>150</v>
      </c>
      <c r="O248" s="4" t="s">
        <v>149</v>
      </c>
      <c r="P248" s="15" t="s">
        <v>131</v>
      </c>
      <c r="Q248" s="8" t="n">
        <v>6.94</v>
      </c>
      <c r="R248" s="6" t="n">
        <v>667</v>
      </c>
      <c r="S248" s="6" t="n">
        <v>15896</v>
      </c>
      <c r="T248" s="6" t="n">
        <f aca="false">S248-R248</f>
        <v>15229</v>
      </c>
      <c r="U248" s="8" t="n">
        <f aca="false">(120+2)/60</f>
        <v>2.03333333333333</v>
      </c>
      <c r="V248" s="8" t="n">
        <f aca="false">(120+14)/60</f>
        <v>2.23333333333333</v>
      </c>
      <c r="W248" s="8" t="n">
        <f aca="false">V248-U248</f>
        <v>0.2</v>
      </c>
      <c r="X248" s="8" t="n">
        <f aca="false">Q248/U248</f>
        <v>3.41311475409836</v>
      </c>
      <c r="Y248" s="4" t="n">
        <v>1</v>
      </c>
      <c r="Z248" s="8" t="n">
        <f aca="false">Q248/Y248</f>
        <v>6.94</v>
      </c>
      <c r="AA248" s="8" t="n">
        <f aca="false">17+37/60</f>
        <v>17.6166666666667</v>
      </c>
      <c r="AB248" s="6" t="n">
        <v>761</v>
      </c>
      <c r="AC248" s="6" t="n">
        <v>749</v>
      </c>
      <c r="AD248" s="6" t="n">
        <v>125</v>
      </c>
      <c r="AE248" s="4" t="n">
        <v>149</v>
      </c>
      <c r="AF248" s="8" t="n">
        <f aca="false">17+1/60</f>
        <v>17.0166666666667</v>
      </c>
      <c r="AG248" s="8" t="n">
        <f aca="false">17+17/60</f>
        <v>17.2833333333333</v>
      </c>
      <c r="AH248" s="8" t="n">
        <f aca="false">17+36/60</f>
        <v>17.6</v>
      </c>
      <c r="AI248" s="8" t="n">
        <f aca="false">18+8/60</f>
        <v>18.1333333333333</v>
      </c>
      <c r="AJ248" s="8" t="n">
        <f aca="false">17+36/60</f>
        <v>17.6</v>
      </c>
      <c r="AK248" s="8" t="n">
        <f aca="false">17+17/60</f>
        <v>17.2833333333333</v>
      </c>
      <c r="AL248" s="8" t="n">
        <f aca="false">60/3.3</f>
        <v>18.1818181818182</v>
      </c>
      <c r="AM248" s="8"/>
      <c r="AN248" s="8"/>
      <c r="AO248" s="8"/>
      <c r="AP248" s="4" t="n">
        <v>1</v>
      </c>
      <c r="AQ248" s="4" t="n">
        <v>0</v>
      </c>
      <c r="AR248" s="4" t="n">
        <v>0</v>
      </c>
      <c r="AS248" s="14" t="n">
        <f aca="false">60*U248-SUM(AT248:AX248)</f>
        <v>2.78333333333333</v>
      </c>
      <c r="AT248" s="8" t="n">
        <f aca="false">9+10/60</f>
        <v>9.16666666666667</v>
      </c>
      <c r="AU248" s="8" t="n">
        <f aca="false">29+2/60</f>
        <v>29.0333333333333</v>
      </c>
      <c r="AV248" s="8" t="n">
        <f aca="false">79+59/60</f>
        <v>79.9833333333333</v>
      </c>
      <c r="AW248" s="8" t="n">
        <f aca="false">1+2/60</f>
        <v>1.03333333333333</v>
      </c>
      <c r="AX248" s="8" t="n">
        <v>0</v>
      </c>
      <c r="AY248" s="4" t="s">
        <v>59</v>
      </c>
      <c r="AZ248" s="4" t="s">
        <v>60</v>
      </c>
      <c r="BA248" s="4" t="n">
        <v>0</v>
      </c>
      <c r="BB248" s="4"/>
      <c r="BC248" s="4"/>
    </row>
    <row r="249" customFormat="false" ht="16.9" hidden="false" customHeight="false" outlineLevel="0" collapsed="false">
      <c r="A249" s="11" t="n">
        <v>781</v>
      </c>
      <c r="B249" s="12" t="n">
        <v>44127</v>
      </c>
      <c r="C249" s="4" t="n">
        <v>1</v>
      </c>
      <c r="D249" s="4"/>
      <c r="E249" s="4"/>
      <c r="F249" s="4" t="s">
        <v>65</v>
      </c>
      <c r="G249" s="6" t="n">
        <v>51</v>
      </c>
      <c r="H249" s="6" t="n">
        <v>45</v>
      </c>
      <c r="I249" s="6" t="n">
        <v>83</v>
      </c>
      <c r="J249" s="6" t="s">
        <v>86</v>
      </c>
      <c r="K249" s="6" t="n">
        <v>18</v>
      </c>
      <c r="L249" s="6" t="n">
        <v>0</v>
      </c>
      <c r="M249" s="3" t="s">
        <v>63</v>
      </c>
      <c r="N249" s="4" t="s">
        <v>150</v>
      </c>
      <c r="O249" s="4" t="s">
        <v>149</v>
      </c>
      <c r="P249" s="4" t="s">
        <v>109</v>
      </c>
      <c r="Q249" s="8" t="n">
        <v>4.35</v>
      </c>
      <c r="R249" s="6" t="n">
        <v>459</v>
      </c>
      <c r="S249" s="6" t="n">
        <v>10458</v>
      </c>
      <c r="T249" s="6" t="n">
        <f aca="false">S249-R249</f>
        <v>9999</v>
      </c>
      <c r="U249" s="8" t="n">
        <f aca="false">64/60</f>
        <v>1.06666666666667</v>
      </c>
      <c r="V249" s="8" t="n">
        <f aca="false">79/60</f>
        <v>1.31666666666667</v>
      </c>
      <c r="W249" s="8" t="n">
        <f aca="false">V249-U249</f>
        <v>0.25</v>
      </c>
      <c r="X249" s="8" t="n">
        <f aca="false">Q249/U249</f>
        <v>4.078125</v>
      </c>
      <c r="Y249" s="4" t="n">
        <v>4</v>
      </c>
      <c r="Z249" s="8" t="n">
        <f aca="false">Q249/Y249</f>
        <v>1.0875</v>
      </c>
      <c r="AA249" s="8" t="n">
        <f aca="false">15+37/60</f>
        <v>15.6166666666667</v>
      </c>
      <c r="AB249" s="6" t="n">
        <v>105</v>
      </c>
      <c r="AC249" s="6" t="n">
        <v>465</v>
      </c>
      <c r="AD249" s="6" t="n">
        <v>80</v>
      </c>
      <c r="AE249" s="4" t="n">
        <v>117</v>
      </c>
      <c r="AF249" s="8" t="n">
        <f aca="false">15+32/60</f>
        <v>15.5333333333333</v>
      </c>
      <c r="AG249" s="8" t="n">
        <f aca="false">15+35/60</f>
        <v>15.5833333333333</v>
      </c>
      <c r="AH249" s="8" t="n">
        <f aca="false">15+37/60</f>
        <v>15.6166666666667</v>
      </c>
      <c r="AI249" s="8" t="n">
        <f aca="false">15+39/60</f>
        <v>15.65</v>
      </c>
      <c r="AJ249" s="8" t="n">
        <f aca="false">60/3.8</f>
        <v>15.7894736842105</v>
      </c>
      <c r="AK249" s="8"/>
      <c r="AL249" s="8"/>
      <c r="AM249" s="8"/>
      <c r="AN249" s="8"/>
      <c r="AO249" s="8"/>
      <c r="AP249" s="4" t="n">
        <v>1</v>
      </c>
      <c r="AQ249" s="4" t="n">
        <v>0</v>
      </c>
      <c r="AR249" s="4" t="n">
        <v>0</v>
      </c>
      <c r="AS249" s="14" t="n">
        <f aca="false">60*U249-SUM(AT249:AX249)</f>
        <v>57</v>
      </c>
      <c r="AT249" s="8" t="n">
        <f aca="false">5+36/60</f>
        <v>5.6</v>
      </c>
      <c r="AU249" s="8" t="n">
        <f aca="false">1+24/60</f>
        <v>1.4</v>
      </c>
      <c r="AV249" s="8" t="n">
        <v>0</v>
      </c>
      <c r="AW249" s="8" t="n">
        <v>0</v>
      </c>
      <c r="AX249" s="8" t="n">
        <v>0</v>
      </c>
      <c r="AY249" s="4" t="s">
        <v>59</v>
      </c>
      <c r="AZ249" s="4" t="s">
        <v>60</v>
      </c>
      <c r="BA249" s="4" t="n">
        <v>0</v>
      </c>
      <c r="BB249" s="4"/>
      <c r="BC249" s="4"/>
    </row>
    <row r="250" customFormat="false" ht="16.9" hidden="false" customHeight="false" outlineLevel="0" collapsed="false">
      <c r="A250" s="11" t="n">
        <v>782</v>
      </c>
      <c r="B250" s="12" t="n">
        <v>44128.4951388889</v>
      </c>
      <c r="C250" s="4" t="n">
        <v>0</v>
      </c>
      <c r="D250" s="4" t="s">
        <v>153</v>
      </c>
      <c r="E250" s="4"/>
      <c r="F250" s="4" t="s">
        <v>120</v>
      </c>
      <c r="G250" s="11" t="n">
        <v>51</v>
      </c>
      <c r="H250" s="4" t="n">
        <v>40</v>
      </c>
      <c r="I250" s="4" t="n">
        <v>61</v>
      </c>
      <c r="J250" s="4" t="s">
        <v>55</v>
      </c>
      <c r="K250" s="4" t="n">
        <v>7</v>
      </c>
      <c r="L250" s="4" t="n">
        <v>0</v>
      </c>
      <c r="M250" s="3" t="s">
        <v>63</v>
      </c>
      <c r="N250" s="4"/>
      <c r="O250" s="4"/>
      <c r="P250" s="4"/>
      <c r="Q250" s="8"/>
      <c r="R250" s="6"/>
      <c r="S250" s="6"/>
      <c r="T250" s="6"/>
      <c r="U250" s="8"/>
      <c r="V250" s="8"/>
      <c r="W250" s="8"/>
      <c r="X250" s="8"/>
      <c r="Y250" s="4"/>
      <c r="Z250" s="8"/>
      <c r="AA250" s="8"/>
      <c r="AB250" s="6"/>
      <c r="AC250" s="6"/>
      <c r="AD250" s="6"/>
      <c r="AE250" s="4"/>
      <c r="AF250" s="8"/>
      <c r="AG250" s="8"/>
      <c r="AI250" s="8"/>
      <c r="AJ250" s="8"/>
      <c r="AK250" s="8"/>
      <c r="AL250" s="8"/>
      <c r="AM250" s="8"/>
      <c r="AN250" s="8"/>
      <c r="AO250" s="8"/>
      <c r="AP250" s="4"/>
      <c r="AQ250" s="4"/>
      <c r="AR250" s="4"/>
      <c r="AS250" s="14"/>
      <c r="AT250" s="8"/>
      <c r="AU250" s="8"/>
      <c r="AV250" s="8"/>
      <c r="AW250" s="8"/>
      <c r="AX250" s="8"/>
      <c r="AY250" s="4"/>
      <c r="AZ250" s="4"/>
      <c r="BA250" s="4"/>
      <c r="BB250" s="4"/>
      <c r="BC250" s="4"/>
    </row>
    <row r="251" customFormat="false" ht="16.9" hidden="false" customHeight="false" outlineLevel="0" collapsed="false">
      <c r="A251" s="11" t="n">
        <v>783</v>
      </c>
      <c r="B251" s="12" t="n">
        <v>44129.4951388889</v>
      </c>
      <c r="C251" s="4" t="n">
        <v>0</v>
      </c>
      <c r="D251" s="4" t="s">
        <v>79</v>
      </c>
      <c r="E251" s="4"/>
      <c r="F251" s="4" t="s">
        <v>65</v>
      </c>
      <c r="G251" s="6" t="n">
        <v>59</v>
      </c>
      <c r="H251" s="6" t="n">
        <v>55</v>
      </c>
      <c r="I251" s="6" t="n">
        <v>87</v>
      </c>
      <c r="J251" s="4" t="s">
        <v>114</v>
      </c>
      <c r="K251" s="6" t="n">
        <v>12</v>
      </c>
      <c r="L251" s="6" t="n">
        <v>0</v>
      </c>
      <c r="M251" s="3" t="s">
        <v>63</v>
      </c>
      <c r="N251" s="4"/>
      <c r="O251" s="4"/>
      <c r="P251" s="4"/>
      <c r="Q251" s="8"/>
      <c r="R251" s="6"/>
      <c r="S251" s="6"/>
      <c r="T251" s="6"/>
      <c r="U251" s="8"/>
      <c r="V251" s="8"/>
      <c r="W251" s="8"/>
      <c r="X251" s="8"/>
      <c r="Y251" s="4"/>
      <c r="Z251" s="8"/>
      <c r="AA251" s="8"/>
      <c r="AB251" s="6"/>
      <c r="AC251" s="6"/>
      <c r="AD251" s="6"/>
      <c r="AE251" s="4"/>
      <c r="AF251" s="8"/>
      <c r="AG251" s="8"/>
      <c r="AI251" s="8"/>
      <c r="AJ251" s="8"/>
      <c r="AK251" s="8"/>
      <c r="AL251" s="8"/>
      <c r="AM251" s="8"/>
      <c r="AN251" s="8"/>
      <c r="AO251" s="8"/>
      <c r="AP251" s="4"/>
      <c r="AQ251" s="4"/>
      <c r="AR251" s="4"/>
      <c r="AS251" s="14"/>
      <c r="AT251" s="8"/>
      <c r="AU251" s="8"/>
      <c r="AV251" s="8"/>
      <c r="AW251" s="8"/>
      <c r="AX251" s="8"/>
      <c r="AY251" s="4"/>
      <c r="AZ251" s="4"/>
      <c r="BA251" s="4"/>
      <c r="BB251" s="4"/>
      <c r="BC251" s="4"/>
    </row>
    <row r="252" customFormat="false" ht="16.9" hidden="false" customHeight="false" outlineLevel="0" collapsed="false">
      <c r="A252" s="11" t="n">
        <v>784</v>
      </c>
      <c r="B252" s="12" t="n">
        <v>44130.5777777778</v>
      </c>
      <c r="C252" s="4" t="n">
        <v>1</v>
      </c>
      <c r="D252" s="4"/>
      <c r="E252" s="4"/>
      <c r="F252" s="4" t="s">
        <v>90</v>
      </c>
      <c r="G252" s="6" t="n">
        <v>45</v>
      </c>
      <c r="H252" s="6" t="n">
        <v>43</v>
      </c>
      <c r="I252" s="6" t="n">
        <v>93</v>
      </c>
      <c r="J252" s="6" t="s">
        <v>83</v>
      </c>
      <c r="K252" s="6" t="n">
        <v>21</v>
      </c>
      <c r="L252" s="6" t="n">
        <v>0</v>
      </c>
      <c r="M252" s="3" t="s">
        <v>63</v>
      </c>
      <c r="N252" s="4" t="s">
        <v>150</v>
      </c>
      <c r="O252" s="4" t="s">
        <v>149</v>
      </c>
      <c r="P252" s="4" t="s">
        <v>154</v>
      </c>
      <c r="Q252" s="8" t="n">
        <v>3.52</v>
      </c>
      <c r="R252" s="6" t="n">
        <v>1140</v>
      </c>
      <c r="S252" s="6" t="n">
        <v>12443</v>
      </c>
      <c r="T252" s="6" t="n">
        <f aca="false">S252-R252</f>
        <v>11303</v>
      </c>
      <c r="U252" s="8" t="n">
        <f aca="false">89/60</f>
        <v>1.48333333333333</v>
      </c>
      <c r="V252" s="8" t="n">
        <f aca="false">89/60</f>
        <v>1.48333333333333</v>
      </c>
      <c r="W252" s="8" t="n">
        <f aca="false">V252-U252</f>
        <v>0</v>
      </c>
      <c r="X252" s="8" t="n">
        <f aca="false">Q252/U252</f>
        <v>2.37303370786517</v>
      </c>
      <c r="Y252" s="4" t="n">
        <v>2</v>
      </c>
      <c r="Z252" s="8" t="n">
        <f aca="false">Q252/Y252</f>
        <v>1.76</v>
      </c>
      <c r="AA252" s="8" t="n">
        <f aca="false">25+12/60</f>
        <v>25.2</v>
      </c>
      <c r="AB252" s="6" t="n">
        <v>39</v>
      </c>
      <c r="AC252" s="6" t="n">
        <v>327</v>
      </c>
      <c r="AD252" s="6" t="n">
        <v>81</v>
      </c>
      <c r="AE252" s="4" t="n">
        <v>111</v>
      </c>
      <c r="AF252" s="8" t="n">
        <f aca="false">24+55/60</f>
        <v>24.9166666666667</v>
      </c>
      <c r="AG252" s="8" t="n">
        <f aca="false">25+7/60</f>
        <v>25.1166666666667</v>
      </c>
      <c r="AH252" s="8" t="n">
        <f aca="false">26+32/60</f>
        <v>26.5333333333333</v>
      </c>
      <c r="AI252" s="8" t="n">
        <f aca="false">60/2.4</f>
        <v>25</v>
      </c>
      <c r="AJ252" s="8"/>
      <c r="AK252" s="8"/>
      <c r="AL252" s="8"/>
      <c r="AM252" s="8"/>
      <c r="AN252" s="8"/>
      <c r="AO252" s="8"/>
      <c r="AP252" s="4" t="n">
        <v>0</v>
      </c>
      <c r="AQ252" s="4" t="n">
        <v>0</v>
      </c>
      <c r="AR252" s="4" t="n">
        <v>0</v>
      </c>
      <c r="AS252" s="14" t="n">
        <f aca="false">60*U252-SUM(AT252:AX252)</f>
        <v>76.2166666666667</v>
      </c>
      <c r="AT252" s="8" t="n">
        <f aca="false">11+56/60</f>
        <v>11.9333333333333</v>
      </c>
      <c r="AU252" s="8" t="n">
        <f aca="false">51/60</f>
        <v>0.85</v>
      </c>
      <c r="AV252" s="8" t="n">
        <v>0</v>
      </c>
      <c r="AW252" s="8" t="n">
        <v>0</v>
      </c>
      <c r="AX252" s="8" t="n">
        <v>0</v>
      </c>
      <c r="AY252" s="4" t="s">
        <v>59</v>
      </c>
      <c r="AZ252" s="4" t="s">
        <v>60</v>
      </c>
      <c r="BA252" s="4" t="n">
        <v>0</v>
      </c>
      <c r="BB252" s="4"/>
      <c r="BC252" s="4"/>
    </row>
    <row r="253" customFormat="false" ht="16.9" hidden="false" customHeight="false" outlineLevel="0" collapsed="false">
      <c r="A253" s="11" t="n">
        <v>785</v>
      </c>
      <c r="B253" s="12" t="n">
        <v>44131.4951388889</v>
      </c>
      <c r="C253" s="4" t="n">
        <v>0</v>
      </c>
      <c r="D253" s="4"/>
      <c r="E253" s="4"/>
      <c r="F253" s="4" t="s">
        <v>103</v>
      </c>
      <c r="G253" s="6" t="n">
        <v>39</v>
      </c>
      <c r="H253" s="6" t="n">
        <v>38</v>
      </c>
      <c r="I253" s="6" t="n">
        <v>96</v>
      </c>
      <c r="J253" s="6" t="s">
        <v>83</v>
      </c>
      <c r="K253" s="6" t="n">
        <v>14</v>
      </c>
      <c r="L253" s="6" t="n">
        <v>0</v>
      </c>
      <c r="M253" s="3" t="s">
        <v>129</v>
      </c>
      <c r="N253" s="4"/>
      <c r="O253" s="4"/>
      <c r="P253" s="4"/>
      <c r="Q253" s="8"/>
      <c r="R253" s="6"/>
      <c r="S253" s="6"/>
      <c r="T253" s="6"/>
      <c r="U253" s="8"/>
      <c r="V253" s="8"/>
      <c r="W253" s="8"/>
      <c r="X253" s="8"/>
      <c r="Y253" s="4"/>
      <c r="Z253" s="8"/>
      <c r="AA253" s="8"/>
      <c r="AB253" s="6"/>
      <c r="AC253" s="6"/>
      <c r="AD253" s="6"/>
      <c r="AE253" s="4"/>
      <c r="AF253" s="8"/>
      <c r="AG253" s="8"/>
      <c r="AI253" s="8"/>
      <c r="AJ253" s="8"/>
      <c r="AK253" s="8"/>
      <c r="AL253" s="8"/>
      <c r="AM253" s="8"/>
      <c r="AN253" s="8"/>
      <c r="AO253" s="8"/>
      <c r="AP253" s="4"/>
      <c r="AQ253" s="4"/>
      <c r="AR253" s="4"/>
      <c r="AS253" s="14"/>
      <c r="AT253" s="8"/>
      <c r="AU253" s="8"/>
      <c r="AV253" s="8"/>
      <c r="AW253" s="8"/>
      <c r="AX253" s="8"/>
      <c r="AY253" s="4"/>
      <c r="AZ253" s="4"/>
      <c r="BA253" s="4"/>
      <c r="BB253" s="4"/>
      <c r="BC253" s="4"/>
    </row>
    <row r="254" customFormat="false" ht="16.9" hidden="false" customHeight="false" outlineLevel="0" collapsed="false">
      <c r="A254" s="11" t="n">
        <v>786</v>
      </c>
      <c r="B254" s="12" t="n">
        <v>44132.4770833333</v>
      </c>
      <c r="C254" s="4" t="n">
        <v>1</v>
      </c>
      <c r="D254" s="4"/>
      <c r="E254" s="4"/>
      <c r="F254" s="4" t="s">
        <v>84</v>
      </c>
      <c r="G254" s="6" t="n">
        <v>40</v>
      </c>
      <c r="H254" s="6" t="n">
        <v>38</v>
      </c>
      <c r="I254" s="6" t="n">
        <v>93</v>
      </c>
      <c r="J254" s="4" t="s">
        <v>111</v>
      </c>
      <c r="K254" s="6" t="n">
        <v>10</v>
      </c>
      <c r="L254" s="6" t="n">
        <v>0</v>
      </c>
      <c r="M254" s="3" t="s">
        <v>129</v>
      </c>
      <c r="N254" s="4" t="s">
        <v>150</v>
      </c>
      <c r="O254" s="4" t="s">
        <v>149</v>
      </c>
      <c r="P254" s="4" t="s">
        <v>154</v>
      </c>
      <c r="Q254" s="8" t="n">
        <v>3.86</v>
      </c>
      <c r="R254" s="6" t="n">
        <v>836</v>
      </c>
      <c r="S254" s="6" t="n">
        <v>13040</v>
      </c>
      <c r="T254" s="6" t="n">
        <f aca="false">S254-R254</f>
        <v>12204</v>
      </c>
      <c r="U254" s="8" t="n">
        <f aca="false">96/60</f>
        <v>1.6</v>
      </c>
      <c r="V254" s="8" t="n">
        <f aca="false">97/60</f>
        <v>1.61666666666667</v>
      </c>
      <c r="W254" s="8" t="n">
        <f aca="false">V254-U254</f>
        <v>0.0166666666666666</v>
      </c>
      <c r="X254" s="8" t="n">
        <f aca="false">Q254/U254</f>
        <v>2.4125</v>
      </c>
      <c r="Y254" s="4" t="n">
        <v>2</v>
      </c>
      <c r="Z254" s="8" t="n">
        <f aca="false">Q254/Y254</f>
        <v>1.93</v>
      </c>
      <c r="AA254" s="8" t="n">
        <f aca="false">24+54/60</f>
        <v>24.9</v>
      </c>
      <c r="AB254" s="6" t="n">
        <v>56</v>
      </c>
      <c r="AC254" s="6" t="n">
        <v>377</v>
      </c>
      <c r="AD254" s="6" t="n">
        <v>86</v>
      </c>
      <c r="AE254" s="4" t="n">
        <v>131</v>
      </c>
      <c r="AF254" s="8" t="n">
        <f aca="false">23+50/60</f>
        <v>23.8333333333333</v>
      </c>
      <c r="AG254" s="8" t="n">
        <f aca="false">23+34/60</f>
        <v>23.5666666666667</v>
      </c>
      <c r="AH254" s="8" t="n">
        <f aca="false">26+22/60</f>
        <v>26.3666666666667</v>
      </c>
      <c r="AI254" s="8" t="n">
        <f aca="false">60/2.3</f>
        <v>26.0869565217391</v>
      </c>
      <c r="AJ254" s="8"/>
      <c r="AK254" s="8"/>
      <c r="AL254" s="8"/>
      <c r="AM254" s="8"/>
      <c r="AN254" s="8"/>
      <c r="AO254" s="8"/>
      <c r="AP254" s="4" t="n">
        <v>0</v>
      </c>
      <c r="AQ254" s="4" t="n">
        <v>0</v>
      </c>
      <c r="AR254" s="4" t="n">
        <v>0</v>
      </c>
      <c r="AS254" s="14" t="n">
        <f aca="false">60*U254-SUM(AT254:AX254)</f>
        <v>67.6533333333333</v>
      </c>
      <c r="AT254" s="8" t="n">
        <f aca="false">26+16/60</f>
        <v>26.2666666666667</v>
      </c>
      <c r="AU254" s="8" t="n">
        <f aca="false">1+54/50</f>
        <v>2.08</v>
      </c>
      <c r="AV254" s="8" t="n">
        <v>0</v>
      </c>
      <c r="AW254" s="8" t="n">
        <v>0</v>
      </c>
      <c r="AX254" s="8" t="n">
        <v>0</v>
      </c>
      <c r="AY254" s="4" t="s">
        <v>59</v>
      </c>
      <c r="AZ254" s="4" t="s">
        <v>60</v>
      </c>
      <c r="BA254" s="4" t="n">
        <v>0</v>
      </c>
      <c r="BB254" s="4"/>
      <c r="BC254" s="4"/>
    </row>
    <row r="255" customFormat="false" ht="16.9" hidden="false" customHeight="false" outlineLevel="0" collapsed="false">
      <c r="A255" s="11" t="n">
        <v>787</v>
      </c>
      <c r="B255" s="12" t="n">
        <v>44133.5270833333</v>
      </c>
      <c r="C255" s="4" t="n">
        <v>1</v>
      </c>
      <c r="D255" s="4"/>
      <c r="E255" s="4"/>
      <c r="F255" s="4" t="s">
        <v>65</v>
      </c>
      <c r="G255" s="6" t="n">
        <v>51</v>
      </c>
      <c r="H255" s="6" t="n">
        <v>41</v>
      </c>
      <c r="I255" s="6" t="n">
        <v>68</v>
      </c>
      <c r="J255" s="4" t="s">
        <v>86</v>
      </c>
      <c r="K255" s="6" t="n">
        <v>16</v>
      </c>
      <c r="L255" s="6" t="n">
        <v>0</v>
      </c>
      <c r="M255" s="3" t="s">
        <v>63</v>
      </c>
      <c r="N255" s="4" t="s">
        <v>150</v>
      </c>
      <c r="O255" s="4" t="s">
        <v>149</v>
      </c>
      <c r="P255" s="4" t="s">
        <v>87</v>
      </c>
      <c r="Q255" s="8" t="n">
        <v>4.5</v>
      </c>
      <c r="R255" s="6" t="n">
        <v>799</v>
      </c>
      <c r="S255" s="6" t="n">
        <v>10170</v>
      </c>
      <c r="T255" s="6" t="n">
        <f aca="false">S255-R255</f>
        <v>9371</v>
      </c>
      <c r="U255" s="8" t="n">
        <f aca="false">75/60</f>
        <v>1.25</v>
      </c>
      <c r="V255" s="8" t="n">
        <f aca="false">75/60</f>
        <v>1.25</v>
      </c>
      <c r="W255" s="8" t="n">
        <f aca="false">V255-U255</f>
        <v>0</v>
      </c>
      <c r="X255" s="8" t="n">
        <f aca="false">Q255/U255</f>
        <v>3.6</v>
      </c>
      <c r="Y255" s="4" t="n">
        <v>1</v>
      </c>
      <c r="Z255" s="8" t="n">
        <f aca="false">Q255/Y255</f>
        <v>4.5</v>
      </c>
      <c r="AA255" s="8" t="n">
        <f aca="false">16+36/60</f>
        <v>16.6</v>
      </c>
      <c r="AB255" s="6" t="n">
        <v>72</v>
      </c>
      <c r="AC255" s="6" t="n">
        <v>471</v>
      </c>
      <c r="AD255" s="6" t="n">
        <v>112</v>
      </c>
      <c r="AE255" s="4" t="n">
        <v>130</v>
      </c>
      <c r="AF255" s="8" t="n">
        <f aca="false">16+4/60</f>
        <v>16.0666666666667</v>
      </c>
      <c r="AG255" s="8" t="n">
        <f aca="false">16+38/60</f>
        <v>16.6333333333333</v>
      </c>
      <c r="AH255" s="8" t="n">
        <f aca="false">16+44/60</f>
        <v>16.7333333333333</v>
      </c>
      <c r="AI255" s="8" t="n">
        <f aca="false">16+40/60</f>
        <v>16.6666666666667</v>
      </c>
      <c r="AJ255" s="8" t="n">
        <f aca="false">60/3.5</f>
        <v>17.1428571428571</v>
      </c>
      <c r="AK255" s="8"/>
      <c r="AL255" s="8"/>
      <c r="AM255" s="8"/>
      <c r="AN255" s="8"/>
      <c r="AO255" s="8"/>
      <c r="AP255" s="4" t="n">
        <v>0</v>
      </c>
      <c r="AQ255" s="4" t="n">
        <v>1</v>
      </c>
      <c r="AR255" s="4" t="n">
        <v>0</v>
      </c>
      <c r="AS255" s="14" t="n">
        <f aca="false">60*U255-SUM(AT255:AX255)</f>
        <v>1</v>
      </c>
      <c r="AT255" s="8" t="n">
        <f aca="false">21+52/60</f>
        <v>21.8666666666667</v>
      </c>
      <c r="AU255" s="8" t="n">
        <f aca="false">50+16/60</f>
        <v>50.2666666666667</v>
      </c>
      <c r="AV255" s="8" t="n">
        <f aca="false">1+52/60</f>
        <v>1.86666666666667</v>
      </c>
      <c r="AW255" s="8" t="n">
        <v>0</v>
      </c>
      <c r="AX255" s="8" t="n">
        <v>0</v>
      </c>
      <c r="AY255" s="4" t="s">
        <v>59</v>
      </c>
      <c r="AZ255" s="4" t="s">
        <v>60</v>
      </c>
      <c r="BA255" s="4" t="n">
        <v>0</v>
      </c>
      <c r="BB255" s="4"/>
      <c r="BC255" s="4"/>
    </row>
    <row r="256" customFormat="false" ht="16.9" hidden="false" customHeight="false" outlineLevel="0" collapsed="false">
      <c r="A256" s="11" t="n">
        <v>788</v>
      </c>
      <c r="B256" s="12" t="n">
        <v>44134.5444444444</v>
      </c>
      <c r="C256" s="4" t="n">
        <v>1</v>
      </c>
      <c r="D256" s="4"/>
      <c r="E256" s="4"/>
      <c r="F256" s="4" t="s">
        <v>54</v>
      </c>
      <c r="G256" s="6" t="n">
        <f aca="false">(61+64)/2</f>
        <v>62.5</v>
      </c>
      <c r="H256" s="6" t="n">
        <v>36</v>
      </c>
      <c r="I256" s="6" t="n">
        <f aca="false">(39+35)/2</f>
        <v>37</v>
      </c>
      <c r="J256" s="4" t="s">
        <v>75</v>
      </c>
      <c r="K256" s="6" t="n">
        <v>0</v>
      </c>
      <c r="L256" s="6" t="n">
        <v>0</v>
      </c>
      <c r="M256" s="3" t="s">
        <v>63</v>
      </c>
      <c r="N256" s="4" t="s">
        <v>150</v>
      </c>
      <c r="O256" s="4" t="s">
        <v>149</v>
      </c>
      <c r="P256" s="4" t="s">
        <v>152</v>
      </c>
      <c r="Q256" s="8" t="n">
        <v>7.66</v>
      </c>
      <c r="R256" s="6" t="n">
        <v>506</v>
      </c>
      <c r="S256" s="6" t="n">
        <v>16909</v>
      </c>
      <c r="T256" s="6" t="n">
        <f aca="false">S256-R256</f>
        <v>16403</v>
      </c>
      <c r="U256" s="8" t="n">
        <f aca="false">128/60</f>
        <v>2.13333333333333</v>
      </c>
      <c r="V256" s="8" t="n">
        <f aca="false">(120+22)/60</f>
        <v>2.36666666666667</v>
      </c>
      <c r="W256" s="8" t="n">
        <f aca="false">V256-U256</f>
        <v>0.233333333333333</v>
      </c>
      <c r="X256" s="8" t="n">
        <f aca="false">Q256/U256</f>
        <v>3.590625</v>
      </c>
      <c r="Y256" s="4" t="n">
        <v>1</v>
      </c>
      <c r="Z256" s="8" t="n">
        <f aca="false">Q256/Y256</f>
        <v>7.66</v>
      </c>
      <c r="AA256" s="8" t="n">
        <f aca="false">16+40/60</f>
        <v>16.6666666666667</v>
      </c>
      <c r="AB256" s="6" t="n">
        <f aca="false">105</f>
        <v>105</v>
      </c>
      <c r="AC256" s="6" t="n">
        <v>813</v>
      </c>
      <c r="AD256" s="6" t="n">
        <v>77</v>
      </c>
      <c r="AE256" s="4" t="n">
        <v>125</v>
      </c>
      <c r="AF256" s="8" t="n">
        <f aca="false">16</f>
        <v>16</v>
      </c>
      <c r="AG256" s="8" t="n">
        <f aca="false">15+50/60</f>
        <v>15.8333333333333</v>
      </c>
      <c r="AH256" s="8" t="n">
        <f aca="false">16+9/60</f>
        <v>16.15</v>
      </c>
      <c r="AI256" s="8" t="n">
        <v>18</v>
      </c>
      <c r="AJ256" s="8" t="n">
        <f aca="false">16+33/60</f>
        <v>16.55</v>
      </c>
      <c r="AK256" s="8" t="n">
        <f aca="false">16.1</f>
        <v>16.1</v>
      </c>
      <c r="AL256" s="8" t="n">
        <f aca="false">17+4/60</f>
        <v>17.0666666666667</v>
      </c>
      <c r="AM256" s="8" t="n">
        <f aca="false">60/3.3</f>
        <v>18.1818181818182</v>
      </c>
      <c r="AN256" s="8"/>
      <c r="AO256" s="8"/>
      <c r="AP256" s="4" t="n">
        <v>0</v>
      </c>
      <c r="AQ256" s="4" t="n">
        <v>0</v>
      </c>
      <c r="AR256" s="4" t="n">
        <v>0</v>
      </c>
      <c r="AS256" s="14" t="n">
        <f aca="false">60*U256-SUM(AT256:AX256)</f>
        <v>110.433333333333</v>
      </c>
      <c r="AT256" s="8" t="n">
        <f aca="false">5+2/60</f>
        <v>5.03333333333333</v>
      </c>
      <c r="AU256" s="8" t="n">
        <f aca="false">12+32/60</f>
        <v>12.5333333333333</v>
      </c>
      <c r="AV256" s="8" t="n">
        <v>0</v>
      </c>
      <c r="AW256" s="8" t="n">
        <v>0</v>
      </c>
      <c r="AX256" s="8" t="n">
        <v>0</v>
      </c>
      <c r="AY256" s="4" t="s">
        <v>59</v>
      </c>
      <c r="AZ256" s="4" t="s">
        <v>60</v>
      </c>
      <c r="BA256" s="4" t="n">
        <v>0</v>
      </c>
      <c r="BB256" s="4"/>
      <c r="BC256" s="4"/>
    </row>
    <row r="257" customFormat="false" ht="16.9" hidden="false" customHeight="false" outlineLevel="0" collapsed="false">
      <c r="A257" s="11" t="n">
        <v>789</v>
      </c>
      <c r="B257" s="12" t="n">
        <v>44135.5472222222</v>
      </c>
      <c r="C257" s="4" t="n">
        <v>1</v>
      </c>
      <c r="D257" s="4"/>
      <c r="E257" s="4"/>
      <c r="F257" s="4" t="s">
        <v>71</v>
      </c>
      <c r="G257" s="6" t="n">
        <f aca="false">(66+68+69)/3</f>
        <v>67.6666666666667</v>
      </c>
      <c r="H257" s="6" t="n">
        <v>44</v>
      </c>
      <c r="I257" s="6" t="n">
        <f aca="false">(45+42+29)/3</f>
        <v>38.6666666666667</v>
      </c>
      <c r="J257" s="6" t="s">
        <v>62</v>
      </c>
      <c r="K257" s="6" t="n">
        <f aca="false">(12+13+9)/3</f>
        <v>11.3333333333333</v>
      </c>
      <c r="L257" s="6" t="n">
        <v>0</v>
      </c>
      <c r="M257" s="3" t="s">
        <v>63</v>
      </c>
      <c r="N257" s="4" t="s">
        <v>150</v>
      </c>
      <c r="O257" s="4" t="s">
        <v>149</v>
      </c>
      <c r="P257" s="4" t="s">
        <v>94</v>
      </c>
      <c r="Q257" s="8" t="n">
        <v>8.67</v>
      </c>
      <c r="R257" s="6" t="n">
        <v>1808</v>
      </c>
      <c r="S257" s="6" t="n">
        <v>19656</v>
      </c>
      <c r="T257" s="6" t="n">
        <f aca="false">S257-R257</f>
        <v>17848</v>
      </c>
      <c r="U257" s="8" t="n">
        <f aca="false">(120+21)/60</f>
        <v>2.35</v>
      </c>
      <c r="V257" s="8" t="n">
        <f aca="false">(120+30)/60</f>
        <v>2.5</v>
      </c>
      <c r="W257" s="8" t="n">
        <f aca="false">V257-U257</f>
        <v>0.15</v>
      </c>
      <c r="X257" s="8" t="n">
        <f aca="false">Q257/U257</f>
        <v>3.68936170212766</v>
      </c>
      <c r="Y257" s="4" t="n">
        <v>1</v>
      </c>
      <c r="Z257" s="8" t="n">
        <f aca="false">Q257/Y257</f>
        <v>8.67</v>
      </c>
      <c r="AA257" s="8" t="n">
        <f aca="false">16+14/60</f>
        <v>16.2333333333333</v>
      </c>
      <c r="AB257" s="6" t="n">
        <v>135</v>
      </c>
      <c r="AC257" s="6" t="n">
        <v>925</v>
      </c>
      <c r="AD257" s="6" t="n">
        <v>120</v>
      </c>
      <c r="AE257" s="4" t="n">
        <v>144</v>
      </c>
      <c r="AF257" s="8" t="n">
        <f aca="false">16+14/60</f>
        <v>16.2333333333333</v>
      </c>
      <c r="AG257" s="8" t="n">
        <f aca="false">15+43/60</f>
        <v>15.7166666666667</v>
      </c>
      <c r="AH257" s="8" t="n">
        <f aca="false">15+56/60</f>
        <v>15.9333333333333</v>
      </c>
      <c r="AI257" s="8" t="n">
        <f aca="false">15+48/60</f>
        <v>15.8</v>
      </c>
      <c r="AJ257" s="8" t="n">
        <f aca="false">16+16/60</f>
        <v>16.2666666666667</v>
      </c>
      <c r="AK257" s="8" t="n">
        <f aca="false">16+40/60</f>
        <v>16.6666666666667</v>
      </c>
      <c r="AL257" s="8" t="n">
        <f aca="false">16+27/60</f>
        <v>16.45</v>
      </c>
      <c r="AM257" s="8" t="n">
        <f aca="false">16+40/60</f>
        <v>16.6666666666667</v>
      </c>
      <c r="AN257" s="8" t="n">
        <f aca="false">60/3.6</f>
        <v>16.6666666666667</v>
      </c>
      <c r="AO257" s="8"/>
      <c r="AP257" s="4" t="n">
        <v>4</v>
      </c>
      <c r="AQ257" s="4" t="n">
        <v>0</v>
      </c>
      <c r="AR257" s="4" t="n">
        <v>0</v>
      </c>
      <c r="AS257" s="14" t="n">
        <f aca="false">60*U257-SUM(AT257:AX257)</f>
        <v>2.83333333333334</v>
      </c>
      <c r="AT257" s="8" t="n">
        <f aca="false">37+59/60</f>
        <v>37.9833333333333</v>
      </c>
      <c r="AU257" s="8" t="n">
        <f aca="false">25+35/60</f>
        <v>25.5833333333333</v>
      </c>
      <c r="AV257" s="8" t="n">
        <f aca="false">74+33/60</f>
        <v>74.55</v>
      </c>
      <c r="AW257" s="8" t="n">
        <f aca="false">3/60</f>
        <v>0.05</v>
      </c>
      <c r="AX257" s="8" t="n">
        <v>0</v>
      </c>
      <c r="AY257" s="4" t="s">
        <v>59</v>
      </c>
      <c r="AZ257" s="4" t="s">
        <v>60</v>
      </c>
      <c r="BA257" s="4" t="n">
        <v>0</v>
      </c>
      <c r="BB257" s="4"/>
      <c r="BC257" s="4"/>
    </row>
    <row r="258" customFormat="false" ht="16.9" hidden="false" customHeight="false" outlineLevel="0" collapsed="false">
      <c r="A258" s="1" t="n">
        <v>790</v>
      </c>
      <c r="B258" s="2" t="n">
        <v>44136.5645833333</v>
      </c>
      <c r="C258" s="3" t="n">
        <v>1</v>
      </c>
      <c r="F258" s="4" t="s">
        <v>54</v>
      </c>
      <c r="G258" s="5" t="n">
        <v>72</v>
      </c>
      <c r="H258" s="5" t="n">
        <v>37</v>
      </c>
      <c r="I258" s="5" t="n">
        <v>28</v>
      </c>
      <c r="J258" s="6" t="s">
        <v>83</v>
      </c>
      <c r="K258" s="5" t="n">
        <v>17</v>
      </c>
      <c r="L258" s="5" t="n">
        <v>29</v>
      </c>
      <c r="M258" s="3" t="s">
        <v>63</v>
      </c>
      <c r="N258" s="3" t="s">
        <v>150</v>
      </c>
      <c r="Q258" s="7" t="n">
        <v>5</v>
      </c>
      <c r="R258" s="5" t="n">
        <v>1405</v>
      </c>
      <c r="S258" s="5" t="n">
        <v>12243</v>
      </c>
      <c r="T258" s="5" t="n">
        <f aca="false">S258-R258</f>
        <v>10838</v>
      </c>
      <c r="U258" s="7" t="n">
        <f aca="false">(60+23)/60</f>
        <v>1.38333333333333</v>
      </c>
      <c r="V258" s="7" t="n">
        <f aca="false">(60+27)/60</f>
        <v>1.45</v>
      </c>
      <c r="W258" s="7" t="n">
        <f aca="false">V258-U258</f>
        <v>0.0666666666666667</v>
      </c>
      <c r="X258" s="7" t="n">
        <f aca="false">Q258/U258</f>
        <v>3.6144578313253</v>
      </c>
      <c r="Y258" s="3" t="n">
        <v>1</v>
      </c>
      <c r="Z258" s="7" t="n">
        <f aca="false">Q258/Y258</f>
        <v>5</v>
      </c>
      <c r="AA258" s="7" t="n">
        <f aca="false">16+36/60</f>
        <v>16.6</v>
      </c>
      <c r="AB258" s="5" t="n">
        <v>121</v>
      </c>
      <c r="AC258" s="5" t="n">
        <v>528</v>
      </c>
      <c r="AD258" s="5" t="n">
        <v>121</v>
      </c>
      <c r="AE258" s="3" t="n">
        <v>142</v>
      </c>
      <c r="AF258" s="7" t="n">
        <f aca="false">16+7/60</f>
        <v>16.1166666666667</v>
      </c>
      <c r="AG258" s="7" t="n">
        <f aca="false">16+27/60</f>
        <v>16.45</v>
      </c>
      <c r="AH258" s="8" t="n">
        <f aca="false">16+53/60</f>
        <v>16.8833333333333</v>
      </c>
      <c r="AI258" s="7" t="n">
        <f aca="false">16+46/60</f>
        <v>16.7666666666667</v>
      </c>
      <c r="AJ258" s="7" t="n">
        <f aca="false">16+45/60</f>
        <v>16.75</v>
      </c>
      <c r="AP258" s="3" t="n">
        <v>2</v>
      </c>
      <c r="AQ258" s="3" t="n">
        <v>0</v>
      </c>
      <c r="AR258" s="3" t="n">
        <v>0</v>
      </c>
      <c r="AS258" s="9" t="n">
        <f aca="false">60*U258-SUM(AT258:AX258)</f>
        <v>4.40000000000001</v>
      </c>
      <c r="AT258" s="7" t="n">
        <f aca="false">14+40/60</f>
        <v>14.6666666666667</v>
      </c>
      <c r="AU258" s="7" t="n">
        <f aca="false">6+53/60</f>
        <v>6.88333333333333</v>
      </c>
      <c r="AV258" s="7" t="n">
        <f aca="false">57+3/60</f>
        <v>57.05</v>
      </c>
      <c r="AW258" s="7" t="n">
        <v>0</v>
      </c>
      <c r="AX258" s="7" t="n">
        <v>0</v>
      </c>
      <c r="AY258" s="3" t="s">
        <v>59</v>
      </c>
      <c r="AZ258" s="3" t="s">
        <v>60</v>
      </c>
      <c r="BA258" s="3" t="n">
        <v>0</v>
      </c>
    </row>
    <row r="259" s="3" customFormat="true" ht="16.9" hidden="false" customHeight="false" outlineLevel="0" collapsed="false">
      <c r="A259" s="1" t="n">
        <v>791</v>
      </c>
      <c r="B259" s="2" t="n">
        <v>44137.4951388889</v>
      </c>
      <c r="C259" s="3" t="n">
        <v>0</v>
      </c>
      <c r="D259" s="3" t="s">
        <v>82</v>
      </c>
      <c r="F259" s="4" t="s">
        <v>120</v>
      </c>
      <c r="G259" s="5" t="n">
        <v>63</v>
      </c>
      <c r="H259" s="5" t="n">
        <v>35</v>
      </c>
      <c r="I259" s="5" t="n">
        <v>34</v>
      </c>
      <c r="J259" s="6" t="s">
        <v>72</v>
      </c>
      <c r="K259" s="5" t="n">
        <v>8</v>
      </c>
      <c r="L259" s="5" t="n">
        <v>0</v>
      </c>
      <c r="M259" s="3" t="s">
        <v>63</v>
      </c>
      <c r="R259" s="1"/>
      <c r="T259" s="1"/>
      <c r="AH259" s="16"/>
      <c r="AMJ259" s="10"/>
    </row>
    <row r="260" customFormat="false" ht="16.9" hidden="false" customHeight="false" outlineLevel="0" collapsed="false">
      <c r="A260" s="1" t="n">
        <v>792</v>
      </c>
      <c r="B260" s="2" t="n">
        <v>44138.4583333333</v>
      </c>
      <c r="C260" s="3" t="n">
        <v>1</v>
      </c>
      <c r="F260" s="4" t="s">
        <v>71</v>
      </c>
      <c r="G260" s="5" t="n">
        <f aca="false">(68+72+75)/3</f>
        <v>71.6666666666667</v>
      </c>
      <c r="H260" s="5" t="n">
        <f aca="false">(38+41+29)/3</f>
        <v>36</v>
      </c>
      <c r="I260" s="5" t="n">
        <f aca="false">(33+33+27)/3</f>
        <v>31</v>
      </c>
      <c r="J260" s="4" t="s">
        <v>80</v>
      </c>
      <c r="K260" s="5" t="n">
        <f aca="false">+(12+6)/2</f>
        <v>9</v>
      </c>
      <c r="L260" s="5" t="n">
        <v>0</v>
      </c>
      <c r="M260" s="3" t="s">
        <v>63</v>
      </c>
      <c r="N260" s="3" t="s">
        <v>150</v>
      </c>
      <c r="O260" s="3" t="s">
        <v>149</v>
      </c>
      <c r="P260" s="3" t="s">
        <v>126</v>
      </c>
      <c r="Q260" s="7" t="n">
        <v>6.32</v>
      </c>
      <c r="R260" s="5" t="n">
        <v>733</v>
      </c>
      <c r="S260" s="5" t="n">
        <v>15083</v>
      </c>
      <c r="T260" s="5" t="n">
        <f aca="false">S260-R260</f>
        <v>14350</v>
      </c>
      <c r="U260" s="7" t="n">
        <f aca="false">(60+55)/60</f>
        <v>1.91666666666667</v>
      </c>
      <c r="V260" s="7" t="n">
        <f aca="false">(120+16)/60</f>
        <v>2.26666666666667</v>
      </c>
      <c r="W260" s="7" t="n">
        <f aca="false">V260-U260</f>
        <v>0.35</v>
      </c>
      <c r="X260" s="7" t="n">
        <f aca="false">Q260/U260</f>
        <v>3.29739130434783</v>
      </c>
      <c r="Y260" s="3" t="n">
        <v>1</v>
      </c>
      <c r="Z260" s="7" t="n">
        <f aca="false">Q260/Y260</f>
        <v>6.32</v>
      </c>
      <c r="AA260" s="7" t="n">
        <f aca="false">18+10/60</f>
        <v>18.1666666666667</v>
      </c>
      <c r="AB260" s="5" t="n">
        <v>131</v>
      </c>
      <c r="AC260" s="5" t="n">
        <v>688</v>
      </c>
      <c r="AD260" s="5" t="n">
        <v>86</v>
      </c>
      <c r="AE260" s="3" t="n">
        <v>119</v>
      </c>
      <c r="AF260" s="7" t="n">
        <f aca="false">16+22/60</f>
        <v>16.3666666666667</v>
      </c>
      <c r="AG260" s="7" t="n">
        <f aca="false">17+10/60</f>
        <v>17.1666666666667</v>
      </c>
      <c r="AH260" s="8" t="n">
        <f aca="false">18+29/60</f>
        <v>18.4833333333333</v>
      </c>
      <c r="AI260" s="7" t="n">
        <f aca="false">19+34/60</f>
        <v>19.5666666666667</v>
      </c>
      <c r="AJ260" s="7" t="n">
        <f aca="false">18+58/60</f>
        <v>18.9666666666667</v>
      </c>
      <c r="AK260" s="7" t="n">
        <f aca="false">18+24/60</f>
        <v>18.4</v>
      </c>
      <c r="AL260" s="7" t="n">
        <f aca="false">60/3.3</f>
        <v>18.1818181818182</v>
      </c>
      <c r="AP260" s="3" t="n">
        <v>7</v>
      </c>
      <c r="AQ260" s="3" t="n">
        <v>0</v>
      </c>
      <c r="AR260" s="3" t="n">
        <v>0</v>
      </c>
      <c r="AS260" s="9" t="n">
        <f aca="false">60*U260-SUM(AT260:AX260)</f>
        <v>58.7333333333333</v>
      </c>
      <c r="AT260" s="7" t="n">
        <f aca="false">54+4/60</f>
        <v>54.0666666666667</v>
      </c>
      <c r="AU260" s="7" t="n">
        <f aca="false">2+12/60</f>
        <v>2.2</v>
      </c>
      <c r="AV260" s="7" t="n">
        <v>0</v>
      </c>
      <c r="AW260" s="7" t="n">
        <v>0</v>
      </c>
      <c r="AX260" s="7" t="n">
        <v>0</v>
      </c>
      <c r="AY260" s="3" t="s">
        <v>59</v>
      </c>
      <c r="AZ260" s="3" t="s">
        <v>60</v>
      </c>
      <c r="BA260" s="3" t="n">
        <v>0</v>
      </c>
    </row>
    <row r="261" customFormat="false" ht="16.9" hidden="false" customHeight="false" outlineLevel="0" collapsed="false">
      <c r="A261" s="1" t="n">
        <v>793</v>
      </c>
      <c r="B261" s="2" t="n">
        <v>44139.6125</v>
      </c>
      <c r="C261" s="3" t="n">
        <v>1</v>
      </c>
      <c r="F261" s="4" t="s">
        <v>71</v>
      </c>
      <c r="G261" s="5" t="n">
        <v>73</v>
      </c>
      <c r="H261" s="5" t="n">
        <v>44</v>
      </c>
      <c r="I261" s="5" t="n">
        <v>35</v>
      </c>
      <c r="J261" s="6" t="s">
        <v>62</v>
      </c>
      <c r="K261" s="5" t="n">
        <v>20</v>
      </c>
      <c r="L261" s="5" t="n">
        <v>25</v>
      </c>
      <c r="M261" s="3" t="s">
        <v>63</v>
      </c>
      <c r="N261" s="3" t="s">
        <v>150</v>
      </c>
      <c r="O261" s="3" t="s">
        <v>149</v>
      </c>
      <c r="P261" s="3" t="s">
        <v>109</v>
      </c>
      <c r="Q261" s="7" t="n">
        <v>4.37</v>
      </c>
      <c r="R261" s="5" t="n">
        <v>1340</v>
      </c>
      <c r="S261" s="5" t="n">
        <v>10172</v>
      </c>
      <c r="T261" s="5" t="n">
        <f aca="false">S261-R261</f>
        <v>8832</v>
      </c>
      <c r="U261" s="7" t="n">
        <f aca="false">70/60</f>
        <v>1.16666666666667</v>
      </c>
      <c r="V261" s="7" t="n">
        <f aca="false">70/60</f>
        <v>1.16666666666667</v>
      </c>
      <c r="W261" s="7" t="n">
        <f aca="false">V261-U261</f>
        <v>0</v>
      </c>
      <c r="X261" s="7" t="n">
        <f aca="false">Q261/U261</f>
        <v>3.74571428571429</v>
      </c>
      <c r="Y261" s="3" t="n">
        <v>4</v>
      </c>
      <c r="Z261" s="7" t="n">
        <f aca="false">Q261/Y261</f>
        <v>1.0925</v>
      </c>
      <c r="AA261" s="7" t="n">
        <f aca="false">15+54/60</f>
        <v>15.9</v>
      </c>
      <c r="AB261" s="5" t="n">
        <v>89</v>
      </c>
      <c r="AC261" s="5" t="n">
        <v>462</v>
      </c>
      <c r="AD261" s="5" t="n">
        <v>85</v>
      </c>
      <c r="AE261" s="3" t="n">
        <f aca="false">127</f>
        <v>127</v>
      </c>
      <c r="AF261" s="7" t="n">
        <f aca="false">15+48/60</f>
        <v>15.8</v>
      </c>
      <c r="AG261" s="7" t="n">
        <f aca="false">15+57/60</f>
        <v>15.95</v>
      </c>
      <c r="AH261" s="8" t="n">
        <f aca="false">15+58/60</f>
        <v>15.9666666666667</v>
      </c>
      <c r="AI261" s="7" t="n">
        <f aca="false">15+50/60</f>
        <v>15.8333333333333</v>
      </c>
      <c r="AJ261" s="7" t="n">
        <f aca="false">60/3.8</f>
        <v>15.7894736842105</v>
      </c>
      <c r="AP261" s="3" t="n">
        <v>0</v>
      </c>
      <c r="AQ261" s="3" t="n">
        <v>0</v>
      </c>
      <c r="AR261" s="3" t="n">
        <v>0</v>
      </c>
      <c r="AS261" s="9" t="n">
        <f aca="false">60*U261-SUM(AT261:AX261)</f>
        <v>57.1666666666667</v>
      </c>
      <c r="AT261" s="7" t="n">
        <f aca="false">10+24/60</f>
        <v>10.4</v>
      </c>
      <c r="AU261" s="7" t="n">
        <f aca="false">2+18/60</f>
        <v>2.3</v>
      </c>
      <c r="AV261" s="7" t="n">
        <f aca="false">8/60</f>
        <v>0.133333333333333</v>
      </c>
      <c r="AW261" s="7" t="n">
        <v>0</v>
      </c>
      <c r="AX261" s="7" t="n">
        <v>0</v>
      </c>
      <c r="AY261" s="3" t="s">
        <v>59</v>
      </c>
      <c r="AZ261" s="3" t="s">
        <v>60</v>
      </c>
      <c r="BA261" s="3" t="n">
        <v>0</v>
      </c>
    </row>
    <row r="262" customFormat="false" ht="16.9" hidden="false" customHeight="false" outlineLevel="0" collapsed="false">
      <c r="A262" s="1" t="n">
        <v>794</v>
      </c>
      <c r="B262" s="2" t="n">
        <v>44140.5020833333</v>
      </c>
      <c r="C262" s="3" t="n">
        <v>1</v>
      </c>
      <c r="F262" s="4" t="s">
        <v>54</v>
      </c>
      <c r="G262" s="5" t="n">
        <v>76</v>
      </c>
      <c r="H262" s="5" t="n">
        <v>60</v>
      </c>
      <c r="I262" s="5" t="n">
        <v>58</v>
      </c>
      <c r="J262" s="4" t="s">
        <v>80</v>
      </c>
      <c r="K262" s="5" t="n">
        <v>17</v>
      </c>
      <c r="L262" s="5" t="n">
        <v>22</v>
      </c>
      <c r="M262" s="3" t="s">
        <v>63</v>
      </c>
      <c r="N262" s="3" t="s">
        <v>150</v>
      </c>
      <c r="O262" s="3" t="s">
        <v>149</v>
      </c>
      <c r="P262" s="3" t="s">
        <v>112</v>
      </c>
      <c r="Q262" s="7" t="n">
        <v>6.28</v>
      </c>
      <c r="T262" s="5" t="n">
        <f aca="false">T246</f>
        <v>14041</v>
      </c>
      <c r="U262" s="7" t="n">
        <f aca="false">(60+44)/60</f>
        <v>1.73333333333333</v>
      </c>
      <c r="V262" s="7" t="n">
        <f aca="false">(60+49)/60</f>
        <v>1.81666666666667</v>
      </c>
      <c r="W262" s="7" t="n">
        <f aca="false">V262-U262</f>
        <v>0.0833333333333333</v>
      </c>
      <c r="X262" s="7" t="n">
        <f aca="false">Q262/U262</f>
        <v>3.62307692307692</v>
      </c>
      <c r="Y262" s="3" t="n">
        <v>1</v>
      </c>
      <c r="Z262" s="7" t="n">
        <f aca="false">Q262/Y262</f>
        <v>6.28</v>
      </c>
      <c r="AA262" s="7" t="n">
        <f aca="false">16+32/60</f>
        <v>16.5333333333333</v>
      </c>
      <c r="AB262" s="5" t="n">
        <v>236</v>
      </c>
      <c r="AC262" s="5" t="n">
        <v>276</v>
      </c>
      <c r="AD262" s="5" t="n">
        <v>73</v>
      </c>
      <c r="AE262" s="3" t="n">
        <v>105</v>
      </c>
      <c r="AF262" s="7" t="n">
        <f aca="false">16+32/60</f>
        <v>16.5333333333333</v>
      </c>
      <c r="AG262" s="7" t="n">
        <f aca="false">16+41/60</f>
        <v>16.6833333333333</v>
      </c>
      <c r="AH262" s="8" t="n">
        <f aca="false">16+39/60</f>
        <v>16.65</v>
      </c>
      <c r="AI262" s="7" t="n">
        <f aca="false">16+59/60</f>
        <v>16.9833333333333</v>
      </c>
      <c r="AJ262" s="7" t="n">
        <f aca="false">16+3/60</f>
        <v>16.05</v>
      </c>
      <c r="AK262" s="7" t="n">
        <f aca="false">16+12/60</f>
        <v>16.2</v>
      </c>
      <c r="AL262" s="7" t="n">
        <f aca="false">60/3.6</f>
        <v>16.6666666666667</v>
      </c>
      <c r="AP262" s="3" t="n">
        <v>0</v>
      </c>
      <c r="AQ262" s="3" t="n">
        <v>0</v>
      </c>
      <c r="AR262" s="3" t="n">
        <v>0</v>
      </c>
      <c r="AS262" s="9" t="n">
        <f aca="false">60*U262-SUM(AT262:AX262)</f>
        <v>96.4666666666667</v>
      </c>
      <c r="AT262" s="7" t="n">
        <f aca="false">7+32/60</f>
        <v>7.53333333333333</v>
      </c>
      <c r="AU262" s="7" t="n">
        <v>0</v>
      </c>
      <c r="AV262" s="7" t="n">
        <v>0</v>
      </c>
      <c r="AW262" s="7" t="n">
        <v>0</v>
      </c>
      <c r="AX262" s="7" t="n">
        <v>0</v>
      </c>
      <c r="AY262" s="3" t="s">
        <v>59</v>
      </c>
      <c r="AZ262" s="3" t="s">
        <v>60</v>
      </c>
      <c r="BA262" s="3" t="n">
        <v>0</v>
      </c>
    </row>
    <row r="263" customFormat="false" ht="16.9" hidden="false" customHeight="false" outlineLevel="0" collapsed="false">
      <c r="A263" s="1" t="n">
        <v>795</v>
      </c>
      <c r="B263" s="2" t="n">
        <v>44141.5145833333</v>
      </c>
      <c r="C263" s="3" t="n">
        <v>1</v>
      </c>
      <c r="F263" s="4" t="s">
        <v>61</v>
      </c>
      <c r="G263" s="5" t="n">
        <v>75</v>
      </c>
      <c r="H263" s="5" t="n">
        <v>59</v>
      </c>
      <c r="I263" s="5" t="n">
        <v>57</v>
      </c>
      <c r="J263" s="4" t="s">
        <v>88</v>
      </c>
      <c r="K263" s="5" t="n">
        <v>12</v>
      </c>
      <c r="L263" s="5" t="n">
        <v>0</v>
      </c>
      <c r="M263" s="3" t="s">
        <v>63</v>
      </c>
      <c r="N263" s="3" t="s">
        <v>150</v>
      </c>
      <c r="O263" s="3" t="s">
        <v>149</v>
      </c>
      <c r="P263" s="3" t="s">
        <v>146</v>
      </c>
      <c r="Q263" s="7" t="n">
        <v>5.47</v>
      </c>
      <c r="R263" s="5" t="n">
        <v>787</v>
      </c>
      <c r="S263" s="5" t="n">
        <v>13490</v>
      </c>
      <c r="T263" s="5" t="n">
        <f aca="false">S263-R263</f>
        <v>12703</v>
      </c>
      <c r="U263" s="7" t="n">
        <f aca="false">(60+47)/60</f>
        <v>1.78333333333333</v>
      </c>
      <c r="V263" s="7" t="n">
        <f aca="false">(60+58)/60</f>
        <v>1.96666666666667</v>
      </c>
      <c r="W263" s="7" t="n">
        <f aca="false">V263-U263</f>
        <v>0.183333333333333</v>
      </c>
      <c r="X263" s="7" t="n">
        <f aca="false">Q263/U263</f>
        <v>3.06728971962617</v>
      </c>
      <c r="Y263" s="3" t="n">
        <v>1</v>
      </c>
      <c r="Z263" s="7" t="n">
        <f aca="false">Q263/Y263</f>
        <v>5.47</v>
      </c>
      <c r="AA263" s="7" t="n">
        <f aca="false">19+37/60</f>
        <v>19.6166666666667</v>
      </c>
      <c r="AB263" s="5" t="n">
        <v>367</v>
      </c>
      <c r="AC263" s="5" t="n">
        <v>621</v>
      </c>
      <c r="AD263" s="5" t="n">
        <v>126</v>
      </c>
      <c r="AE263" s="3" t="n">
        <v>141</v>
      </c>
      <c r="AF263" s="7" t="n">
        <f aca="false">16+40/60</f>
        <v>16.6666666666667</v>
      </c>
      <c r="AG263" s="7" t="n">
        <f aca="false">17+17/60</f>
        <v>17.2833333333333</v>
      </c>
      <c r="AH263" s="8" t="n">
        <f aca="false">24+20/60</f>
        <v>24.3333333333333</v>
      </c>
      <c r="AI263" s="7" t="n">
        <f aca="false">22+34/60</f>
        <v>22.5666666666667</v>
      </c>
      <c r="AJ263" s="7" t="n">
        <f aca="false">17+17/60</f>
        <v>17.2833333333333</v>
      </c>
      <c r="AK263" s="7" t="n">
        <f aca="false">60/3.1</f>
        <v>19.3548387096774</v>
      </c>
      <c r="AP263" s="3" t="n">
        <v>2</v>
      </c>
      <c r="AQ263" s="3" t="n">
        <v>1</v>
      </c>
      <c r="AR263" s="3" t="n">
        <v>0</v>
      </c>
      <c r="AS263" s="9" t="n">
        <v>0</v>
      </c>
      <c r="AT263" s="7" t="n">
        <f aca="false">2+10/60</f>
        <v>2.16666666666667</v>
      </c>
      <c r="AU263" s="7" t="n">
        <f aca="false">46+47/60</f>
        <v>46.7833333333333</v>
      </c>
      <c r="AV263" s="7" t="n">
        <f aca="false">68+26/60</f>
        <v>68.4333333333333</v>
      </c>
      <c r="AW263" s="7" t="n">
        <v>0</v>
      </c>
      <c r="AX263" s="7" t="n">
        <v>0</v>
      </c>
      <c r="AY263" s="3" t="s">
        <v>59</v>
      </c>
      <c r="AZ263" s="3" t="s">
        <v>60</v>
      </c>
      <c r="BA263" s="3" t="n">
        <v>0</v>
      </c>
    </row>
    <row r="264" customFormat="false" ht="16.9" hidden="false" customHeight="false" outlineLevel="0" collapsed="false">
      <c r="A264" s="1" t="n">
        <v>796</v>
      </c>
      <c r="B264" s="2" t="n">
        <v>44142.4847222222</v>
      </c>
      <c r="C264" s="3" t="n">
        <v>1</v>
      </c>
      <c r="F264" s="4" t="s">
        <v>71</v>
      </c>
      <c r="G264" s="5" t="n">
        <v>73</v>
      </c>
      <c r="H264" s="5" t="n">
        <v>54</v>
      </c>
      <c r="I264" s="5" t="n">
        <v>50</v>
      </c>
      <c r="J264" s="6" t="s">
        <v>62</v>
      </c>
      <c r="K264" s="5" t="n">
        <f aca="false">19/2</f>
        <v>9.5</v>
      </c>
      <c r="L264" s="5" t="n">
        <v>0</v>
      </c>
      <c r="M264" s="3" t="s">
        <v>63</v>
      </c>
      <c r="N264" s="3" t="s">
        <v>150</v>
      </c>
      <c r="O264" s="3" t="s">
        <v>149</v>
      </c>
      <c r="P264" s="3" t="s">
        <v>92</v>
      </c>
      <c r="Q264" s="7" t="n">
        <v>4.06</v>
      </c>
      <c r="R264" s="5" t="n">
        <v>1005</v>
      </c>
      <c r="S264" s="5" t="n">
        <v>9998</v>
      </c>
      <c r="T264" s="5" t="n">
        <f aca="false">S264-R264</f>
        <v>8993</v>
      </c>
      <c r="U264" s="7" t="n">
        <f aca="false">73/60</f>
        <v>1.21666666666667</v>
      </c>
      <c r="V264" s="7" t="n">
        <f aca="false">78/60</f>
        <v>1.3</v>
      </c>
      <c r="W264" s="7" t="n">
        <f aca="false">V264-U264</f>
        <v>0.0833333333333335</v>
      </c>
      <c r="X264" s="7" t="n">
        <f aca="false">Q264/U264</f>
        <v>3.33698630136986</v>
      </c>
      <c r="Y264" s="3" t="n">
        <v>2</v>
      </c>
      <c r="Z264" s="7" t="n">
        <f aca="false">Q264/Y264</f>
        <v>2.03</v>
      </c>
      <c r="AA264" s="7" t="n">
        <f aca="false">17+53/60</f>
        <v>17.8833333333333</v>
      </c>
      <c r="AB264" s="5" t="n">
        <v>233</v>
      </c>
      <c r="AC264" s="5" t="n">
        <v>449</v>
      </c>
      <c r="AD264" s="5" t="n">
        <v>111</v>
      </c>
      <c r="AE264" s="3" t="n">
        <v>138</v>
      </c>
      <c r="AF264" s="7" t="n">
        <f aca="false">17+42/60</f>
        <v>17.7</v>
      </c>
      <c r="AG264" s="7" t="n">
        <f aca="false">17+12/60</f>
        <v>17.2</v>
      </c>
      <c r="AH264" s="8" t="n">
        <f aca="false">19+6/60</f>
        <v>19.1</v>
      </c>
      <c r="AI264" s="7" t="n">
        <f aca="false">17+30/60</f>
        <v>17.5</v>
      </c>
      <c r="AJ264" s="7" t="n">
        <f aca="false">60/3.4</f>
        <v>17.6470588235294</v>
      </c>
      <c r="AP264" s="3" t="n">
        <v>2</v>
      </c>
      <c r="AQ264" s="3" t="n">
        <v>0</v>
      </c>
      <c r="AR264" s="3" t="n">
        <v>0</v>
      </c>
      <c r="AS264" s="9" t="n">
        <f aca="false">60*U264-SUM(AT264:AX264)</f>
        <v>1.16666666666666</v>
      </c>
      <c r="AT264" s="7" t="n">
        <f aca="false">33+25/60</f>
        <v>33.4166666666667</v>
      </c>
      <c r="AU264" s="7" t="n">
        <f aca="false">21+48/60</f>
        <v>21.8</v>
      </c>
      <c r="AV264" s="7" t="n">
        <f aca="false">16+37/60</f>
        <v>16.6166666666667</v>
      </c>
      <c r="AW264" s="7" t="n">
        <v>0</v>
      </c>
      <c r="AX264" s="7" t="n">
        <v>0</v>
      </c>
      <c r="AY264" s="3" t="s">
        <v>59</v>
      </c>
      <c r="AZ264" s="3" t="s">
        <v>60</v>
      </c>
      <c r="BA264" s="3" t="n">
        <v>0</v>
      </c>
    </row>
    <row r="265" customFormat="false" ht="16.9" hidden="false" customHeight="false" outlineLevel="0" collapsed="false">
      <c r="A265" s="1" t="n">
        <v>797</v>
      </c>
      <c r="B265" s="2" t="n">
        <v>44143.4847222222</v>
      </c>
      <c r="C265" s="3" t="n">
        <v>1</v>
      </c>
      <c r="F265" s="4" t="s">
        <v>61</v>
      </c>
      <c r="G265" s="5" t="n">
        <v>71</v>
      </c>
      <c r="H265" s="5" t="n">
        <v>61</v>
      </c>
      <c r="I265" s="5" t="n">
        <f aca="false">(73+66)/2</f>
        <v>69.5</v>
      </c>
      <c r="J265" s="4" t="s">
        <v>88</v>
      </c>
      <c r="K265" s="5" t="n">
        <v>16</v>
      </c>
      <c r="L265" s="5" t="n">
        <v>26</v>
      </c>
      <c r="M265" s="3" t="s">
        <v>63</v>
      </c>
      <c r="N265" s="3" t="s">
        <v>150</v>
      </c>
      <c r="O265" s="3" t="s">
        <v>149</v>
      </c>
      <c r="P265" s="17" t="s">
        <v>131</v>
      </c>
      <c r="Q265" s="7" t="n">
        <v>7.27</v>
      </c>
      <c r="R265" s="5" t="n">
        <v>1659</v>
      </c>
      <c r="S265" s="5" t="n">
        <v>17508</v>
      </c>
      <c r="T265" s="5" t="n">
        <f aca="false">S265-R265</f>
        <v>15849</v>
      </c>
      <c r="U265" s="7" t="n">
        <f aca="false">(120+9)/60</f>
        <v>2.15</v>
      </c>
      <c r="V265" s="7" t="n">
        <f aca="false">(120+19)/60</f>
        <v>2.31666666666667</v>
      </c>
      <c r="W265" s="7" t="n">
        <f aca="false">V265-U265</f>
        <v>0.166666666666667</v>
      </c>
      <c r="X265" s="7" t="n">
        <f aca="false">Q265/U265</f>
        <v>3.38139534883721</v>
      </c>
      <c r="Y265" s="3" t="n">
        <v>1</v>
      </c>
      <c r="Z265" s="7" t="n">
        <f aca="false">Q265/Y265</f>
        <v>7.27</v>
      </c>
      <c r="AA265" s="7" t="n">
        <f aca="false">60/X265</f>
        <v>17.7441540577717</v>
      </c>
      <c r="AB265" s="5" t="n">
        <v>295</v>
      </c>
      <c r="AC265" s="5" t="n">
        <v>306</v>
      </c>
      <c r="AD265" s="5" t="n">
        <v>71</v>
      </c>
      <c r="AE265" s="3" t="n">
        <v>115</v>
      </c>
      <c r="AF265" s="7" t="n">
        <f aca="false">17+5/60</f>
        <v>17.0833333333333</v>
      </c>
      <c r="AG265" s="7" t="n">
        <f aca="false">17+37/60</f>
        <v>17.6166666666667</v>
      </c>
      <c r="AH265" s="8" t="n">
        <f aca="false">17+49/60</f>
        <v>17.8166666666667</v>
      </c>
      <c r="AI265" s="7" t="n">
        <f aca="false">18+26/60</f>
        <v>18.4333333333333</v>
      </c>
      <c r="AJ265" s="7" t="n">
        <f aca="false">17+42/60</f>
        <v>17.7</v>
      </c>
      <c r="AK265" s="7" t="n">
        <f aca="false">17+42/60</f>
        <v>17.7</v>
      </c>
      <c r="AL265" s="7" t="n">
        <f aca="false">18+9/60</f>
        <v>18.15</v>
      </c>
      <c r="AP265" s="3" t="n">
        <v>1</v>
      </c>
      <c r="AQ265" s="3" t="n">
        <v>1</v>
      </c>
      <c r="AR265" s="3" t="n">
        <v>0</v>
      </c>
      <c r="AS265" s="9" t="n">
        <f aca="false">60*U265-SUM(AT265:AX265)</f>
        <v>111.416666666667</v>
      </c>
      <c r="AT265" s="7" t="n">
        <f aca="false">15+44/60</f>
        <v>15.7333333333333</v>
      </c>
      <c r="AU265" s="7" t="n">
        <f aca="false">1+51/60</f>
        <v>1.85</v>
      </c>
      <c r="AV265" s="7" t="n">
        <v>0</v>
      </c>
      <c r="AW265" s="7" t="n">
        <v>0</v>
      </c>
      <c r="AX265" s="7" t="n">
        <v>0</v>
      </c>
      <c r="AY265" s="3" t="s">
        <v>59</v>
      </c>
      <c r="AZ265" s="3" t="s">
        <v>60</v>
      </c>
      <c r="BA265" s="3" t="n">
        <v>0</v>
      </c>
    </row>
    <row r="266" customFormat="false" ht="16.9" hidden="false" customHeight="false" outlineLevel="0" collapsed="false">
      <c r="A266" s="1" t="n">
        <v>798</v>
      </c>
      <c r="B266" s="2" t="n">
        <v>44144.6416666667</v>
      </c>
      <c r="C266" s="3" t="n">
        <v>1</v>
      </c>
      <c r="F266" s="4" t="s">
        <v>71</v>
      </c>
      <c r="G266" s="5" t="n">
        <v>79</v>
      </c>
      <c r="H266" s="5" t="n">
        <v>60</v>
      </c>
      <c r="I266" s="5" t="n">
        <v>52</v>
      </c>
      <c r="J266" s="4" t="s">
        <v>88</v>
      </c>
      <c r="K266" s="5" t="n">
        <v>15</v>
      </c>
      <c r="L266" s="5" t="n">
        <v>0</v>
      </c>
      <c r="M266" s="3" t="s">
        <v>63</v>
      </c>
      <c r="N266" s="3" t="s">
        <v>150</v>
      </c>
      <c r="O266" s="3" t="s">
        <v>149</v>
      </c>
      <c r="P266" s="3" t="s">
        <v>155</v>
      </c>
      <c r="Q266" s="7" t="n">
        <v>4.42</v>
      </c>
      <c r="R266" s="5" t="n">
        <v>1308</v>
      </c>
      <c r="U266" s="7" t="n">
        <f aca="false">70/60</f>
        <v>1.16666666666667</v>
      </c>
      <c r="V266" s="7" t="n">
        <f aca="false">70/60</f>
        <v>1.16666666666667</v>
      </c>
      <c r="W266" s="7" t="n">
        <f aca="false">V266-U266</f>
        <v>0</v>
      </c>
      <c r="X266" s="7" t="n">
        <f aca="false">Q266/U266</f>
        <v>3.78857142857143</v>
      </c>
      <c r="Y266" s="3" t="n">
        <v>1</v>
      </c>
      <c r="Z266" s="7" t="n">
        <f aca="false">Q266/Y266</f>
        <v>4.42</v>
      </c>
      <c r="AA266" s="7" t="n">
        <f aca="false">17+46/60</f>
        <v>17.7666666666667</v>
      </c>
      <c r="AB266" s="5" t="n">
        <v>13</v>
      </c>
      <c r="AC266" s="5" t="n">
        <v>460</v>
      </c>
      <c r="AD266" s="5" t="n">
        <v>120</v>
      </c>
      <c r="AE266" s="3" t="n">
        <v>139</v>
      </c>
      <c r="AF266" s="7" t="n">
        <f aca="false">15+54/60</f>
        <v>15.9</v>
      </c>
      <c r="AG266" s="7" t="n">
        <f aca="false">16+25/60</f>
        <v>16.4166666666667</v>
      </c>
      <c r="AH266" s="8" t="n">
        <f aca="false">16+7/60</f>
        <v>16.1166666666667</v>
      </c>
      <c r="AI266" s="7" t="n">
        <f aca="false">15+20/60</f>
        <v>15.3333333333333</v>
      </c>
      <c r="AJ266" s="7" t="n">
        <f aca="false">60/3.7</f>
        <v>16.2162162162162</v>
      </c>
      <c r="AP266" s="3" t="n">
        <v>0</v>
      </c>
      <c r="AQ266" s="3" t="n">
        <v>0</v>
      </c>
      <c r="AR266" s="3" t="n">
        <v>0</v>
      </c>
      <c r="AS266" s="9" t="n">
        <f aca="false">60*U266-SUM(AT266:AX266)</f>
        <v>-0.0033333333333303</v>
      </c>
      <c r="AT266" s="7" t="n">
        <f aca="false">8+30/60</f>
        <v>8.5</v>
      </c>
      <c r="AU266" s="7" t="n">
        <f aca="false">29+26/60</f>
        <v>29.4333333333333</v>
      </c>
      <c r="AV266" s="7" t="n">
        <f aca="false">32.07</f>
        <v>32.07</v>
      </c>
      <c r="AW266" s="7" t="n">
        <v>0</v>
      </c>
      <c r="AX266" s="7" t="n">
        <v>0</v>
      </c>
      <c r="AY266" s="3" t="s">
        <v>59</v>
      </c>
      <c r="AZ266" s="3" t="s">
        <v>60</v>
      </c>
      <c r="BA266" s="3" t="n">
        <v>0</v>
      </c>
    </row>
    <row r="267" customFormat="false" ht="16.9" hidden="false" customHeight="false" outlineLevel="0" collapsed="false">
      <c r="A267" s="1" t="n">
        <v>799</v>
      </c>
      <c r="B267" s="2" t="n">
        <v>44145.5104166667</v>
      </c>
      <c r="C267" s="3" t="n">
        <v>1</v>
      </c>
      <c r="F267" s="4" t="s">
        <v>71</v>
      </c>
      <c r="G267" s="5" t="n">
        <v>72</v>
      </c>
      <c r="H267" s="5" t="n">
        <f aca="false">(36+33)/2</f>
        <v>34.5</v>
      </c>
      <c r="I267" s="5" t="n">
        <f aca="false">(27+24)/2</f>
        <v>25.5</v>
      </c>
      <c r="J267" s="4" t="s">
        <v>132</v>
      </c>
      <c r="K267" s="5" t="n">
        <v>14</v>
      </c>
      <c r="L267" s="5" t="n">
        <v>0</v>
      </c>
      <c r="M267" s="3" t="s">
        <v>63</v>
      </c>
      <c r="N267" s="3" t="s">
        <v>150</v>
      </c>
      <c r="O267" s="3" t="s">
        <v>149</v>
      </c>
      <c r="P267" s="3" t="s">
        <v>152</v>
      </c>
      <c r="Q267" s="7" t="n">
        <v>7.46</v>
      </c>
      <c r="R267" s="5" t="n">
        <v>1334</v>
      </c>
      <c r="S267" s="5" t="n">
        <v>18065</v>
      </c>
      <c r="T267" s="5" t="n">
        <f aca="false">S267-R267</f>
        <v>16731</v>
      </c>
      <c r="U267" s="7" t="n">
        <f aca="false">126/60</f>
        <v>2.1</v>
      </c>
      <c r="V267" s="7" t="n">
        <f aca="false">(120+21)/60</f>
        <v>2.35</v>
      </c>
      <c r="W267" s="7" t="n">
        <f aca="false">V267-U267</f>
        <v>0.25</v>
      </c>
      <c r="X267" s="7" t="n">
        <f aca="false">Q267/U267</f>
        <v>3.55238095238095</v>
      </c>
      <c r="Y267" s="3" t="n">
        <v>1</v>
      </c>
      <c r="Z267" s="7" t="n">
        <f aca="false">Q267/Y267</f>
        <v>7.46</v>
      </c>
      <c r="AA267" s="7" t="n">
        <f aca="false">16+51/60</f>
        <v>16.85</v>
      </c>
      <c r="AB267" s="5" t="n">
        <v>56</v>
      </c>
      <c r="AC267" s="5" t="n">
        <v>795</v>
      </c>
      <c r="AD267" s="5" t="n">
        <v>111</v>
      </c>
      <c r="AE267" s="3" t="n">
        <v>143</v>
      </c>
      <c r="AF267" s="7" t="n">
        <f aca="false">16+39/60</f>
        <v>16.65</v>
      </c>
      <c r="AG267" s="7" t="n">
        <f aca="false">16+25/60</f>
        <v>16.4166666666667</v>
      </c>
      <c r="AH267" s="8" t="n">
        <f aca="false">16+20/60</f>
        <v>16.3333333333333</v>
      </c>
      <c r="AI267" s="7" t="n">
        <f aca="false">18+33/60</f>
        <v>18.55</v>
      </c>
      <c r="AJ267" s="7" t="n">
        <f aca="false">16+18/60</f>
        <v>16.3</v>
      </c>
      <c r="AK267" s="7" t="n">
        <f aca="false">16+2/60</f>
        <v>16.0333333333333</v>
      </c>
      <c r="AL267" s="7" t="n">
        <f aca="false">17+3/60</f>
        <v>17.05</v>
      </c>
      <c r="AM267" s="7" t="n">
        <f aca="false">60/3.3</f>
        <v>18.1818181818182</v>
      </c>
      <c r="AP267" s="3" t="n">
        <v>2</v>
      </c>
      <c r="AQ267" s="3" t="n">
        <v>1</v>
      </c>
      <c r="AR267" s="3" t="n">
        <v>0</v>
      </c>
      <c r="AS267" s="9" t="n">
        <f aca="false">60*U267-SUM(AT267:AX267)</f>
        <v>2.90000000000001</v>
      </c>
      <c r="AT267" s="7" t="n">
        <f aca="false">51+21/60</f>
        <v>51.35</v>
      </c>
      <c r="AU267" s="7" t="n">
        <f aca="false">54+2/60</f>
        <v>54.0333333333333</v>
      </c>
      <c r="AV267" s="7" t="n">
        <f aca="false">17+41/60</f>
        <v>17.6833333333333</v>
      </c>
      <c r="AW267" s="7" t="n">
        <f aca="false">2/60</f>
        <v>0.0333333333333333</v>
      </c>
      <c r="AX267" s="7" t="n">
        <v>0</v>
      </c>
      <c r="AY267" s="3" t="s">
        <v>59</v>
      </c>
      <c r="AZ267" s="3" t="s">
        <v>60</v>
      </c>
      <c r="BA267" s="3" t="n">
        <v>0</v>
      </c>
    </row>
    <row r="268" customFormat="false" ht="16.9" hidden="false" customHeight="false" outlineLevel="0" collapsed="false">
      <c r="A268" s="1" t="n">
        <v>800</v>
      </c>
      <c r="B268" s="2" t="n">
        <v>44146.5520833333</v>
      </c>
      <c r="C268" s="3" t="n">
        <v>1</v>
      </c>
      <c r="F268" s="4" t="s">
        <v>71</v>
      </c>
      <c r="G268" s="5" t="n">
        <v>68</v>
      </c>
      <c r="H268" s="5" t="n">
        <v>39</v>
      </c>
      <c r="I268" s="5" t="n">
        <v>35</v>
      </c>
      <c r="J268" s="6" t="s">
        <v>72</v>
      </c>
      <c r="K268" s="5" t="n">
        <v>5</v>
      </c>
      <c r="L268" s="5" t="n">
        <v>0</v>
      </c>
      <c r="M268" s="3" t="s">
        <v>63</v>
      </c>
      <c r="N268" s="3" t="s">
        <v>150</v>
      </c>
      <c r="O268" s="3" t="s">
        <v>149</v>
      </c>
      <c r="P268" s="3" t="s">
        <v>87</v>
      </c>
      <c r="Q268" s="7" t="n">
        <v>4.44</v>
      </c>
      <c r="R268" s="5" t="n">
        <v>1167</v>
      </c>
      <c r="S268" s="5" t="n">
        <v>10898</v>
      </c>
      <c r="T268" s="5" t="n">
        <f aca="false">S268-R268</f>
        <v>9731</v>
      </c>
      <c r="U268" s="7" t="n">
        <f aca="false">75/60</f>
        <v>1.25</v>
      </c>
      <c r="V268" s="7" t="n">
        <f aca="false">U268</f>
        <v>1.25</v>
      </c>
      <c r="W268" s="7" t="n">
        <f aca="false">V268-U268</f>
        <v>0</v>
      </c>
      <c r="X268" s="7" t="n">
        <f aca="false">Q268/U268</f>
        <v>3.552</v>
      </c>
      <c r="Y268" s="3" t="n">
        <v>1</v>
      </c>
      <c r="Z268" s="7" t="n">
        <f aca="false">Q268/Y268</f>
        <v>4.44</v>
      </c>
      <c r="AA268" s="7" t="n">
        <f aca="false">16+55/60</f>
        <v>16.9166666666667</v>
      </c>
      <c r="AB268" s="5" t="n">
        <v>69</v>
      </c>
      <c r="AC268" s="5" t="n">
        <v>464</v>
      </c>
      <c r="AD268" s="5" t="n">
        <v>111</v>
      </c>
      <c r="AE268" s="3" t="n">
        <v>130</v>
      </c>
      <c r="AF268" s="7" t="n">
        <f aca="false">16+37/60</f>
        <v>16.6166666666667</v>
      </c>
      <c r="AG268" s="7" t="n">
        <f aca="false">16+39/60</f>
        <v>16.65</v>
      </c>
      <c r="AH268" s="8" t="n">
        <f aca="false">17+13/60</f>
        <v>17.2166666666667</v>
      </c>
      <c r="AI268" s="7" t="n">
        <f aca="false">17+2/60</f>
        <v>17.0333333333333</v>
      </c>
      <c r="AJ268" s="7" t="n">
        <f aca="false">60/3.5</f>
        <v>17.1428571428571</v>
      </c>
      <c r="AP268" s="3" t="n">
        <v>0</v>
      </c>
      <c r="AQ268" s="3" t="n">
        <v>1</v>
      </c>
      <c r="AR268" s="3" t="n">
        <v>0</v>
      </c>
      <c r="AS268" s="9" t="n">
        <f aca="false">60*U268-SUM(AT268:AX268)</f>
        <v>0</v>
      </c>
      <c r="AT268" s="7" t="n">
        <f aca="false">27+14/60</f>
        <v>27.2333333333333</v>
      </c>
      <c r="AU268" s="7" t="n">
        <f aca="false">44+4/60</f>
        <v>44.0666666666667</v>
      </c>
      <c r="AV268" s="7" t="n">
        <f aca="false">3+42/60</f>
        <v>3.7</v>
      </c>
      <c r="AW268" s="7" t="n">
        <v>0</v>
      </c>
      <c r="AX268" s="7" t="n">
        <v>0</v>
      </c>
      <c r="AY268" s="3" t="s">
        <v>59</v>
      </c>
      <c r="AZ268" s="3" t="s">
        <v>60</v>
      </c>
      <c r="BA268" s="3" t="n">
        <v>0</v>
      </c>
    </row>
    <row r="269" customFormat="false" ht="16.9" hidden="false" customHeight="false" outlineLevel="0" collapsed="false">
      <c r="A269" s="1" t="n">
        <v>801</v>
      </c>
      <c r="B269" s="2" t="n">
        <v>44147.5770833333</v>
      </c>
      <c r="C269" s="3" t="n">
        <v>1</v>
      </c>
      <c r="F269" s="4" t="s">
        <v>54</v>
      </c>
      <c r="G269" s="5" t="n">
        <f aca="false">(77+80)/2</f>
        <v>78.5</v>
      </c>
      <c r="H269" s="5" t="n">
        <f aca="false">(57+60)/2</f>
        <v>58.5</v>
      </c>
      <c r="I269" s="5" t="n">
        <v>52</v>
      </c>
      <c r="J269" s="6" t="s">
        <v>62</v>
      </c>
      <c r="K269" s="5" t="n">
        <v>14</v>
      </c>
      <c r="L269" s="5" t="n">
        <v>0</v>
      </c>
      <c r="M269" s="3" t="s">
        <v>63</v>
      </c>
      <c r="N269" s="3" t="s">
        <v>150</v>
      </c>
      <c r="O269" s="3" t="s">
        <v>149</v>
      </c>
      <c r="P269" s="3" t="s">
        <v>94</v>
      </c>
      <c r="Q269" s="7" t="n">
        <v>8.09</v>
      </c>
      <c r="R269" s="5" t="n">
        <v>694</v>
      </c>
      <c r="S269" s="5" t="n">
        <v>17715</v>
      </c>
      <c r="T269" s="5" t="n">
        <f aca="false">S269-R269</f>
        <v>17021</v>
      </c>
      <c r="U269" s="7" t="n">
        <v>2.18</v>
      </c>
      <c r="V269" s="7" t="n">
        <v>2.19</v>
      </c>
      <c r="W269" s="7" t="n">
        <f aca="false">V269-U269</f>
        <v>0.00999999999999979</v>
      </c>
      <c r="X269" s="7" t="n">
        <f aca="false">Q269/U269</f>
        <v>3.71100917431193</v>
      </c>
      <c r="Y269" s="3" t="n">
        <v>1</v>
      </c>
      <c r="Z269" s="7" t="n">
        <f aca="false">Q269/Y269</f>
        <v>8.09</v>
      </c>
      <c r="AA269" s="7" t="n">
        <f aca="false">17+2/60</f>
        <v>17.0333333333333</v>
      </c>
      <c r="AB269" s="5" t="n">
        <v>125</v>
      </c>
      <c r="AC269" s="5" t="n">
        <v>843</v>
      </c>
      <c r="AD269" s="5" t="n">
        <v>114</v>
      </c>
      <c r="AE269" s="3" t="n">
        <v>142</v>
      </c>
      <c r="AF269" s="7" t="n">
        <f aca="false">16+6/60</f>
        <v>16.1</v>
      </c>
      <c r="AG269" s="7" t="n">
        <f aca="false">16+43/60</f>
        <v>16.7166666666667</v>
      </c>
      <c r="AH269" s="8" t="n">
        <f aca="false">16+48/60</f>
        <v>16.8</v>
      </c>
      <c r="AI269" s="7" t="n">
        <f aca="false">17+9/60</f>
        <v>17.15</v>
      </c>
      <c r="AJ269" s="7" t="n">
        <f aca="false">17+27/60</f>
        <v>17.45</v>
      </c>
      <c r="AK269" s="7" t="n">
        <f aca="false">17+19/60</f>
        <v>17.3166666666667</v>
      </c>
      <c r="AL269" s="7" t="n">
        <f aca="false">17+44.2/60</f>
        <v>17.7366666666667</v>
      </c>
      <c r="AM269" s="7" t="n">
        <f aca="false">16+55/60</f>
        <v>16.9166666666667</v>
      </c>
      <c r="AN269" s="7" t="n">
        <v>0</v>
      </c>
      <c r="AP269" s="3" t="n">
        <v>3</v>
      </c>
      <c r="AQ269" s="3" t="n">
        <v>0</v>
      </c>
      <c r="AR269" s="3" t="n">
        <v>0</v>
      </c>
      <c r="AS269" s="9" t="n">
        <f aca="false">60*U269-SUM(AT269:AX269)</f>
        <v>15.4833333333334</v>
      </c>
      <c r="AT269" s="7" t="n">
        <f aca="false">33+3/60</f>
        <v>33.05</v>
      </c>
      <c r="AU269" s="7" t="n">
        <f aca="false">15+32/60</f>
        <v>15.5333333333333</v>
      </c>
      <c r="AV269" s="7" t="n">
        <f aca="false">66+44/60</f>
        <v>66.7333333333333</v>
      </c>
      <c r="AW269" s="7" t="n">
        <v>0</v>
      </c>
      <c r="AX269" s="7" t="n">
        <v>0</v>
      </c>
      <c r="AY269" s="3" t="s">
        <v>59</v>
      </c>
      <c r="AZ269" s="3" t="s">
        <v>60</v>
      </c>
      <c r="BA269" s="3" t="n">
        <v>0</v>
      </c>
    </row>
    <row r="270" customFormat="false" ht="14.7" hidden="false" customHeight="true" outlineLevel="0" collapsed="false">
      <c r="A270" s="1" t="n">
        <v>802</v>
      </c>
      <c r="B270" s="2" t="n">
        <v>44148.5597222222</v>
      </c>
      <c r="C270" s="3" t="n">
        <v>1</v>
      </c>
      <c r="F270" s="4" t="s">
        <v>93</v>
      </c>
      <c r="G270" s="5" t="n">
        <v>73</v>
      </c>
      <c r="H270" s="5" t="n">
        <v>54</v>
      </c>
      <c r="I270" s="5" t="n">
        <v>51</v>
      </c>
      <c r="J270" s="4" t="s">
        <v>75</v>
      </c>
      <c r="K270" s="5" t="n">
        <v>0</v>
      </c>
      <c r="L270" s="5" t="n">
        <v>0</v>
      </c>
      <c r="M270" s="3" t="s">
        <v>63</v>
      </c>
      <c r="N270" s="3" t="s">
        <v>150</v>
      </c>
      <c r="O270" s="3" t="s">
        <v>149</v>
      </c>
      <c r="P270" s="3" t="s">
        <v>112</v>
      </c>
      <c r="Q270" s="7" t="n">
        <v>6.32</v>
      </c>
      <c r="R270" s="5" t="n">
        <v>1227</v>
      </c>
      <c r="S270" s="5" t="n">
        <v>14784</v>
      </c>
      <c r="T270" s="5" t="n">
        <f aca="false">S270-R270</f>
        <v>13557</v>
      </c>
      <c r="U270" s="7" t="n">
        <f aca="false">(60+47)/60</f>
        <v>1.78333333333333</v>
      </c>
      <c r="V270" s="7" t="n">
        <f aca="false">(60+58)/60</f>
        <v>1.96666666666667</v>
      </c>
      <c r="W270" s="7" t="n">
        <f aca="false">V270-U270</f>
        <v>0.183333333333333</v>
      </c>
      <c r="X270" s="7" t="n">
        <f aca="false">Q270/U270</f>
        <v>3.54392523364486</v>
      </c>
      <c r="Y270" s="3" t="n">
        <v>1</v>
      </c>
      <c r="Z270" s="7" t="n">
        <f aca="false">Q270/Y270</f>
        <v>6.32</v>
      </c>
      <c r="AA270" s="7" t="n">
        <f aca="false">16+49/60</f>
        <v>16.8166666666667</v>
      </c>
      <c r="AB270" s="5" t="n">
        <v>49</v>
      </c>
      <c r="AC270" s="5" t="n">
        <v>625</v>
      </c>
      <c r="AD270" s="5" t="n">
        <v>108</v>
      </c>
      <c r="AE270" s="3" t="n">
        <v>132</v>
      </c>
      <c r="AF270" s="7" t="n">
        <f aca="false">16+24/60</f>
        <v>16.4</v>
      </c>
      <c r="AG270" s="7" t="n">
        <f aca="false">16+59/60</f>
        <v>16.9833333333333</v>
      </c>
      <c r="AH270" s="8" t="n">
        <f aca="false">16+41/60</f>
        <v>16.6833333333333</v>
      </c>
      <c r="AI270" s="7" t="n">
        <f aca="false">17+53/60</f>
        <v>17.8833333333333</v>
      </c>
      <c r="AJ270" s="7" t="n">
        <f aca="false">16+37/60</f>
        <v>16.6166666666667</v>
      </c>
      <c r="AK270" s="7" t="n">
        <f aca="false">16+19/60</f>
        <v>16.3166666666667</v>
      </c>
      <c r="AL270" s="7" t="n">
        <f aca="false">60/3.6</f>
        <v>16.6666666666667</v>
      </c>
      <c r="AP270" s="3" t="n">
        <v>0</v>
      </c>
      <c r="AQ270" s="3" t="n">
        <v>0</v>
      </c>
      <c r="AR270" s="3" t="n">
        <v>0</v>
      </c>
      <c r="AS270" s="9" t="n">
        <f aca="false">60*U270-SUM(AT270:AX270)</f>
        <v>18.4833333333333</v>
      </c>
      <c r="AT270" s="7" t="n">
        <f aca="false">15+10/60</f>
        <v>15.1666666666667</v>
      </c>
      <c r="AU270" s="7" t="n">
        <f aca="false">65+27/60</f>
        <v>65.45</v>
      </c>
      <c r="AV270" s="7" t="n">
        <f aca="false">7+54/60</f>
        <v>7.9</v>
      </c>
      <c r="AW270" s="7" t="n">
        <v>0</v>
      </c>
      <c r="AX270" s="7" t="n">
        <v>0</v>
      </c>
      <c r="AY270" s="3" t="s">
        <v>59</v>
      </c>
      <c r="AZ270" s="3" t="s">
        <v>60</v>
      </c>
      <c r="BA270" s="3" t="n">
        <v>0</v>
      </c>
    </row>
    <row r="271" customFormat="false" ht="16.9" hidden="false" customHeight="false" outlineLevel="0" collapsed="false">
      <c r="A271" s="1" t="n">
        <v>803</v>
      </c>
      <c r="B271" s="2" t="n">
        <v>44149.5368055556</v>
      </c>
      <c r="C271" s="3" t="n">
        <v>0</v>
      </c>
      <c r="D271" s="3" t="s">
        <v>156</v>
      </c>
      <c r="F271" s="4" t="s">
        <v>61</v>
      </c>
      <c r="G271" s="5" t="n">
        <v>83</v>
      </c>
      <c r="H271" s="5" t="n">
        <v>65</v>
      </c>
      <c r="I271" s="5" t="n">
        <v>54</v>
      </c>
      <c r="J271" s="6" t="s">
        <v>139</v>
      </c>
      <c r="K271" s="5" t="n">
        <v>24</v>
      </c>
      <c r="L271" s="5" t="n">
        <v>38</v>
      </c>
      <c r="M271" s="3" t="s">
        <v>63</v>
      </c>
    </row>
    <row r="272" customFormat="false" ht="16.9" hidden="false" customHeight="false" outlineLevel="0" collapsed="false">
      <c r="A272" s="1" t="n">
        <v>804</v>
      </c>
      <c r="B272" s="2" t="n">
        <v>44150.55</v>
      </c>
      <c r="C272" s="3" t="n">
        <v>1</v>
      </c>
      <c r="F272" s="4" t="s">
        <v>120</v>
      </c>
      <c r="G272" s="5" t="n">
        <v>65</v>
      </c>
      <c r="H272" s="5" t="n">
        <v>19</v>
      </c>
      <c r="I272" s="5" t="n">
        <v>17</v>
      </c>
      <c r="J272" s="6" t="s">
        <v>83</v>
      </c>
      <c r="K272" s="5" t="n">
        <v>15</v>
      </c>
      <c r="L272" s="5" t="n">
        <v>21</v>
      </c>
      <c r="M272" s="3" t="s">
        <v>63</v>
      </c>
      <c r="N272" s="3" t="s">
        <v>150</v>
      </c>
      <c r="O272" s="3" t="s">
        <v>149</v>
      </c>
      <c r="P272" s="3" t="s">
        <v>64</v>
      </c>
      <c r="Q272" s="7" t="n">
        <v>4.67</v>
      </c>
      <c r="R272" s="5" t="n">
        <v>1667</v>
      </c>
      <c r="S272" s="5" t="n">
        <v>10898</v>
      </c>
      <c r="T272" s="5" t="n">
        <f aca="false">S272-R272</f>
        <v>9231</v>
      </c>
      <c r="U272" s="7" t="n">
        <f aca="false">72/60</f>
        <v>1.2</v>
      </c>
      <c r="V272" s="7" t="n">
        <f aca="false">73/60</f>
        <v>1.21666666666667</v>
      </c>
      <c r="W272" s="7" t="n">
        <f aca="false">V272-U272</f>
        <v>0.0166666666666666</v>
      </c>
      <c r="X272" s="7" t="n">
        <f aca="false">Q272/U272</f>
        <v>3.89166666666667</v>
      </c>
      <c r="Y272" s="3" t="n">
        <v>1</v>
      </c>
      <c r="Z272" s="7" t="n">
        <f aca="false">Q272/Y272</f>
        <v>4.67</v>
      </c>
      <c r="AA272" s="7" t="n">
        <f aca="false">15+29/60</f>
        <v>15.4833333333333</v>
      </c>
      <c r="AB272" s="5" t="n">
        <v>105</v>
      </c>
      <c r="AC272" s="5" t="n">
        <v>497</v>
      </c>
      <c r="AD272" s="5" t="n">
        <v>90</v>
      </c>
      <c r="AE272" s="3" t="n">
        <v>110</v>
      </c>
      <c r="AF272" s="7" t="n">
        <f aca="false">15+20/60</f>
        <v>15.3333333333333</v>
      </c>
      <c r="AG272" s="7" t="n">
        <f aca="false">15+34/60</f>
        <v>15.5666666666667</v>
      </c>
      <c r="AH272" s="8" t="n">
        <f aca="false">15+18/60</f>
        <v>15.3</v>
      </c>
      <c r="AI272" s="7" t="n">
        <f aca="false">15+18/60</f>
        <v>15.3</v>
      </c>
      <c r="AJ272" s="3"/>
      <c r="AP272" s="3" t="n">
        <v>0</v>
      </c>
      <c r="AQ272" s="3" t="n">
        <v>0</v>
      </c>
      <c r="AR272" s="3" t="n">
        <v>0</v>
      </c>
      <c r="AS272" s="9" t="n">
        <f aca="false">60*U272-SUM(AT272:AX272)</f>
        <v>47.45</v>
      </c>
      <c r="AT272" s="7" t="n">
        <f aca="false">23+13/60</f>
        <v>23.2166666666667</v>
      </c>
      <c r="AU272" s="7" t="n">
        <f aca="false">1+20/60</f>
        <v>1.33333333333333</v>
      </c>
      <c r="AV272" s="7" t="n">
        <v>0</v>
      </c>
      <c r="AW272" s="7" t="n">
        <v>0</v>
      </c>
      <c r="AX272" s="7" t="n">
        <v>0</v>
      </c>
      <c r="AY272" s="3" t="s">
        <v>59</v>
      </c>
      <c r="AZ272" s="3" t="s">
        <v>60</v>
      </c>
      <c r="BA272" s="3" t="n">
        <v>0</v>
      </c>
    </row>
    <row r="273" customFormat="false" ht="16.9" hidden="false" customHeight="false" outlineLevel="0" collapsed="false">
      <c r="A273" s="1" t="n">
        <v>805</v>
      </c>
      <c r="B273" s="2" t="n">
        <v>44151.5791666667</v>
      </c>
      <c r="C273" s="3" t="n">
        <v>1</v>
      </c>
      <c r="F273" s="4" t="s">
        <v>120</v>
      </c>
      <c r="G273" s="5" t="n">
        <v>68</v>
      </c>
      <c r="H273" s="5" t="n">
        <v>25</v>
      </c>
      <c r="I273" s="5" t="n">
        <f aca="false">(21+18)/2</f>
        <v>19.5</v>
      </c>
      <c r="J273" s="6" t="s">
        <v>55</v>
      </c>
      <c r="K273" s="5" t="n">
        <v>0</v>
      </c>
      <c r="L273" s="5" t="n">
        <v>7</v>
      </c>
      <c r="M273" s="3" t="s">
        <v>63</v>
      </c>
      <c r="N273" s="3" t="s">
        <v>150</v>
      </c>
      <c r="O273" s="3" t="s">
        <v>149</v>
      </c>
      <c r="P273" s="3" t="s">
        <v>126</v>
      </c>
      <c r="Q273" s="7" t="n">
        <v>6.64</v>
      </c>
      <c r="R273" s="5" t="n">
        <v>1659</v>
      </c>
      <c r="S273" s="5" t="n">
        <v>17058</v>
      </c>
      <c r="T273" s="5" t="n">
        <f aca="false">S273-R273</f>
        <v>15399</v>
      </c>
      <c r="U273" s="7" t="n">
        <f aca="false">(60+52)/60</f>
        <v>1.86666666666667</v>
      </c>
      <c r="V273" s="7" t="n">
        <f aca="false">(60+56)/60</f>
        <v>1.93333333333333</v>
      </c>
      <c r="W273" s="7" t="n">
        <f aca="false">V273-U273</f>
        <v>0.0666666666666667</v>
      </c>
      <c r="X273" s="7" t="n">
        <f aca="false">Q273/U273</f>
        <v>3.55714285714286</v>
      </c>
      <c r="Y273" s="3" t="n">
        <v>1</v>
      </c>
      <c r="Z273" s="7" t="n">
        <f aca="false">Q273/Y273</f>
        <v>6.64</v>
      </c>
      <c r="AA273" s="7" t="n">
        <f aca="false">16+50/60</f>
        <v>16.8333333333333</v>
      </c>
      <c r="AB273" s="5" t="n">
        <v>180</v>
      </c>
      <c r="AC273" s="5" t="n">
        <v>701</v>
      </c>
      <c r="AD273" s="5" t="n">
        <v>95</v>
      </c>
      <c r="AE273" s="3" t="n">
        <v>133</v>
      </c>
      <c r="AF273" s="7" t="n">
        <f aca="false">16+15/60</f>
        <v>16.25</v>
      </c>
      <c r="AG273" s="7" t="n">
        <f aca="false">16+14/60</f>
        <v>16.2333333333333</v>
      </c>
      <c r="AH273" s="8" t="n">
        <f aca="false">17+12/60</f>
        <v>17.2</v>
      </c>
      <c r="AI273" s="7" t="n">
        <f aca="false">17+40/60</f>
        <v>17.6666666666667</v>
      </c>
      <c r="AJ273" s="7" t="n">
        <f aca="false">17+8/60</f>
        <v>17.1333333333333</v>
      </c>
      <c r="AK273" s="7" t="n">
        <f aca="false">16+27/60</f>
        <v>16.45</v>
      </c>
      <c r="AL273" s="7" t="n">
        <f aca="false">60/3.6</f>
        <v>16.6666666666667</v>
      </c>
      <c r="AP273" s="3" t="n">
        <v>1</v>
      </c>
      <c r="AQ273" s="3" t="n">
        <v>1</v>
      </c>
      <c r="AR273" s="3" t="n">
        <v>0</v>
      </c>
      <c r="AS273" s="9" t="n">
        <f aca="false">60*U273-SUM(AT273:AX273)</f>
        <v>58.55</v>
      </c>
      <c r="AT273" s="7" t="n">
        <f aca="false">28+31/60</f>
        <v>28.5166666666667</v>
      </c>
      <c r="AU273" s="7" t="n">
        <f aca="false">18+53/60</f>
        <v>18.8833333333333</v>
      </c>
      <c r="AV273" s="7" t="n">
        <f aca="false">6+3/60</f>
        <v>6.05</v>
      </c>
      <c r="AW273" s="7" t="n">
        <v>0</v>
      </c>
      <c r="AX273" s="7" t="n">
        <v>0</v>
      </c>
      <c r="AY273" s="3" t="s">
        <v>59</v>
      </c>
      <c r="AZ273" s="3" t="s">
        <v>60</v>
      </c>
      <c r="BA273" s="3" t="n">
        <v>0</v>
      </c>
    </row>
    <row r="274" customFormat="false" ht="16.9" hidden="false" customHeight="false" outlineLevel="0" collapsed="false">
      <c r="A274" s="1" t="n">
        <v>806</v>
      </c>
      <c r="B274" s="2" t="n">
        <v>44152.6243055556</v>
      </c>
      <c r="C274" s="3" t="n">
        <v>1</v>
      </c>
      <c r="F274" s="4" t="s">
        <v>61</v>
      </c>
      <c r="G274" s="5" t="n">
        <v>77</v>
      </c>
      <c r="H274" s="5" t="n">
        <v>61</v>
      </c>
      <c r="I274" s="5" t="n">
        <v>58</v>
      </c>
      <c r="J274" s="6" t="s">
        <v>62</v>
      </c>
      <c r="K274" s="5" t="n">
        <v>14</v>
      </c>
      <c r="L274" s="5" t="n">
        <v>0</v>
      </c>
      <c r="M274" s="3" t="s">
        <v>63</v>
      </c>
      <c r="N274" s="3" t="s">
        <v>150</v>
      </c>
      <c r="O274" s="3" t="s">
        <v>149</v>
      </c>
      <c r="P274" s="3" t="s">
        <v>155</v>
      </c>
      <c r="Q274" s="7" t="n">
        <v>4.4</v>
      </c>
      <c r="R274" s="5" t="n">
        <v>1181</v>
      </c>
      <c r="S274" s="5" t="n">
        <v>10436</v>
      </c>
      <c r="T274" s="5" t="n">
        <f aca="false">S274-R274</f>
        <v>9255</v>
      </c>
      <c r="U274" s="7" t="n">
        <f aca="false">71/60</f>
        <v>1.18333333333333</v>
      </c>
      <c r="V274" s="7" t="n">
        <f aca="false">87/60</f>
        <v>1.45</v>
      </c>
      <c r="W274" s="7" t="n">
        <f aca="false">V274-U274</f>
        <v>0.266666666666667</v>
      </c>
      <c r="X274" s="7" t="n">
        <f aca="false">Q274/U274</f>
        <v>3.71830985915493</v>
      </c>
      <c r="Y274" s="3" t="n">
        <v>1</v>
      </c>
      <c r="Z274" s="7" t="n">
        <f aca="false">Q274/Y274</f>
        <v>4.4</v>
      </c>
      <c r="AA274" s="7" t="n">
        <f aca="false">16+3/60</f>
        <v>16.05</v>
      </c>
      <c r="AB274" s="5" t="n">
        <v>26</v>
      </c>
      <c r="AC274" s="5" t="n">
        <v>468</v>
      </c>
      <c r="AD274" s="5" t="n">
        <v>116</v>
      </c>
      <c r="AE274" s="3" t="n">
        <v>136</v>
      </c>
      <c r="AF274" s="7" t="n">
        <f aca="false">15+54/60</f>
        <v>15.9</v>
      </c>
      <c r="AG274" s="7" t="n">
        <f aca="false">16+7/60</f>
        <v>16.1166666666667</v>
      </c>
      <c r="AH274" s="8" t="n">
        <f aca="false">16+20/60</f>
        <v>16.3333333333333</v>
      </c>
      <c r="AI274" s="7" t="n">
        <f aca="false">15+28/60</f>
        <v>15.4666666666667</v>
      </c>
      <c r="AJ274" s="7" t="n">
        <f aca="false">60/3.5</f>
        <v>17.1428571428571</v>
      </c>
      <c r="AP274" s="3" t="n">
        <v>3</v>
      </c>
      <c r="AQ274" s="3" t="n">
        <v>0</v>
      </c>
      <c r="AR274" s="3" t="n">
        <v>0</v>
      </c>
      <c r="AS274" s="9" t="n">
        <f aca="false">60*U274-SUM(AT274:AX274)</f>
        <v>1.96666666666667</v>
      </c>
      <c r="AT274" s="7" t="n">
        <f aca="false">7+5/60</f>
        <v>7.08333333333333</v>
      </c>
      <c r="AU274" s="7" t="n">
        <v>49</v>
      </c>
      <c r="AV274" s="7" t="n">
        <f aca="false">12+57/60</f>
        <v>12.95</v>
      </c>
      <c r="AW274" s="7" t="n">
        <v>0</v>
      </c>
      <c r="AX274" s="7" t="n">
        <v>0</v>
      </c>
      <c r="AY274" s="3" t="s">
        <v>59</v>
      </c>
      <c r="AZ274" s="3" t="s">
        <v>60</v>
      </c>
      <c r="BA274" s="3" t="n">
        <v>0</v>
      </c>
    </row>
    <row r="275" customFormat="false" ht="16.9" hidden="false" customHeight="false" outlineLevel="0" collapsed="false">
      <c r="A275" s="1" t="n">
        <v>807</v>
      </c>
      <c r="B275" s="2" t="n">
        <v>44153.4944444445</v>
      </c>
      <c r="C275" s="3" t="n">
        <v>1</v>
      </c>
      <c r="F275" s="4" t="s">
        <v>120</v>
      </c>
      <c r="G275" s="5" t="n">
        <v>69</v>
      </c>
      <c r="H275" s="5" t="n">
        <v>37</v>
      </c>
      <c r="I275" s="5" t="n">
        <v>31</v>
      </c>
      <c r="J275" s="6" t="s">
        <v>62</v>
      </c>
      <c r="K275" s="5" t="n">
        <v>14</v>
      </c>
      <c r="L275" s="5" t="n">
        <v>0</v>
      </c>
      <c r="M275" s="3" t="s">
        <v>63</v>
      </c>
      <c r="N275" s="3" t="s">
        <v>150</v>
      </c>
      <c r="O275" s="3" t="s">
        <v>149</v>
      </c>
      <c r="P275" s="3" t="s">
        <v>152</v>
      </c>
      <c r="Q275" s="7" t="n">
        <v>5.66</v>
      </c>
      <c r="U275" s="7" t="n">
        <f aca="false">96/60</f>
        <v>1.6</v>
      </c>
      <c r="V275" s="7" t="n">
        <f aca="false">(60+52)/60</f>
        <v>1.86666666666667</v>
      </c>
      <c r="W275" s="7" t="n">
        <f aca="false">V275-U275</f>
        <v>0.266666666666667</v>
      </c>
      <c r="X275" s="7" t="n">
        <f aca="false">Q275/U275</f>
        <v>3.5375</v>
      </c>
      <c r="Y275" s="3" t="n">
        <v>1</v>
      </c>
      <c r="Z275" s="7" t="n">
        <f aca="false">Q275/Y275</f>
        <v>5.66</v>
      </c>
      <c r="AA275" s="7" t="n">
        <f aca="false">16+46/60</f>
        <v>16.7666666666667</v>
      </c>
      <c r="AB275" s="5" t="n">
        <v>62</v>
      </c>
      <c r="AC275" s="5" t="n">
        <v>622</v>
      </c>
      <c r="AD275" s="5" t="n">
        <v>126</v>
      </c>
      <c r="AE275" s="3" t="n">
        <v>151</v>
      </c>
      <c r="AF275" s="7" t="n">
        <f aca="false">16+49/60</f>
        <v>16.8166666666667</v>
      </c>
      <c r="AG275" s="7" t="n">
        <f aca="false">15+46/60</f>
        <v>15.7666666666667</v>
      </c>
      <c r="AH275" s="8" t="n">
        <v>17</v>
      </c>
      <c r="AI275" s="7" t="n">
        <f aca="false">16+53/60</f>
        <v>16.8833333333333</v>
      </c>
      <c r="AJ275" s="7" t="n">
        <f aca="false">16+24/60</f>
        <v>16.4</v>
      </c>
      <c r="AK275" s="7" t="n">
        <f aca="false">60/3.3</f>
        <v>18.1818181818182</v>
      </c>
      <c r="AP275" s="3" t="n">
        <v>0</v>
      </c>
      <c r="AQ275" s="3" t="n">
        <v>0</v>
      </c>
      <c r="AR275" s="3" t="n">
        <v>0</v>
      </c>
      <c r="AS275" s="9" t="n">
        <f aca="false">60*U275-SUM(AT275:AX275)</f>
        <v>3.96666666666667</v>
      </c>
      <c r="AT275" s="7" t="n">
        <f aca="false">12+5/60</f>
        <v>12.0833333333333</v>
      </c>
      <c r="AU275" s="7" t="n">
        <f aca="false">17+19/60</f>
        <v>17.3166666666667</v>
      </c>
      <c r="AV275" s="7" t="n">
        <f aca="false">53+10/60</f>
        <v>53.1666666666667</v>
      </c>
      <c r="AW275" s="7" t="n">
        <f aca="false">9+28/60</f>
        <v>9.46666666666667</v>
      </c>
      <c r="AX275" s="7" t="n">
        <v>0</v>
      </c>
      <c r="AY275" s="3" t="s">
        <v>59</v>
      </c>
      <c r="AZ275" s="3" t="s">
        <v>60</v>
      </c>
      <c r="BA275" s="3" t="n">
        <v>0</v>
      </c>
    </row>
    <row r="276" customFormat="false" ht="16.9" hidden="false" customHeight="false" outlineLevel="0" collapsed="false">
      <c r="A276" s="1" t="n">
        <v>808</v>
      </c>
      <c r="B276" s="2" t="n">
        <v>44154.5083333333</v>
      </c>
      <c r="C276" s="3" t="n">
        <v>1</v>
      </c>
      <c r="F276" s="4" t="s">
        <v>54</v>
      </c>
      <c r="G276" s="5" t="n">
        <v>69</v>
      </c>
      <c r="H276" s="5" t="n">
        <v>58</v>
      </c>
      <c r="I276" s="5" t="n">
        <v>68</v>
      </c>
      <c r="J276" s="6" t="s">
        <v>62</v>
      </c>
      <c r="K276" s="5" t="n">
        <v>23</v>
      </c>
      <c r="L276" s="5" t="n">
        <v>30</v>
      </c>
      <c r="M276" s="3" t="s">
        <v>63</v>
      </c>
      <c r="N276" s="3" t="s">
        <v>150</v>
      </c>
      <c r="O276" s="3" t="s">
        <v>149</v>
      </c>
      <c r="P276" s="3" t="s">
        <v>92</v>
      </c>
      <c r="Q276" s="7" t="n">
        <v>4.11</v>
      </c>
      <c r="R276" s="5" t="n">
        <v>1093</v>
      </c>
      <c r="S276" s="5" t="n">
        <v>10235</v>
      </c>
      <c r="T276" s="5" t="n">
        <f aca="false">S276-R276</f>
        <v>9142</v>
      </c>
      <c r="U276" s="7" t="n">
        <f aca="false">75/60</f>
        <v>1.25</v>
      </c>
      <c r="V276" s="7" t="n">
        <f aca="false">(60+23)/60</f>
        <v>1.38333333333333</v>
      </c>
      <c r="W276" s="7" t="n">
        <f aca="false">V276-U276</f>
        <v>0.133333333333333</v>
      </c>
      <c r="X276" s="7" t="n">
        <f aca="false">Q276/U276</f>
        <v>3.288</v>
      </c>
      <c r="Y276" s="3" t="n">
        <v>1</v>
      </c>
      <c r="Z276" s="7" t="n">
        <f aca="false">Q276/Y276</f>
        <v>4.11</v>
      </c>
      <c r="AA276" s="7" t="n">
        <f aca="false">17+51/60</f>
        <v>17.85</v>
      </c>
      <c r="AB276" s="5" t="n">
        <v>246</v>
      </c>
      <c r="AC276" s="5" t="n">
        <v>476</v>
      </c>
      <c r="AD276" s="5" t="n">
        <v>130</v>
      </c>
      <c r="AE276" s="3" t="n">
        <v>149</v>
      </c>
      <c r="AF276" s="7" t="n">
        <f aca="false">16+23/60</f>
        <v>16.3833333333333</v>
      </c>
      <c r="AG276" s="7" t="n">
        <f aca="false">18+15/60</f>
        <v>18.25</v>
      </c>
      <c r="AH276" s="8" t="n">
        <f aca="false">17+26/60</f>
        <v>17.4333333333333</v>
      </c>
      <c r="AI276" s="7" t="n">
        <f aca="false">19+30/60</f>
        <v>19.5</v>
      </c>
      <c r="AJ276" s="7" t="n">
        <f aca="false">60/3.1</f>
        <v>19.3548387096774</v>
      </c>
      <c r="AP276" s="3" t="n">
        <v>3</v>
      </c>
      <c r="AQ276" s="3" t="n">
        <v>0</v>
      </c>
      <c r="AR276" s="3" t="n">
        <v>0</v>
      </c>
      <c r="AS276" s="9" t="n">
        <f aca="false">60*U276-SUM(AT276:AX276)</f>
        <v>0.233333333333334</v>
      </c>
      <c r="AT276" s="7" t="n">
        <f aca="false">1+29/60</f>
        <v>1.48333333333333</v>
      </c>
      <c r="AU276" s="7" t="n">
        <f aca="false">15+24/60</f>
        <v>15.4</v>
      </c>
      <c r="AV276" s="7" t="n">
        <f aca="false">54+5/60</f>
        <v>54.0833333333333</v>
      </c>
      <c r="AW276" s="7" t="n">
        <f aca="false">3+48/60</f>
        <v>3.8</v>
      </c>
      <c r="AX276" s="7" t="n">
        <v>0</v>
      </c>
      <c r="AY276" s="3" t="s">
        <v>59</v>
      </c>
      <c r="AZ276" s="3" t="s">
        <v>60</v>
      </c>
      <c r="BA276" s="3" t="n">
        <v>0</v>
      </c>
    </row>
    <row r="277" customFormat="false" ht="16.9" hidden="false" customHeight="false" outlineLevel="0" collapsed="false">
      <c r="A277" s="1" t="n">
        <v>809</v>
      </c>
      <c r="B277" s="2" t="n">
        <v>44155.5277777778</v>
      </c>
      <c r="C277" s="3" t="n">
        <v>1</v>
      </c>
      <c r="E277" s="3" t="s">
        <v>157</v>
      </c>
      <c r="F277" s="4" t="s">
        <v>61</v>
      </c>
      <c r="G277" s="5" t="n">
        <v>70</v>
      </c>
      <c r="H277" s="5" t="n">
        <v>60</v>
      </c>
      <c r="I277" s="5" t="n">
        <v>71</v>
      </c>
      <c r="J277" s="6" t="s">
        <v>62</v>
      </c>
      <c r="K277" s="5" t="n">
        <v>8</v>
      </c>
      <c r="L277" s="5" t="n">
        <v>18</v>
      </c>
      <c r="M277" s="3" t="s">
        <v>63</v>
      </c>
      <c r="N277" s="3" t="s">
        <v>150</v>
      </c>
      <c r="O277" s="3" t="s">
        <v>149</v>
      </c>
      <c r="P277" s="3" t="s">
        <v>112</v>
      </c>
      <c r="Q277" s="7" t="n">
        <v>6.29</v>
      </c>
      <c r="S277" s="3"/>
      <c r="T277" s="5" t="n">
        <f aca="false">(13392+13353+14484)/3</f>
        <v>13743</v>
      </c>
      <c r="U277" s="7" t="n">
        <f aca="false">(60+48)/60</f>
        <v>1.8</v>
      </c>
      <c r="V277" s="7" t="n">
        <f aca="false">(60+56)/60</f>
        <v>1.93333333333333</v>
      </c>
      <c r="W277" s="7" t="n">
        <f aca="false">V277-U277</f>
        <v>0.133333333333333</v>
      </c>
      <c r="X277" s="7" t="n">
        <f aca="false">Q277/U277</f>
        <v>3.49444444444444</v>
      </c>
      <c r="Y277" s="3" t="n">
        <v>1</v>
      </c>
      <c r="Z277" s="7" t="n">
        <f aca="false">Q277/Y277</f>
        <v>6.29</v>
      </c>
      <c r="AA277" s="7" t="n">
        <f aca="false">17+5/60</f>
        <v>17.0833333333333</v>
      </c>
      <c r="AB277" s="5" t="n">
        <v>128</v>
      </c>
      <c r="AC277" s="5" t="n">
        <v>657</v>
      </c>
      <c r="AD277" s="5" t="n">
        <v>106</v>
      </c>
      <c r="AE277" s="3" t="n">
        <v>130</v>
      </c>
      <c r="AF277" s="7" t="n">
        <f aca="false">16+55/60</f>
        <v>16.9166666666667</v>
      </c>
      <c r="AG277" s="7" t="n">
        <f aca="false">17+17/60</f>
        <v>17.2833333333333</v>
      </c>
      <c r="AH277" s="8" t="n">
        <f aca="false">16+54/60</f>
        <v>16.9</v>
      </c>
      <c r="AI277" s="7" t="n">
        <f aca="false">17+59/60</f>
        <v>17.9833333333333</v>
      </c>
      <c r="AJ277" s="7" t="n">
        <f aca="false">16+41/60</f>
        <v>16.6833333333333</v>
      </c>
      <c r="AK277" s="7" t="n">
        <f aca="false">16+47/60</f>
        <v>16.7833333333333</v>
      </c>
      <c r="AL277" s="7" t="n">
        <f aca="false">60/3.5</f>
        <v>17.1428571428571</v>
      </c>
      <c r="AP277" s="3" t="n">
        <v>2</v>
      </c>
      <c r="AQ277" s="3" t="n">
        <v>0</v>
      </c>
      <c r="AR277" s="3" t="n">
        <v>0</v>
      </c>
      <c r="AS277" s="9" t="n">
        <f aca="false">60*U277-SUM(AT277:AX277)</f>
        <v>6.51666666666667</v>
      </c>
      <c r="AT277" s="7" t="n">
        <f aca="false">55+54/60</f>
        <v>55.9</v>
      </c>
      <c r="AU277" s="7" t="n">
        <f aca="false">40+23/60</f>
        <v>40.3833333333333</v>
      </c>
      <c r="AV277" s="7" t="n">
        <f aca="false">5+12/60</f>
        <v>5.2</v>
      </c>
      <c r="AW277" s="7" t="n">
        <v>0</v>
      </c>
      <c r="AX277" s="7" t="n">
        <v>0</v>
      </c>
      <c r="AY277" s="3" t="s">
        <v>59</v>
      </c>
      <c r="AZ277" s="3" t="s">
        <v>60</v>
      </c>
      <c r="BA277" s="3" t="n">
        <v>0</v>
      </c>
    </row>
    <row r="278" customFormat="false" ht="16.9" hidden="false" customHeight="false" outlineLevel="0" collapsed="false">
      <c r="A278" s="1" t="n">
        <v>810</v>
      </c>
      <c r="B278" s="2" t="n">
        <v>44156.4972222222</v>
      </c>
      <c r="C278" s="3" t="n">
        <v>1</v>
      </c>
      <c r="F278" s="4" t="s">
        <v>93</v>
      </c>
      <c r="G278" s="5" t="n">
        <v>75</v>
      </c>
      <c r="H278" s="5" t="n">
        <v>62</v>
      </c>
      <c r="I278" s="5" t="n">
        <v>64</v>
      </c>
      <c r="J278" s="4" t="s">
        <v>80</v>
      </c>
      <c r="K278" s="5" t="n">
        <v>10</v>
      </c>
      <c r="L278" s="5" t="n">
        <v>0</v>
      </c>
      <c r="M278" s="3" t="s">
        <v>63</v>
      </c>
      <c r="N278" s="3" t="s">
        <v>150</v>
      </c>
      <c r="O278" s="3" t="s">
        <v>149</v>
      </c>
      <c r="P278" s="3" t="s">
        <v>109</v>
      </c>
      <c r="Q278" s="7" t="n">
        <v>4.47</v>
      </c>
      <c r="R278" s="5" t="n">
        <v>626</v>
      </c>
      <c r="S278" s="5" t="n">
        <v>9378</v>
      </c>
      <c r="T278" s="5" t="n">
        <f aca="false">S278-R278</f>
        <v>8752</v>
      </c>
      <c r="U278" s="7" t="n">
        <f aca="false">72/60</f>
        <v>1.2</v>
      </c>
      <c r="V278" s="7" t="n">
        <f aca="false">77/60</f>
        <v>1.28333333333333</v>
      </c>
      <c r="W278" s="7" t="n">
        <f aca="false">V278-U278</f>
        <v>0.0833333333333335</v>
      </c>
      <c r="X278" s="7" t="n">
        <f aca="false">Q278/U278</f>
        <v>3.725</v>
      </c>
      <c r="Y278" s="3" t="n">
        <v>1</v>
      </c>
      <c r="Z278" s="7" t="n">
        <f aca="false">Q278/Y278</f>
        <v>4.47</v>
      </c>
      <c r="AA278" s="7" t="n">
        <f aca="false">16+11/60</f>
        <v>16.1833333333333</v>
      </c>
      <c r="AB278" s="5" t="n">
        <v>69</v>
      </c>
      <c r="AC278" s="5" t="n">
        <v>472</v>
      </c>
      <c r="AD278" s="5" t="n">
        <v>118</v>
      </c>
      <c r="AE278" s="3" t="n">
        <v>131</v>
      </c>
      <c r="AF278" s="7" t="n">
        <f aca="false">15+39/60</f>
        <v>15.65</v>
      </c>
      <c r="AG278" s="7" t="n">
        <f aca="false">16+13/60</f>
        <v>16.2166666666667</v>
      </c>
      <c r="AH278" s="8" t="n">
        <f aca="false">16+18/60</f>
        <v>16.3</v>
      </c>
      <c r="AI278" s="7" t="n">
        <f aca="false">16+50/60</f>
        <v>16.8333333333333</v>
      </c>
      <c r="AJ278" s="7" t="n">
        <f aca="false">60/3.8</f>
        <v>15.7894736842105</v>
      </c>
      <c r="AP278" s="3" t="n">
        <v>1</v>
      </c>
      <c r="AQ278" s="3" t="n">
        <v>0</v>
      </c>
      <c r="AR278" s="3" t="n">
        <v>0</v>
      </c>
      <c r="AS278" s="9" t="n">
        <f aca="false">60*U278-SUM(AT278:AX278)</f>
        <v>0</v>
      </c>
      <c r="AT278" s="7" t="n">
        <f aca="false">9+58/60</f>
        <v>9.96666666666667</v>
      </c>
      <c r="AU278" s="7" t="n">
        <f aca="false">47+36/60</f>
        <v>47.6</v>
      </c>
      <c r="AV278" s="7" t="n">
        <f aca="false">14+26/60</f>
        <v>14.4333333333333</v>
      </c>
      <c r="AW278" s="7" t="n">
        <v>0</v>
      </c>
      <c r="AX278" s="7" t="n">
        <v>0</v>
      </c>
      <c r="AY278" s="3" t="s">
        <v>59</v>
      </c>
      <c r="AZ278" s="3" t="s">
        <v>60</v>
      </c>
      <c r="BA278" s="3" t="n">
        <v>0</v>
      </c>
    </row>
    <row r="279" customFormat="false" ht="16.9" hidden="false" customHeight="false" outlineLevel="0" collapsed="false">
      <c r="A279" s="1" t="n">
        <v>811</v>
      </c>
      <c r="B279" s="2" t="n">
        <v>44157.6263888889</v>
      </c>
      <c r="C279" s="3" t="n">
        <v>1</v>
      </c>
      <c r="F279" s="4" t="s">
        <v>61</v>
      </c>
      <c r="G279" s="5" t="n">
        <v>86</v>
      </c>
      <c r="H279" s="5" t="n">
        <v>58</v>
      </c>
      <c r="I279" s="5" t="n">
        <v>40</v>
      </c>
      <c r="J279" s="6" t="s">
        <v>110</v>
      </c>
      <c r="K279" s="5" t="n">
        <v>10</v>
      </c>
      <c r="L279" s="5" t="n">
        <v>0</v>
      </c>
      <c r="M279" s="3" t="s">
        <v>63</v>
      </c>
      <c r="N279" s="3" t="s">
        <v>150</v>
      </c>
      <c r="O279" s="3" t="s">
        <v>149</v>
      </c>
      <c r="P279" s="3" t="s">
        <v>146</v>
      </c>
      <c r="Q279" s="7" t="n">
        <v>6.36</v>
      </c>
      <c r="R279" s="5" t="n">
        <v>883</v>
      </c>
      <c r="S279" s="5" t="n">
        <v>15080</v>
      </c>
      <c r="T279" s="5" t="n">
        <f aca="false">S279-R279</f>
        <v>14197</v>
      </c>
      <c r="U279" s="7" t="n">
        <f aca="false">(60+58)/60</f>
        <v>1.96666666666667</v>
      </c>
      <c r="V279" s="7" t="n">
        <f aca="false">(122)/60</f>
        <v>2.03333333333333</v>
      </c>
      <c r="W279" s="7" t="n">
        <f aca="false">V279-U279</f>
        <v>0.0666666666666667</v>
      </c>
      <c r="X279" s="7" t="n">
        <f aca="false">Q279/U279</f>
        <v>3.23389830508475</v>
      </c>
      <c r="Y279" s="3" t="n">
        <v>1</v>
      </c>
      <c r="Z279" s="7" t="n">
        <f aca="false">Q279/Y279</f>
        <v>6.36</v>
      </c>
      <c r="AA279" s="7" t="n">
        <f aca="false">18+32/60</f>
        <v>18.5333333333333</v>
      </c>
      <c r="AB279" s="5" t="n">
        <v>285</v>
      </c>
      <c r="AC279" s="5" t="n">
        <v>680</v>
      </c>
      <c r="AD279" s="5" t="n">
        <v>92</v>
      </c>
      <c r="AE279" s="3" t="n">
        <v>112</v>
      </c>
      <c r="AF279" s="7" t="n">
        <f aca="false">16+54/60</f>
        <v>16.9</v>
      </c>
      <c r="AG279" s="7" t="n">
        <f aca="false">17+15/60</f>
        <v>17.25</v>
      </c>
      <c r="AH279" s="8" t="n">
        <f aca="false">20+44/60</f>
        <v>20.7333333333333</v>
      </c>
      <c r="AI279" s="7" t="n">
        <f aca="false">21+48/60</f>
        <v>21.8</v>
      </c>
      <c r="AJ279" s="7" t="n">
        <f aca="false">17+52/60</f>
        <v>17.8666666666667</v>
      </c>
      <c r="AK279" s="7" t="n">
        <f aca="false">17+1/60</f>
        <v>17.0166666666667</v>
      </c>
      <c r="AL279" s="7" t="n">
        <f aca="false">60/3.4</f>
        <v>17.6470588235294</v>
      </c>
      <c r="AP279" s="3" t="n">
        <v>1</v>
      </c>
      <c r="AQ279" s="3" t="n">
        <v>0</v>
      </c>
      <c r="AR279" s="3" t="n">
        <v>0</v>
      </c>
      <c r="AS279" s="9" t="n">
        <f aca="false">60*U279-SUM(AT279:AX279)</f>
        <v>33.2166666666667</v>
      </c>
      <c r="AT279" s="7" t="n">
        <f aca="false">60+21+44/60</f>
        <v>81.7333333333333</v>
      </c>
      <c r="AU279" s="7" t="n">
        <f aca="false">3+3/60</f>
        <v>3.05</v>
      </c>
      <c r="AV279" s="7" t="n">
        <v>0</v>
      </c>
      <c r="AW279" s="7" t="n">
        <v>0</v>
      </c>
      <c r="AX279" s="7" t="n">
        <v>0</v>
      </c>
      <c r="AY279" s="3" t="s">
        <v>59</v>
      </c>
      <c r="AZ279" s="3" t="s">
        <v>60</v>
      </c>
      <c r="BA279" s="3" t="n">
        <v>0</v>
      </c>
    </row>
    <row r="280" customFormat="false" ht="16.9" hidden="false" customHeight="false" outlineLevel="0" collapsed="false">
      <c r="A280" s="1" t="n">
        <v>812</v>
      </c>
      <c r="B280" s="2" t="n">
        <v>44158.4951388889</v>
      </c>
      <c r="C280" s="3" t="n">
        <v>1</v>
      </c>
      <c r="F280" s="4" t="s">
        <v>65</v>
      </c>
      <c r="G280" s="5" t="n">
        <v>58</v>
      </c>
      <c r="H280" s="5" t="n">
        <v>48</v>
      </c>
      <c r="I280" s="5" t="n">
        <v>73</v>
      </c>
      <c r="J280" s="6" t="s">
        <v>108</v>
      </c>
      <c r="K280" s="5" t="n">
        <v>12</v>
      </c>
      <c r="L280" s="5" t="n">
        <v>0</v>
      </c>
      <c r="M280" s="3" t="s">
        <v>63</v>
      </c>
      <c r="N280" s="3" t="s">
        <v>150</v>
      </c>
      <c r="O280" s="3" t="s">
        <v>149</v>
      </c>
      <c r="P280" s="3" t="s">
        <v>87</v>
      </c>
      <c r="Q280" s="7" t="n">
        <v>4.38</v>
      </c>
      <c r="R280" s="5" t="n">
        <v>1482</v>
      </c>
      <c r="S280" s="5" t="n">
        <f aca="false">10732-100</f>
        <v>10632</v>
      </c>
      <c r="T280" s="5" t="n">
        <f aca="false">S280-R280</f>
        <v>9150</v>
      </c>
      <c r="U280" s="7" t="n">
        <f aca="false">74/60</f>
        <v>1.23333333333333</v>
      </c>
      <c r="V280" s="7" t="n">
        <f aca="false">74/60</f>
        <v>1.23333333333333</v>
      </c>
      <c r="W280" s="7" t="n">
        <f aca="false">V280-U280</f>
        <v>0</v>
      </c>
      <c r="X280" s="7" t="n">
        <f aca="false">Q280/U280</f>
        <v>3.55135135135135</v>
      </c>
      <c r="Y280" s="3" t="n">
        <v>1</v>
      </c>
      <c r="Z280" s="7" t="n">
        <f aca="false">Q280/Y280</f>
        <v>4.38</v>
      </c>
      <c r="AA280" s="7" t="n">
        <f aca="false">16+46/60</f>
        <v>16.7666666666667</v>
      </c>
      <c r="AB280" s="5" t="n">
        <v>98</v>
      </c>
      <c r="AC280" s="5" t="n">
        <v>462</v>
      </c>
      <c r="AD280" s="5" t="n">
        <v>110</v>
      </c>
      <c r="AE280" s="3" t="n">
        <v>124</v>
      </c>
      <c r="AF280" s="7" t="n">
        <f aca="false">16+41/60</f>
        <v>16.6833333333333</v>
      </c>
      <c r="AG280" s="7" t="n">
        <f aca="false">16+39/60</f>
        <v>16.65</v>
      </c>
      <c r="AH280" s="8" t="n">
        <f aca="false">16+57/60</f>
        <v>16.95</v>
      </c>
      <c r="AI280" s="7" t="n">
        <f aca="false">16+33/60</f>
        <v>16.55</v>
      </c>
      <c r="AJ280" s="7" t="n">
        <f aca="false">60/3.6</f>
        <v>16.6666666666667</v>
      </c>
      <c r="AP280" s="3" t="n">
        <v>0</v>
      </c>
      <c r="AQ280" s="3" t="n">
        <v>0</v>
      </c>
      <c r="AR280" s="3" t="n">
        <v>0</v>
      </c>
      <c r="AS280" s="9" t="n">
        <f aca="false">60*U280-SUM(AT280:AX280)</f>
        <v>0.550000000000011</v>
      </c>
      <c r="AT280" s="7" t="n">
        <f aca="false">22+39/60</f>
        <v>22.65</v>
      </c>
      <c r="AU280" s="7" t="n">
        <f aca="false">50+48/60</f>
        <v>50.8</v>
      </c>
      <c r="AV280" s="7" t="n">
        <v>0</v>
      </c>
      <c r="AW280" s="7" t="n">
        <v>0</v>
      </c>
      <c r="AX280" s="7" t="n">
        <v>0</v>
      </c>
      <c r="AY280" s="3" t="s">
        <v>59</v>
      </c>
      <c r="AZ280" s="3" t="s">
        <v>60</v>
      </c>
      <c r="BA280" s="3" t="n">
        <v>0</v>
      </c>
    </row>
    <row r="281" customFormat="false" ht="16.9" hidden="false" customHeight="false" outlineLevel="0" collapsed="false">
      <c r="A281" s="1" t="n">
        <v>813</v>
      </c>
      <c r="B281" s="2" t="n">
        <v>44159.4951388889</v>
      </c>
      <c r="C281" s="3" t="n">
        <v>0</v>
      </c>
      <c r="D281" s="3" t="s">
        <v>79</v>
      </c>
      <c r="F281" s="4" t="s">
        <v>61</v>
      </c>
      <c r="G281" s="5" t="n">
        <v>55</v>
      </c>
      <c r="H281" s="5" t="n">
        <v>46</v>
      </c>
      <c r="I281" s="5" t="n">
        <v>72</v>
      </c>
      <c r="J281" s="6" t="s">
        <v>130</v>
      </c>
      <c r="K281" s="5" t="n">
        <v>10</v>
      </c>
      <c r="L281" s="5" t="n">
        <v>0</v>
      </c>
      <c r="M281" s="3" t="s">
        <v>63</v>
      </c>
    </row>
    <row r="282" customFormat="false" ht="16.9" hidden="false" customHeight="false" outlineLevel="0" collapsed="false">
      <c r="A282" s="1" t="n">
        <v>814</v>
      </c>
      <c r="B282" s="2" t="n">
        <v>44160.5208333333</v>
      </c>
      <c r="C282" s="3" t="n">
        <v>1</v>
      </c>
      <c r="F282" s="4" t="s">
        <v>71</v>
      </c>
      <c r="G282" s="5" t="n">
        <v>61</v>
      </c>
      <c r="H282" s="5" t="n">
        <v>31</v>
      </c>
      <c r="I282" s="5" t="n">
        <v>32</v>
      </c>
      <c r="J282" s="6" t="s">
        <v>158</v>
      </c>
      <c r="K282" s="5" t="n">
        <v>10</v>
      </c>
      <c r="L282" s="5" t="n">
        <v>0</v>
      </c>
      <c r="M282" s="3" t="s">
        <v>63</v>
      </c>
      <c r="N282" s="3" t="s">
        <v>150</v>
      </c>
      <c r="O282" s="3" t="s">
        <v>149</v>
      </c>
      <c r="P282" s="3" t="s">
        <v>94</v>
      </c>
      <c r="Q282" s="7" t="n">
        <v>8.14</v>
      </c>
      <c r="R282" s="5" t="n">
        <v>1555</v>
      </c>
      <c r="S282" s="5" t="n">
        <v>18259</v>
      </c>
      <c r="T282" s="5" t="n">
        <f aca="false">S282-R282</f>
        <v>16704</v>
      </c>
      <c r="U282" s="7" t="n">
        <f aca="false">(120+13)/60</f>
        <v>2.21666666666667</v>
      </c>
      <c r="V282" s="7" t="n">
        <f aca="false">(120+24)/60</f>
        <v>2.4</v>
      </c>
      <c r="W282" s="7" t="n">
        <f aca="false">V282-U282</f>
        <v>0.183333333333333</v>
      </c>
      <c r="X282" s="7" t="n">
        <f aca="false">Q282/U282</f>
        <v>3.67218045112782</v>
      </c>
      <c r="Y282" s="3" t="n">
        <v>1</v>
      </c>
      <c r="Z282" s="7" t="n">
        <f aca="false">Q282/Y282</f>
        <v>8.14</v>
      </c>
      <c r="AA282" s="7" t="n">
        <f aca="false">16+20/60</f>
        <v>16.3333333333333</v>
      </c>
      <c r="AB282" s="5" t="n">
        <v>89</v>
      </c>
      <c r="AC282" s="5" t="n">
        <v>859</v>
      </c>
      <c r="AD282" s="5" t="n">
        <v>85</v>
      </c>
      <c r="AE282" s="3" t="n">
        <v>111</v>
      </c>
      <c r="AF282" s="7" t="n">
        <f aca="false">15+58/60</f>
        <v>15.9666666666667</v>
      </c>
      <c r="AG282" s="7" t="n">
        <f aca="false">16+16/60</f>
        <v>16.2666666666667</v>
      </c>
      <c r="AH282" s="8" t="n">
        <f aca="false">16+9/60</f>
        <v>16.15</v>
      </c>
      <c r="AI282" s="7" t="n">
        <f aca="false">16+46/60</f>
        <v>16.7666666666667</v>
      </c>
      <c r="AJ282" s="7" t="n">
        <f aca="false">17+1/60</f>
        <v>17.0166666666667</v>
      </c>
      <c r="AK282" s="7" t="n">
        <f aca="false">16+14/60</f>
        <v>16.2333333333333</v>
      </c>
      <c r="AL282" s="7" t="n">
        <f aca="false">16+35/60</f>
        <v>16.5833333333333</v>
      </c>
      <c r="AM282" s="7" t="n">
        <f aca="false">15+44/60</f>
        <v>15.7333333333333</v>
      </c>
      <c r="AN282" s="7" t="n">
        <f aca="false">60/3.7</f>
        <v>16.2162162162162</v>
      </c>
      <c r="AP282" s="3" t="n">
        <v>3</v>
      </c>
      <c r="AQ282" s="3" t="n">
        <v>0</v>
      </c>
      <c r="AR282" s="3" t="n">
        <v>0</v>
      </c>
      <c r="AS282" s="9" t="n">
        <f aca="false">60*U282-SUM(AT282:AX282)</f>
        <v>66.4833333333333</v>
      </c>
      <c r="AT282" s="7" t="n">
        <f aca="false">66+12/60</f>
        <v>66.2</v>
      </c>
      <c r="AU282" s="7" t="n">
        <f aca="false">19/60</f>
        <v>0.316666666666667</v>
      </c>
      <c r="AV282" s="7" t="n">
        <v>0</v>
      </c>
      <c r="AW282" s="7" t="n">
        <v>0</v>
      </c>
      <c r="AX282" s="7" t="n">
        <v>0</v>
      </c>
      <c r="AY282" s="3" t="s">
        <v>59</v>
      </c>
      <c r="AZ282" s="3" t="s">
        <v>60</v>
      </c>
      <c r="BA282" s="3" t="n">
        <v>0</v>
      </c>
    </row>
    <row r="283" customFormat="false" ht="16.9" hidden="false" customHeight="false" outlineLevel="0" collapsed="false">
      <c r="A283" s="1" t="n">
        <v>815</v>
      </c>
      <c r="B283" s="2" t="n">
        <v>44161.4951388889</v>
      </c>
      <c r="C283" s="3" t="n">
        <v>0</v>
      </c>
      <c r="D283" s="3" t="s">
        <v>122</v>
      </c>
      <c r="F283" s="4" t="s">
        <v>159</v>
      </c>
      <c r="G283" s="5" t="n">
        <v>69</v>
      </c>
      <c r="H283" s="5" t="n">
        <v>37</v>
      </c>
      <c r="I283" s="5" t="n">
        <v>31</v>
      </c>
      <c r="J283" s="6" t="s">
        <v>62</v>
      </c>
      <c r="K283" s="5" t="n">
        <v>14</v>
      </c>
      <c r="L283" s="5" t="n">
        <v>0</v>
      </c>
      <c r="M283" s="3" t="s">
        <v>63</v>
      </c>
    </row>
    <row r="284" customFormat="false" ht="16.9" hidden="false" customHeight="false" outlineLevel="0" collapsed="false">
      <c r="A284" s="1" t="n">
        <v>816</v>
      </c>
      <c r="B284" s="2" t="n">
        <v>44162.4805555556</v>
      </c>
      <c r="C284" s="3" t="n">
        <v>1</v>
      </c>
      <c r="F284" s="4" t="s">
        <v>61</v>
      </c>
      <c r="G284" s="5" t="n">
        <v>59</v>
      </c>
      <c r="H284" s="5" t="n">
        <v>41</v>
      </c>
      <c r="I284" s="5" t="n">
        <v>51</v>
      </c>
      <c r="J284" s="6" t="s">
        <v>83</v>
      </c>
      <c r="K284" s="5" t="n">
        <v>16</v>
      </c>
      <c r="L284" s="5" t="n">
        <v>0</v>
      </c>
      <c r="M284" s="3" t="s">
        <v>129</v>
      </c>
      <c r="N284" s="3" t="s">
        <v>150</v>
      </c>
      <c r="O284" s="3" t="s">
        <v>160</v>
      </c>
      <c r="P284" s="3" t="s">
        <v>87</v>
      </c>
      <c r="Q284" s="7" t="n">
        <v>4.47</v>
      </c>
      <c r="R284" s="5" t="n">
        <v>685</v>
      </c>
      <c r="S284" s="5" t="n">
        <v>10066</v>
      </c>
      <c r="T284" s="5" t="n">
        <f aca="false">S284-R284</f>
        <v>9381</v>
      </c>
      <c r="U284" s="7" t="n">
        <f aca="false">76/60</f>
        <v>1.26666666666667</v>
      </c>
      <c r="V284" s="7" t="n">
        <f aca="false">79/60</f>
        <v>1.31666666666667</v>
      </c>
      <c r="W284" s="7" t="n">
        <f aca="false">V284-U284</f>
        <v>0.05</v>
      </c>
      <c r="X284" s="7" t="n">
        <f aca="false">Q284/U284</f>
        <v>3.52894736842105</v>
      </c>
      <c r="Y284" s="3" t="n">
        <v>1</v>
      </c>
      <c r="Z284" s="7" t="n">
        <f aca="false">Q284/Y284</f>
        <v>4.47</v>
      </c>
      <c r="AA284" s="7" t="n">
        <f aca="false">16+59/60</f>
        <v>16.9833333333333</v>
      </c>
      <c r="AB284" s="5" t="n">
        <v>98</v>
      </c>
      <c r="AC284" s="5" t="n">
        <v>465</v>
      </c>
      <c r="AD284" s="5" t="n">
        <v>98</v>
      </c>
      <c r="AE284" s="3" t="n">
        <v>106</v>
      </c>
      <c r="AF284" s="7" t="n">
        <f aca="false">16+24/60</f>
        <v>16.4</v>
      </c>
      <c r="AG284" s="7" t="n">
        <f aca="false">16+50/60</f>
        <v>16.8333333333333</v>
      </c>
      <c r="AH284" s="8" t="n">
        <f aca="false">17+21/60</f>
        <v>17.35</v>
      </c>
      <c r="AI284" s="7" t="n">
        <f aca="false">16+59/60</f>
        <v>16.9833333333333</v>
      </c>
      <c r="AJ284" s="7" t="n">
        <f aca="false">60/3.5</f>
        <v>17.1428571428571</v>
      </c>
      <c r="AP284" s="3" t="n">
        <v>0</v>
      </c>
      <c r="AQ284" s="3" t="n">
        <v>0</v>
      </c>
      <c r="AR284" s="3" t="n">
        <v>0</v>
      </c>
      <c r="AS284" s="9" t="n">
        <f aca="false">60*U284-SUM(AT284:AX284)</f>
        <v>28.4333333333333</v>
      </c>
      <c r="AT284" s="7" t="n">
        <f aca="false">47+33/60</f>
        <v>47.55</v>
      </c>
      <c r="AU284" s="7" t="n">
        <f aca="false">1/60</f>
        <v>0.0166666666666667</v>
      </c>
      <c r="AV284" s="7" t="n">
        <v>0</v>
      </c>
      <c r="AW284" s="7" t="n">
        <v>0</v>
      </c>
      <c r="AX284" s="7" t="n">
        <v>0</v>
      </c>
      <c r="AY284" s="3" t="s">
        <v>59</v>
      </c>
      <c r="AZ284" s="3" t="s">
        <v>60</v>
      </c>
      <c r="BA284" s="3" t="n">
        <v>0</v>
      </c>
    </row>
    <row r="285" customFormat="false" ht="16.9" hidden="false" customHeight="false" outlineLevel="0" collapsed="false">
      <c r="A285" s="1" t="n">
        <v>817</v>
      </c>
      <c r="B285" s="2" t="n">
        <v>44163.4951388889</v>
      </c>
      <c r="C285" s="3" t="n">
        <v>0</v>
      </c>
      <c r="D285" s="3" t="s">
        <v>95</v>
      </c>
      <c r="F285" s="4" t="s">
        <v>65</v>
      </c>
      <c r="G285" s="5" t="n">
        <v>57</v>
      </c>
      <c r="H285" s="5" t="n">
        <v>47</v>
      </c>
      <c r="I285" s="5" t="n">
        <v>62</v>
      </c>
      <c r="J285" s="6" t="s">
        <v>101</v>
      </c>
      <c r="K285" s="5" t="n">
        <v>12</v>
      </c>
      <c r="L285" s="5" t="n">
        <v>0</v>
      </c>
      <c r="M285" s="3" t="s">
        <v>129</v>
      </c>
    </row>
    <row r="286" customFormat="false" ht="16.9" hidden="false" customHeight="false" outlineLevel="0" collapsed="false">
      <c r="A286" s="1" t="n">
        <v>818</v>
      </c>
      <c r="B286" s="2" t="n">
        <v>44164.4951388889</v>
      </c>
      <c r="C286" s="3" t="n">
        <v>0</v>
      </c>
      <c r="D286" s="3" t="s">
        <v>95</v>
      </c>
      <c r="F286" s="4" t="s">
        <v>90</v>
      </c>
      <c r="G286" s="5" t="n">
        <v>48</v>
      </c>
      <c r="H286" s="5" t="n">
        <v>43</v>
      </c>
      <c r="I286" s="5" t="n">
        <v>86</v>
      </c>
      <c r="J286" s="4" t="s">
        <v>86</v>
      </c>
      <c r="K286" s="5" t="n">
        <v>17</v>
      </c>
      <c r="L286" s="5" t="n">
        <v>0</v>
      </c>
      <c r="M286" s="3" t="s">
        <v>129</v>
      </c>
    </row>
    <row r="287" customFormat="false" ht="16.9" hidden="false" customHeight="false" outlineLevel="0" collapsed="false">
      <c r="A287" s="1" t="n">
        <v>819</v>
      </c>
      <c r="B287" s="2" t="n">
        <v>44165.5972222222</v>
      </c>
      <c r="C287" s="3" t="n">
        <v>1</v>
      </c>
      <c r="F287" s="4" t="s">
        <v>120</v>
      </c>
      <c r="G287" s="5" t="n">
        <v>50</v>
      </c>
      <c r="H287" s="5" t="n">
        <v>18</v>
      </c>
      <c r="I287" s="5" t="n">
        <v>27</v>
      </c>
      <c r="J287" s="6" t="s">
        <v>68</v>
      </c>
      <c r="K287" s="5" t="n">
        <v>8</v>
      </c>
      <c r="L287" s="5" t="n">
        <v>0</v>
      </c>
      <c r="M287" s="3" t="s">
        <v>63</v>
      </c>
      <c r="N287" s="3" t="s">
        <v>150</v>
      </c>
      <c r="O287" s="3" t="s">
        <v>160</v>
      </c>
      <c r="P287" s="3" t="s">
        <v>92</v>
      </c>
      <c r="Q287" s="7" t="n">
        <v>4.09</v>
      </c>
      <c r="R287" s="5" t="n">
        <v>987</v>
      </c>
      <c r="S287" s="5" t="n">
        <v>9852</v>
      </c>
      <c r="T287" s="5" t="n">
        <f aca="false">S287-R287</f>
        <v>8865</v>
      </c>
      <c r="U287" s="7" t="n">
        <f aca="false">71/60</f>
        <v>1.18333333333333</v>
      </c>
      <c r="V287" s="7" t="n">
        <f aca="false">71/60</f>
        <v>1.18333333333333</v>
      </c>
      <c r="W287" s="7" t="n">
        <f aca="false">V287-U287</f>
        <v>0</v>
      </c>
      <c r="X287" s="7" t="n">
        <f aca="false">Q287/U287</f>
        <v>3.45633802816901</v>
      </c>
      <c r="Y287" s="3" t="n">
        <v>2</v>
      </c>
      <c r="Z287" s="7" t="n">
        <f aca="false">Q287/Y287</f>
        <v>2.045</v>
      </c>
      <c r="AA287" s="7" t="n">
        <f aca="false">17+18/60</f>
        <v>17.3</v>
      </c>
      <c r="AB287" s="5" t="n">
        <v>259</v>
      </c>
      <c r="AC287" s="5" t="n">
        <v>445</v>
      </c>
      <c r="AD287" s="5" t="n">
        <v>91</v>
      </c>
      <c r="AE287" s="3" t="n">
        <v>117</v>
      </c>
      <c r="AF287" s="7" t="n">
        <f aca="false">16+46/60</f>
        <v>16.7666666666667</v>
      </c>
      <c r="AG287" s="7" t="n">
        <f aca="false">17+24/60</f>
        <v>17.4</v>
      </c>
      <c r="AH287" s="8" t="n">
        <f aca="false">18+8/60</f>
        <v>18.1333333333333</v>
      </c>
      <c r="AI287" s="7" t="n">
        <f aca="false">17+57/60</f>
        <v>17.95</v>
      </c>
      <c r="AJ287" s="7" t="n">
        <f aca="false">60/3.5</f>
        <v>17.1428571428571</v>
      </c>
      <c r="AP287" s="3" t="n">
        <v>0</v>
      </c>
      <c r="AQ287" s="3" t="n">
        <v>0</v>
      </c>
      <c r="AR287" s="3" t="n">
        <v>0</v>
      </c>
      <c r="AS287" s="9" t="n">
        <f aca="false">60*U287-SUM(AT287:AX287)</f>
        <v>32.0833333333333</v>
      </c>
      <c r="AT287" s="7" t="n">
        <f aca="false">35+15/60</f>
        <v>35.25</v>
      </c>
      <c r="AU287" s="7" t="n">
        <f aca="false">3+40/60</f>
        <v>3.66666666666667</v>
      </c>
      <c r="AV287" s="7" t="n">
        <v>0</v>
      </c>
      <c r="AW287" s="7" t="n">
        <v>0</v>
      </c>
      <c r="AX287" s="7" t="n">
        <v>0</v>
      </c>
      <c r="AY287" s="3" t="s">
        <v>59</v>
      </c>
      <c r="AZ287" s="3" t="s">
        <v>60</v>
      </c>
      <c r="BA287" s="3" t="n">
        <v>0</v>
      </c>
    </row>
    <row r="288" customFormat="false" ht="16.9" hidden="false" customHeight="false" outlineLevel="0" collapsed="false">
      <c r="A288" s="1" t="n">
        <v>820</v>
      </c>
      <c r="B288" s="2" t="n">
        <v>44166.4909722222</v>
      </c>
      <c r="C288" s="3" t="n">
        <v>1</v>
      </c>
      <c r="F288" s="4" t="s">
        <v>61</v>
      </c>
      <c r="G288" s="5" t="n">
        <f aca="false">(55+57)/2</f>
        <v>56</v>
      </c>
      <c r="H288" s="5" t="n">
        <v>21</v>
      </c>
      <c r="I288" s="5" t="n">
        <v>21</v>
      </c>
      <c r="J288" s="6" t="s">
        <v>62</v>
      </c>
      <c r="K288" s="5" t="n">
        <v>23</v>
      </c>
      <c r="L288" s="5" t="n">
        <v>0</v>
      </c>
      <c r="M288" s="3" t="s">
        <v>63</v>
      </c>
      <c r="N288" s="3" t="s">
        <v>150</v>
      </c>
      <c r="O288" s="3" t="s">
        <v>160</v>
      </c>
      <c r="P288" s="17" t="s">
        <v>131</v>
      </c>
      <c r="Q288" s="7" t="n">
        <v>7.94</v>
      </c>
      <c r="R288" s="5" t="n">
        <f aca="false">898+25</f>
        <v>923</v>
      </c>
      <c r="S288" s="5" t="n">
        <v>18848</v>
      </c>
      <c r="T288" s="5" t="n">
        <f aca="false">S288-R288</f>
        <v>17925</v>
      </c>
      <c r="U288" s="7" t="n">
        <f aca="false">(120+12)/60</f>
        <v>2.2</v>
      </c>
      <c r="V288" s="7" t="n">
        <f aca="false">(120+22)/60</f>
        <v>2.36666666666667</v>
      </c>
      <c r="W288" s="7" t="n">
        <f aca="false">V288-U288</f>
        <v>0.166666666666667</v>
      </c>
      <c r="X288" s="7" t="n">
        <f aca="false">Q288/U288</f>
        <v>3.60909090909091</v>
      </c>
      <c r="Y288" s="3" t="n">
        <v>1</v>
      </c>
      <c r="Z288" s="7" t="n">
        <f aca="false">Q288/Y288</f>
        <v>7.94</v>
      </c>
      <c r="AA288" s="7" t="n">
        <f aca="false">16+42/60</f>
        <v>16.7</v>
      </c>
      <c r="AB288" s="5" t="n">
        <v>334</v>
      </c>
      <c r="AC288" s="5" t="n">
        <v>855</v>
      </c>
      <c r="AD288" s="5" t="n">
        <v>89</v>
      </c>
      <c r="AE288" s="3" t="n">
        <v>116</v>
      </c>
      <c r="AF288" s="7" t="n">
        <f aca="false">16+8/60</f>
        <v>16.1333333333333</v>
      </c>
      <c r="AG288" s="7" t="n">
        <f aca="false">16+24/60</f>
        <v>16.4</v>
      </c>
      <c r="AH288" s="8" t="n">
        <f aca="false">16+10/60</f>
        <v>16.1666666666667</v>
      </c>
      <c r="AI288" s="7" t="n">
        <f aca="false">17+12/60</f>
        <v>17.2</v>
      </c>
      <c r="AJ288" s="7" t="n">
        <f aca="false">19+14/60</f>
        <v>19.2333333333333</v>
      </c>
      <c r="AK288" s="7" t="n">
        <f aca="false">16+22/60</f>
        <v>16.3666666666667</v>
      </c>
      <c r="AL288" s="7" t="n">
        <f aca="false">15+42/60</f>
        <v>15.7</v>
      </c>
      <c r="AM288" s="7" t="n">
        <f aca="false">60/3.7</f>
        <v>16.2162162162162</v>
      </c>
      <c r="AP288" s="3" t="n">
        <v>1</v>
      </c>
      <c r="AQ288" s="3" t="n">
        <v>1</v>
      </c>
      <c r="AR288" s="3" t="n">
        <v>0</v>
      </c>
      <c r="AS288" s="9" t="n">
        <f aca="false">60*U288-SUM(AT288:AX288)</f>
        <v>58.5</v>
      </c>
      <c r="AT288" s="7" t="n">
        <f aca="false">73+30/60</f>
        <v>73.5</v>
      </c>
      <c r="AU288" s="7" t="s">
        <v>161</v>
      </c>
      <c r="AV288" s="7" t="n">
        <v>0</v>
      </c>
      <c r="AW288" s="7" t="n">
        <v>0</v>
      </c>
      <c r="AX288" s="7" t="n">
        <v>0</v>
      </c>
      <c r="AY288" s="3" t="s">
        <v>59</v>
      </c>
      <c r="AZ288" s="3" t="s">
        <v>60</v>
      </c>
      <c r="BA288" s="3" t="n">
        <v>0</v>
      </c>
    </row>
    <row r="289" customFormat="false" ht="16.9" hidden="false" customHeight="false" outlineLevel="0" collapsed="false">
      <c r="A289" s="1" t="n">
        <v>821</v>
      </c>
      <c r="B289" s="2" t="n">
        <v>44167.5291666667</v>
      </c>
      <c r="C289" s="3" t="n">
        <v>1</v>
      </c>
      <c r="F289" s="4" t="s">
        <v>61</v>
      </c>
      <c r="G289" s="5" t="n">
        <v>52</v>
      </c>
      <c r="H289" s="5" t="n">
        <v>43</v>
      </c>
      <c r="I289" s="5" t="n">
        <v>66</v>
      </c>
      <c r="J289" s="6" t="s">
        <v>81</v>
      </c>
      <c r="K289" s="5" t="n">
        <v>13</v>
      </c>
      <c r="L289" s="5" t="n">
        <v>0</v>
      </c>
      <c r="M289" s="3" t="s">
        <v>63</v>
      </c>
      <c r="N289" s="3" t="s">
        <v>150</v>
      </c>
      <c r="O289" s="3" t="s">
        <v>160</v>
      </c>
      <c r="P289" s="3" t="s">
        <v>109</v>
      </c>
      <c r="Q289" s="7" t="n">
        <v>4.38</v>
      </c>
      <c r="R289" s="5" t="n">
        <v>735</v>
      </c>
      <c r="S289" s="5" t="n">
        <v>9583</v>
      </c>
      <c r="T289" s="5" t="n">
        <f aca="false">S289-R289</f>
        <v>8848</v>
      </c>
      <c r="U289" s="7" t="n">
        <f aca="false">67/60</f>
        <v>1.11666666666667</v>
      </c>
      <c r="V289" s="7" t="n">
        <f aca="false">67/60</f>
        <v>1.11666666666667</v>
      </c>
      <c r="W289" s="7" t="n">
        <f aca="false">V289-U289</f>
        <v>0</v>
      </c>
      <c r="X289" s="7" t="n">
        <f aca="false">Q289/U289</f>
        <v>3.92238805970149</v>
      </c>
      <c r="Y289" s="3" t="n">
        <v>4</v>
      </c>
      <c r="Z289" s="7" t="n">
        <f aca="false">Q289/Y289</f>
        <v>1.095</v>
      </c>
      <c r="AA289" s="7" t="n">
        <f aca="false">15+20/60</f>
        <v>15.3333333333333</v>
      </c>
      <c r="AB289" s="5" t="n">
        <v>69</v>
      </c>
      <c r="AC289" s="5" t="n">
        <v>465</v>
      </c>
      <c r="AD289" s="5" t="n">
        <v>76</v>
      </c>
      <c r="AE289" s="3" t="n">
        <v>118</v>
      </c>
      <c r="AF289" s="7" t="n">
        <f aca="false">15+10/60</f>
        <v>15.1666666666667</v>
      </c>
      <c r="AG289" s="7" t="n">
        <f aca="false">15+9/60</f>
        <v>15.15</v>
      </c>
      <c r="AH289" s="8" t="n">
        <f aca="false">15+25/60</f>
        <v>15.4166666666667</v>
      </c>
      <c r="AI289" s="7" t="n">
        <f aca="false">15+23/60</f>
        <v>15.3833333333333</v>
      </c>
      <c r="AJ289" s="7" t="n">
        <f aca="false">60/3.9</f>
        <v>15.3846153846154</v>
      </c>
      <c r="AP289" s="3" t="n">
        <v>0</v>
      </c>
      <c r="AQ289" s="3" t="n">
        <v>0</v>
      </c>
      <c r="AR289" s="3" t="n">
        <v>0</v>
      </c>
      <c r="AS289" s="9" t="n">
        <f aca="false">60*U289-SUM(AT289:AX289)</f>
        <v>47.8833333333333</v>
      </c>
      <c r="AT289" s="7" t="n">
        <f aca="false">18+7/60</f>
        <v>18.1166666666667</v>
      </c>
      <c r="AU289" s="7" t="n">
        <f aca="false">1</f>
        <v>1</v>
      </c>
      <c r="AV289" s="7" t="n">
        <v>0</v>
      </c>
      <c r="AW289" s="7" t="n">
        <v>0</v>
      </c>
      <c r="AX289" s="7" t="n">
        <v>0</v>
      </c>
      <c r="AY289" s="3" t="s">
        <v>59</v>
      </c>
      <c r="AZ289" s="3" t="s">
        <v>60</v>
      </c>
      <c r="BA289" s="3" t="n">
        <v>0</v>
      </c>
    </row>
    <row r="290" customFormat="false" ht="16.9" hidden="false" customHeight="false" outlineLevel="0" collapsed="false">
      <c r="A290" s="1" t="n">
        <v>822</v>
      </c>
      <c r="B290" s="2" t="n">
        <v>44168.4951388889</v>
      </c>
      <c r="C290" s="3" t="n">
        <v>0</v>
      </c>
      <c r="D290" s="3" t="s">
        <v>95</v>
      </c>
      <c r="F290" s="4" t="s">
        <v>65</v>
      </c>
      <c r="G290" s="5" t="n">
        <v>45</v>
      </c>
      <c r="H290" s="5" t="n">
        <v>38</v>
      </c>
      <c r="I290" s="5" t="n">
        <v>76</v>
      </c>
      <c r="J290" s="6" t="s">
        <v>68</v>
      </c>
      <c r="K290" s="5" t="n">
        <v>12</v>
      </c>
      <c r="L290" s="5" t="n">
        <v>0</v>
      </c>
      <c r="M290" s="3" t="s">
        <v>129</v>
      </c>
    </row>
    <row r="291" customFormat="false" ht="16.9" hidden="false" customHeight="false" outlineLevel="0" collapsed="false">
      <c r="A291" s="1" t="n">
        <v>823</v>
      </c>
      <c r="B291" s="2" t="n">
        <v>44139.5909722222</v>
      </c>
      <c r="C291" s="3" t="n">
        <v>1</v>
      </c>
      <c r="F291" s="4" t="s">
        <v>120</v>
      </c>
      <c r="G291" s="5" t="n">
        <v>56</v>
      </c>
      <c r="H291" s="5" t="n">
        <v>28</v>
      </c>
      <c r="I291" s="3" t="n">
        <v>34</v>
      </c>
      <c r="J291" s="4" t="s">
        <v>132</v>
      </c>
      <c r="K291" s="5" t="n">
        <v>5</v>
      </c>
      <c r="L291" s="5" t="n">
        <v>0</v>
      </c>
      <c r="M291" s="3" t="s">
        <v>63</v>
      </c>
      <c r="N291" s="3" t="s">
        <v>150</v>
      </c>
      <c r="O291" s="3" t="s">
        <v>149</v>
      </c>
      <c r="Q291" s="7" t="n">
        <v>7.97</v>
      </c>
      <c r="R291" s="5" t="n">
        <v>967</v>
      </c>
      <c r="S291" s="5" t="n">
        <v>17506</v>
      </c>
      <c r="T291" s="5" t="n">
        <f aca="false">S291-R291</f>
        <v>16539</v>
      </c>
      <c r="U291" s="7" t="n">
        <f aca="false">(120+11)/60</f>
        <v>2.18333333333333</v>
      </c>
      <c r="V291" s="7" t="n">
        <f aca="false">(120+25)/60</f>
        <v>2.41666666666667</v>
      </c>
      <c r="W291" s="7" t="n">
        <f aca="false">V291-U291</f>
        <v>0.233333333333333</v>
      </c>
      <c r="X291" s="7" t="n">
        <f aca="false">Q291/U291</f>
        <v>3.65038167938931</v>
      </c>
      <c r="Y291" s="3" t="n">
        <v>1</v>
      </c>
      <c r="Z291" s="7" t="n">
        <f aca="false">Q291/Y291</f>
        <v>7.97</v>
      </c>
      <c r="AA291" s="7" t="n">
        <f aca="false">16+24/60</f>
        <v>16.4</v>
      </c>
      <c r="AB291" s="5" t="n">
        <v>39</v>
      </c>
      <c r="AC291" s="5" t="n">
        <v>846</v>
      </c>
      <c r="AD291" s="5" t="n">
        <v>80</v>
      </c>
      <c r="AE291" s="3" t="n">
        <v>117</v>
      </c>
      <c r="AF291" s="7" t="n">
        <f aca="false">16+54/60</f>
        <v>16.9</v>
      </c>
      <c r="AG291" s="7" t="n">
        <f aca="false">15+33/60</f>
        <v>15.55</v>
      </c>
      <c r="AH291" s="8" t="n">
        <f aca="false">16+11/60</f>
        <v>16.1833333333333</v>
      </c>
      <c r="AI291" s="7" t="n">
        <f aca="false">16+13/60</f>
        <v>16.2166666666667</v>
      </c>
      <c r="AJ291" s="7" t="n">
        <f aca="false">17+32/60</f>
        <v>17.5333333333333</v>
      </c>
      <c r="AK291" s="7" t="n">
        <f aca="false">15+34/60</f>
        <v>15.5666666666667</v>
      </c>
      <c r="AL291" s="7" t="n">
        <f aca="false">16+8/60</f>
        <v>16.1333333333333</v>
      </c>
      <c r="AM291" s="7" t="n">
        <f aca="false">60/3.5</f>
        <v>17.1428571428571</v>
      </c>
      <c r="AP291" s="3" t="n">
        <v>2</v>
      </c>
      <c r="AQ291" s="3" t="n">
        <v>1</v>
      </c>
      <c r="AR291" s="3" t="n">
        <v>0</v>
      </c>
      <c r="AS291" s="9" t="n">
        <f aca="false">60*U291-SUM(AT291:AX291)</f>
        <v>90.85</v>
      </c>
      <c r="AT291" s="7" t="n">
        <f aca="false">36+41/60</f>
        <v>36.6833333333333</v>
      </c>
      <c r="AU291" s="7" t="n">
        <f aca="false">3+28/60</f>
        <v>3.46666666666667</v>
      </c>
      <c r="AV291" s="7" t="n">
        <v>0</v>
      </c>
      <c r="AW291" s="7" t="n">
        <v>0</v>
      </c>
      <c r="AX291" s="7" t="n">
        <v>0</v>
      </c>
      <c r="AY291" s="3" t="s">
        <v>59</v>
      </c>
      <c r="AZ291" s="3" t="s">
        <v>60</v>
      </c>
      <c r="BA291" s="3" t="n">
        <v>0</v>
      </c>
    </row>
    <row r="292" customFormat="false" ht="16.9" hidden="false" customHeight="false" outlineLevel="0" collapsed="false">
      <c r="A292" s="1" t="n">
        <v>824</v>
      </c>
      <c r="B292" s="2" t="n">
        <v>44170.5416666667</v>
      </c>
      <c r="C292" s="3" t="n">
        <v>1</v>
      </c>
      <c r="F292" s="4" t="s">
        <v>106</v>
      </c>
      <c r="G292" s="5" t="n">
        <v>59</v>
      </c>
      <c r="H292" s="5" t="n">
        <v>39</v>
      </c>
      <c r="I292" s="5" t="n">
        <v>33</v>
      </c>
      <c r="J292" s="6" t="s">
        <v>113</v>
      </c>
      <c r="K292" s="5" t="n">
        <v>3</v>
      </c>
      <c r="L292" s="5" t="n">
        <v>0</v>
      </c>
      <c r="M292" s="3" t="s">
        <v>63</v>
      </c>
      <c r="N292" s="3" t="s">
        <v>150</v>
      </c>
      <c r="O292" s="3" t="s">
        <v>160</v>
      </c>
      <c r="P292" s="3" t="s">
        <v>64</v>
      </c>
      <c r="Q292" s="7" t="n">
        <v>4.7</v>
      </c>
      <c r="R292" s="5" t="n">
        <v>781</v>
      </c>
      <c r="S292" s="5" t="n">
        <v>10272</v>
      </c>
      <c r="T292" s="5" t="n">
        <f aca="false">S292-R292</f>
        <v>9491</v>
      </c>
      <c r="U292" s="7" t="n">
        <f aca="false">73/60</f>
        <v>1.21666666666667</v>
      </c>
      <c r="V292" s="7" t="n">
        <f aca="false">73/60</f>
        <v>1.21666666666667</v>
      </c>
      <c r="W292" s="7" t="n">
        <f aca="false">V292-U292</f>
        <v>0</v>
      </c>
      <c r="X292" s="7" t="n">
        <f aca="false">Q292/U292</f>
        <v>3.86301369863014</v>
      </c>
      <c r="Y292" s="3" t="n">
        <v>1</v>
      </c>
      <c r="Z292" s="7" t="n">
        <f aca="false">Q292/Y292</f>
        <v>4.7</v>
      </c>
      <c r="AA292" s="7" t="n">
        <f aca="false">15+31/60</f>
        <v>15.5166666666667</v>
      </c>
      <c r="AB292" s="5" t="n">
        <v>125</v>
      </c>
      <c r="AC292" s="5" t="n">
        <v>501</v>
      </c>
      <c r="AD292" s="5" t="n">
        <v>78</v>
      </c>
      <c r="AE292" s="3" t="n">
        <v>107</v>
      </c>
      <c r="AF292" s="7" t="n">
        <f aca="false">15+37/60</f>
        <v>15.6166666666667</v>
      </c>
      <c r="AG292" s="7" t="n">
        <f aca="false">15+23/60</f>
        <v>15.3833333333333</v>
      </c>
      <c r="AH292" s="8" t="n">
        <f aca="false">15+43/60</f>
        <v>15.7166666666667</v>
      </c>
      <c r="AI292" s="7" t="n">
        <f aca="false">60/3.9</f>
        <v>15.3846153846154</v>
      </c>
      <c r="AL292" s="3"/>
      <c r="AP292" s="3" t="n">
        <v>0</v>
      </c>
      <c r="AQ292" s="3" t="n">
        <v>0</v>
      </c>
      <c r="AR292" s="3" t="n">
        <v>0</v>
      </c>
      <c r="AS292" s="9" t="n">
        <f aca="false">60*U292-SUM(AT292:AX292)</f>
        <v>48.1833333333333</v>
      </c>
      <c r="AT292" s="7" t="n">
        <f aca="false">24+45/60</f>
        <v>24.75</v>
      </c>
      <c r="AU292" s="7" t="n">
        <f aca="false">4/60</f>
        <v>0.0666666666666667</v>
      </c>
      <c r="AV292" s="7" t="n">
        <v>0</v>
      </c>
      <c r="AW292" s="7" t="n">
        <v>0</v>
      </c>
      <c r="AX292" s="7" t="n">
        <v>0</v>
      </c>
      <c r="AY292" s="3" t="s">
        <v>59</v>
      </c>
      <c r="AZ292" s="3" t="s">
        <v>60</v>
      </c>
      <c r="BA292" s="3" t="n">
        <v>0</v>
      </c>
    </row>
    <row r="293" customFormat="false" ht="16.9" hidden="false" customHeight="false" outlineLevel="0" collapsed="false">
      <c r="A293" s="1" t="n">
        <v>825</v>
      </c>
      <c r="B293" s="2" t="n">
        <v>44171.6479166667</v>
      </c>
      <c r="C293" s="3" t="n">
        <v>1</v>
      </c>
      <c r="F293" s="4" t="s">
        <v>120</v>
      </c>
      <c r="G293" s="5" t="n">
        <v>60</v>
      </c>
      <c r="H293" s="5" t="n">
        <v>32</v>
      </c>
      <c r="I293" s="3" t="n">
        <v>35</v>
      </c>
      <c r="J293" s="4" t="s">
        <v>86</v>
      </c>
      <c r="K293" s="5" t="n">
        <v>12</v>
      </c>
      <c r="L293" s="5" t="n">
        <v>21</v>
      </c>
      <c r="M293" s="3" t="s">
        <v>63</v>
      </c>
      <c r="N293" s="3" t="s">
        <v>150</v>
      </c>
      <c r="O293" s="3" t="s">
        <v>160</v>
      </c>
      <c r="P293" s="3" t="s">
        <v>126</v>
      </c>
      <c r="Q293" s="7" t="n">
        <v>6.47</v>
      </c>
      <c r="R293" s="5" t="n">
        <v>2070</v>
      </c>
      <c r="S293" s="5" t="n">
        <v>15712</v>
      </c>
      <c r="T293" s="5" t="n">
        <f aca="false">S293-R293</f>
        <v>13642</v>
      </c>
      <c r="U293" s="7" t="n">
        <f aca="false">107/60</f>
        <v>1.78333333333333</v>
      </c>
      <c r="V293" s="7" t="n">
        <f aca="false">(60+51)/60</f>
        <v>1.85</v>
      </c>
      <c r="W293" s="7" t="n">
        <f aca="false">V293-U293</f>
        <v>0.0666666666666667</v>
      </c>
      <c r="X293" s="7" t="n">
        <f aca="false">Q293/U293</f>
        <v>3.62803738317757</v>
      </c>
      <c r="Y293" s="3" t="n">
        <v>1</v>
      </c>
      <c r="Z293" s="7" t="n">
        <f aca="false">Q293/Y293</f>
        <v>6.47</v>
      </c>
      <c r="AA293" s="7" t="n">
        <f aca="false">16+32/60</f>
        <v>16.5333333333333</v>
      </c>
      <c r="AB293" s="5" t="n">
        <v>154</v>
      </c>
      <c r="AC293" s="5" t="n">
        <v>616</v>
      </c>
      <c r="AD293" s="5" t="n">
        <v>73</v>
      </c>
      <c r="AE293" s="3" t="n">
        <v>132</v>
      </c>
      <c r="AF293" s="7" t="n">
        <f aca="false">15+44/60</f>
        <v>15.7333333333333</v>
      </c>
      <c r="AG293" s="7" t="n">
        <f aca="false">16+10/60</f>
        <v>16.1666666666667</v>
      </c>
      <c r="AH293" s="8" t="n">
        <f aca="false">17+21/60</f>
        <v>17.35</v>
      </c>
      <c r="AI293" s="7" t="n">
        <f aca="false">16+17/60</f>
        <v>16.2833333333333</v>
      </c>
      <c r="AJ293" s="7" t="n">
        <f aca="false">16+39/60</f>
        <v>16.65</v>
      </c>
      <c r="AK293" s="7" t="n">
        <f aca="false">16+45/60</f>
        <v>16.75</v>
      </c>
      <c r="AL293" s="7" t="n">
        <f aca="false">60/3.5</f>
        <v>17.1428571428571</v>
      </c>
      <c r="AP293" s="3" t="n">
        <v>1</v>
      </c>
      <c r="AQ293" s="3" t="n">
        <v>0</v>
      </c>
      <c r="AR293" s="3" t="n">
        <v>0</v>
      </c>
      <c r="AS293" s="9" t="n">
        <f aca="false">60*U293-SUM(AT293:AX293)</f>
        <v>96.1166666666667</v>
      </c>
      <c r="AT293" s="7" t="n">
        <f aca="false">1+33/60</f>
        <v>1.55</v>
      </c>
      <c r="AU293" s="7" t="n">
        <f aca="false">8+52/60</f>
        <v>8.86666666666667</v>
      </c>
      <c r="AV293" s="7" t="n">
        <f aca="false">28/60</f>
        <v>0.466666666666667</v>
      </c>
      <c r="AW293" s="7" t="n">
        <v>0</v>
      </c>
      <c r="AX293" s="7" t="n">
        <v>0</v>
      </c>
      <c r="AY293" s="3" t="s">
        <v>59</v>
      </c>
      <c r="AZ293" s="3" t="s">
        <v>60</v>
      </c>
      <c r="BA293" s="3" t="n">
        <v>0</v>
      </c>
    </row>
    <row r="294" customFormat="false" ht="16.9" hidden="false" customHeight="false" outlineLevel="0" collapsed="false">
      <c r="A294" s="1" t="n">
        <v>826</v>
      </c>
      <c r="B294" s="2" t="n">
        <v>44172.5361111111</v>
      </c>
      <c r="C294" s="3" t="n">
        <v>1</v>
      </c>
      <c r="F294" s="4" t="s">
        <v>120</v>
      </c>
      <c r="G294" s="5" t="n">
        <v>59</v>
      </c>
      <c r="H294" s="5" t="n">
        <v>34</v>
      </c>
      <c r="I294" s="5" t="n">
        <v>39</v>
      </c>
      <c r="J294" s="6" t="s">
        <v>83</v>
      </c>
      <c r="K294" s="5" t="n">
        <v>8</v>
      </c>
      <c r="L294" s="5" t="n">
        <v>0</v>
      </c>
      <c r="M294" s="3" t="s">
        <v>63</v>
      </c>
      <c r="N294" s="3" t="s">
        <v>150</v>
      </c>
      <c r="O294" s="3" t="s">
        <v>149</v>
      </c>
      <c r="P294" s="3" t="s">
        <v>155</v>
      </c>
      <c r="Q294" s="7" t="n">
        <v>4.46</v>
      </c>
      <c r="R294" s="5" t="n">
        <v>1169</v>
      </c>
      <c r="S294" s="5" t="n">
        <v>10460</v>
      </c>
      <c r="T294" s="5" t="n">
        <f aca="false">S294-R294</f>
        <v>9291</v>
      </c>
      <c r="U294" s="7" t="n">
        <f aca="false">73/60</f>
        <v>1.21666666666667</v>
      </c>
      <c r="V294" s="7" t="n">
        <f aca="false">73/60</f>
        <v>1.21666666666667</v>
      </c>
      <c r="W294" s="7" t="n">
        <f aca="false">V294-U294</f>
        <v>0</v>
      </c>
      <c r="X294" s="7" t="n">
        <f aca="false">Q294/U294</f>
        <v>3.66575342465753</v>
      </c>
      <c r="Y294" s="3" t="n">
        <v>1</v>
      </c>
      <c r="Z294" s="7" t="n">
        <f aca="false">Q294/Y294</f>
        <v>4.46</v>
      </c>
      <c r="AA294" s="7" t="n">
        <f aca="false">16+18/60</f>
        <v>16.3</v>
      </c>
      <c r="AB294" s="5" t="n">
        <v>39</v>
      </c>
      <c r="AC294" s="5" t="n">
        <v>466</v>
      </c>
      <c r="AD294" s="5" t="n">
        <v>77</v>
      </c>
      <c r="AE294" s="3" t="n">
        <v>121</v>
      </c>
      <c r="AF294" s="7" t="n">
        <f aca="false">16+18/60</f>
        <v>16.3</v>
      </c>
      <c r="AG294" s="7" t="n">
        <f aca="false">16+37/60</f>
        <v>16.6166666666667</v>
      </c>
      <c r="AH294" s="8" t="n">
        <f aca="false">16+28/60</f>
        <v>16.4666666666667</v>
      </c>
      <c r="AI294" s="7" t="n">
        <f aca="false">15+43/60</f>
        <v>15.7166666666667</v>
      </c>
      <c r="AJ294" s="7" t="n">
        <f aca="false">60/3.7</f>
        <v>16.2162162162162</v>
      </c>
      <c r="AP294" s="3" t="n">
        <v>0</v>
      </c>
      <c r="AQ294" s="3" t="n">
        <v>0</v>
      </c>
      <c r="AR294" s="3" t="n">
        <v>0</v>
      </c>
      <c r="AS294" s="9" t="n">
        <f aca="false">60*U294-SUM(AT294:AX294)</f>
        <v>58.1666666666667</v>
      </c>
      <c r="AT294" s="7" t="n">
        <f aca="false">10+27/60</f>
        <v>10.45</v>
      </c>
      <c r="AU294" s="7" t="n">
        <f aca="false">4+23/60</f>
        <v>4.38333333333333</v>
      </c>
      <c r="AV294" s="7" t="n">
        <v>0</v>
      </c>
      <c r="AW294" s="7" t="n">
        <v>0</v>
      </c>
      <c r="AX294" s="7" t="n">
        <v>0</v>
      </c>
      <c r="AY294" s="3" t="s">
        <v>59</v>
      </c>
      <c r="AZ294" s="3" t="s">
        <v>60</v>
      </c>
      <c r="BA294" s="3" t="n">
        <v>0</v>
      </c>
    </row>
    <row r="295" customFormat="false" ht="16.9" hidden="false" customHeight="false" outlineLevel="0" collapsed="false">
      <c r="A295" s="1" t="n">
        <v>827</v>
      </c>
      <c r="B295" s="2" t="n">
        <v>44173.5763888889</v>
      </c>
      <c r="C295" s="3" t="n">
        <v>1</v>
      </c>
      <c r="F295" s="4" t="s">
        <v>71</v>
      </c>
      <c r="G295" s="5" t="n">
        <v>69</v>
      </c>
      <c r="H295" s="5" t="n">
        <v>28</v>
      </c>
      <c r="I295" s="5" t="n">
        <v>22</v>
      </c>
      <c r="J295" s="6" t="s">
        <v>83</v>
      </c>
      <c r="K295" s="5" t="n">
        <v>5</v>
      </c>
      <c r="L295" s="5" t="n">
        <v>0</v>
      </c>
      <c r="M295" s="3" t="s">
        <v>63</v>
      </c>
      <c r="N295" s="3" t="s">
        <v>150</v>
      </c>
      <c r="O295" s="3" t="s">
        <v>160</v>
      </c>
      <c r="P295" s="3" t="s">
        <v>152</v>
      </c>
      <c r="Q295" s="7" t="n">
        <v>7.9</v>
      </c>
      <c r="R295" s="5" t="n">
        <v>940</v>
      </c>
      <c r="S295" s="5" t="n">
        <v>17938</v>
      </c>
      <c r="T295" s="5" t="n">
        <f aca="false">S295-R295</f>
        <v>16998</v>
      </c>
      <c r="U295" s="7" t="n">
        <f aca="false">(120+18)/60</f>
        <v>2.3</v>
      </c>
      <c r="V295" s="7" t="n">
        <f aca="false">(120+41)/60</f>
        <v>2.68333333333333</v>
      </c>
      <c r="W295" s="7" t="n">
        <f aca="false">V295-U295</f>
        <v>0.383333333333333</v>
      </c>
      <c r="X295" s="7" t="n">
        <f aca="false">Q295/U295</f>
        <v>3.43478260869565</v>
      </c>
      <c r="Y295" s="3" t="n">
        <v>1</v>
      </c>
      <c r="Z295" s="7" t="n">
        <f aca="false">Q295/Y295</f>
        <v>7.9</v>
      </c>
      <c r="AA295" s="7" t="n">
        <f aca="false">17+26/60</f>
        <v>17.4333333333333</v>
      </c>
      <c r="AB295" s="5" t="n">
        <v>69</v>
      </c>
      <c r="AC295" s="5" t="n">
        <v>691</v>
      </c>
      <c r="AD295" s="5" t="n">
        <v>80</v>
      </c>
      <c r="AE295" s="3" t="n">
        <v>122</v>
      </c>
      <c r="AF295" s="7" t="n">
        <f aca="false">17+43/60</f>
        <v>17.7166666666667</v>
      </c>
      <c r="AG295" s="7" t="n">
        <f aca="false">17+20/60</f>
        <v>17.3333333333333</v>
      </c>
      <c r="AH295" s="8" t="n">
        <f aca="false">17+40/60</f>
        <v>17.6666666666667</v>
      </c>
      <c r="AI295" s="7" t="n">
        <f aca="false">17+3/60</f>
        <v>17.05</v>
      </c>
      <c r="AJ295" s="7" t="n">
        <f aca="false">17+48/60</f>
        <v>17.8</v>
      </c>
      <c r="AK295" s="7" t="n">
        <f aca="false">16+38/60</f>
        <v>16.6333333333333</v>
      </c>
      <c r="AL295" s="7" t="n">
        <f aca="false">17+27/60</f>
        <v>17.45</v>
      </c>
      <c r="AM295" s="7" t="n">
        <f aca="false">60/3.3</f>
        <v>18.1818181818182</v>
      </c>
      <c r="AP295" s="3" t="n">
        <v>3</v>
      </c>
      <c r="AQ295" s="3" t="n">
        <v>0</v>
      </c>
      <c r="AR295" s="3" t="n">
        <v>0</v>
      </c>
      <c r="AS295" s="9" t="n">
        <f aca="false">60*U295-SUM(AT295:AX295)</f>
        <v>93.5333333333333</v>
      </c>
      <c r="AT295" s="7" t="n">
        <f aca="false">39+35/60</f>
        <v>39.5833333333333</v>
      </c>
      <c r="AU295" s="7" t="n">
        <f aca="false">4+53/60</f>
        <v>4.88333333333333</v>
      </c>
      <c r="AV295" s="7" t="n">
        <v>0</v>
      </c>
      <c r="AW295" s="7" t="n">
        <v>0</v>
      </c>
      <c r="AX295" s="7" t="n">
        <v>0</v>
      </c>
      <c r="AY295" s="3" t="s">
        <v>59</v>
      </c>
      <c r="AZ295" s="3" t="s">
        <v>60</v>
      </c>
      <c r="BA295" s="3" t="n">
        <v>0</v>
      </c>
    </row>
    <row r="296" customFormat="false" ht="16.9" hidden="false" customHeight="false" outlineLevel="0" collapsed="false">
      <c r="A296" s="1" t="n">
        <v>828</v>
      </c>
      <c r="B296" s="2" t="n">
        <v>44174.6520833333</v>
      </c>
      <c r="C296" s="3" t="n">
        <v>1</v>
      </c>
      <c r="F296" s="4" t="s">
        <v>71</v>
      </c>
      <c r="G296" s="5" t="n">
        <v>77</v>
      </c>
      <c r="H296" s="5" t="n">
        <v>22</v>
      </c>
      <c r="I296" s="5" t="n">
        <v>13</v>
      </c>
      <c r="J296" s="4" t="s">
        <v>80</v>
      </c>
      <c r="K296" s="5" t="n">
        <v>9</v>
      </c>
      <c r="L296" s="5" t="n">
        <v>0</v>
      </c>
      <c r="M296" s="3" t="s">
        <v>63</v>
      </c>
      <c r="N296" s="3" t="s">
        <v>150</v>
      </c>
      <c r="O296" s="3" t="s">
        <v>160</v>
      </c>
      <c r="P296" s="3" t="s">
        <v>64</v>
      </c>
      <c r="Q296" s="7" t="n">
        <v>4.68</v>
      </c>
      <c r="R296" s="5" t="n">
        <v>1494</v>
      </c>
      <c r="S296" s="5" t="n">
        <v>11142</v>
      </c>
      <c r="T296" s="5" t="n">
        <f aca="false">S296-R296</f>
        <v>9648</v>
      </c>
      <c r="U296" s="7" t="n">
        <f aca="false">(60+20)/60</f>
        <v>1.33333333333333</v>
      </c>
      <c r="V296" s="7" t="n">
        <f aca="false">82/60</f>
        <v>1.36666666666667</v>
      </c>
      <c r="W296" s="7" t="n">
        <f aca="false">V296-U296</f>
        <v>0.0333333333333334</v>
      </c>
      <c r="X296" s="7" t="n">
        <f aca="false">Q296/U296</f>
        <v>3.51</v>
      </c>
      <c r="Y296" s="3" t="n">
        <v>1</v>
      </c>
      <c r="Z296" s="7" t="n">
        <f aca="false">Q296/Y296</f>
        <v>4.68</v>
      </c>
      <c r="AA296" s="7" t="n">
        <f aca="false">16+56/60</f>
        <v>16.9333333333333</v>
      </c>
      <c r="AB296" s="5" t="n">
        <v>98</v>
      </c>
      <c r="AC296" s="5" t="n">
        <v>247</v>
      </c>
      <c r="AD296" s="5" t="n">
        <v>71</v>
      </c>
      <c r="AE296" s="3" t="n">
        <v>113</v>
      </c>
      <c r="AF296" s="7" t="n">
        <f aca="false">16+10/60</f>
        <v>16.1666666666667</v>
      </c>
      <c r="AG296" s="7" t="n">
        <f aca="false">16+54/60</f>
        <v>16.9</v>
      </c>
      <c r="AH296" s="8" t="n">
        <f aca="false">17+11/60</f>
        <v>17.1833333333333</v>
      </c>
      <c r="AI296" s="7" t="n">
        <f aca="false">17+14/60</f>
        <v>17.2333333333333</v>
      </c>
      <c r="AJ296" s="7" t="n">
        <f aca="false">60/3.5</f>
        <v>17.1428571428571</v>
      </c>
      <c r="AP296" s="3" t="n">
        <v>1</v>
      </c>
      <c r="AQ296" s="3" t="n">
        <v>0</v>
      </c>
      <c r="AR296" s="3" t="n">
        <v>0</v>
      </c>
      <c r="AS296" s="9" t="n">
        <f aca="false">60*U296-SUM(AT296:AX296)</f>
        <v>71.6666666666667</v>
      </c>
      <c r="AT296" s="7" t="n">
        <f aca="false">7+24/60</f>
        <v>7.4</v>
      </c>
      <c r="AU296" s="7" t="n">
        <f aca="false">56/60</f>
        <v>0.933333333333333</v>
      </c>
      <c r="AV296" s="7" t="n">
        <v>0</v>
      </c>
      <c r="AW296" s="7" t="n">
        <v>0</v>
      </c>
      <c r="AX296" s="7" t="n">
        <v>0</v>
      </c>
      <c r="AY296" s="3" t="s">
        <v>59</v>
      </c>
      <c r="AZ296" s="3" t="s">
        <v>60</v>
      </c>
      <c r="BA296" s="3" t="n">
        <v>0</v>
      </c>
    </row>
    <row r="297" customFormat="false" ht="16.9" hidden="false" customHeight="false" outlineLevel="0" collapsed="false">
      <c r="A297" s="1" t="n">
        <v>829</v>
      </c>
      <c r="B297" s="2" t="n">
        <v>44175.6104166667</v>
      </c>
      <c r="C297" s="3" t="n">
        <v>1</v>
      </c>
      <c r="F297" s="4" t="s">
        <v>71</v>
      </c>
      <c r="G297" s="5" t="n">
        <v>76</v>
      </c>
      <c r="H297" s="5" t="n">
        <v>35</v>
      </c>
      <c r="I297" s="5" t="n">
        <v>23</v>
      </c>
      <c r="J297" s="6" t="s">
        <v>62</v>
      </c>
      <c r="K297" s="5" t="n">
        <v>22</v>
      </c>
      <c r="L297" s="5" t="n">
        <v>33</v>
      </c>
      <c r="M297" s="3" t="s">
        <v>63</v>
      </c>
      <c r="N297" s="3" t="s">
        <v>150</v>
      </c>
      <c r="O297" s="3" t="s">
        <v>149</v>
      </c>
      <c r="P297" s="3" t="s">
        <v>112</v>
      </c>
      <c r="Q297" s="7" t="n">
        <v>6.39</v>
      </c>
      <c r="R297" s="5" t="n">
        <v>1072</v>
      </c>
      <c r="S297" s="5" t="n">
        <v>14547</v>
      </c>
      <c r="T297" s="5" t="n">
        <f aca="false">S297-R297</f>
        <v>13475</v>
      </c>
      <c r="U297" s="7" t="n">
        <f aca="false">(60+46)/60</f>
        <v>1.76666666666667</v>
      </c>
      <c r="V297" s="7" t="n">
        <f aca="false">(60+55)/60</f>
        <v>1.91666666666667</v>
      </c>
      <c r="W297" s="7" t="n">
        <f aca="false">V297-U297</f>
        <v>0.15</v>
      </c>
      <c r="X297" s="7" t="n">
        <f aca="false">Q297/U297</f>
        <v>3.61698113207547</v>
      </c>
      <c r="Y297" s="3" t="n">
        <v>1</v>
      </c>
      <c r="Z297" s="7" t="n">
        <f aca="false">Q297/Y297</f>
        <v>6.39</v>
      </c>
      <c r="AA297" s="7" t="n">
        <f aca="false">16+32/60</f>
        <v>16.5333333333333</v>
      </c>
      <c r="AB297" s="5" t="n">
        <v>69</v>
      </c>
      <c r="AC297" s="5" t="n">
        <v>672</v>
      </c>
      <c r="AD297" s="5" t="n">
        <v>83</v>
      </c>
      <c r="AE297" s="3" t="n">
        <v>112</v>
      </c>
      <c r="AF297" s="7" t="n">
        <f aca="false">16+39/60</f>
        <v>16.65</v>
      </c>
      <c r="AG297" s="7" t="n">
        <f aca="false">16+31/60</f>
        <v>16.5166666666667</v>
      </c>
      <c r="AH297" s="8" t="n">
        <f aca="false">16+31/60</f>
        <v>16.5166666666667</v>
      </c>
      <c r="AI297" s="7" t="n">
        <f aca="false">16+44/60</f>
        <v>16.7333333333333</v>
      </c>
      <c r="AJ297" s="7" t="n">
        <f aca="false">16+3/60</f>
        <v>16.05</v>
      </c>
      <c r="AK297" s="7" t="n">
        <f aca="false">16+25/60</f>
        <v>16.4166666666667</v>
      </c>
      <c r="AP297" s="3" t="n">
        <v>2</v>
      </c>
      <c r="AQ297" s="3" t="n">
        <v>0</v>
      </c>
      <c r="AR297" s="3" t="n">
        <v>0</v>
      </c>
      <c r="AS297" s="9" t="n">
        <f aca="false">60*U297-SUM(AT297:AX297)</f>
        <v>74.5333333333333</v>
      </c>
      <c r="AT297" s="7" t="n">
        <f aca="false">30+19/60</f>
        <v>30.3166666666667</v>
      </c>
      <c r="AU297" s="7" t="n">
        <f aca="false">1+9/60</f>
        <v>1.15</v>
      </c>
      <c r="AV297" s="7" t="n">
        <v>0</v>
      </c>
      <c r="AW297" s="7" t="n">
        <v>0</v>
      </c>
      <c r="AX297" s="7" t="n">
        <v>0</v>
      </c>
      <c r="AY297" s="3" t="s">
        <v>59</v>
      </c>
      <c r="AZ297" s="3" t="s">
        <v>60</v>
      </c>
      <c r="BA297" s="3" t="n">
        <v>0</v>
      </c>
    </row>
    <row r="298" customFormat="false" ht="16.9" hidden="false" customHeight="false" outlineLevel="0" collapsed="false">
      <c r="A298" s="1" t="n">
        <v>830</v>
      </c>
      <c r="B298" s="2" t="n">
        <v>44176.5638888889</v>
      </c>
      <c r="C298" s="3" t="n">
        <v>1</v>
      </c>
      <c r="F298" s="4" t="s">
        <v>84</v>
      </c>
      <c r="G298" s="5" t="n">
        <v>63</v>
      </c>
      <c r="H298" s="5" t="n">
        <v>62</v>
      </c>
      <c r="I298" s="5" t="n">
        <v>97</v>
      </c>
      <c r="J298" s="4" t="s">
        <v>80</v>
      </c>
      <c r="K298" s="5" t="n">
        <v>10</v>
      </c>
      <c r="L298" s="5" t="n">
        <v>0</v>
      </c>
      <c r="M298" s="3" t="s">
        <v>63</v>
      </c>
      <c r="N298" s="3" t="s">
        <v>150</v>
      </c>
      <c r="O298" s="3" t="s">
        <v>149</v>
      </c>
      <c r="P298" s="3" t="s">
        <v>87</v>
      </c>
      <c r="Q298" s="7" t="n">
        <v>4.46</v>
      </c>
      <c r="R298" s="5" t="n">
        <v>728</v>
      </c>
      <c r="S298" s="5" t="n">
        <v>10412</v>
      </c>
      <c r="T298" s="5" t="n">
        <f aca="false">S298-R298</f>
        <v>9684</v>
      </c>
      <c r="U298" s="7" t="n">
        <f aca="false">(60+19)/60</f>
        <v>1.31666666666667</v>
      </c>
      <c r="V298" s="7" t="n">
        <f aca="false">(60+20)/60</f>
        <v>1.33333333333333</v>
      </c>
      <c r="W298" s="7" t="n">
        <f aca="false">V298-U298</f>
        <v>0.0166666666666666</v>
      </c>
      <c r="X298" s="7" t="n">
        <f aca="false">Q298/U298</f>
        <v>3.3873417721519</v>
      </c>
      <c r="Y298" s="3" t="n">
        <v>1</v>
      </c>
      <c r="Z298" s="7" t="n">
        <f aca="false">Q298/Y298</f>
        <v>4.46</v>
      </c>
      <c r="AA298" s="7" t="n">
        <f aca="false">17+42/60</f>
        <v>17.7</v>
      </c>
      <c r="AB298" s="5" t="n">
        <v>75</v>
      </c>
      <c r="AC298" s="5" t="n">
        <v>460</v>
      </c>
      <c r="AD298" s="5" t="n">
        <v>75</v>
      </c>
      <c r="AE298" s="3" t="n">
        <v>118</v>
      </c>
      <c r="AF298" s="7" t="n">
        <f aca="false">17+21/60</f>
        <v>17.35</v>
      </c>
      <c r="AG298" s="7" t="n">
        <f aca="false">17+29/60</f>
        <v>17.4833333333333</v>
      </c>
      <c r="AH298" s="8" t="n">
        <f aca="false">17+33/60</f>
        <v>17.55</v>
      </c>
      <c r="AI298" s="7" t="n">
        <f aca="false">18+20/60</f>
        <v>18.3333333333333</v>
      </c>
      <c r="AJ298" s="7" t="n">
        <f aca="false">60/3.4</f>
        <v>17.6470588235294</v>
      </c>
      <c r="AK298" s="7" t="n">
        <f aca="false">60/3.5</f>
        <v>17.1428571428571</v>
      </c>
      <c r="AP298" s="3" t="n">
        <v>1</v>
      </c>
      <c r="AQ298" s="3" t="n">
        <v>0</v>
      </c>
      <c r="AR298" s="3" t="n">
        <v>0</v>
      </c>
      <c r="AS298" s="9" t="n">
        <f aca="false">60*U298-SUM(AT298:AX298)</f>
        <v>66.9833333333333</v>
      </c>
      <c r="AT298" s="7" t="n">
        <f aca="false">3+33/60</f>
        <v>3.55</v>
      </c>
      <c r="AU298" s="7" t="n">
        <f aca="false">8+28/60</f>
        <v>8.46666666666667</v>
      </c>
      <c r="AV298" s="7" t="n">
        <v>0</v>
      </c>
      <c r="AW298" s="7" t="n">
        <v>0</v>
      </c>
      <c r="AX298" s="7" t="n">
        <v>0</v>
      </c>
      <c r="AY298" s="3" t="s">
        <v>59</v>
      </c>
      <c r="AZ298" s="3" t="s">
        <v>60</v>
      </c>
      <c r="BA298" s="3" t="n">
        <v>0</v>
      </c>
    </row>
    <row r="299" customFormat="false" ht="16.9" hidden="false" customHeight="false" outlineLevel="0" collapsed="false">
      <c r="A299" s="1" t="n">
        <v>831</v>
      </c>
      <c r="B299" s="2" t="n">
        <v>44177.5979166667</v>
      </c>
      <c r="C299" s="3" t="n">
        <v>1</v>
      </c>
      <c r="F299" s="4" t="s">
        <v>71</v>
      </c>
      <c r="G299" s="5" t="n">
        <v>52</v>
      </c>
      <c r="H299" s="5" t="n">
        <v>33</v>
      </c>
      <c r="I299" s="5" t="n">
        <v>49</v>
      </c>
      <c r="J299" s="6" t="s">
        <v>128</v>
      </c>
      <c r="K299" s="5" t="n">
        <v>0</v>
      </c>
      <c r="L299" s="5" t="n">
        <v>0</v>
      </c>
      <c r="M299" s="3" t="s">
        <v>63</v>
      </c>
      <c r="N299" s="3" t="s">
        <v>150</v>
      </c>
      <c r="O299" s="3" t="s">
        <v>160</v>
      </c>
      <c r="P299" s="3" t="s">
        <v>94</v>
      </c>
      <c r="Q299" s="7" t="n">
        <v>8.67</v>
      </c>
      <c r="U299" s="7" t="n">
        <f aca="false">(120+21)/60</f>
        <v>2.35</v>
      </c>
      <c r="V299" s="7" t="n">
        <f aca="false">(120+35)/60</f>
        <v>2.58333333333333</v>
      </c>
      <c r="W299" s="7" t="n">
        <f aca="false">V299-U299</f>
        <v>0.233333333333333</v>
      </c>
      <c r="X299" s="7" t="n">
        <f aca="false">Q299/U299</f>
        <v>3.68936170212766</v>
      </c>
      <c r="Y299" s="3" t="n">
        <v>1</v>
      </c>
      <c r="Z299" s="7" t="n">
        <f aca="false">Q299/Y299</f>
        <v>8.67</v>
      </c>
      <c r="AA299" s="7" t="n">
        <f aca="false">16+17/60</f>
        <v>16.2833333333333</v>
      </c>
      <c r="AB299" s="5" t="n">
        <v>75</v>
      </c>
      <c r="AC299" s="5" t="n">
        <v>919</v>
      </c>
      <c r="AD299" s="5" t="n">
        <v>91</v>
      </c>
      <c r="AE299" s="3" t="n">
        <v>133</v>
      </c>
      <c r="AF299" s="7" t="n">
        <f aca="false">15+59/60</f>
        <v>15.9833333333333</v>
      </c>
      <c r="AG299" s="7" t="n">
        <f aca="false">16+1/60</f>
        <v>16.0166666666667</v>
      </c>
      <c r="AH299" s="8" t="n">
        <f aca="false">16+35/60</f>
        <v>16.5833333333333</v>
      </c>
      <c r="AI299" s="7" t="n">
        <f aca="false">15+59/60</f>
        <v>15.9833333333333</v>
      </c>
      <c r="AJ299" s="7" t="n">
        <f aca="false">16+45/60</f>
        <v>16.75</v>
      </c>
      <c r="AK299" s="7" t="n">
        <f aca="false">16+32/60</f>
        <v>16.5333333333333</v>
      </c>
      <c r="AL299" s="7" t="n">
        <f aca="false">16+11/60</f>
        <v>16.1833333333333</v>
      </c>
      <c r="AM299" s="7" t="n">
        <f aca="false">16+4/60</f>
        <v>16.0666666666667</v>
      </c>
      <c r="AN299" s="7" t="n">
        <f aca="false">60/3.7</f>
        <v>16.2162162162162</v>
      </c>
      <c r="AP299" s="3" t="n">
        <v>3</v>
      </c>
      <c r="AQ299" s="3" t="n">
        <v>0</v>
      </c>
      <c r="AR299" s="3" t="n">
        <v>0</v>
      </c>
      <c r="AS299" s="9" t="n">
        <f aca="false">60*U299-SUM(AT299:AX299)</f>
        <v>80.65</v>
      </c>
      <c r="AT299" s="7" t="n">
        <f aca="false">34+4/60</f>
        <v>34.0666666666667</v>
      </c>
      <c r="AU299" s="7" t="n">
        <f aca="false">21+25/60</f>
        <v>21.4166666666667</v>
      </c>
      <c r="AV299" s="7" t="n">
        <f aca="false">4+52/60</f>
        <v>4.86666666666667</v>
      </c>
      <c r="AW299" s="7" t="n">
        <v>0</v>
      </c>
      <c r="AX299" s="7" t="n">
        <v>0</v>
      </c>
      <c r="AY299" s="3" t="s">
        <v>59</v>
      </c>
      <c r="AZ299" s="3" t="s">
        <v>60</v>
      </c>
      <c r="BA299" s="3" t="n">
        <v>0</v>
      </c>
    </row>
    <row r="300" customFormat="false" ht="16.9" hidden="false" customHeight="false" outlineLevel="0" collapsed="false">
      <c r="A300" s="1" t="n">
        <v>832</v>
      </c>
      <c r="B300" s="2" t="n">
        <v>44178.5784722222</v>
      </c>
      <c r="C300" s="3" t="n">
        <v>0</v>
      </c>
      <c r="F300" s="4" t="s">
        <v>84</v>
      </c>
      <c r="G300" s="5" t="n">
        <v>40</v>
      </c>
      <c r="H300" s="5" t="n">
        <v>39</v>
      </c>
      <c r="I300" s="5" t="n">
        <v>93</v>
      </c>
      <c r="J300" s="6" t="s">
        <v>97</v>
      </c>
      <c r="K300" s="5" t="n">
        <v>13</v>
      </c>
      <c r="L300" s="5" t="n">
        <v>0</v>
      </c>
      <c r="M300" s="3" t="s">
        <v>100</v>
      </c>
    </row>
    <row r="301" customFormat="false" ht="16.9" hidden="false" customHeight="false" outlineLevel="0" collapsed="false">
      <c r="A301" s="1" t="n">
        <v>833</v>
      </c>
      <c r="B301" s="2" t="n">
        <v>44179.5368055556</v>
      </c>
      <c r="C301" s="3" t="n">
        <v>0</v>
      </c>
      <c r="F301" s="4" t="s">
        <v>93</v>
      </c>
      <c r="G301" s="5" t="n">
        <v>45</v>
      </c>
      <c r="H301" s="5" t="n">
        <v>29</v>
      </c>
      <c r="I301" s="5" t="n">
        <v>53</v>
      </c>
      <c r="J301" s="6" t="s">
        <v>128</v>
      </c>
      <c r="K301" s="5" t="n">
        <v>0</v>
      </c>
      <c r="L301" s="5" t="n">
        <v>0</v>
      </c>
      <c r="M301" s="3" t="s">
        <v>162</v>
      </c>
    </row>
    <row r="302" customFormat="false" ht="16.9" hidden="false" customHeight="false" outlineLevel="0" collapsed="false">
      <c r="A302" s="1" t="n">
        <v>834</v>
      </c>
      <c r="B302" s="2" t="n">
        <v>44180.5368055556</v>
      </c>
      <c r="C302" s="3" t="n">
        <v>0</v>
      </c>
      <c r="F302" s="4" t="s">
        <v>65</v>
      </c>
      <c r="G302" s="5" t="n">
        <v>41</v>
      </c>
      <c r="H302" s="5" t="n">
        <v>38</v>
      </c>
      <c r="I302" s="5" t="n">
        <v>89</v>
      </c>
      <c r="J302" s="6" t="s">
        <v>130</v>
      </c>
      <c r="K302" s="5" t="n">
        <v>9</v>
      </c>
      <c r="L302" s="5" t="n">
        <v>0</v>
      </c>
      <c r="M302" s="3" t="s">
        <v>162</v>
      </c>
    </row>
    <row r="303" customFormat="false" ht="16.9" hidden="false" customHeight="false" outlineLevel="0" collapsed="false">
      <c r="A303" s="1" t="n">
        <v>835</v>
      </c>
      <c r="B303" s="2" t="n">
        <v>44181.6236111111</v>
      </c>
      <c r="C303" s="3" t="n">
        <v>1</v>
      </c>
      <c r="F303" s="4" t="s">
        <v>54</v>
      </c>
      <c r="G303" s="5" t="n">
        <v>43</v>
      </c>
      <c r="H303" s="5" t="n">
        <v>30</v>
      </c>
      <c r="I303" s="5" t="n">
        <v>62</v>
      </c>
      <c r="J303" s="6" t="s">
        <v>55</v>
      </c>
      <c r="K303" s="5" t="n">
        <v>7</v>
      </c>
      <c r="L303" s="5" t="n">
        <v>0</v>
      </c>
      <c r="M303" s="3" t="s">
        <v>63</v>
      </c>
      <c r="N303" s="3" t="s">
        <v>150</v>
      </c>
      <c r="O303" s="3" t="s">
        <v>160</v>
      </c>
      <c r="P303" s="3" t="s">
        <v>109</v>
      </c>
      <c r="Q303" s="7" t="n">
        <v>4.45</v>
      </c>
      <c r="R303" s="5" t="n">
        <v>1497</v>
      </c>
      <c r="S303" s="5" t="n">
        <v>10494</v>
      </c>
      <c r="T303" s="5" t="n">
        <f aca="false">S303-R303</f>
        <v>8997</v>
      </c>
      <c r="U303" s="7" t="n">
        <f aca="false">70/60</f>
        <v>1.16666666666667</v>
      </c>
      <c r="V303" s="7" t="n">
        <f aca="false">71/60</f>
        <v>1.18333333333333</v>
      </c>
      <c r="W303" s="7" t="n">
        <f aca="false">V303-U303</f>
        <v>0.0166666666666666</v>
      </c>
      <c r="X303" s="7" t="n">
        <f aca="false">Q303/U303</f>
        <v>3.81428571428571</v>
      </c>
      <c r="Y303" s="3" t="n">
        <v>4</v>
      </c>
      <c r="Z303" s="7" t="n">
        <f aca="false">Q303/Y303</f>
        <v>1.1125</v>
      </c>
      <c r="AA303" s="7" t="n">
        <f aca="false">15+49/60</f>
        <v>15.8166666666667</v>
      </c>
      <c r="AB303" s="5" t="n">
        <v>62</v>
      </c>
      <c r="AC303" s="5" t="n">
        <v>470</v>
      </c>
      <c r="AD303" s="5" t="n">
        <v>95</v>
      </c>
      <c r="AE303" s="3" t="n">
        <v>106</v>
      </c>
      <c r="AF303" s="7" t="n">
        <f aca="false">16+2/60</f>
        <v>16.0333333333333</v>
      </c>
      <c r="AG303" s="7" t="n">
        <f aca="false">15+45/60</f>
        <v>15.75</v>
      </c>
      <c r="AH303" s="8" t="n">
        <f aca="false">16</f>
        <v>16</v>
      </c>
      <c r="AI303" s="7" t="n">
        <f aca="false">15+40/60</f>
        <v>15.6666666666667</v>
      </c>
      <c r="AJ303" s="7" t="n">
        <f aca="false">60/3.9</f>
        <v>15.3846153846154</v>
      </c>
      <c r="AP303" s="3" t="n">
        <v>1</v>
      </c>
      <c r="AQ303" s="3" t="n">
        <v>0</v>
      </c>
      <c r="AR303" s="3" t="n">
        <v>0</v>
      </c>
      <c r="AS303" s="9" t="n">
        <f aca="false">60*U303-SUM(AT303:AX303)</f>
        <v>11.8833333333333</v>
      </c>
      <c r="AT303" s="7" t="n">
        <f aca="false">58+7/60</f>
        <v>58.1166666666667</v>
      </c>
      <c r="AU303" s="7" t="n">
        <v>0</v>
      </c>
      <c r="AV303" s="7" t="n">
        <v>0</v>
      </c>
      <c r="AW303" s="7" t="n">
        <v>0</v>
      </c>
      <c r="AX303" s="7" t="n">
        <v>0</v>
      </c>
      <c r="AY303" s="3" t="s">
        <v>59</v>
      </c>
      <c r="AZ303" s="3" t="s">
        <v>60</v>
      </c>
      <c r="BA303" s="3" t="n">
        <v>0</v>
      </c>
    </row>
    <row r="304" customFormat="false" ht="16.9" hidden="false" customHeight="false" outlineLevel="0" collapsed="false">
      <c r="A304" s="1" t="n">
        <v>836</v>
      </c>
      <c r="B304" s="2" t="n">
        <v>44182.5604166667</v>
      </c>
      <c r="C304" s="3" t="n">
        <v>1</v>
      </c>
      <c r="F304" s="4" t="s">
        <v>71</v>
      </c>
      <c r="G304" s="5" t="n">
        <v>59</v>
      </c>
      <c r="H304" s="5" t="n">
        <v>29</v>
      </c>
      <c r="I304" s="5" t="n">
        <v>32</v>
      </c>
      <c r="J304" s="6" t="s">
        <v>62</v>
      </c>
      <c r="K304" s="5" t="n">
        <v>5</v>
      </c>
      <c r="L304" s="5" t="n">
        <v>0</v>
      </c>
      <c r="M304" s="3" t="s">
        <v>63</v>
      </c>
      <c r="N304" s="3" t="s">
        <v>150</v>
      </c>
      <c r="O304" s="3" t="s">
        <v>160</v>
      </c>
      <c r="P304" s="17" t="s">
        <v>131</v>
      </c>
      <c r="Q304" s="7" t="n">
        <v>7.56</v>
      </c>
      <c r="R304" s="5" t="n">
        <v>1224</v>
      </c>
      <c r="S304" s="5" t="n">
        <v>17429</v>
      </c>
      <c r="T304" s="5" t="n">
        <f aca="false">S304-R304</f>
        <v>16205</v>
      </c>
      <c r="U304" s="7" t="n">
        <f aca="false">(120+10)/60</f>
        <v>2.16666666666667</v>
      </c>
      <c r="V304" s="7" t="n">
        <f aca="false">142/60</f>
        <v>2.36666666666667</v>
      </c>
      <c r="W304" s="7" t="n">
        <f aca="false">V304-U304</f>
        <v>0.2</v>
      </c>
      <c r="X304" s="7" t="n">
        <f aca="false">Q304/U304</f>
        <v>3.48923076923077</v>
      </c>
      <c r="Y304" s="3" t="n">
        <v>1</v>
      </c>
      <c r="Z304" s="7" t="n">
        <f aca="false">Q304/Y304</f>
        <v>7.56</v>
      </c>
      <c r="AA304" s="7" t="n">
        <f aca="false">17+8/60</f>
        <v>17.1333333333333</v>
      </c>
      <c r="AB304" s="5" t="n">
        <v>282</v>
      </c>
      <c r="AC304" s="5" t="n">
        <v>809</v>
      </c>
      <c r="AD304" s="5" t="n">
        <v>80</v>
      </c>
      <c r="AE304" s="3" t="n">
        <v>118</v>
      </c>
      <c r="AF304" s="7" t="n">
        <f aca="false">16+14/60</f>
        <v>16.2333333333333</v>
      </c>
      <c r="AG304" s="7" t="n">
        <f aca="false">16+51/60</f>
        <v>16.85</v>
      </c>
      <c r="AH304" s="8" t="n">
        <f aca="false">16+44/60</f>
        <v>16.7333333333333</v>
      </c>
      <c r="AI304" s="7" t="n">
        <f aca="false">18+8/60</f>
        <v>18.1333333333333</v>
      </c>
      <c r="AJ304" s="7" t="n">
        <f aca="false">17+37/60</f>
        <v>17.6166666666667</v>
      </c>
      <c r="AK304" s="7" t="n">
        <f aca="false">16+46/60</f>
        <v>16.7666666666667</v>
      </c>
      <c r="AL304" s="7" t="n">
        <f aca="false">17+21/60</f>
        <v>17.35</v>
      </c>
      <c r="AM304" s="7" t="n">
        <f aca="false">60/3.4</f>
        <v>17.6470588235294</v>
      </c>
      <c r="AP304" s="3" t="n">
        <v>0</v>
      </c>
      <c r="AQ304" s="3" t="n">
        <v>1</v>
      </c>
      <c r="AR304" s="3" t="n">
        <v>0</v>
      </c>
      <c r="AS304" s="9" t="n">
        <f aca="false">60*U304-SUM(AT304:AX304)</f>
        <v>94.8666666666667</v>
      </c>
      <c r="AT304" s="7" t="n">
        <f aca="false">32+55/60</f>
        <v>32.9166666666667</v>
      </c>
      <c r="AU304" s="7" t="n">
        <f aca="false">2+13/60</f>
        <v>2.21666666666667</v>
      </c>
      <c r="AV304" s="7" t="n">
        <v>0</v>
      </c>
      <c r="AW304" s="7" t="n">
        <v>0</v>
      </c>
      <c r="AX304" s="7" t="n">
        <v>0</v>
      </c>
      <c r="AY304" s="3" t="s">
        <v>59</v>
      </c>
      <c r="AZ304" s="3" t="s">
        <v>60</v>
      </c>
      <c r="BA304" s="3" t="n">
        <v>0</v>
      </c>
    </row>
    <row r="305" customFormat="false" ht="16.9" hidden="false" customHeight="false" outlineLevel="0" collapsed="false">
      <c r="A305" s="1" t="n">
        <v>837</v>
      </c>
      <c r="B305" s="2" t="n">
        <v>44183.5715277778</v>
      </c>
      <c r="C305" s="3" t="n">
        <v>1</v>
      </c>
      <c r="F305" s="4" t="s">
        <v>61</v>
      </c>
      <c r="G305" s="5" t="n">
        <v>61</v>
      </c>
      <c r="H305" s="5" t="n">
        <v>46</v>
      </c>
      <c r="I305" s="5" t="n">
        <v>58</v>
      </c>
      <c r="J305" s="6" t="s">
        <v>62</v>
      </c>
      <c r="K305" s="5" t="n">
        <v>21</v>
      </c>
      <c r="L305" s="3" t="n">
        <v>32</v>
      </c>
      <c r="M305" s="3" t="s">
        <v>63</v>
      </c>
      <c r="N305" s="3" t="s">
        <v>150</v>
      </c>
      <c r="O305" s="3" t="s">
        <v>160</v>
      </c>
      <c r="P305" s="3" t="s">
        <v>92</v>
      </c>
      <c r="Q305" s="7" t="n">
        <v>4.22</v>
      </c>
      <c r="R305" s="5" t="n">
        <v>1203</v>
      </c>
      <c r="S305" s="5" t="n">
        <v>10525</v>
      </c>
      <c r="T305" s="5" t="n">
        <f aca="false">S305-R305</f>
        <v>9322</v>
      </c>
      <c r="U305" s="7" t="n">
        <f aca="false">(60+14)/60</f>
        <v>1.23333333333333</v>
      </c>
      <c r="V305" s="7" t="n">
        <f aca="false">(60+20)/60</f>
        <v>1.33333333333333</v>
      </c>
      <c r="W305" s="7" t="n">
        <f aca="false">V305-U305</f>
        <v>0.0999999999999999</v>
      </c>
      <c r="X305" s="7" t="n">
        <f aca="false">Q305/U305</f>
        <v>3.42162162162162</v>
      </c>
      <c r="Y305" s="3" t="n">
        <v>2</v>
      </c>
      <c r="Z305" s="7" t="n">
        <f aca="false">Q305/Y305</f>
        <v>2.11</v>
      </c>
      <c r="AA305" s="7" t="n">
        <f aca="false">17+28/60</f>
        <v>17.4666666666667</v>
      </c>
      <c r="AB305" s="5" t="n">
        <v>289</v>
      </c>
      <c r="AC305" s="5" t="n">
        <v>218</v>
      </c>
      <c r="AD305" s="5" t="n">
        <v>70</v>
      </c>
      <c r="AE305" s="3" t="n">
        <v>144</v>
      </c>
      <c r="AF305" s="7" t="n">
        <f aca="false">17+4/60</f>
        <v>17.0666666666667</v>
      </c>
      <c r="AG305" s="7" t="n">
        <f aca="false">16+52/60</f>
        <v>16.8666666666667</v>
      </c>
      <c r="AH305" s="8" t="n">
        <f aca="false">18+59/60</f>
        <v>18.9833333333333</v>
      </c>
      <c r="AI305" s="7" t="n">
        <f aca="false">16+46/60</f>
        <v>16.7666666666667</v>
      </c>
      <c r="AJ305" s="7" t="n">
        <f aca="false">60/3.4</f>
        <v>17.6470588235294</v>
      </c>
      <c r="AP305" s="3" t="n">
        <v>3</v>
      </c>
      <c r="AQ305" s="3" t="n">
        <v>0</v>
      </c>
      <c r="AR305" s="3" t="n">
        <v>0</v>
      </c>
      <c r="AS305" s="9" t="n">
        <f aca="false">60*U305-SUM(AT305:AX305)</f>
        <v>69.85</v>
      </c>
      <c r="AT305" s="7" t="n">
        <f aca="false">10/60</f>
        <v>0.166666666666667</v>
      </c>
      <c r="AU305" s="7" t="n">
        <f aca="false">2+16/60</f>
        <v>2.26666666666667</v>
      </c>
      <c r="AV305" s="7" t="n">
        <f aca="false">1+38/60</f>
        <v>1.63333333333333</v>
      </c>
      <c r="AW305" s="7" t="n">
        <f aca="false">5/60</f>
        <v>0.0833333333333333</v>
      </c>
      <c r="AX305" s="7" t="n">
        <v>0</v>
      </c>
      <c r="AY305" s="3" t="s">
        <v>59</v>
      </c>
      <c r="AZ305" s="3" t="s">
        <v>60</v>
      </c>
      <c r="BA305" s="3" t="n">
        <v>0</v>
      </c>
    </row>
    <row r="306" customFormat="false" ht="16.9" hidden="false" customHeight="false" outlineLevel="0" collapsed="false">
      <c r="A306" s="1" t="n">
        <v>838</v>
      </c>
      <c r="B306" s="2" t="n">
        <v>44184.6048611111</v>
      </c>
      <c r="C306" s="3" t="n">
        <v>1</v>
      </c>
      <c r="F306" s="4" t="s">
        <v>90</v>
      </c>
      <c r="G306" s="1" t="n">
        <v>61</v>
      </c>
      <c r="H306" s="5" t="n">
        <v>59</v>
      </c>
      <c r="I306" s="5" t="n">
        <v>93</v>
      </c>
      <c r="J306" s="6" t="s">
        <v>62</v>
      </c>
      <c r="K306" s="5" t="n">
        <v>13</v>
      </c>
      <c r="L306" s="5" t="n">
        <v>0</v>
      </c>
      <c r="M306" s="3" t="s">
        <v>63</v>
      </c>
      <c r="N306" s="3" t="s">
        <v>150</v>
      </c>
      <c r="O306" s="3" t="s">
        <v>160</v>
      </c>
      <c r="P306" s="3" t="s">
        <v>112</v>
      </c>
      <c r="Q306" s="7" t="n">
        <v>6.32</v>
      </c>
      <c r="R306" s="5" t="n">
        <v>108</v>
      </c>
      <c r="S306" s="5" t="n">
        <v>13207</v>
      </c>
      <c r="T306" s="5" t="n">
        <f aca="false">S306-R306</f>
        <v>13099</v>
      </c>
      <c r="U306" s="7" t="n">
        <f aca="false">(60+42)/60</f>
        <v>1.7</v>
      </c>
      <c r="V306" s="7" t="n">
        <f aca="false">(60+55)/60</f>
        <v>1.91666666666667</v>
      </c>
      <c r="W306" s="7" t="n">
        <f aca="false">V306-U306</f>
        <v>0.216666666666667</v>
      </c>
      <c r="X306" s="7" t="n">
        <f aca="false">Q306/U306</f>
        <v>3.71764705882353</v>
      </c>
      <c r="Y306" s="3" t="n">
        <v>1</v>
      </c>
      <c r="Z306" s="7" t="n">
        <f aca="false">Q306/Y306</f>
        <v>6.32</v>
      </c>
      <c r="AA306" s="7" t="n">
        <f aca="false">16+4/60</f>
        <v>16.0666666666667</v>
      </c>
      <c r="AB306" s="5" t="n">
        <v>30</v>
      </c>
      <c r="AC306" s="5" t="n">
        <v>516</v>
      </c>
      <c r="AD306" s="5" t="n">
        <v>76</v>
      </c>
      <c r="AE306" s="3" t="n">
        <v>107</v>
      </c>
      <c r="AF306" s="7" t="n">
        <f aca="false">15+49/60</f>
        <v>15.8166666666667</v>
      </c>
      <c r="AG306" s="7" t="n">
        <f aca="false">16+2/60</f>
        <v>16.0333333333333</v>
      </c>
      <c r="AH306" s="8" t="n">
        <f aca="false">15+33/60</f>
        <v>15.55</v>
      </c>
      <c r="AI306" s="7" t="n">
        <f aca="false">17+27/60</f>
        <v>17.45</v>
      </c>
      <c r="AJ306" s="7" t="n">
        <f aca="false">15+25/60</f>
        <v>15.4166666666667</v>
      </c>
      <c r="AK306" s="7" t="n">
        <f aca="false">16+9/60</f>
        <v>16.15</v>
      </c>
      <c r="AL306" s="7" t="n">
        <f aca="false">60/3.7</f>
        <v>16.2162162162162</v>
      </c>
      <c r="AP306" s="3" t="n">
        <v>3</v>
      </c>
      <c r="AQ306" s="3" t="n">
        <v>0</v>
      </c>
      <c r="AR306" s="3" t="n">
        <v>0</v>
      </c>
      <c r="AS306" s="9" t="n">
        <f aca="false">60*U306-SUM(AT306:AX306)</f>
        <v>94.1833333333333</v>
      </c>
      <c r="AT306" s="7" t="n">
        <f aca="false">7+43/60</f>
        <v>7.71666666666667</v>
      </c>
      <c r="AU306" s="7" t="n">
        <f aca="false">6/60</f>
        <v>0.1</v>
      </c>
      <c r="AV306" s="7" t="n">
        <v>0</v>
      </c>
      <c r="AW306" s="7" t="n">
        <v>0</v>
      </c>
      <c r="AX306" s="7" t="n">
        <v>0</v>
      </c>
      <c r="AY306" s="3" t="s">
        <v>59</v>
      </c>
      <c r="AZ306" s="3" t="s">
        <v>60</v>
      </c>
      <c r="BA306" s="3" t="n">
        <v>0</v>
      </c>
    </row>
    <row r="307" customFormat="false" ht="16.9" hidden="false" customHeight="false" outlineLevel="0" collapsed="false">
      <c r="A307" s="1" t="n">
        <v>839</v>
      </c>
      <c r="B307" s="2" t="n">
        <v>44185.5722222222</v>
      </c>
      <c r="C307" s="3" t="n">
        <v>1</v>
      </c>
      <c r="F307" s="4" t="s">
        <v>71</v>
      </c>
      <c r="G307" s="5" t="n">
        <v>62</v>
      </c>
      <c r="H307" s="5" t="n">
        <v>35</v>
      </c>
      <c r="I307" s="5" t="n">
        <v>37</v>
      </c>
      <c r="J307" s="6" t="s">
        <v>68</v>
      </c>
      <c r="K307" s="5" t="n">
        <v>9</v>
      </c>
      <c r="L307" s="5" t="n">
        <v>20</v>
      </c>
      <c r="M307" s="3" t="s">
        <v>63</v>
      </c>
      <c r="N307" s="3" t="s">
        <v>150</v>
      </c>
      <c r="O307" s="3" t="s">
        <v>160</v>
      </c>
      <c r="P307" s="3" t="s">
        <v>87</v>
      </c>
      <c r="Q307" s="7" t="n">
        <v>4.51</v>
      </c>
      <c r="R307" s="5" t="n">
        <v>1331</v>
      </c>
      <c r="S307" s="5" t="n">
        <v>11095</v>
      </c>
      <c r="T307" s="5" t="n">
        <f aca="false">S307-R307</f>
        <v>9764</v>
      </c>
      <c r="U307" s="7" t="n">
        <f aca="false">75/60</f>
        <v>1.25</v>
      </c>
      <c r="V307" s="7" t="n">
        <f aca="false">75/60</f>
        <v>1.25</v>
      </c>
      <c r="W307" s="7" t="n">
        <f aca="false">V307-U307</f>
        <v>0</v>
      </c>
      <c r="X307" s="7" t="n">
        <f aca="false">Q307/U307</f>
        <v>3.608</v>
      </c>
      <c r="Y307" s="3" t="n">
        <v>1</v>
      </c>
      <c r="Z307" s="7" t="n">
        <f aca="false">Q307/Y307</f>
        <v>4.51</v>
      </c>
      <c r="AA307" s="7" t="n">
        <f aca="false">16+35/60</f>
        <v>16.5833333333333</v>
      </c>
      <c r="AB307" s="5" t="n">
        <v>56</v>
      </c>
      <c r="AC307" s="5" t="n">
        <v>471</v>
      </c>
      <c r="AD307" s="5" t="n">
        <v>94</v>
      </c>
      <c r="AE307" s="3" t="n">
        <v>129</v>
      </c>
      <c r="AF307" s="7" t="n">
        <f aca="false">16+35/60</f>
        <v>16.5833333333333</v>
      </c>
      <c r="AG307" s="7" t="n">
        <f aca="false">16+46/60</f>
        <v>16.7666666666667</v>
      </c>
      <c r="AH307" s="8" t="n">
        <f aca="false">16+31/60</f>
        <v>16.5166666666667</v>
      </c>
      <c r="AI307" s="7" t="n">
        <f aca="false">60/3.6</f>
        <v>16.6666666666667</v>
      </c>
      <c r="AP307" s="3" t="n">
        <v>0</v>
      </c>
      <c r="AQ307" s="3" t="n">
        <v>1</v>
      </c>
      <c r="AR307" s="3" t="n">
        <v>0</v>
      </c>
      <c r="AS307" s="9" t="n">
        <f aca="false">60*U307-SUM(AT307:AX307)</f>
        <v>52.55</v>
      </c>
      <c r="AT307" s="7" t="n">
        <f aca="false">20+2/60</f>
        <v>20.0333333333333</v>
      </c>
      <c r="AU307" s="7" t="n">
        <f aca="false">2+25/60</f>
        <v>2.41666666666667</v>
      </c>
      <c r="AV307" s="7" t="n">
        <v>0</v>
      </c>
      <c r="AW307" s="7" t="n">
        <v>0</v>
      </c>
      <c r="AX307" s="7" t="n">
        <v>0</v>
      </c>
      <c r="AY307" s="3" t="s">
        <v>59</v>
      </c>
      <c r="AZ307" s="3" t="s">
        <v>60</v>
      </c>
      <c r="BA307" s="3" t="n">
        <v>0</v>
      </c>
    </row>
    <row r="308" customFormat="false" ht="16.9" hidden="false" customHeight="false" outlineLevel="0" collapsed="false">
      <c r="A308" s="1" t="n">
        <v>840</v>
      </c>
      <c r="B308" s="2" t="n">
        <v>44186.6125</v>
      </c>
      <c r="C308" s="3" t="n">
        <v>1</v>
      </c>
      <c r="F308" s="4" t="s">
        <v>120</v>
      </c>
      <c r="G308" s="5" t="n">
        <v>71</v>
      </c>
      <c r="H308" s="5" t="n">
        <v>28</v>
      </c>
      <c r="I308" s="5" t="n">
        <v>20</v>
      </c>
      <c r="J308" s="4" t="s">
        <v>80</v>
      </c>
      <c r="K308" s="5" t="n">
        <v>8</v>
      </c>
      <c r="L308" s="5" t="n">
        <v>0</v>
      </c>
      <c r="M308" s="3" t="s">
        <v>63</v>
      </c>
      <c r="N308" s="3" t="s">
        <v>150</v>
      </c>
      <c r="O308" s="3" t="s">
        <v>160</v>
      </c>
      <c r="P308" s="3" t="s">
        <v>126</v>
      </c>
      <c r="Q308" s="7" t="n">
        <v>6.43</v>
      </c>
      <c r="R308" s="5" t="n">
        <v>1237</v>
      </c>
      <c r="S308" s="5" t="n">
        <v>14479</v>
      </c>
      <c r="T308" s="5" t="n">
        <f aca="false">S308-R308</f>
        <v>13242</v>
      </c>
      <c r="U308" s="7" t="n">
        <f aca="false">(60+45)/60</f>
        <v>1.75</v>
      </c>
      <c r="V308" s="7" t="n">
        <f aca="false">(60+52)/60</f>
        <v>1.86666666666667</v>
      </c>
      <c r="W308" s="7" t="n">
        <f aca="false">V308-U308</f>
        <v>0.116666666666667</v>
      </c>
      <c r="X308" s="7" t="n">
        <f aca="false">Q308/U308</f>
        <v>3.67428571428571</v>
      </c>
      <c r="Y308" s="3" t="n">
        <v>1</v>
      </c>
      <c r="Z308" s="7" t="n">
        <f aca="false">Q308/Y308</f>
        <v>6.43</v>
      </c>
      <c r="AA308" s="7" t="n">
        <f aca="false">16+21/60</f>
        <v>16.35</v>
      </c>
      <c r="AB308" s="5" t="n">
        <v>151</v>
      </c>
      <c r="AC308" s="5" t="n">
        <v>690</v>
      </c>
      <c r="AD308" s="5" t="n">
        <v>119</v>
      </c>
      <c r="AE308" s="3" t="n">
        <v>141</v>
      </c>
      <c r="AF308" s="7" t="n">
        <f aca="false">16+4/60</f>
        <v>16.0666666666667</v>
      </c>
      <c r="AG308" s="7" t="n">
        <f aca="false">15+58/60</f>
        <v>15.9666666666667</v>
      </c>
      <c r="AH308" s="8" t="n">
        <f aca="false">16+54/60</f>
        <v>16.9</v>
      </c>
      <c r="AI308" s="7" t="n">
        <f aca="false">16+44/60</f>
        <v>16.7333333333333</v>
      </c>
      <c r="AJ308" s="7" t="n">
        <f aca="false">16+15/60</f>
        <v>16.25</v>
      </c>
      <c r="AK308" s="7" t="n">
        <f aca="false">60/3.7</f>
        <v>16.2162162162162</v>
      </c>
      <c r="AP308" s="3" t="n">
        <v>0</v>
      </c>
      <c r="AQ308" s="3" t="n">
        <v>0</v>
      </c>
      <c r="AR308" s="3" t="n">
        <v>0</v>
      </c>
      <c r="AS308" s="9" t="n">
        <f aca="false">60*U308-SUM(AT308:AX308)</f>
        <v>0</v>
      </c>
      <c r="AT308" s="7" t="n">
        <f aca="false">13+13/60</f>
        <v>13.2166666666667</v>
      </c>
      <c r="AU308" s="7" t="n">
        <f aca="false">58</f>
        <v>58</v>
      </c>
      <c r="AV308" s="7" t="n">
        <f aca="false">33+50/60-0.05</f>
        <v>33.7833333333333</v>
      </c>
      <c r="AW308" s="7" t="n">
        <v>0</v>
      </c>
      <c r="AX308" s="7" t="n">
        <v>0</v>
      </c>
      <c r="AY308" s="3" t="s">
        <v>59</v>
      </c>
      <c r="AZ308" s="3" t="s">
        <v>60</v>
      </c>
      <c r="BA308" s="3" t="n">
        <v>0</v>
      </c>
    </row>
    <row r="309" customFormat="false" ht="16.9" hidden="false" customHeight="false" outlineLevel="0" collapsed="false">
      <c r="A309" s="1" t="n">
        <v>841</v>
      </c>
      <c r="B309" s="2" t="n">
        <v>44187.5652777778</v>
      </c>
      <c r="C309" s="3" t="n">
        <v>1</v>
      </c>
      <c r="F309" s="4" t="s">
        <v>61</v>
      </c>
      <c r="G309" s="1" t="n">
        <v>71</v>
      </c>
      <c r="H309" s="5" t="n">
        <v>43</v>
      </c>
      <c r="I309" s="5" t="n">
        <v>40</v>
      </c>
      <c r="J309" s="6" t="s">
        <v>62</v>
      </c>
      <c r="K309" s="5" t="n">
        <v>21</v>
      </c>
      <c r="L309" s="5" t="n">
        <v>29</v>
      </c>
      <c r="M309" s="3" t="s">
        <v>63</v>
      </c>
      <c r="N309" s="3" t="s">
        <v>150</v>
      </c>
      <c r="O309" s="3" t="s">
        <v>160</v>
      </c>
      <c r="P309" s="3" t="s">
        <v>155</v>
      </c>
      <c r="Q309" s="7" t="n">
        <v>4.56</v>
      </c>
      <c r="R309" s="5" t="n">
        <v>1221</v>
      </c>
      <c r="S309" s="5" t="n">
        <v>10725</v>
      </c>
      <c r="T309" s="5" t="n">
        <f aca="false">S309-R309</f>
        <v>9504</v>
      </c>
      <c r="U309" s="7" t="n">
        <f aca="false">(60+14)/60</f>
        <v>1.23333333333333</v>
      </c>
      <c r="V309" s="7" t="n">
        <f aca="false">(60+18)/60</f>
        <v>1.3</v>
      </c>
      <c r="W309" s="7" t="n">
        <f aca="false">V309-U309</f>
        <v>0.0666666666666667</v>
      </c>
      <c r="X309" s="7" t="n">
        <f aca="false">Q309/U309</f>
        <v>3.6972972972973</v>
      </c>
      <c r="Y309" s="3" t="n">
        <v>1</v>
      </c>
      <c r="Z309" s="7" t="n">
        <f aca="false">Q309/Y309</f>
        <v>4.56</v>
      </c>
      <c r="AA309" s="7" t="n">
        <f aca="false">16+12/60</f>
        <v>16.2</v>
      </c>
      <c r="AB309" s="5" t="n">
        <v>43</v>
      </c>
      <c r="AC309" s="5" t="n">
        <v>490</v>
      </c>
      <c r="AD309" s="5" t="n">
        <v>117</v>
      </c>
      <c r="AE309" s="3" t="n">
        <v>132</v>
      </c>
      <c r="AF309" s="7" t="n">
        <f aca="false">15+45/60</f>
        <v>15.75</v>
      </c>
      <c r="AG309" s="7" t="n">
        <f aca="false">16+51/60</f>
        <v>16.85</v>
      </c>
      <c r="AH309" s="8" t="n">
        <f aca="false">16+28/60</f>
        <v>16.4666666666667</v>
      </c>
      <c r="AI309" s="7" t="n">
        <f aca="false">15+43.5/60</f>
        <v>15.725</v>
      </c>
      <c r="AJ309" s="7" t="n">
        <f aca="false">60/3.7</f>
        <v>16.2162162162162</v>
      </c>
      <c r="AP309" s="3" t="n">
        <v>2</v>
      </c>
      <c r="AQ309" s="3" t="n">
        <v>0</v>
      </c>
      <c r="AR309" s="3" t="n">
        <v>0</v>
      </c>
      <c r="AS309" s="9" t="n">
        <f aca="false">60*U309-SUM(AT309:AX309)</f>
        <v>0</v>
      </c>
      <c r="AT309" s="7" t="n">
        <f aca="false">12+42/60</f>
        <v>12.7</v>
      </c>
      <c r="AU309" s="7" t="n">
        <f aca="false">49+24/60</f>
        <v>49.4</v>
      </c>
      <c r="AV309" s="7" t="n">
        <f aca="false">11.9</f>
        <v>11.9</v>
      </c>
      <c r="AW309" s="7" t="n">
        <v>0</v>
      </c>
      <c r="AX309" s="7" t="n">
        <v>0</v>
      </c>
      <c r="AY309" s="3" t="s">
        <v>59</v>
      </c>
      <c r="AZ309" s="3" t="s">
        <v>60</v>
      </c>
      <c r="BA309" s="3" t="n">
        <v>0</v>
      </c>
    </row>
    <row r="310" customFormat="false" ht="16.9" hidden="false" customHeight="false" outlineLevel="0" collapsed="false">
      <c r="A310" s="1" t="n">
        <v>842</v>
      </c>
      <c r="B310" s="2" t="n">
        <v>44188.5625</v>
      </c>
      <c r="C310" s="3" t="n">
        <v>1</v>
      </c>
      <c r="F310" s="4" t="s">
        <v>54</v>
      </c>
      <c r="G310" s="5" t="n">
        <v>62</v>
      </c>
      <c r="H310" s="5" t="n">
        <v>32</v>
      </c>
      <c r="I310" s="5" t="n">
        <v>32</v>
      </c>
      <c r="J310" s="6" t="s">
        <v>68</v>
      </c>
      <c r="K310" s="5" t="n">
        <v>24</v>
      </c>
      <c r="L310" s="5" t="n">
        <v>33</v>
      </c>
      <c r="M310" s="3" t="s">
        <v>63</v>
      </c>
      <c r="N310" s="3" t="s">
        <v>150</v>
      </c>
      <c r="O310" s="3" t="s">
        <v>160</v>
      </c>
      <c r="P310" s="3" t="s">
        <v>152</v>
      </c>
      <c r="Q310" s="7" t="n">
        <v>8.39</v>
      </c>
      <c r="R310" s="5" t="n">
        <v>98</v>
      </c>
      <c r="S310" s="5" t="n">
        <v>18150</v>
      </c>
      <c r="T310" s="5" t="n">
        <f aca="false">S310-R310</f>
        <v>18052</v>
      </c>
      <c r="U310" s="7" t="n">
        <f aca="false">(120+16)/60</f>
        <v>2.26666666666667</v>
      </c>
      <c r="V310" s="7" t="n">
        <f aca="false">(120+24)/60</f>
        <v>2.4</v>
      </c>
      <c r="W310" s="7" t="n">
        <f aca="false">V310-U310</f>
        <v>0.133333333333333</v>
      </c>
      <c r="X310" s="7" t="n">
        <f aca="false">Q310/U310</f>
        <v>3.70147058823529</v>
      </c>
      <c r="Y310" s="3" t="n">
        <v>1</v>
      </c>
      <c r="Z310" s="7" t="n">
        <f aca="false">Q310/Y310</f>
        <v>8.39</v>
      </c>
      <c r="AA310" s="7" t="n">
        <f aca="false">16+9/60</f>
        <v>16.15</v>
      </c>
      <c r="AB310" s="5" t="n">
        <v>33</v>
      </c>
      <c r="AC310" s="5" t="n">
        <v>882</v>
      </c>
      <c r="AD310" s="5" t="n">
        <v>91</v>
      </c>
      <c r="AE310" s="3" t="n">
        <v>123</v>
      </c>
      <c r="AF310" s="7" t="n">
        <f aca="false">15+54/60</f>
        <v>15.9</v>
      </c>
      <c r="AG310" s="7" t="n">
        <f aca="false">15+52/60</f>
        <v>15.8666666666667</v>
      </c>
      <c r="AH310" s="8" t="n">
        <f aca="false">16</f>
        <v>16</v>
      </c>
      <c r="AI310" s="7" t="n">
        <f aca="false">15+50/60</f>
        <v>15.8333333333333</v>
      </c>
      <c r="AJ310" s="7" t="n">
        <f aca="false">16+8/60</f>
        <v>16.1333333333333</v>
      </c>
      <c r="AK310" s="7" t="n">
        <f aca="false">16+45/60</f>
        <v>16.75</v>
      </c>
      <c r="AL310" s="7" t="n">
        <f aca="false">15+42/60</f>
        <v>15.7</v>
      </c>
      <c r="AM310" s="7" t="n">
        <f aca="false">16+56/60</f>
        <v>16.9333333333333</v>
      </c>
      <c r="AN310" s="7" t="n">
        <f aca="false">60/3.7</f>
        <v>16.2162162162162</v>
      </c>
      <c r="AP310" s="3" t="n">
        <v>2</v>
      </c>
      <c r="AQ310" s="3" t="n">
        <v>0</v>
      </c>
      <c r="AR310" s="3" t="n">
        <v>0</v>
      </c>
      <c r="AS310" s="9" t="n">
        <f aca="false">60*U310-SUM(AT310:AX310)</f>
        <v>55.6</v>
      </c>
      <c r="AT310" s="7" t="n">
        <f aca="false">65+5/12</f>
        <v>65.4166666666667</v>
      </c>
      <c r="AU310" s="7" t="n">
        <f aca="false">14+59/60</f>
        <v>14.9833333333333</v>
      </c>
      <c r="AV310" s="7" t="n">
        <v>0</v>
      </c>
      <c r="AW310" s="7" t="n">
        <v>0</v>
      </c>
      <c r="AX310" s="7" t="n">
        <v>0</v>
      </c>
      <c r="AY310" s="3" t="s">
        <v>59</v>
      </c>
      <c r="AZ310" s="3" t="s">
        <v>60</v>
      </c>
      <c r="BA310" s="3" t="n">
        <v>0</v>
      </c>
    </row>
    <row r="311" customFormat="false" ht="16.9" hidden="false" customHeight="false" outlineLevel="0" collapsed="false">
      <c r="A311" s="1" t="n">
        <v>843</v>
      </c>
      <c r="B311" s="2" t="n">
        <v>44189.4951388889</v>
      </c>
      <c r="C311" s="3" t="n">
        <v>0</v>
      </c>
      <c r="D311" s="3" t="s">
        <v>122</v>
      </c>
      <c r="F311" s="4" t="s">
        <v>71</v>
      </c>
      <c r="G311" s="5" t="n">
        <v>45</v>
      </c>
      <c r="H311" s="5" t="n">
        <v>8</v>
      </c>
      <c r="I311" s="5" t="n">
        <v>22</v>
      </c>
      <c r="J311" s="6" t="s">
        <v>68</v>
      </c>
      <c r="K311" s="5" t="n">
        <v>15</v>
      </c>
      <c r="L311" s="5" t="n">
        <v>0</v>
      </c>
      <c r="M311" s="3" t="s">
        <v>63</v>
      </c>
    </row>
    <row r="312" customFormat="false" ht="16.9" hidden="false" customHeight="false" outlineLevel="0" collapsed="false">
      <c r="A312" s="1" t="n">
        <v>844</v>
      </c>
      <c r="B312" s="2" t="n">
        <v>44190.5770833333</v>
      </c>
      <c r="C312" s="3" t="n">
        <v>1</v>
      </c>
      <c r="F312" s="4" t="s">
        <v>120</v>
      </c>
      <c r="G312" s="1" t="n">
        <v>56</v>
      </c>
      <c r="H312" s="5" t="n">
        <v>24</v>
      </c>
      <c r="I312" s="5" t="n">
        <v>29</v>
      </c>
      <c r="J312" s="4" t="s">
        <v>80</v>
      </c>
      <c r="K312" s="5" t="n">
        <v>9</v>
      </c>
      <c r="L312" s="5" t="n">
        <v>0</v>
      </c>
      <c r="M312" s="3" t="s">
        <v>63</v>
      </c>
      <c r="N312" s="3" t="s">
        <v>150</v>
      </c>
      <c r="O312" s="3" t="s">
        <v>160</v>
      </c>
      <c r="P312" s="3" t="s">
        <v>87</v>
      </c>
      <c r="Q312" s="7" t="n">
        <v>4.54</v>
      </c>
      <c r="R312" s="5" t="n">
        <f aca="false">659+4</f>
        <v>663</v>
      </c>
      <c r="S312" s="5" t="n">
        <v>10377</v>
      </c>
      <c r="T312" s="5" t="n">
        <f aca="false">S312-R312</f>
        <v>9714</v>
      </c>
      <c r="U312" s="7" t="n">
        <f aca="false">(60+16)/60</f>
        <v>1.26666666666667</v>
      </c>
      <c r="V312" s="7" t="n">
        <f aca="false">(60+17)/60</f>
        <v>1.28333333333333</v>
      </c>
      <c r="W312" s="7" t="n">
        <f aca="false">V312-U312</f>
        <v>0.0166666666666668</v>
      </c>
      <c r="X312" s="7" t="n">
        <f aca="false">Q312/U312</f>
        <v>3.58421052631579</v>
      </c>
      <c r="Y312" s="3" t="n">
        <v>1</v>
      </c>
      <c r="Z312" s="7" t="n">
        <f aca="false">Q312/Y312</f>
        <v>4.54</v>
      </c>
      <c r="AA312" s="7" t="n">
        <f aca="false">16+50/60</f>
        <v>16.8333333333333</v>
      </c>
      <c r="AB312" s="5" t="n">
        <v>79</v>
      </c>
      <c r="AC312" s="5" t="n">
        <v>450</v>
      </c>
      <c r="AD312" s="5" t="n">
        <v>77</v>
      </c>
      <c r="AE312" s="3" t="n">
        <v>135</v>
      </c>
      <c r="AF312" s="7" t="n">
        <f aca="false">16+36/60</f>
        <v>16.6</v>
      </c>
      <c r="AG312" s="7" t="n">
        <f aca="false">16+3/609</f>
        <v>16.0049261083744</v>
      </c>
      <c r="AH312" s="8" t="n">
        <f aca="false">16+55/60</f>
        <v>16.9166666666667</v>
      </c>
      <c r="AI312" s="7" t="n">
        <f aca="false">60/3.6</f>
        <v>16.6666666666667</v>
      </c>
      <c r="AP312" s="3" t="n">
        <v>0</v>
      </c>
      <c r="AQ312" s="3" t="n">
        <v>0</v>
      </c>
      <c r="AR312" s="3" t="n">
        <v>0</v>
      </c>
      <c r="AS312" s="9" t="n">
        <f aca="false">60*U312-SUM(AT312:AX312)</f>
        <v>52.2833333333333</v>
      </c>
      <c r="AT312" s="7" t="n">
        <f aca="false">22+30/60</f>
        <v>22.5</v>
      </c>
      <c r="AU312" s="7" t="n">
        <f aca="false">49/60</f>
        <v>0.816666666666667</v>
      </c>
      <c r="AV312" s="7" t="n">
        <f aca="false">24/60</f>
        <v>0.4</v>
      </c>
      <c r="AW312" s="7" t="n">
        <v>0</v>
      </c>
      <c r="AX312" s="7" t="n">
        <v>0</v>
      </c>
      <c r="AY312" s="3" t="s">
        <v>59</v>
      </c>
      <c r="AZ312" s="3" t="s">
        <v>60</v>
      </c>
      <c r="BA312" s="3" t="n">
        <v>0</v>
      </c>
    </row>
    <row r="313" customFormat="false" ht="16.9" hidden="false" customHeight="false" outlineLevel="0" collapsed="false">
      <c r="A313" s="1" t="n">
        <v>845</v>
      </c>
      <c r="B313" s="2" t="n">
        <v>44191.5159722222</v>
      </c>
      <c r="C313" s="3" t="n">
        <v>1</v>
      </c>
      <c r="F313" s="4" t="s">
        <v>120</v>
      </c>
      <c r="G313" s="1" t="n">
        <v>68</v>
      </c>
      <c r="H313" s="5" t="n">
        <v>21</v>
      </c>
      <c r="I313" s="5" t="n">
        <v>17</v>
      </c>
      <c r="J313" s="6" t="s">
        <v>62</v>
      </c>
      <c r="K313" s="5" t="n">
        <v>18</v>
      </c>
      <c r="L313" s="5" t="n">
        <v>24</v>
      </c>
      <c r="M313" s="3" t="s">
        <v>63</v>
      </c>
      <c r="N313" s="3" t="s">
        <v>150</v>
      </c>
      <c r="O313" s="3" t="s">
        <v>160</v>
      </c>
      <c r="P313" s="3" t="s">
        <v>94</v>
      </c>
      <c r="Q313" s="7" t="n">
        <v>9.35</v>
      </c>
      <c r="R313" s="5" t="n">
        <v>689</v>
      </c>
      <c r="S313" s="5" t="n">
        <v>20454</v>
      </c>
      <c r="T313" s="5" t="n">
        <f aca="false">S313-R313</f>
        <v>19765</v>
      </c>
      <c r="U313" s="7" t="n">
        <f aca="false">(120+38)/60</f>
        <v>2.63333333333333</v>
      </c>
      <c r="V313" s="7" t="n">
        <f aca="false">(120+53)/60</f>
        <v>2.88333333333333</v>
      </c>
      <c r="W313" s="7" t="n">
        <f aca="false">V313-U313</f>
        <v>0.25</v>
      </c>
      <c r="X313" s="7" t="n">
        <f aca="false">Q313/U313</f>
        <v>3.5506329113924</v>
      </c>
      <c r="Y313" s="3" t="n">
        <v>1</v>
      </c>
      <c r="Z313" s="7" t="n">
        <f aca="false">Q313/Y313</f>
        <v>9.35</v>
      </c>
      <c r="AA313" s="7" t="n">
        <f aca="false">16+55/60</f>
        <v>16.9166666666667</v>
      </c>
      <c r="AB313" s="5" t="n">
        <v>135</v>
      </c>
      <c r="AC313" s="5" t="n">
        <v>694</v>
      </c>
      <c r="AD313" s="5" t="n">
        <v>82</v>
      </c>
      <c r="AE313" s="3" t="n">
        <v>138</v>
      </c>
      <c r="AF313" s="7" t="n">
        <f aca="false">16+33/60</f>
        <v>16.55</v>
      </c>
      <c r="AG313" s="7" t="n">
        <f aca="false">16+18/60</f>
        <v>16.3</v>
      </c>
      <c r="AH313" s="8" t="n">
        <f aca="false">16+32/60</f>
        <v>16.5333333333333</v>
      </c>
      <c r="AI313" s="7" t="n">
        <f aca="false">16+23/60</f>
        <v>16.3833333333333</v>
      </c>
      <c r="AJ313" s="7" t="n">
        <f aca="false">17</f>
        <v>17</v>
      </c>
      <c r="AK313" s="7" t="n">
        <f aca="false">17+29/60</f>
        <v>17.4833333333333</v>
      </c>
      <c r="AL313" s="7" t="n">
        <f aca="false">17+51/60</f>
        <v>17.85</v>
      </c>
      <c r="AM313" s="7" t="n">
        <f aca="false">16+59/60</f>
        <v>16.9833333333333</v>
      </c>
      <c r="AN313" s="7" t="n">
        <f aca="false">60/3.5</f>
        <v>17.1428571428571</v>
      </c>
      <c r="AP313" s="3" t="n">
        <v>4</v>
      </c>
      <c r="AQ313" s="3" t="n">
        <v>0</v>
      </c>
      <c r="AR313" s="3" t="n">
        <v>0</v>
      </c>
      <c r="AS313" s="9" t="n">
        <f aca="false">60*U313-SUM(AT313:AX313)</f>
        <v>109.116666666667</v>
      </c>
      <c r="AT313" s="7" t="n">
        <f aca="false">27+10/60</f>
        <v>27.1666666666667</v>
      </c>
      <c r="AU313" s="7" t="n">
        <f aca="false">15+37/60</f>
        <v>15.6166666666667</v>
      </c>
      <c r="AV313" s="7" t="n">
        <f aca="false">6+6/60</f>
        <v>6.1</v>
      </c>
      <c r="AW313" s="7" t="n">
        <v>0</v>
      </c>
      <c r="AX313" s="7" t="n">
        <v>0</v>
      </c>
      <c r="AY313" s="3" t="s">
        <v>59</v>
      </c>
      <c r="AZ313" s="3" t="s">
        <v>60</v>
      </c>
      <c r="BA313" s="3" t="n">
        <v>0</v>
      </c>
    </row>
    <row r="314" customFormat="false" ht="16.9" hidden="false" customHeight="false" outlineLevel="0" collapsed="false">
      <c r="A314" s="1" t="n">
        <v>846</v>
      </c>
      <c r="B314" s="2" t="n">
        <v>44192.6784722222</v>
      </c>
      <c r="C314" s="3" t="n">
        <v>1</v>
      </c>
      <c r="F314" s="4" t="s">
        <v>120</v>
      </c>
      <c r="G314" s="5" t="n">
        <v>73</v>
      </c>
      <c r="H314" s="5" t="n">
        <v>26</v>
      </c>
      <c r="I314" s="5" t="n">
        <v>17</v>
      </c>
      <c r="J314" s="6" t="s">
        <v>68</v>
      </c>
      <c r="K314" s="5" t="n">
        <v>13</v>
      </c>
      <c r="L314" s="5" t="n">
        <v>0</v>
      </c>
      <c r="M314" s="3" t="s">
        <v>63</v>
      </c>
      <c r="N314" s="3" t="s">
        <v>150</v>
      </c>
      <c r="O314" s="3" t="s">
        <v>149</v>
      </c>
      <c r="P314" s="3" t="s">
        <v>64</v>
      </c>
      <c r="Q314" s="7" t="n">
        <v>4.72</v>
      </c>
      <c r="R314" s="5" t="n">
        <v>560</v>
      </c>
      <c r="S314" s="5" t="n">
        <v>10658</v>
      </c>
      <c r="T314" s="5" t="n">
        <f aca="false">S314-R314</f>
        <v>10098</v>
      </c>
      <c r="U314" s="7" t="n">
        <f aca="false">72/60</f>
        <v>1.2</v>
      </c>
      <c r="V314" s="7" t="n">
        <f aca="false">74/60</f>
        <v>1.23333333333333</v>
      </c>
      <c r="W314" s="7" t="n">
        <f aca="false">V314-U314</f>
        <v>0.0333333333333334</v>
      </c>
      <c r="X314" s="7" t="n">
        <f aca="false">Q314/U314</f>
        <v>3.93333333333333</v>
      </c>
      <c r="Y314" s="3" t="n">
        <v>1</v>
      </c>
      <c r="Z314" s="7" t="n">
        <f aca="false">Q314/Y314</f>
        <v>4.72</v>
      </c>
      <c r="AA314" s="7" t="n">
        <f aca="false">15+16/60</f>
        <v>15.2666666666667</v>
      </c>
      <c r="AB314" s="5" t="n">
        <v>89</v>
      </c>
      <c r="AC314" s="5" t="n">
        <v>501</v>
      </c>
      <c r="AD314" s="5" t="n">
        <v>92</v>
      </c>
      <c r="AE314" s="3" t="n">
        <v>111</v>
      </c>
      <c r="AF314" s="7" t="n">
        <f aca="false">14+59/60</f>
        <v>14.9833333333333</v>
      </c>
      <c r="AG314" s="7" t="n">
        <f aca="false">15+17/60</f>
        <v>15.2833333333333</v>
      </c>
      <c r="AH314" s="8" t="n">
        <f aca="false">15+13/60</f>
        <v>15.2166666666667</v>
      </c>
      <c r="AI314" s="7" t="n">
        <f aca="false">15+32/60</f>
        <v>15.5333333333333</v>
      </c>
      <c r="AJ314" s="7" t="n">
        <f aca="false">60/3.9</f>
        <v>15.3846153846154</v>
      </c>
      <c r="AP314" s="3" t="n">
        <v>1</v>
      </c>
      <c r="AQ314" s="3" t="n">
        <v>0</v>
      </c>
      <c r="AR314" s="3" t="n">
        <v>0</v>
      </c>
      <c r="AS314" s="9" t="n">
        <f aca="false">60*U314-SUM(AT314:AX314)</f>
        <v>27.4833333333333</v>
      </c>
      <c r="AT314" s="7" t="n">
        <f aca="false">43+31/60</f>
        <v>43.5166666666667</v>
      </c>
      <c r="AU314" s="7" t="s">
        <v>161</v>
      </c>
      <c r="AV314" s="7" t="n">
        <v>1</v>
      </c>
      <c r="AW314" s="7" t="n">
        <v>0</v>
      </c>
      <c r="AX314" s="7" t="n">
        <v>0</v>
      </c>
      <c r="AY314" s="3" t="s">
        <v>59</v>
      </c>
      <c r="AZ314" s="3" t="s">
        <v>60</v>
      </c>
      <c r="BA314" s="3" t="n">
        <v>0</v>
      </c>
    </row>
    <row r="315" customFormat="false" ht="16.9" hidden="false" customHeight="false" outlineLevel="0" collapsed="false">
      <c r="A315" s="1" t="n">
        <v>847</v>
      </c>
      <c r="B315" s="2" t="n">
        <v>44193.5020833333</v>
      </c>
      <c r="C315" s="3" t="n">
        <v>1</v>
      </c>
      <c r="F315" s="4" t="s">
        <v>61</v>
      </c>
      <c r="G315" s="5" t="n">
        <v>57</v>
      </c>
      <c r="H315" s="5" t="n">
        <v>34</v>
      </c>
      <c r="I315" s="5" t="n">
        <v>42</v>
      </c>
      <c r="J315" s="6" t="s">
        <v>101</v>
      </c>
      <c r="K315" s="5" t="n">
        <v>10</v>
      </c>
      <c r="L315" s="5" t="n">
        <v>0</v>
      </c>
      <c r="M315" s="3" t="s">
        <v>63</v>
      </c>
      <c r="N315" s="3" t="s">
        <v>150</v>
      </c>
      <c r="O315" s="3" t="s">
        <v>160</v>
      </c>
      <c r="P315" s="3" t="s">
        <v>109</v>
      </c>
      <c r="Q315" s="7" t="n">
        <v>4.47</v>
      </c>
      <c r="R315" s="5" t="n">
        <v>772</v>
      </c>
      <c r="S315" s="5" t="n">
        <v>9989</v>
      </c>
      <c r="T315" s="5" t="n">
        <f aca="false">S315-R315</f>
        <v>9217</v>
      </c>
      <c r="U315" s="7" t="n">
        <f aca="false">70/60</f>
        <v>1.16666666666667</v>
      </c>
      <c r="V315" s="7" t="n">
        <f aca="false">72/60</f>
        <v>1.2</v>
      </c>
      <c r="W315" s="7" t="n">
        <f aca="false">V315-U315</f>
        <v>0.0333333333333332</v>
      </c>
      <c r="X315" s="7" t="n">
        <f aca="false">Q315/U315</f>
        <v>3.83142857142857</v>
      </c>
      <c r="Y315" s="3" t="n">
        <v>4</v>
      </c>
      <c r="Z315" s="7" t="n">
        <f aca="false">Q315/Y315</f>
        <v>1.1175</v>
      </c>
      <c r="AA315" s="7" t="n">
        <f aca="false">15+43/60</f>
        <v>15.7166666666667</v>
      </c>
      <c r="AB315" s="5" t="n">
        <v>92</v>
      </c>
      <c r="AC315" s="5" t="n">
        <v>475</v>
      </c>
      <c r="AD315" s="5" t="n">
        <v>97</v>
      </c>
      <c r="AE315" s="3" t="n">
        <v>112</v>
      </c>
      <c r="AF315" s="7" t="n">
        <f aca="false">15+25/60</f>
        <v>15.4166666666667</v>
      </c>
      <c r="AG315" s="7" t="n">
        <f aca="false">16+16/60</f>
        <v>16.2666666666667</v>
      </c>
      <c r="AH315" s="8" t="n">
        <f aca="false">15+42/60</f>
        <v>15.7</v>
      </c>
      <c r="AI315" s="7" t="n">
        <f aca="false">15+39/60</f>
        <v>15.65</v>
      </c>
      <c r="AJ315" s="7" t="n">
        <f aca="false">60/3.9</f>
        <v>15.3846153846154</v>
      </c>
      <c r="AP315" s="3" t="n">
        <v>1</v>
      </c>
      <c r="AQ315" s="3" t="n">
        <v>0</v>
      </c>
      <c r="AR315" s="3" t="n">
        <v>0</v>
      </c>
      <c r="AS315" s="9" t="n">
        <f aca="false">60*U315-SUM(AT315:AX315)</f>
        <v>4.3</v>
      </c>
      <c r="AT315" s="7" t="n">
        <f aca="false">64</f>
        <v>64</v>
      </c>
      <c r="AU315" s="7" t="n">
        <f aca="false">1+42/60</f>
        <v>1.7</v>
      </c>
      <c r="AV315" s="7" t="n">
        <v>0</v>
      </c>
      <c r="AW315" s="7" t="n">
        <v>0</v>
      </c>
      <c r="AX315" s="7" t="n">
        <v>0</v>
      </c>
      <c r="AY315" s="3" t="s">
        <v>59</v>
      </c>
      <c r="AZ315" s="3" t="s">
        <v>60</v>
      </c>
      <c r="BA315" s="3" t="n">
        <v>0</v>
      </c>
    </row>
    <row r="316" customFormat="false" ht="16.9" hidden="false" customHeight="false" outlineLevel="0" collapsed="false">
      <c r="A316" s="1" t="n">
        <v>848</v>
      </c>
      <c r="B316" s="2" t="n">
        <v>44194.4951388889</v>
      </c>
      <c r="C316" s="3" t="n">
        <v>0</v>
      </c>
      <c r="F316" s="4" t="s">
        <v>120</v>
      </c>
      <c r="G316" s="5" t="n">
        <v>68</v>
      </c>
      <c r="H316" s="5" t="n">
        <v>55</v>
      </c>
      <c r="I316" s="5" t="n">
        <v>75</v>
      </c>
      <c r="J316" s="4" t="s">
        <v>108</v>
      </c>
      <c r="K316" s="5" t="n">
        <v>18</v>
      </c>
      <c r="L316" s="5" t="n">
        <v>25</v>
      </c>
      <c r="M316" s="3" t="s">
        <v>63</v>
      </c>
    </row>
    <row r="317" customFormat="false" ht="16.9" hidden="false" customHeight="false" outlineLevel="0" collapsed="false">
      <c r="A317" s="1" t="n">
        <v>849</v>
      </c>
      <c r="B317" s="2" t="n">
        <v>44195.4951388889</v>
      </c>
      <c r="C317" s="3" t="n">
        <v>0</v>
      </c>
      <c r="D317" s="3" t="s">
        <v>95</v>
      </c>
      <c r="F317" s="4" t="s">
        <v>84</v>
      </c>
      <c r="G317" s="5" t="n">
        <v>45</v>
      </c>
      <c r="H317" s="5" t="n">
        <v>42</v>
      </c>
      <c r="I317" s="5" t="n">
        <v>90</v>
      </c>
      <c r="J317" s="6" t="s">
        <v>83</v>
      </c>
      <c r="K317" s="5" t="n">
        <v>20</v>
      </c>
      <c r="L317" s="5" t="n">
        <v>32</v>
      </c>
      <c r="M317" s="3" t="s">
        <v>84</v>
      </c>
    </row>
    <row r="318" customFormat="false" ht="16.9" hidden="false" customHeight="false" outlineLevel="0" collapsed="false">
      <c r="A318" s="1" t="n">
        <v>850</v>
      </c>
      <c r="B318" s="2" t="n">
        <v>44196.4951388889</v>
      </c>
      <c r="C318" s="3" t="n">
        <v>0</v>
      </c>
      <c r="D318" s="3" t="s">
        <v>95</v>
      </c>
      <c r="F318" s="4" t="s">
        <v>163</v>
      </c>
      <c r="G318" s="5" t="n">
        <v>37</v>
      </c>
      <c r="H318" s="5" t="n">
        <v>36</v>
      </c>
      <c r="I318" s="5" t="n">
        <v>96</v>
      </c>
      <c r="J318" s="6" t="s">
        <v>83</v>
      </c>
      <c r="K318" s="5" t="n">
        <v>15</v>
      </c>
      <c r="L318" s="5" t="n">
        <v>0</v>
      </c>
      <c r="M318" s="3" t="s">
        <v>163</v>
      </c>
    </row>
    <row r="319" customFormat="false" ht="16.9" hidden="false" customHeight="false" outlineLevel="0" collapsed="false">
      <c r="A319" s="1" t="n">
        <v>851</v>
      </c>
      <c r="B319" s="2" t="n">
        <f aca="false">B318+1</f>
        <v>44197.4951388889</v>
      </c>
      <c r="C319" s="3" t="n">
        <v>0</v>
      </c>
      <c r="D319" s="3" t="s">
        <v>95</v>
      </c>
      <c r="F319" s="4" t="s">
        <v>90</v>
      </c>
      <c r="G319" s="5" t="n">
        <v>39</v>
      </c>
      <c r="H319" s="5" t="n">
        <v>32</v>
      </c>
      <c r="I319" s="5" t="n">
        <v>79</v>
      </c>
      <c r="J319" s="4" t="s">
        <v>111</v>
      </c>
      <c r="K319" s="5" t="n">
        <v>17</v>
      </c>
      <c r="L319" s="5" t="n">
        <v>0</v>
      </c>
      <c r="M319" s="3" t="s">
        <v>164</v>
      </c>
    </row>
    <row r="320" customFormat="false" ht="16.9" hidden="false" customHeight="false" outlineLevel="0" collapsed="false">
      <c r="A320" s="1" t="n">
        <v>852</v>
      </c>
      <c r="B320" s="2" t="n">
        <v>44198.4951388889</v>
      </c>
      <c r="C320" s="3" t="n">
        <v>1</v>
      </c>
      <c r="F320" s="4" t="s">
        <v>120</v>
      </c>
      <c r="G320" s="5" t="n">
        <v>48</v>
      </c>
      <c r="H320" s="5" t="n">
        <v>47</v>
      </c>
      <c r="I320" s="5" t="n">
        <v>96</v>
      </c>
      <c r="J320" s="6" t="s">
        <v>62</v>
      </c>
      <c r="K320" s="5" t="n">
        <v>7</v>
      </c>
      <c r="L320" s="5" t="n">
        <v>0</v>
      </c>
      <c r="M320" s="3" t="s">
        <v>63</v>
      </c>
      <c r="N320" s="3" t="s">
        <v>150</v>
      </c>
      <c r="O320" s="3" t="s">
        <v>160</v>
      </c>
      <c r="P320" s="17" t="s">
        <v>131</v>
      </c>
      <c r="Q320" s="7" t="n">
        <v>8.23</v>
      </c>
      <c r="R320" s="5" t="n">
        <v>630</v>
      </c>
      <c r="S320" s="5" t="n">
        <v>18396</v>
      </c>
      <c r="T320" s="5" t="n">
        <f aca="false">S320-R320</f>
        <v>17766</v>
      </c>
      <c r="U320" s="7" t="n">
        <f aca="false">(120+23)/60</f>
        <v>2.38333333333333</v>
      </c>
      <c r="V320" s="7" t="n">
        <f aca="false">(180+4)/60</f>
        <v>3.06666666666667</v>
      </c>
      <c r="W320" s="7" t="n">
        <f aca="false">V320-U320</f>
        <v>0.683333333333334</v>
      </c>
      <c r="X320" s="7" t="n">
        <f aca="false">Q320/U320</f>
        <v>3.45314685314685</v>
      </c>
      <c r="Y320" s="3" t="n">
        <v>1</v>
      </c>
      <c r="Z320" s="7" t="n">
        <f aca="false">Q320/Y320</f>
        <v>8.23</v>
      </c>
      <c r="AA320" s="7" t="n">
        <f aca="false">17+19/60</f>
        <v>17.3166666666667</v>
      </c>
      <c r="AB320" s="5" t="n">
        <v>335</v>
      </c>
      <c r="AC320" s="5" t="n">
        <v>890</v>
      </c>
      <c r="AD320" s="5" t="n">
        <v>90</v>
      </c>
      <c r="AE320" s="3" t="n">
        <v>130</v>
      </c>
      <c r="AF320" s="7" t="n">
        <f aca="false">17+15/60</f>
        <v>17.25</v>
      </c>
      <c r="AG320" s="7" t="n">
        <f aca="false">16+50/60</f>
        <v>16.8333333333333</v>
      </c>
      <c r="AH320" s="8" t="n">
        <f aca="false">17+8/60</f>
        <v>17.1333333333333</v>
      </c>
      <c r="AI320" s="7" t="n">
        <f aca="false">16+17/60</f>
        <v>16.2833333333333</v>
      </c>
      <c r="AJ320" s="7" t="n">
        <f aca="false">18+52/60</f>
        <v>18.8666666666667</v>
      </c>
      <c r="AK320" s="7" t="n">
        <f aca="false">16+51/60</f>
        <v>16.85</v>
      </c>
      <c r="AL320" s="7" t="n">
        <f aca="false">17+38/60</f>
        <v>17.6333333333333</v>
      </c>
      <c r="AM320" s="7" t="n">
        <f aca="false">17+35/60</f>
        <v>17.5833333333333</v>
      </c>
      <c r="AN320" s="7" t="n">
        <f aca="false">60/3.3</f>
        <v>18.1818181818182</v>
      </c>
      <c r="AP320" s="3" t="n">
        <v>4</v>
      </c>
      <c r="AQ320" s="3" t="n">
        <v>1</v>
      </c>
      <c r="AR320" s="3" t="n">
        <v>0</v>
      </c>
      <c r="AS320" s="9" t="n">
        <f aca="false">60*U320-SUM(AT320:AX320)</f>
        <v>64.1</v>
      </c>
      <c r="AT320" s="7" t="n">
        <f aca="false">74+52/60</f>
        <v>74.8666666666667</v>
      </c>
      <c r="AU320" s="7" t="n">
        <f aca="false">4+2/60</f>
        <v>4.03333333333333</v>
      </c>
      <c r="AV320" s="7" t="n">
        <v>0</v>
      </c>
      <c r="AW320" s="7" t="n">
        <v>0</v>
      </c>
      <c r="AX320" s="7" t="n">
        <v>0</v>
      </c>
      <c r="AY320" s="3" t="s">
        <v>59</v>
      </c>
      <c r="AZ320" s="3" t="s">
        <v>60</v>
      </c>
      <c r="BA320" s="3" t="n">
        <v>0</v>
      </c>
    </row>
    <row r="321" customFormat="false" ht="16.9" hidden="false" customHeight="false" outlineLevel="0" collapsed="false">
      <c r="A321" s="1" t="n">
        <v>853</v>
      </c>
      <c r="B321" s="2" t="n">
        <v>44199.4951388889</v>
      </c>
      <c r="C321" s="3" t="n">
        <v>0</v>
      </c>
      <c r="D321" s="3" t="s">
        <v>79</v>
      </c>
      <c r="F321" s="4" t="s">
        <v>120</v>
      </c>
      <c r="G321" s="5" t="n">
        <v>61</v>
      </c>
      <c r="H321" s="5" t="n">
        <v>32</v>
      </c>
      <c r="I321" s="5" t="n">
        <v>34</v>
      </c>
      <c r="J321" s="6" t="s">
        <v>72</v>
      </c>
      <c r="K321" s="5" t="n">
        <v>16</v>
      </c>
      <c r="L321" s="5" t="n">
        <v>0</v>
      </c>
      <c r="M321" s="3" t="s">
        <v>63</v>
      </c>
      <c r="U321" s="3"/>
    </row>
    <row r="322" customFormat="false" ht="16.9" hidden="false" customHeight="false" outlineLevel="0" collapsed="false">
      <c r="A322" s="1" t="n">
        <v>854</v>
      </c>
      <c r="B322" s="2" t="n">
        <v>44200.4951388889</v>
      </c>
      <c r="C322" s="3" t="n">
        <v>1</v>
      </c>
      <c r="F322" s="4" t="s">
        <v>120</v>
      </c>
      <c r="G322" s="5" t="n">
        <v>59</v>
      </c>
      <c r="H322" s="5" t="n">
        <v>38</v>
      </c>
      <c r="I322" s="5" t="n">
        <v>46</v>
      </c>
      <c r="J322" s="6" t="s">
        <v>83</v>
      </c>
      <c r="K322" s="5" t="n">
        <v>8</v>
      </c>
      <c r="L322" s="5" t="n">
        <v>0</v>
      </c>
      <c r="M322" s="3" t="s">
        <v>63</v>
      </c>
      <c r="N322" s="3" t="s">
        <v>150</v>
      </c>
      <c r="O322" s="3" t="s">
        <v>160</v>
      </c>
      <c r="P322" s="3" t="s">
        <v>92</v>
      </c>
      <c r="Q322" s="7" t="n">
        <v>4.19</v>
      </c>
      <c r="R322" s="5" t="n">
        <v>1136</v>
      </c>
      <c r="S322" s="5" t="n">
        <v>9907</v>
      </c>
      <c r="T322" s="5" t="n">
        <f aca="false">S322-R322</f>
        <v>8771</v>
      </c>
      <c r="U322" s="7" t="n">
        <f aca="false">72/60</f>
        <v>1.2</v>
      </c>
      <c r="V322" s="7" t="n">
        <f aca="false">80/60</f>
        <v>1.33333333333333</v>
      </c>
      <c r="W322" s="7" t="n">
        <f aca="false">V322-U322</f>
        <v>0.133333333333333</v>
      </c>
      <c r="X322" s="7" t="n">
        <f aca="false">Q322/U322</f>
        <v>3.49166666666667</v>
      </c>
      <c r="Y322" s="3" t="n">
        <v>2</v>
      </c>
      <c r="Z322" s="7" t="n">
        <f aca="false">Q322/Y322</f>
        <v>2.095</v>
      </c>
      <c r="AA322" s="7" t="n">
        <f aca="false">17+10/60</f>
        <v>17.1666666666667</v>
      </c>
      <c r="AB322" s="5" t="n">
        <v>233</v>
      </c>
      <c r="AC322" s="5" t="n">
        <v>548</v>
      </c>
      <c r="AD322" s="5" t="n">
        <v>120</v>
      </c>
      <c r="AE322" s="3" t="n">
        <v>153</v>
      </c>
      <c r="AF322" s="7" t="n">
        <f aca="false">17+24/60</f>
        <v>17.4</v>
      </c>
      <c r="AG322" s="7" t="n">
        <f aca="false">16+22/60</f>
        <v>16.3666666666667</v>
      </c>
      <c r="AH322" s="8" t="n">
        <f aca="false">17+46/60</f>
        <v>17.7666666666667</v>
      </c>
      <c r="AI322" s="7" t="n">
        <f aca="false">17+22/60</f>
        <v>17.3666666666667</v>
      </c>
      <c r="AJ322" s="7" t="n">
        <f aca="false">60/3.5</f>
        <v>17.1428571428571</v>
      </c>
      <c r="AP322" s="3" t="n">
        <v>2</v>
      </c>
      <c r="AQ322" s="3" t="n">
        <v>0</v>
      </c>
      <c r="AR322" s="3" t="n">
        <v>0</v>
      </c>
      <c r="AS322" s="9" t="n">
        <f aca="false">60*U322-SUM(AT322:AX322)</f>
        <v>-0.0033333333333303</v>
      </c>
      <c r="AT322" s="7" t="n">
        <f aca="false">23+13/60</f>
        <v>23.2166666666667</v>
      </c>
      <c r="AU322" s="7" t="n">
        <f aca="false">6+28/60</f>
        <v>6.46666666666667</v>
      </c>
      <c r="AV322" s="7" t="n">
        <f aca="false">37+36/60</f>
        <v>37.6</v>
      </c>
      <c r="AW322" s="7" t="n">
        <v>4.72</v>
      </c>
      <c r="AX322" s="7" t="n">
        <v>0</v>
      </c>
      <c r="AY322" s="3" t="s">
        <v>59</v>
      </c>
      <c r="AZ322" s="3" t="s">
        <v>60</v>
      </c>
      <c r="BA322" s="3" t="n">
        <v>0</v>
      </c>
    </row>
    <row r="323" customFormat="false" ht="16.9" hidden="false" customHeight="false" outlineLevel="0" collapsed="false">
      <c r="A323" s="1" t="n">
        <v>855</v>
      </c>
      <c r="B323" s="2" t="n">
        <v>44201.4951388889</v>
      </c>
      <c r="C323" s="3" t="n">
        <v>1</v>
      </c>
      <c r="F323" s="4" t="s">
        <v>120</v>
      </c>
      <c r="G323" s="5" t="n">
        <v>60</v>
      </c>
      <c r="H323" s="5" t="n">
        <v>37</v>
      </c>
      <c r="I323" s="5" t="n">
        <v>42</v>
      </c>
      <c r="J323" s="6" t="s">
        <v>108</v>
      </c>
      <c r="K323" s="5" t="n">
        <v>9</v>
      </c>
      <c r="L323" s="5" t="n">
        <v>0</v>
      </c>
      <c r="M323" s="3" t="s">
        <v>63</v>
      </c>
      <c r="N323" s="3" t="s">
        <v>150</v>
      </c>
      <c r="O323" s="3" t="s">
        <v>160</v>
      </c>
      <c r="P323" s="3" t="s">
        <v>112</v>
      </c>
      <c r="Q323" s="7" t="n">
        <v>6.31</v>
      </c>
      <c r="R323" s="5" t="n">
        <v>1631</v>
      </c>
      <c r="S323" s="5" t="n">
        <v>15142</v>
      </c>
      <c r="T323" s="5" t="n">
        <f aca="false">S323-R323</f>
        <v>13511</v>
      </c>
      <c r="U323" s="7" t="n">
        <f aca="false">(60+45)/60</f>
        <v>1.75</v>
      </c>
      <c r="V323" s="7" t="n">
        <f aca="false">(120+15)/60</f>
        <v>2.25</v>
      </c>
      <c r="W323" s="7" t="n">
        <f aca="false">V323-U323</f>
        <v>0.5</v>
      </c>
      <c r="X323" s="7" t="n">
        <f aca="false">Q323/U323</f>
        <v>3.60571428571429</v>
      </c>
      <c r="Y323" s="3" t="n">
        <v>1</v>
      </c>
      <c r="Z323" s="7" t="n">
        <f aca="false">Q323/Y323</f>
        <v>6.31</v>
      </c>
      <c r="AA323" s="7" t="n">
        <f aca="false">16+39/60</f>
        <v>16.65</v>
      </c>
      <c r="AB323" s="5" t="n">
        <v>62</v>
      </c>
      <c r="AC323" s="5" t="n">
        <v>676</v>
      </c>
      <c r="AD323" s="5" t="n">
        <v>87</v>
      </c>
      <c r="AE323" s="3" t="n">
        <v>114</v>
      </c>
      <c r="AF323" s="7" t="n">
        <f aca="false">16+7/60</f>
        <v>16.1166666666667</v>
      </c>
      <c r="AG323" s="7" t="n">
        <f aca="false">15+52/60</f>
        <v>15.8666666666667</v>
      </c>
      <c r="AH323" s="8" t="n">
        <f aca="false">17+47/60</f>
        <v>17.7833333333333</v>
      </c>
      <c r="AI323" s="7" t="n">
        <f aca="false">17+6/60</f>
        <v>17.1</v>
      </c>
      <c r="AJ323" s="7" t="n">
        <f aca="false">16+12/60</f>
        <v>16.2</v>
      </c>
      <c r="AK323" s="7" t="n">
        <f aca="false">16+23/60</f>
        <v>16.3833333333333</v>
      </c>
      <c r="AL323" s="7" t="n">
        <f aca="false">60/3.6</f>
        <v>16.6666666666667</v>
      </c>
      <c r="AP323" s="3" t="n">
        <v>3</v>
      </c>
      <c r="AQ323" s="3" t="n">
        <v>0</v>
      </c>
      <c r="AR323" s="3" t="n">
        <v>0</v>
      </c>
      <c r="AS323" s="9" t="n">
        <f aca="false">60*U323-SUM(AT323:AX323)</f>
        <v>59.9166666666667</v>
      </c>
      <c r="AT323" s="7" t="n">
        <f aca="false">40+21/60</f>
        <v>40.35</v>
      </c>
      <c r="AU323" s="7" t="n">
        <f aca="false">4+44/60</f>
        <v>4.73333333333333</v>
      </c>
      <c r="AV323" s="7" t="n">
        <v>0</v>
      </c>
      <c r="AW323" s="7" t="n">
        <v>0</v>
      </c>
      <c r="AX323" s="7" t="n">
        <v>0</v>
      </c>
      <c r="AY323" s="3" t="s">
        <v>59</v>
      </c>
      <c r="AZ323" s="3" t="s">
        <v>60</v>
      </c>
      <c r="BA323" s="3" t="n">
        <v>0</v>
      </c>
    </row>
    <row r="324" customFormat="false" ht="16.9" hidden="false" customHeight="false" outlineLevel="0" collapsed="false">
      <c r="A324" s="1" t="n">
        <v>855</v>
      </c>
      <c r="B324" s="2" t="n">
        <v>44202.4951388889</v>
      </c>
      <c r="C324" s="3" t="n">
        <v>0</v>
      </c>
      <c r="D324" s="3" t="s">
        <v>82</v>
      </c>
      <c r="F324" s="4" t="s">
        <v>93</v>
      </c>
      <c r="G324" s="5" t="n">
        <v>60</v>
      </c>
      <c r="H324" s="5" t="n">
        <v>42</v>
      </c>
      <c r="I324" s="5" t="n">
        <v>51</v>
      </c>
      <c r="J324" s="6" t="s">
        <v>67</v>
      </c>
      <c r="K324" s="5" t="n">
        <v>14</v>
      </c>
      <c r="L324" s="5" t="n">
        <v>0</v>
      </c>
      <c r="M324" s="3" t="s">
        <v>63</v>
      </c>
    </row>
    <row r="325" customFormat="false" ht="16.9" hidden="false" customHeight="false" outlineLevel="0" collapsed="false">
      <c r="A325" s="1" t="n">
        <v>855</v>
      </c>
      <c r="B325" s="2" t="n">
        <v>44203.4951388889</v>
      </c>
      <c r="C325" s="3" t="n">
        <v>0</v>
      </c>
      <c r="D325" s="3" t="s">
        <v>82</v>
      </c>
      <c r="F325" s="4" t="s">
        <v>90</v>
      </c>
      <c r="G325" s="5" t="n">
        <v>47</v>
      </c>
      <c r="H325" s="5" t="n">
        <v>37</v>
      </c>
      <c r="I325" s="5" t="n">
        <v>68</v>
      </c>
      <c r="J325" s="4" t="s">
        <v>86</v>
      </c>
      <c r="K325" s="5" t="n">
        <v>18</v>
      </c>
      <c r="L325" s="5" t="n">
        <v>0</v>
      </c>
      <c r="M325" s="10" t="s">
        <v>164</v>
      </c>
    </row>
    <row r="326" customFormat="false" ht="16.9" hidden="false" customHeight="false" outlineLevel="0" collapsed="false">
      <c r="A326" s="1" t="n">
        <v>856</v>
      </c>
      <c r="B326" s="2" t="n">
        <f aca="false">B325+1</f>
        <v>44204.4951388889</v>
      </c>
      <c r="C326" s="3" t="n">
        <v>0</v>
      </c>
      <c r="D326" s="3" t="s">
        <v>95</v>
      </c>
      <c r="F326" s="4" t="s">
        <v>61</v>
      </c>
      <c r="G326" s="1" t="n">
        <v>45</v>
      </c>
      <c r="H326" s="5" t="n">
        <v>31</v>
      </c>
      <c r="I326" s="5" t="n">
        <v>58</v>
      </c>
      <c r="J326" s="6" t="s">
        <v>83</v>
      </c>
      <c r="K326" s="5" t="n">
        <v>12</v>
      </c>
      <c r="L326" s="3" t="n">
        <v>30</v>
      </c>
      <c r="M326" s="3" t="s">
        <v>164</v>
      </c>
    </row>
    <row r="327" customFormat="false" ht="16.9" hidden="false" customHeight="false" outlineLevel="0" collapsed="false">
      <c r="A327" s="1" t="n">
        <v>857</v>
      </c>
      <c r="B327" s="2" t="n">
        <f aca="false">B326+1</f>
        <v>44205.4951388889</v>
      </c>
      <c r="C327" s="3" t="n">
        <v>0</v>
      </c>
      <c r="D327" s="3" t="s">
        <v>95</v>
      </c>
      <c r="F327" s="4" t="s">
        <v>61</v>
      </c>
      <c r="G327" s="1" t="n">
        <v>44</v>
      </c>
      <c r="H327" s="5" t="n">
        <v>28</v>
      </c>
      <c r="I327" s="5" t="n">
        <v>53</v>
      </c>
      <c r="J327" s="4" t="s">
        <v>124</v>
      </c>
      <c r="K327" s="5" t="n">
        <v>5</v>
      </c>
      <c r="L327" s="5" t="n">
        <v>0</v>
      </c>
      <c r="M327" s="3" t="s">
        <v>164</v>
      </c>
    </row>
    <row r="328" customFormat="false" ht="16.9" hidden="false" customHeight="false" outlineLevel="0" collapsed="false">
      <c r="A328" s="1" t="n">
        <v>858</v>
      </c>
      <c r="B328" s="2" t="n">
        <f aca="false">B327+1</f>
        <v>44206.4951388889</v>
      </c>
      <c r="C328" s="3" t="n">
        <v>0</v>
      </c>
      <c r="D328" s="3" t="s">
        <v>95</v>
      </c>
      <c r="F328" s="4" t="s">
        <v>165</v>
      </c>
      <c r="G328" s="1" t="n">
        <v>35</v>
      </c>
      <c r="H328" s="3" t="n">
        <v>33</v>
      </c>
      <c r="I328" s="5" t="n">
        <v>92</v>
      </c>
      <c r="J328" s="4" t="s">
        <v>99</v>
      </c>
      <c r="K328" s="5" t="n">
        <v>7</v>
      </c>
      <c r="L328" s="5" t="n">
        <v>0</v>
      </c>
      <c r="M328" s="3" t="s">
        <v>166</v>
      </c>
    </row>
    <row r="329" customFormat="false" ht="16.9" hidden="false" customHeight="false" outlineLevel="0" collapsed="false">
      <c r="A329" s="1" t="n">
        <v>859</v>
      </c>
      <c r="B329" s="2" t="n">
        <f aca="false">B328+1</f>
        <v>44207.4951388889</v>
      </c>
      <c r="C329" s="3" t="n">
        <v>0</v>
      </c>
      <c r="D329" s="3" t="s">
        <v>95</v>
      </c>
      <c r="F329" s="4" t="s">
        <v>71</v>
      </c>
      <c r="G329" s="5" t="n">
        <v>42</v>
      </c>
      <c r="H329" s="5" t="n">
        <v>28</v>
      </c>
      <c r="I329" s="5" t="n">
        <v>53</v>
      </c>
      <c r="J329" s="6" t="s">
        <v>83</v>
      </c>
      <c r="K329" s="5" t="n">
        <v>8</v>
      </c>
      <c r="L329" s="5" t="n">
        <v>0</v>
      </c>
      <c r="M329" s="3" t="s">
        <v>164</v>
      </c>
      <c r="V329" s="3"/>
    </row>
    <row r="330" customFormat="false" ht="16.9" hidden="false" customHeight="false" outlineLevel="0" collapsed="false">
      <c r="A330" s="1" t="n">
        <v>860</v>
      </c>
      <c r="B330" s="2" t="n">
        <f aca="false">B329+1</f>
        <v>44208.4951388889</v>
      </c>
      <c r="C330" s="3" t="n">
        <v>1</v>
      </c>
      <c r="F330" s="4" t="s">
        <v>120</v>
      </c>
      <c r="G330" s="5" t="n">
        <v>48</v>
      </c>
      <c r="H330" s="5" t="n">
        <v>29</v>
      </c>
      <c r="I330" s="5" t="n">
        <v>48</v>
      </c>
      <c r="J330" s="6" t="s">
        <v>72</v>
      </c>
      <c r="K330" s="5" t="n">
        <v>9</v>
      </c>
      <c r="L330" s="5" t="n">
        <v>0</v>
      </c>
      <c r="M330" s="3" t="s">
        <v>63</v>
      </c>
      <c r="N330" s="3" t="s">
        <v>150</v>
      </c>
      <c r="O330" s="3" t="s">
        <v>160</v>
      </c>
      <c r="P330" s="3" t="s">
        <v>109</v>
      </c>
      <c r="Q330" s="7" t="n">
        <v>4.38</v>
      </c>
      <c r="U330" s="7" t="n">
        <f aca="false">69/60</f>
        <v>1.15</v>
      </c>
      <c r="V330" s="7" t="n">
        <f aca="false">70/60</f>
        <v>1.16666666666667</v>
      </c>
      <c r="W330" s="7" t="n">
        <f aca="false">V330-U330</f>
        <v>0.0166666666666668</v>
      </c>
      <c r="X330" s="7" t="n">
        <f aca="false">Q330/U330</f>
        <v>3.80869565217391</v>
      </c>
      <c r="Y330" s="3" t="n">
        <v>4</v>
      </c>
      <c r="Z330" s="7" t="n">
        <f aca="false">Q330/Y330</f>
        <v>1.095</v>
      </c>
      <c r="AA330" s="7" t="n">
        <f aca="false">15+49/60</f>
        <v>15.8166666666667</v>
      </c>
      <c r="AB330" s="5" t="n">
        <v>75</v>
      </c>
      <c r="AC330" s="5" t="n">
        <v>486</v>
      </c>
      <c r="AD330" s="5" t="n">
        <v>109</v>
      </c>
      <c r="AE330" s="3" t="n">
        <v>142</v>
      </c>
      <c r="AF330" s="7" t="n">
        <f aca="false">15+42/60</f>
        <v>15.7</v>
      </c>
      <c r="AG330" s="7" t="n">
        <f aca="false">15+41/60</f>
        <v>15.6833333333333</v>
      </c>
      <c r="AH330" s="8" t="n">
        <f aca="false">15+47/60</f>
        <v>15.7833333333333</v>
      </c>
      <c r="AI330" s="7" t="n">
        <f aca="false">14+51/60</f>
        <v>14.85</v>
      </c>
      <c r="AJ330" s="7" t="n">
        <v>0</v>
      </c>
      <c r="AP330" s="3" t="n">
        <v>1</v>
      </c>
      <c r="AQ330" s="3" t="n">
        <v>0</v>
      </c>
      <c r="AR330" s="3" t="n">
        <v>0</v>
      </c>
      <c r="AS330" s="9" t="n">
        <f aca="false">60*U330-SUM(AT330:AX330)</f>
        <v>13.7333333333333</v>
      </c>
      <c r="AT330" s="7" t="n">
        <f aca="false">21+13/60</f>
        <v>21.2166666666667</v>
      </c>
      <c r="AU330" s="7" t="n">
        <f aca="false">14+26/60</f>
        <v>14.4333333333333</v>
      </c>
      <c r="AV330" s="7" t="n">
        <f aca="false">19+37/60</f>
        <v>19.6166666666667</v>
      </c>
      <c r="AW330" s="7" t="n">
        <v>0</v>
      </c>
      <c r="AX330" s="7" t="n">
        <v>0</v>
      </c>
      <c r="AY330" s="3" t="s">
        <v>59</v>
      </c>
      <c r="AZ330" s="3" t="s">
        <v>60</v>
      </c>
      <c r="BA330" s="3" t="n">
        <v>0</v>
      </c>
    </row>
    <row r="331" customFormat="false" ht="22.85" hidden="false" customHeight="true" outlineLevel="0" collapsed="false">
      <c r="A331" s="1" t="n">
        <v>861</v>
      </c>
      <c r="B331" s="2" t="n">
        <f aca="false">B330+1</f>
        <v>44209.4951388889</v>
      </c>
      <c r="C331" s="3" t="n">
        <v>1</v>
      </c>
      <c r="F331" s="4" t="s">
        <v>120</v>
      </c>
      <c r="G331" s="5" t="n">
        <v>56</v>
      </c>
      <c r="H331" s="5" t="n">
        <v>32</v>
      </c>
      <c r="I331" s="5" t="n">
        <v>40</v>
      </c>
      <c r="J331" s="6" t="s">
        <v>72</v>
      </c>
      <c r="K331" s="5" t="n">
        <v>9</v>
      </c>
      <c r="L331" s="5" t="n">
        <v>0</v>
      </c>
      <c r="M331" s="3" t="s">
        <v>63</v>
      </c>
      <c r="N331" s="3" t="s">
        <v>150</v>
      </c>
      <c r="O331" s="3" t="s">
        <v>160</v>
      </c>
      <c r="P331" s="3" t="s">
        <v>167</v>
      </c>
      <c r="Q331" s="7" t="n">
        <v>2.16</v>
      </c>
      <c r="R331" s="5" t="n">
        <v>1678</v>
      </c>
      <c r="S331" s="5" t="n">
        <v>6650</v>
      </c>
      <c r="T331" s="5" t="n">
        <f aca="false">S331-R331</f>
        <v>4972</v>
      </c>
      <c r="U331" s="7" t="n">
        <f aca="false">40/60</f>
        <v>0.666666666666667</v>
      </c>
      <c r="V331" s="7" t="n">
        <f aca="false">43/60</f>
        <v>0.716666666666667</v>
      </c>
      <c r="W331" s="7" t="n">
        <f aca="false">V331-U331</f>
        <v>0.05</v>
      </c>
      <c r="X331" s="7" t="n">
        <f aca="false">Q331/U331</f>
        <v>3.24</v>
      </c>
      <c r="Y331" s="3" t="n">
        <v>1</v>
      </c>
      <c r="Z331" s="7" t="n">
        <f aca="false">Q331/Y331</f>
        <v>2.16</v>
      </c>
      <c r="AA331" s="7" t="n">
        <f aca="false">21+33/60</f>
        <v>21.55</v>
      </c>
      <c r="AB331" s="5" t="n">
        <v>171</v>
      </c>
      <c r="AC331" s="5" t="n">
        <v>280</v>
      </c>
      <c r="AD331" s="5" t="n">
        <v>120</v>
      </c>
      <c r="AE331" s="3" t="n">
        <v>148</v>
      </c>
      <c r="AF331" s="7" t="n">
        <f aca="false">21+33/60</f>
        <v>21.55</v>
      </c>
      <c r="AG331" s="7" t="n">
        <f aca="false">16+8/60</f>
        <v>16.1333333333333</v>
      </c>
      <c r="AH331" s="8" t="n">
        <f aca="false">60/3.6</f>
        <v>16.6666666666667</v>
      </c>
      <c r="AP331" s="3" t="n">
        <v>1</v>
      </c>
      <c r="AQ331" s="3" t="n">
        <v>0</v>
      </c>
      <c r="AR331" s="3" t="n">
        <v>0</v>
      </c>
      <c r="AS331" s="9" t="n">
        <f aca="false">60*U331-SUM(AT331:AX331)</f>
        <v>-0.0033333333333303</v>
      </c>
      <c r="AT331" s="7" t="n">
        <f aca="false">12+2/60</f>
        <v>12.0333333333333</v>
      </c>
      <c r="AU331" s="7" t="n">
        <f aca="false">8+22/60</f>
        <v>8.36666666666667</v>
      </c>
      <c r="AV331" s="7" t="n">
        <f aca="false">17+41/60</f>
        <v>17.6833333333333</v>
      </c>
      <c r="AW331" s="7" t="n">
        <v>1.92</v>
      </c>
      <c r="AY331" s="3" t="s">
        <v>59</v>
      </c>
      <c r="AZ331" s="3" t="s">
        <v>60</v>
      </c>
      <c r="BA331" s="3" t="n">
        <v>0</v>
      </c>
    </row>
    <row r="332" customFormat="false" ht="16.9" hidden="false" customHeight="false" outlineLevel="0" collapsed="false">
      <c r="A332" s="1" t="n">
        <v>862</v>
      </c>
      <c r="B332" s="2" t="n">
        <f aca="false">B331+1</f>
        <v>44210.4951388889</v>
      </c>
      <c r="C332" s="3" t="n">
        <v>1</v>
      </c>
      <c r="F332" s="4" t="s">
        <v>71</v>
      </c>
      <c r="G332" s="5" t="n">
        <v>62</v>
      </c>
      <c r="H332" s="5" t="n">
        <v>28</v>
      </c>
      <c r="I332" s="5" t="n">
        <v>28</v>
      </c>
      <c r="J332" s="6" t="s">
        <v>83</v>
      </c>
      <c r="K332" s="5" t="n">
        <v>29</v>
      </c>
      <c r="L332" s="5" t="n">
        <v>38</v>
      </c>
      <c r="M332" s="3" t="s">
        <v>63</v>
      </c>
      <c r="N332" s="3" t="s">
        <v>150</v>
      </c>
      <c r="O332" s="3" t="s">
        <v>160</v>
      </c>
      <c r="P332" s="3" t="s">
        <v>126</v>
      </c>
      <c r="Q332" s="7" t="n">
        <v>6.3</v>
      </c>
      <c r="R332" s="5" t="n">
        <v>783</v>
      </c>
      <c r="S332" s="5" t="n">
        <v>14152</v>
      </c>
      <c r="T332" s="5" t="n">
        <f aca="false">S332-R332</f>
        <v>13369</v>
      </c>
      <c r="U332" s="7" t="n">
        <f aca="false">(60+44)/60</f>
        <v>1.73333333333333</v>
      </c>
      <c r="V332" s="7" t="n">
        <f aca="false">121/60</f>
        <v>2.01666666666667</v>
      </c>
      <c r="W332" s="7" t="n">
        <f aca="false">V332-U332</f>
        <v>0.283333333333333</v>
      </c>
      <c r="X332" s="7" t="n">
        <f aca="false">Q332/U332</f>
        <v>3.63461538461538</v>
      </c>
      <c r="Y332" s="3" t="n">
        <v>1</v>
      </c>
      <c r="Z332" s="7" t="n">
        <f aca="false">Q332/Y332</f>
        <v>6.3</v>
      </c>
      <c r="AA332" s="7" t="n">
        <f aca="false">16+29/60</f>
        <v>16.4833333333333</v>
      </c>
      <c r="AB332" s="5" t="n">
        <v>161</v>
      </c>
      <c r="AC332" s="5" t="n">
        <v>702</v>
      </c>
      <c r="AD332" s="5" t="n">
        <v>122</v>
      </c>
      <c r="AE332" s="3" t="n">
        <v>144</v>
      </c>
      <c r="AF332" s="7" t="n">
        <f aca="false">15+45/60</f>
        <v>15.75</v>
      </c>
      <c r="AG332" s="7" t="n">
        <f aca="false">15+38/60</f>
        <v>15.6333333333333</v>
      </c>
      <c r="AH332" s="8" t="n">
        <f aca="false">17+6/60</f>
        <v>17.1</v>
      </c>
      <c r="AI332" s="7" t="n">
        <f aca="false">16+4/60</f>
        <v>16.0666666666667</v>
      </c>
      <c r="AJ332" s="7" t="n">
        <f aca="false">17+43/60</f>
        <v>17.7166666666667</v>
      </c>
      <c r="AK332" s="7" t="n">
        <f aca="false">16+33/60</f>
        <v>16.55</v>
      </c>
      <c r="AL332" s="7" t="n">
        <f aca="false">60/3.6</f>
        <v>16.6666666666667</v>
      </c>
      <c r="AP332" s="3" t="n">
        <v>3</v>
      </c>
      <c r="AQ332" s="3" t="n">
        <v>0</v>
      </c>
      <c r="AR332" s="3" t="n">
        <v>0</v>
      </c>
      <c r="AS332" s="9" t="n">
        <f aca="false">60*U332-SUM(AT332:AX332)</f>
        <v>0.133333333333326</v>
      </c>
      <c r="AT332" s="7" t="n">
        <f aca="false">18+22/60</f>
        <v>18.3666666666667</v>
      </c>
      <c r="AU332" s="7" t="n">
        <f aca="false">31+49/60</f>
        <v>31.8166666666667</v>
      </c>
      <c r="AV332" s="7" t="n">
        <f aca="false">53+26/60</f>
        <v>53.4333333333333</v>
      </c>
      <c r="AW332" s="7" t="n">
        <f aca="false">15/60</f>
        <v>0.25</v>
      </c>
      <c r="AX332" s="7" t="n">
        <v>0</v>
      </c>
      <c r="AY332" s="3" t="s">
        <v>59</v>
      </c>
      <c r="AZ332" s="3" t="s">
        <v>60</v>
      </c>
      <c r="BA332" s="3" t="n">
        <v>0</v>
      </c>
    </row>
    <row r="333" customFormat="false" ht="16.9" hidden="false" customHeight="false" outlineLevel="0" collapsed="false">
      <c r="A333" s="1" t="n">
        <v>863</v>
      </c>
      <c r="B333" s="2" t="n">
        <f aca="false">B332+1</f>
        <v>44211.4951388889</v>
      </c>
      <c r="C333" s="3" t="n">
        <v>1</v>
      </c>
      <c r="F333" s="4" t="s">
        <v>71</v>
      </c>
      <c r="G333" s="5" t="n">
        <v>51</v>
      </c>
      <c r="H333" s="5" t="n">
        <v>9</v>
      </c>
      <c r="I333" s="5" t="n">
        <v>8</v>
      </c>
      <c r="J333" s="4" t="s">
        <v>111</v>
      </c>
      <c r="K333" s="5" t="n">
        <v>24</v>
      </c>
      <c r="L333" s="5" t="n">
        <v>36</v>
      </c>
      <c r="M333" s="3" t="s">
        <v>63</v>
      </c>
      <c r="N333" s="3" t="s">
        <v>150</v>
      </c>
      <c r="O333" s="3" t="s">
        <v>160</v>
      </c>
      <c r="P333" s="3" t="s">
        <v>155</v>
      </c>
      <c r="Q333" s="7" t="n">
        <v>4.4</v>
      </c>
      <c r="R333" s="5" t="n">
        <v>1060</v>
      </c>
      <c r="S333" s="5" t="n">
        <v>10353</v>
      </c>
      <c r="T333" s="5" t="n">
        <f aca="false">S333-R333</f>
        <v>9293</v>
      </c>
      <c r="U333" s="7" t="n">
        <f aca="false">70/60</f>
        <v>1.16666666666667</v>
      </c>
      <c r="V333" s="7" t="n">
        <f aca="false">73/60</f>
        <v>1.21666666666667</v>
      </c>
      <c r="W333" s="7" t="n">
        <f aca="false">V333-U333</f>
        <v>0.0499999999999998</v>
      </c>
      <c r="X333" s="7" t="n">
        <f aca="false">Q333/U333</f>
        <v>3.77142857142857</v>
      </c>
      <c r="Y333" s="3" t="n">
        <v>1</v>
      </c>
      <c r="Z333" s="7" t="n">
        <f aca="false">Q333/Y333</f>
        <v>4.4</v>
      </c>
      <c r="AA333" s="7" t="n">
        <f aca="false">15+54/60</f>
        <v>15.9</v>
      </c>
      <c r="AB333" s="5" t="n">
        <v>26</v>
      </c>
      <c r="AC333" s="5" t="n">
        <v>467</v>
      </c>
      <c r="AD333" s="5" t="n">
        <v>86</v>
      </c>
      <c r="AE333" s="3" t="n">
        <v>108</v>
      </c>
      <c r="AF333" s="7" t="n">
        <f aca="false">15+27/60</f>
        <v>15.45</v>
      </c>
      <c r="AG333" s="7" t="n">
        <f aca="false">15+29/60</f>
        <v>15.4833333333333</v>
      </c>
      <c r="AH333" s="8" t="n">
        <f aca="false">16+23/60</f>
        <v>16.3833333333333</v>
      </c>
      <c r="AI333" s="7" t="n">
        <f aca="false">16+3/60</f>
        <v>16.05</v>
      </c>
      <c r="AJ333" s="7" t="n">
        <f aca="false">60/3.6</f>
        <v>16.6666666666667</v>
      </c>
      <c r="AP333" s="3" t="n">
        <v>2</v>
      </c>
      <c r="AQ333" s="3" t="n">
        <v>0</v>
      </c>
      <c r="AR333" s="3" t="n">
        <v>0</v>
      </c>
      <c r="AS333" s="9" t="n">
        <f aca="false">60*U333-SUM(AT333:AX333)</f>
        <v>42.0333333333333</v>
      </c>
      <c r="AT333" s="7" t="n">
        <f aca="false">27+58/60</f>
        <v>27.9666666666667</v>
      </c>
      <c r="AU333" s="7" t="n">
        <v>0</v>
      </c>
      <c r="AV333" s="7" t="n">
        <v>0</v>
      </c>
      <c r="AW333" s="7" t="n">
        <v>0</v>
      </c>
      <c r="AX333" s="7" t="n">
        <v>0</v>
      </c>
      <c r="AY333" s="3" t="s">
        <v>59</v>
      </c>
      <c r="AZ333" s="3" t="s">
        <v>60</v>
      </c>
      <c r="BA333" s="3" t="n">
        <v>0</v>
      </c>
    </row>
    <row r="334" customFormat="false" ht="16.9" hidden="false" customHeight="false" outlineLevel="0" collapsed="false">
      <c r="A334" s="1" t="n">
        <v>864</v>
      </c>
      <c r="B334" s="2" t="n">
        <f aca="false">B333+1</f>
        <v>44212.4951388889</v>
      </c>
      <c r="F334" s="4" t="s">
        <v>54</v>
      </c>
      <c r="G334" s="5" t="n">
        <v>52</v>
      </c>
      <c r="H334" s="5" t="n">
        <v>17</v>
      </c>
      <c r="I334" s="5" t="n">
        <v>25</v>
      </c>
      <c r="J334" s="6" t="s">
        <v>67</v>
      </c>
      <c r="K334" s="5" t="n">
        <v>7</v>
      </c>
      <c r="L334" s="5" t="n">
        <v>0</v>
      </c>
      <c r="M334" s="3" t="s">
        <v>63</v>
      </c>
      <c r="N334" s="3" t="s">
        <v>150</v>
      </c>
      <c r="O334" s="3" t="s">
        <v>160</v>
      </c>
      <c r="P334" s="3" t="s">
        <v>94</v>
      </c>
      <c r="Q334" s="7" t="n">
        <v>8.96</v>
      </c>
      <c r="R334" s="5" t="n">
        <v>879</v>
      </c>
      <c r="S334" s="5" t="n">
        <v>19467</v>
      </c>
      <c r="T334" s="5" t="n">
        <f aca="false">S334-R334</f>
        <v>18588</v>
      </c>
      <c r="U334" s="7" t="n">
        <f aca="false">(120+26)/60</f>
        <v>2.43333333333333</v>
      </c>
      <c r="V334" s="7" t="n">
        <f aca="false">(120+38)/60</f>
        <v>2.63333333333333</v>
      </c>
      <c r="W334" s="7" t="n">
        <f aca="false">V334-U334</f>
        <v>0.2</v>
      </c>
      <c r="X334" s="7" t="n">
        <f aca="false">Q334/U334</f>
        <v>3.68219178082192</v>
      </c>
      <c r="Y334" s="3" t="n">
        <v>1</v>
      </c>
      <c r="Z334" s="7" t="n">
        <f aca="false">Q334/Y334</f>
        <v>8.96</v>
      </c>
      <c r="AA334" s="7" t="n">
        <f aca="false">16+17/60</f>
        <v>16.2833333333333</v>
      </c>
      <c r="AB334" s="5" t="n">
        <v>89</v>
      </c>
      <c r="AC334" s="5" t="n">
        <v>944</v>
      </c>
      <c r="AD334" s="5" t="n">
        <v>89</v>
      </c>
      <c r="AE334" s="3" t="n">
        <v>114</v>
      </c>
      <c r="AF334" s="7" t="n">
        <f aca="false">15+58/60</f>
        <v>15.9666666666667</v>
      </c>
      <c r="AG334" s="7" t="n">
        <f aca="false">15+42/60</f>
        <v>15.7</v>
      </c>
      <c r="AH334" s="8" t="n">
        <f aca="false">15+53/60</f>
        <v>15.8833333333333</v>
      </c>
      <c r="AI334" s="7" t="n">
        <f aca="false">16+9/60</f>
        <v>16.15</v>
      </c>
      <c r="AJ334" s="7" t="n">
        <f aca="false">16+55/60</f>
        <v>16.9166666666667</v>
      </c>
      <c r="AK334" s="7" t="n">
        <f aca="false">16+30/60</f>
        <v>16.5</v>
      </c>
      <c r="AL334" s="7" t="n">
        <f aca="false">16+37/60</f>
        <v>16.6166666666667</v>
      </c>
      <c r="AM334" s="7" t="n">
        <f aca="false">16+24/60</f>
        <v>16.4</v>
      </c>
      <c r="AN334" s="7" t="n">
        <f aca="false">60/3.7</f>
        <v>16.2162162162162</v>
      </c>
      <c r="AP334" s="3" t="n">
        <v>3</v>
      </c>
      <c r="AQ334" s="3" t="n">
        <v>0</v>
      </c>
      <c r="AR334" s="3" t="n">
        <v>0</v>
      </c>
      <c r="AS334" s="9" t="n">
        <f aca="false">60*U334-SUM(AT334:AX334)</f>
        <v>81.8666666666667</v>
      </c>
      <c r="AT334" s="7" t="n">
        <f aca="false">56+5/60</f>
        <v>56.0833333333333</v>
      </c>
      <c r="AU334" s="7" t="n">
        <f aca="false">8+3/60</f>
        <v>8.05</v>
      </c>
      <c r="AV334" s="7" t="n">
        <v>0</v>
      </c>
      <c r="AW334" s="7" t="n">
        <v>0</v>
      </c>
      <c r="AX334" s="7" t="n">
        <v>0</v>
      </c>
      <c r="AY334" s="3" t="s">
        <v>59</v>
      </c>
      <c r="AZ334" s="3" t="s">
        <v>60</v>
      </c>
      <c r="BA334" s="3" t="n">
        <v>0</v>
      </c>
    </row>
    <row r="335" customFormat="false" ht="16.9" hidden="false" customHeight="false" outlineLevel="0" collapsed="false">
      <c r="A335" s="1" t="n">
        <v>865</v>
      </c>
      <c r="B335" s="2" t="n">
        <f aca="false">B334+1</f>
        <v>44213.4951388889</v>
      </c>
      <c r="C335" s="3" t="n">
        <v>1</v>
      </c>
      <c r="F335" s="4" t="s">
        <v>61</v>
      </c>
      <c r="G335" s="5" t="n">
        <v>55</v>
      </c>
      <c r="H335" s="5" t="n">
        <v>27</v>
      </c>
      <c r="I335" s="5" t="n">
        <v>34</v>
      </c>
      <c r="J335" s="6" t="s">
        <v>83</v>
      </c>
      <c r="K335" s="5" t="n">
        <v>5</v>
      </c>
      <c r="L335" s="5" t="n">
        <v>0</v>
      </c>
      <c r="M335" s="3" t="s">
        <v>63</v>
      </c>
      <c r="N335" s="3" t="s">
        <v>150</v>
      </c>
      <c r="P335" s="3" t="s">
        <v>87</v>
      </c>
      <c r="Q335" s="7" t="n">
        <v>4.54</v>
      </c>
      <c r="R335" s="5" t="n">
        <v>700</v>
      </c>
      <c r="S335" s="5" t="n">
        <v>10260</v>
      </c>
      <c r="T335" s="5" t="n">
        <f aca="false">S335-R335</f>
        <v>9560</v>
      </c>
      <c r="U335" s="7" t="n">
        <f aca="false">76/60</f>
        <v>1.26666666666667</v>
      </c>
      <c r="V335" s="7" t="n">
        <f aca="false">77/60</f>
        <v>1.28333333333333</v>
      </c>
      <c r="W335" s="7" t="n">
        <f aca="false">V335-U335</f>
        <v>0.0166666666666668</v>
      </c>
      <c r="X335" s="7" t="n">
        <f aca="false">Q335/U335</f>
        <v>3.58421052631579</v>
      </c>
      <c r="Y335" s="3" t="n">
        <v>1</v>
      </c>
      <c r="Z335" s="7" t="n">
        <f aca="false">Q335/Y335</f>
        <v>4.54</v>
      </c>
      <c r="AA335" s="7" t="n">
        <f aca="false">16+36/60</f>
        <v>16.6</v>
      </c>
      <c r="AB335" s="5" t="n">
        <v>98</v>
      </c>
      <c r="AC335" s="5" t="n">
        <v>479</v>
      </c>
      <c r="AD335" s="5" t="n">
        <v>110</v>
      </c>
      <c r="AE335" s="3" t="n">
        <v>131</v>
      </c>
      <c r="AF335" s="7" t="n">
        <f aca="false">16+50/60</f>
        <v>16.8333333333333</v>
      </c>
      <c r="AG335" s="7" t="n">
        <f aca="false">16+36/60</f>
        <v>16.6</v>
      </c>
      <c r="AH335" s="8" t="n">
        <f aca="false">16+22/60</f>
        <v>16.3666666666667</v>
      </c>
      <c r="AI335" s="7" t="n">
        <f aca="false">16+29/60</f>
        <v>16.4833333333333</v>
      </c>
      <c r="AJ335" s="7" t="n">
        <f aca="false">60/3.6</f>
        <v>16.6666666666667</v>
      </c>
      <c r="AP335" s="3" t="n">
        <v>1</v>
      </c>
      <c r="AQ335" s="3" t="n">
        <v>0</v>
      </c>
      <c r="AR335" s="3" t="n">
        <v>0</v>
      </c>
      <c r="AS335" s="9" t="n">
        <f aca="false">60*U335-SUM(AT335:AX335)</f>
        <v>35.9166666666667</v>
      </c>
      <c r="AT335" s="7" t="n">
        <f aca="false">29+29/60</f>
        <v>29.4833333333333</v>
      </c>
      <c r="AU335" s="7" t="n">
        <f aca="false">10+36/60</f>
        <v>10.6</v>
      </c>
      <c r="AV335" s="7" t="n">
        <v>0</v>
      </c>
      <c r="AW335" s="7" t="n">
        <v>0</v>
      </c>
      <c r="AX335" s="7" t="n">
        <v>0</v>
      </c>
      <c r="AY335" s="3" t="s">
        <v>59</v>
      </c>
      <c r="AZ335" s="3" t="s">
        <v>60</v>
      </c>
      <c r="BA335" s="3" t="n">
        <v>0</v>
      </c>
    </row>
    <row r="336" customFormat="false" ht="16.9" hidden="false" customHeight="false" outlineLevel="0" collapsed="false">
      <c r="A336" s="1" t="n">
        <v>866</v>
      </c>
      <c r="B336" s="2" t="n">
        <v>44214.4951388889</v>
      </c>
      <c r="C336" s="3" t="n">
        <v>1</v>
      </c>
      <c r="F336" s="4" t="s">
        <v>65</v>
      </c>
      <c r="G336" s="5" t="n">
        <v>55</v>
      </c>
      <c r="H336" s="3" t="n">
        <v>38</v>
      </c>
      <c r="I336" s="3" t="n">
        <v>49</v>
      </c>
      <c r="J336" s="4" t="s">
        <v>88</v>
      </c>
      <c r="K336" s="5" t="n">
        <v>18</v>
      </c>
      <c r="L336" s="5" t="n">
        <v>24</v>
      </c>
      <c r="M336" s="3" t="s">
        <v>63</v>
      </c>
      <c r="N336" s="3" t="s">
        <v>150</v>
      </c>
      <c r="O336" s="3" t="s">
        <v>160</v>
      </c>
      <c r="P336" s="3" t="s">
        <v>112</v>
      </c>
      <c r="Q336" s="7" t="n">
        <v>6.32</v>
      </c>
      <c r="R336" s="5" t="n">
        <v>903</v>
      </c>
      <c r="S336" s="5" t="n">
        <v>14283</v>
      </c>
      <c r="T336" s="5" t="n">
        <f aca="false">S336-R336</f>
        <v>13380</v>
      </c>
      <c r="U336" s="7" t="n">
        <f aca="false">(60+44)/60</f>
        <v>1.73333333333333</v>
      </c>
      <c r="V336" s="7" t="n">
        <f aca="false">(60+56)/60</f>
        <v>1.93333333333333</v>
      </c>
      <c r="W336" s="7" t="n">
        <f aca="false">V336-U336</f>
        <v>0.2</v>
      </c>
      <c r="X336" s="7" t="n">
        <f aca="false">Q336/U336</f>
        <v>3.64615384615385</v>
      </c>
      <c r="Y336" s="3" t="n">
        <v>1</v>
      </c>
      <c r="Z336" s="7" t="n">
        <f aca="false">Q336/Y336</f>
        <v>6.32</v>
      </c>
      <c r="AA336" s="7" t="n">
        <f aca="false">16+26/60</f>
        <v>16.4333333333333</v>
      </c>
      <c r="AB336" s="5" t="n">
        <v>72</v>
      </c>
      <c r="AC336" s="5" t="n">
        <v>665</v>
      </c>
      <c r="AD336" s="5" t="n">
        <v>94</v>
      </c>
      <c r="AE336" s="3" t="n">
        <v>124</v>
      </c>
      <c r="AF336" s="7" t="n">
        <f aca="false">16+28/60</f>
        <v>16.4666666666667</v>
      </c>
      <c r="AG336" s="7" t="n">
        <f aca="false">16+28/60</f>
        <v>16.4666666666667</v>
      </c>
      <c r="AH336" s="8" t="n">
        <f aca="false">16+19/60</f>
        <v>16.3166666666667</v>
      </c>
      <c r="AI336" s="7" t="n">
        <f aca="false">16+54/60</f>
        <v>16.9</v>
      </c>
      <c r="AJ336" s="7" t="n">
        <f aca="false">15+56/60</f>
        <v>15.9333333333333</v>
      </c>
      <c r="AK336" s="7" t="n">
        <f aca="false">16+37/60</f>
        <v>16.6166666666667</v>
      </c>
      <c r="AL336" s="7" t="n">
        <f aca="false">60/3.7</f>
        <v>16.2162162162162</v>
      </c>
      <c r="AP336" s="3" t="n">
        <v>2</v>
      </c>
      <c r="AQ336" s="3" t="n">
        <v>0</v>
      </c>
      <c r="AR336" s="3" t="n">
        <v>0</v>
      </c>
      <c r="AS336" s="9" t="n">
        <f aca="false">60*U336-SUM(AT336:AX336)</f>
        <v>39.55</v>
      </c>
      <c r="AT336" s="7" t="n">
        <f aca="false">64+27/60</f>
        <v>64.45</v>
      </c>
      <c r="AU336" s="7" t="n">
        <v>0</v>
      </c>
      <c r="AV336" s="7" t="n">
        <v>0</v>
      </c>
      <c r="AW336" s="7" t="n">
        <v>0</v>
      </c>
      <c r="AX336" s="7" t="n">
        <v>0</v>
      </c>
      <c r="AY336" s="3" t="s">
        <v>59</v>
      </c>
      <c r="AZ336" s="3" t="s">
        <v>60</v>
      </c>
      <c r="BA336" s="3" t="n">
        <v>0</v>
      </c>
    </row>
    <row r="337" customFormat="false" ht="16.9" hidden="false" customHeight="true" outlineLevel="0" collapsed="false">
      <c r="A337" s="1" t="n">
        <v>867</v>
      </c>
      <c r="B337" s="2" t="n">
        <v>44215.4951388889</v>
      </c>
      <c r="C337" s="3" t="n">
        <v>0</v>
      </c>
      <c r="D337" s="3" t="s">
        <v>95</v>
      </c>
      <c r="F337" s="4" t="s">
        <v>65</v>
      </c>
      <c r="G337" s="5" t="n">
        <v>53</v>
      </c>
      <c r="H337" s="5" t="n">
        <v>40</v>
      </c>
      <c r="I337" s="5" t="n">
        <v>41</v>
      </c>
      <c r="J337" s="6" t="s">
        <v>97</v>
      </c>
      <c r="K337" s="5" t="n">
        <v>16</v>
      </c>
      <c r="L337" s="5" t="n">
        <v>0</v>
      </c>
      <c r="M337" s="3" t="s">
        <v>164</v>
      </c>
    </row>
    <row r="338" customFormat="false" ht="17.9" hidden="false" customHeight="true" outlineLevel="0" collapsed="false">
      <c r="A338" s="1" t="n">
        <v>868</v>
      </c>
      <c r="B338" s="2" t="n">
        <v>44216.4951388889</v>
      </c>
      <c r="C338" s="3" t="n">
        <v>0</v>
      </c>
      <c r="D338" s="3" t="s">
        <v>95</v>
      </c>
      <c r="F338" s="4" t="s">
        <v>90</v>
      </c>
      <c r="G338" s="5" t="n">
        <v>45</v>
      </c>
      <c r="H338" s="5" t="n">
        <v>39</v>
      </c>
      <c r="I338" s="5" t="n">
        <v>80</v>
      </c>
      <c r="J338" s="6" t="s">
        <v>128</v>
      </c>
      <c r="K338" s="5" t="n">
        <v>0</v>
      </c>
      <c r="L338" s="5" t="n">
        <v>0</v>
      </c>
      <c r="M338" s="3" t="s">
        <v>84</v>
      </c>
    </row>
    <row r="339" customFormat="false" ht="16.9" hidden="false" customHeight="false" outlineLevel="0" collapsed="false">
      <c r="A339" s="1" t="n">
        <v>869</v>
      </c>
      <c r="B339" s="2" t="n">
        <v>44217.4951388889</v>
      </c>
      <c r="C339" s="3" t="n">
        <v>0</v>
      </c>
      <c r="D339" s="3" t="s">
        <v>95</v>
      </c>
      <c r="F339" s="4" t="s">
        <v>84</v>
      </c>
      <c r="G339" s="5" t="n">
        <v>51</v>
      </c>
      <c r="H339" s="5" t="n">
        <v>48</v>
      </c>
      <c r="I339" s="5" t="n">
        <v>89</v>
      </c>
      <c r="J339" s="4" t="s">
        <v>88</v>
      </c>
      <c r="K339" s="5" t="n">
        <v>3</v>
      </c>
      <c r="L339" s="5" t="n">
        <v>0</v>
      </c>
      <c r="M339" s="3" t="s">
        <v>84</v>
      </c>
    </row>
    <row r="340" customFormat="false" ht="16.9" hidden="false" customHeight="false" outlineLevel="0" collapsed="false">
      <c r="A340" s="1" t="n">
        <v>870</v>
      </c>
      <c r="B340" s="2" t="n">
        <v>44218.4951388889</v>
      </c>
      <c r="C340" s="3" t="n">
        <v>1</v>
      </c>
      <c r="D340" s="3" t="s">
        <v>95</v>
      </c>
      <c r="F340" s="4" t="s">
        <v>65</v>
      </c>
      <c r="G340" s="5" t="n">
        <v>51</v>
      </c>
      <c r="H340" s="5" t="n">
        <v>45</v>
      </c>
      <c r="I340" s="5" t="n">
        <v>80</v>
      </c>
      <c r="J340" s="4" t="s">
        <v>85</v>
      </c>
      <c r="K340" s="5" t="n">
        <v>8</v>
      </c>
      <c r="L340" s="5" t="n">
        <v>0</v>
      </c>
      <c r="M340" s="3" t="s">
        <v>63</v>
      </c>
      <c r="N340" s="3" t="s">
        <v>150</v>
      </c>
      <c r="P340" s="3" t="s">
        <v>152</v>
      </c>
      <c r="Q340" s="7" t="n">
        <v>8.64</v>
      </c>
      <c r="U340" s="7" t="n">
        <f aca="false">(120+21)/60</f>
        <v>2.35</v>
      </c>
      <c r="V340" s="7" t="n">
        <f aca="false">(120+40)/60</f>
        <v>2.66666666666667</v>
      </c>
      <c r="W340" s="7" t="n">
        <f aca="false">V340-U340</f>
        <v>0.316666666666666</v>
      </c>
      <c r="X340" s="7" t="n">
        <f aca="false">Q340/U340</f>
        <v>3.67659574468085</v>
      </c>
      <c r="Y340" s="3" t="n">
        <v>1</v>
      </c>
      <c r="Z340" s="7" t="n">
        <f aca="false">Q340/Y340</f>
        <v>8.64</v>
      </c>
      <c r="AA340" s="7" t="n">
        <f aca="false">16+18/60</f>
        <v>16.3</v>
      </c>
      <c r="AB340" s="5" t="n">
        <v>30</v>
      </c>
      <c r="AC340" s="5" t="n">
        <v>910</v>
      </c>
      <c r="AD340" s="5" t="n">
        <v>87</v>
      </c>
      <c r="AE340" s="3" t="n">
        <v>121</v>
      </c>
      <c r="AF340" s="7" t="n">
        <f aca="false">15+48/60</f>
        <v>15.8</v>
      </c>
      <c r="AG340" s="7" t="n">
        <f aca="false">15+53/60</f>
        <v>15.8833333333333</v>
      </c>
      <c r="AH340" s="8" t="n">
        <f aca="false">16+25/60</f>
        <v>16.4166666666667</v>
      </c>
      <c r="AI340" s="7" t="n">
        <f aca="false">15+59/60</f>
        <v>15.9833333333333</v>
      </c>
      <c r="AJ340" s="7" t="n">
        <f aca="false">17+54/60</f>
        <v>17.9</v>
      </c>
      <c r="AK340" s="7" t="n">
        <f aca="false">15+59/60</f>
        <v>15.9833333333333</v>
      </c>
      <c r="AL340" s="7" t="n">
        <f aca="false">15+50/60</f>
        <v>15.8333333333333</v>
      </c>
      <c r="AM340" s="7" t="n">
        <f aca="false">16+22/60</f>
        <v>16.3666666666667</v>
      </c>
      <c r="AN340" s="7" t="n">
        <f aca="false">60/3.7</f>
        <v>16.2162162162162</v>
      </c>
      <c r="AP340" s="3" t="n">
        <v>2</v>
      </c>
      <c r="AQ340" s="3" t="n">
        <v>1</v>
      </c>
      <c r="AR340" s="3" t="n">
        <v>0</v>
      </c>
      <c r="AS340" s="9" t="n">
        <f aca="false">60*U340-SUM(AT340:AX340)</f>
        <v>82.0166666666667</v>
      </c>
      <c r="AT340" s="7" t="n">
        <f aca="false">57+30/60</f>
        <v>57.5</v>
      </c>
      <c r="AU340" s="7" t="n">
        <f aca="false">1+29/60</f>
        <v>1.48333333333333</v>
      </c>
      <c r="AV340" s="7" t="n">
        <v>0</v>
      </c>
      <c r="AW340" s="7" t="n">
        <v>0</v>
      </c>
      <c r="AX340" s="7" t="n">
        <v>0</v>
      </c>
      <c r="AY340" s="3" t="s">
        <v>59</v>
      </c>
      <c r="AZ340" s="3" t="s">
        <v>60</v>
      </c>
      <c r="BA340" s="3" t="n">
        <v>0</v>
      </c>
    </row>
    <row r="341" customFormat="false" ht="16.9" hidden="false" customHeight="false" outlineLevel="0" collapsed="false">
      <c r="A341" s="1" t="n">
        <v>871</v>
      </c>
      <c r="B341" s="2" t="n">
        <v>44219.4951388889</v>
      </c>
      <c r="C341" s="3" t="n">
        <v>0</v>
      </c>
      <c r="D341" s="3" t="s">
        <v>95</v>
      </c>
      <c r="F341" s="4" t="s">
        <v>103</v>
      </c>
      <c r="G341" s="5" t="n">
        <v>48</v>
      </c>
      <c r="H341" s="5" t="n">
        <v>48</v>
      </c>
      <c r="I341" s="5" t="n">
        <v>100</v>
      </c>
      <c r="J341" s="4" t="s">
        <v>114</v>
      </c>
      <c r="K341" s="5" t="n">
        <v>12</v>
      </c>
      <c r="L341" s="5" t="n">
        <v>0</v>
      </c>
      <c r="M341" s="3" t="s">
        <v>103</v>
      </c>
    </row>
    <row r="342" customFormat="false" ht="16.9" hidden="false" customHeight="false" outlineLevel="0" collapsed="false">
      <c r="A342" s="1" t="n">
        <v>872</v>
      </c>
      <c r="B342" s="2" t="n">
        <v>44220.4951388889</v>
      </c>
      <c r="C342" s="3" t="n">
        <v>0</v>
      </c>
      <c r="D342" s="3" t="s">
        <v>79</v>
      </c>
      <c r="F342" s="4" t="s">
        <v>103</v>
      </c>
      <c r="G342" s="5" t="n">
        <v>56</v>
      </c>
      <c r="H342" s="5" t="n">
        <v>56</v>
      </c>
      <c r="I342" s="5" t="n">
        <v>100</v>
      </c>
      <c r="J342" s="4" t="s">
        <v>117</v>
      </c>
      <c r="K342" s="5" t="n">
        <v>3</v>
      </c>
      <c r="L342" s="5" t="n">
        <v>0</v>
      </c>
      <c r="M342" s="3" t="s">
        <v>103</v>
      </c>
    </row>
    <row r="343" customFormat="false" ht="16.9" hidden="false" customHeight="false" outlineLevel="0" collapsed="false">
      <c r="A343" s="1" t="n">
        <v>873</v>
      </c>
      <c r="B343" s="2" t="n">
        <v>44221.4951388889</v>
      </c>
      <c r="C343" s="3" t="n">
        <v>1</v>
      </c>
      <c r="F343" s="4" t="s">
        <v>71</v>
      </c>
      <c r="G343" s="5" t="n">
        <v>61</v>
      </c>
      <c r="H343" s="5" t="n">
        <v>47</v>
      </c>
      <c r="I343" s="5" t="n">
        <v>60</v>
      </c>
      <c r="J343" s="4" t="s">
        <v>81</v>
      </c>
      <c r="K343" s="5" t="n">
        <v>14</v>
      </c>
      <c r="L343" s="5" t="n">
        <v>0</v>
      </c>
      <c r="M343" s="3" t="s">
        <v>63</v>
      </c>
      <c r="N343" s="3" t="s">
        <v>150</v>
      </c>
      <c r="O343" s="3" t="s">
        <v>160</v>
      </c>
      <c r="P343" s="3" t="s">
        <v>126</v>
      </c>
      <c r="Q343" s="7" t="n">
        <v>6.53</v>
      </c>
      <c r="U343" s="7" t="n">
        <f aca="false">(60+49)/60</f>
        <v>1.81666666666667</v>
      </c>
      <c r="V343" s="7" t="n">
        <f aca="false">(60+54)/60</f>
        <v>1.9</v>
      </c>
      <c r="W343" s="7" t="n">
        <f aca="false">V343-U343</f>
        <v>0.0833333333333333</v>
      </c>
      <c r="X343" s="7" t="n">
        <f aca="false">Q343/U343</f>
        <v>3.59449541284404</v>
      </c>
      <c r="Y343" s="3" t="n">
        <v>1</v>
      </c>
      <c r="Z343" s="7" t="n">
        <f aca="false">Q343/Y343</f>
        <v>6.53</v>
      </c>
      <c r="AA343" s="7" t="n">
        <f aca="false">16+46/60</f>
        <v>16.7666666666667</v>
      </c>
      <c r="AB343" s="5" t="n">
        <v>174</v>
      </c>
      <c r="AC343" s="5" t="n">
        <v>738</v>
      </c>
      <c r="AD343" s="5" t="n">
        <v>113</v>
      </c>
      <c r="AE343" s="3" t="n">
        <v>143</v>
      </c>
      <c r="AF343" s="7" t="n">
        <f aca="false">16</f>
        <v>16</v>
      </c>
      <c r="AG343" s="7" t="n">
        <f aca="false">15+55/60</f>
        <v>15.9166666666667</v>
      </c>
      <c r="AH343" s="8" t="n">
        <f aca="false">17+11/60</f>
        <v>17.1833333333333</v>
      </c>
      <c r="AI343" s="7" t="n">
        <f aca="false">17+30/60</f>
        <v>17.5</v>
      </c>
      <c r="AJ343" s="7" t="n">
        <f aca="false">16+54/60</f>
        <v>16.9</v>
      </c>
      <c r="AK343" s="7" t="n">
        <f aca="false">16+56/60</f>
        <v>16.9333333333333</v>
      </c>
      <c r="AL343" s="7" t="n">
        <f aca="false">60/3.5</f>
        <v>17.1428571428571</v>
      </c>
      <c r="AP343" s="3" t="n">
        <v>2</v>
      </c>
      <c r="AQ343" s="3" t="n">
        <v>0</v>
      </c>
      <c r="AR343" s="3" t="n">
        <v>0</v>
      </c>
      <c r="AS343" s="9" t="n">
        <f aca="false">60*U343-SUM(AT343:AX343)</f>
        <v>23.7833333333333</v>
      </c>
      <c r="AT343" s="7" t="n">
        <f aca="false">17+35/60</f>
        <v>17.5833333333333</v>
      </c>
      <c r="AU343" s="7" t="n">
        <f aca="false">9+51/60</f>
        <v>9.85</v>
      </c>
      <c r="AV343" s="7" t="n">
        <f aca="false">57+45/60</f>
        <v>57.75</v>
      </c>
      <c r="AW343" s="7" t="n">
        <f aca="false">2/60</f>
        <v>0.0333333333333333</v>
      </c>
      <c r="AX343" s="7" t="n">
        <v>0</v>
      </c>
      <c r="AY343" s="3" t="s">
        <v>59</v>
      </c>
      <c r="AZ343" s="3" t="s">
        <v>60</v>
      </c>
      <c r="BA343" s="3" t="n">
        <v>0</v>
      </c>
    </row>
    <row r="344" customFormat="false" ht="16.9" hidden="false" customHeight="false" outlineLevel="0" collapsed="false">
      <c r="A344" s="1" t="n">
        <f aca="false">A343+1</f>
        <v>874</v>
      </c>
      <c r="B344" s="2" t="n">
        <f aca="false">B343+1</f>
        <v>44222.4951388889</v>
      </c>
      <c r="C344" s="3" t="n">
        <v>0</v>
      </c>
      <c r="D344" s="3" t="s">
        <v>79</v>
      </c>
      <c r="F344" s="4" t="s">
        <v>103</v>
      </c>
      <c r="G344" s="5" t="n">
        <v>56</v>
      </c>
      <c r="H344" s="5" t="n">
        <v>56</v>
      </c>
      <c r="I344" s="5" t="n">
        <v>100</v>
      </c>
      <c r="J344" s="4" t="s">
        <v>117</v>
      </c>
      <c r="K344" s="5" t="n">
        <v>3</v>
      </c>
      <c r="L344" s="5" t="n">
        <v>0</v>
      </c>
      <c r="M344" s="3" t="s">
        <v>103</v>
      </c>
    </row>
    <row r="345" customFormat="false" ht="16.9" hidden="false" customHeight="false" outlineLevel="0" collapsed="false">
      <c r="A345" s="1" t="n">
        <f aca="false">A344+1</f>
        <v>875</v>
      </c>
      <c r="B345" s="2" t="n">
        <f aca="false">B344+1</f>
        <v>44223.4951388889</v>
      </c>
      <c r="C345" s="3" t="n">
        <v>1</v>
      </c>
      <c r="F345" s="4" t="s">
        <v>120</v>
      </c>
      <c r="G345" s="5" t="n">
        <v>61</v>
      </c>
      <c r="H345" s="5" t="n">
        <v>47</v>
      </c>
      <c r="I345" s="5" t="n">
        <v>60</v>
      </c>
      <c r="J345" s="6" t="s">
        <v>81</v>
      </c>
      <c r="K345" s="5" t="n">
        <v>14</v>
      </c>
      <c r="L345" s="5" t="n">
        <v>0</v>
      </c>
      <c r="M345" s="3" t="s">
        <v>63</v>
      </c>
      <c r="N345" s="3" t="s">
        <v>150</v>
      </c>
      <c r="O345" s="3" t="s">
        <v>160</v>
      </c>
      <c r="P345" s="3" t="s">
        <v>126</v>
      </c>
      <c r="Q345" s="7" t="n">
        <v>6.63</v>
      </c>
      <c r="U345" s="7" t="n">
        <f aca="false">(60+49)/60</f>
        <v>1.81666666666667</v>
      </c>
      <c r="V345" s="7" t="n">
        <f aca="false">(60+54)/60</f>
        <v>1.9</v>
      </c>
      <c r="W345" s="7" t="n">
        <f aca="false">V345-U345</f>
        <v>0.0833333333333333</v>
      </c>
      <c r="X345" s="7" t="n">
        <f aca="false">Q345/U345</f>
        <v>3.64954128440367</v>
      </c>
      <c r="Y345" s="3" t="n">
        <v>1</v>
      </c>
      <c r="Z345" s="7" t="n">
        <f aca="false">Q345/Y345</f>
        <v>6.63</v>
      </c>
      <c r="AA345" s="7" t="n">
        <f aca="false">16+46/60</f>
        <v>16.7666666666667</v>
      </c>
      <c r="AB345" s="5" t="n">
        <v>174</v>
      </c>
      <c r="AC345" s="5" t="n">
        <v>738</v>
      </c>
      <c r="AD345" s="5" t="n">
        <v>113</v>
      </c>
      <c r="AE345" s="3" t="n">
        <v>143</v>
      </c>
      <c r="AF345" s="7" t="n">
        <v>16</v>
      </c>
      <c r="AG345" s="7" t="n">
        <f aca="false">15+55/60</f>
        <v>15.9166666666667</v>
      </c>
      <c r="AH345" s="18" t="n">
        <f aca="false">17+11/60</f>
        <v>17.1833333333333</v>
      </c>
      <c r="AI345" s="7" t="n">
        <f aca="false">16+30/60</f>
        <v>16.5</v>
      </c>
      <c r="AJ345" s="7" t="n">
        <f aca="false">16+54/60</f>
        <v>16.9</v>
      </c>
      <c r="AK345" s="7" t="n">
        <f aca="false">16+56/60</f>
        <v>16.9333333333333</v>
      </c>
      <c r="AL345" s="7" t="n">
        <f aca="false">60/3.5</f>
        <v>17.1428571428571</v>
      </c>
      <c r="AS345" s="9" t="n">
        <f aca="false">60*U345-SUM(AT345:AX345)</f>
        <v>17.0666666666667</v>
      </c>
      <c r="AT345" s="7" t="n">
        <f aca="false">17+35/60</f>
        <v>17.5833333333333</v>
      </c>
      <c r="AU345" s="7" t="n">
        <f aca="false">9+51/60</f>
        <v>9.85</v>
      </c>
      <c r="AV345" s="7" t="n">
        <f aca="false">57+45/6</f>
        <v>64.5</v>
      </c>
      <c r="AW345" s="7" t="n">
        <v>0</v>
      </c>
      <c r="AX345" s="7" t="n">
        <v>0</v>
      </c>
      <c r="AY345" s="3" t="s">
        <v>59</v>
      </c>
      <c r="AZ345" s="3" t="s">
        <v>60</v>
      </c>
      <c r="BA345" s="3" t="n">
        <v>0</v>
      </c>
    </row>
    <row r="346" customFormat="false" ht="16.9" hidden="false" customHeight="false" outlineLevel="0" collapsed="false">
      <c r="A346" s="1" t="n">
        <f aca="false">A345+1</f>
        <v>876</v>
      </c>
      <c r="B346" s="2" t="n">
        <f aca="false">B345+1</f>
        <v>44224.4951388889</v>
      </c>
      <c r="C346" s="3" t="n">
        <v>1</v>
      </c>
      <c r="F346" s="4" t="s">
        <v>71</v>
      </c>
      <c r="G346" s="5" t="n">
        <v>47</v>
      </c>
      <c r="H346" s="5" t="n">
        <v>33</v>
      </c>
      <c r="I346" s="5" t="n">
        <v>47</v>
      </c>
      <c r="J346" s="6" t="s">
        <v>83</v>
      </c>
      <c r="K346" s="5" t="n">
        <v>10</v>
      </c>
      <c r="L346" s="5" t="n">
        <v>0</v>
      </c>
      <c r="M346" s="3" t="s">
        <v>63</v>
      </c>
      <c r="N346" s="3" t="s">
        <v>150</v>
      </c>
      <c r="O346" s="3" t="s">
        <v>160</v>
      </c>
      <c r="P346" s="3" t="s">
        <v>87</v>
      </c>
      <c r="Q346" s="7" t="n">
        <v>3.78</v>
      </c>
      <c r="U346" s="7" t="n">
        <f aca="false">66/60</f>
        <v>1.1</v>
      </c>
      <c r="V346" s="7" t="n">
        <f aca="false">66/60</f>
        <v>1.1</v>
      </c>
      <c r="W346" s="7" t="n">
        <f aca="false">V346-U346</f>
        <v>0</v>
      </c>
      <c r="X346" s="7" t="n">
        <f aca="false">Q346/U346</f>
        <v>3.43636363636364</v>
      </c>
      <c r="Y346" s="3" t="n">
        <v>1</v>
      </c>
      <c r="Z346" s="7" t="n">
        <f aca="false">Q346/Y346</f>
        <v>3.78</v>
      </c>
      <c r="AA346" s="7" t="n">
        <f aca="false">16+46/60</f>
        <v>16.7666666666667</v>
      </c>
      <c r="AB346" s="5" t="n">
        <v>92</v>
      </c>
      <c r="AC346" s="5" t="n">
        <v>390</v>
      </c>
      <c r="AD346" s="5" t="n">
        <v>93</v>
      </c>
      <c r="AE346" s="3" t="n">
        <v>112</v>
      </c>
      <c r="AF346" s="7" t="n">
        <f aca="false">17+27/60</f>
        <v>17.45</v>
      </c>
      <c r="AG346" s="7" t="n">
        <f aca="false">17+3/60</f>
        <v>17.05</v>
      </c>
      <c r="AH346" s="18" t="n">
        <f aca="false">17+49/60</f>
        <v>17.8166666666667</v>
      </c>
      <c r="AI346" s="7" t="n">
        <f aca="false">60/3.4</f>
        <v>17.6470588235294</v>
      </c>
      <c r="AS346" s="9" t="n">
        <f aca="false">60*U346-SUM(AT346:AX346)</f>
        <v>66</v>
      </c>
      <c r="AY346" s="3" t="s">
        <v>59</v>
      </c>
      <c r="AZ346" s="3" t="s">
        <v>60</v>
      </c>
      <c r="BA346" s="3" t="n">
        <v>0</v>
      </c>
    </row>
    <row r="347" customFormat="false" ht="15.65" hidden="false" customHeight="false" outlineLevel="0" collapsed="false">
      <c r="A347" s="1" t="n">
        <f aca="false">A346+1</f>
        <v>877</v>
      </c>
      <c r="B347" s="2" t="n">
        <f aca="false">B346+1</f>
        <v>44225.4951388889</v>
      </c>
      <c r="C347" s="3" t="n">
        <v>1</v>
      </c>
      <c r="F347" s="4" t="s">
        <v>54</v>
      </c>
      <c r="G347" s="5" t="n">
        <v>57</v>
      </c>
      <c r="H347" s="5" t="n">
        <v>37</v>
      </c>
      <c r="I347" s="5" t="n">
        <v>47</v>
      </c>
      <c r="J347" s="6" t="s">
        <v>139</v>
      </c>
      <c r="K347" s="5" t="n">
        <v>21</v>
      </c>
      <c r="L347" s="5" t="n">
        <v>29</v>
      </c>
      <c r="M347" s="3" t="s">
        <v>63</v>
      </c>
      <c r="N347" s="3" t="s">
        <v>150</v>
      </c>
      <c r="O347" s="3" t="s">
        <v>160</v>
      </c>
      <c r="P347" s="17" t="s">
        <v>131</v>
      </c>
      <c r="Q347" s="7" t="n">
        <v>7.44</v>
      </c>
      <c r="U347" s="7" t="n">
        <f aca="false">130/60</f>
        <v>2.16666666666667</v>
      </c>
      <c r="V347" s="7" t="n">
        <f aca="false">150/60</f>
        <v>2.5</v>
      </c>
      <c r="W347" s="7" t="n">
        <f aca="false">V347-U347</f>
        <v>0.333333333333333</v>
      </c>
      <c r="X347" s="7" t="n">
        <f aca="false">Q347/U347</f>
        <v>3.43384615384615</v>
      </c>
      <c r="Y347" s="3" t="n">
        <v>1</v>
      </c>
      <c r="Z347" s="7" t="n">
        <f aca="false">Q347/Y347</f>
        <v>7.44</v>
      </c>
      <c r="AA347" s="7" t="n">
        <f aca="false">17+26/60</f>
        <v>17.4333333333333</v>
      </c>
      <c r="AB347" s="5" t="n">
        <v>325</v>
      </c>
      <c r="AC347" s="5" t="n">
        <v>804</v>
      </c>
      <c r="AD347" s="5" t="n">
        <v>87</v>
      </c>
      <c r="AE347" s="3" t="n">
        <v>118</v>
      </c>
      <c r="AF347" s="7" t="n">
        <f aca="false">17+5/60</f>
        <v>17.0833333333333</v>
      </c>
      <c r="AG347" s="7" t="n">
        <f aca="false">17+23/60</f>
        <v>17.3833333333333</v>
      </c>
      <c r="AH347" s="18" t="n">
        <f aca="false">17+35/60</f>
        <v>17.5833333333333</v>
      </c>
      <c r="AI347" s="7" t="n">
        <f aca="false">18+18/60</f>
        <v>18.3</v>
      </c>
      <c r="AJ347" s="7" t="n">
        <f aca="false">17+28/60</f>
        <v>17.4666666666667</v>
      </c>
      <c r="AK347" s="7" t="n">
        <f aca="false">16+44/60</f>
        <v>16.7333333333333</v>
      </c>
      <c r="AL347" s="7" t="n">
        <f aca="false">17+25/60</f>
        <v>17.4166666666667</v>
      </c>
      <c r="AM347" s="7" t="n">
        <f aca="false">60/3.4</f>
        <v>17.6470588235294</v>
      </c>
      <c r="AS347" s="9" t="n">
        <f aca="false">60*U347-SUM(AT347:AX347)</f>
        <v>73.7333333333333</v>
      </c>
      <c r="AT347" s="7" t="n">
        <f aca="false">53+30/60</f>
        <v>53.5</v>
      </c>
      <c r="AU347" s="7" t="n">
        <f aca="false">2+46/60</f>
        <v>2.76666666666667</v>
      </c>
      <c r="AV347" s="7" t="n">
        <v>0</v>
      </c>
      <c r="AW347" s="7" t="n">
        <v>0</v>
      </c>
      <c r="AX347" s="7" t="n">
        <v>0</v>
      </c>
      <c r="AY347" s="3" t="s">
        <v>59</v>
      </c>
      <c r="AZ347" s="3" t="s">
        <v>60</v>
      </c>
      <c r="BA347" s="3" t="n">
        <v>0</v>
      </c>
    </row>
    <row r="348" customFormat="false" ht="15" hidden="false" customHeight="false" outlineLevel="0" collapsed="false">
      <c r="A348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3954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2021-04-17T20:18:29Z</dcterms:modified>
  <cp:revision>281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