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<sst xmlns="http://schemas.openxmlformats.org/spreadsheetml/2006/main" count="1577" uniqueCount="148">
  <si>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</si>
  <si>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</si>
  <si>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</si>
  <si>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</si>
  <si>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</si>
  <si>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</si>
  <si>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</si>
  <si>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</si>
  <si>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</si>
  <si>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</si>
  <si>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</si>
  <si>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</si>
  <si>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</si>
  <si>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</si>
  <si>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</si>
  <si>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</si>
  <si>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</si>
  <si>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</si>
  <si>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</si>
  <si>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</si>
  <si>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</si>
  <si>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</si>
  <si>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</si>
  <si>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</si>
  <si>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</si>
  <si>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</si>
  <si>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</si>
  <si>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</si>
  <si>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</si>
  <si>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</si>
  <si>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</si>
  <si>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</si>
  <si>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</si>
  <si>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</si>
  <si>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</si>
  <si>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</si>
  <si>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</si>
  <si>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</si>
  <si>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</si>
  <si>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</si>
  <si>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</si>
  <si>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</si>
  <si>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</si>
  <si>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</si>
  <si>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</si>
  <si>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</si>
  <si>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</si>
  <si>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</si>
  <si>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</si>
  <si>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</si>
  <si>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</si>
  <si>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</si>
  <si>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</si>
  <si>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</si>
  <si>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</si>
  <si>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</si>
  <si>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</si>
  <si>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</si>
  <si>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</si>
  <si>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</si>
  <si>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</si>
  <si>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</si>
  <si>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</si>
  <si>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</si>
  <si>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</si>
  <si>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</si>
  <si>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</si>
  <si>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</si>
  <si>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</si>
  <si>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</si>
  <si>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</si>
  <si>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</si>
  <si>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</si>
  <si>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</si>
  <si>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</si>
  <si>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</si>
  <si>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</si>
  <si>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</si>
  <si>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</si>
  <si>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</si>
  <si>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</si>
  <si>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</si>
  <si>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</si>
  <si>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</si>
  <si>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</si>
  <si>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</si>
  <si>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</si>
  <si>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</si>
  <si>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</si>
  <si>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</si>
  <si>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</si>
  <si>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</si>
  <si>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</si>
  <si>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</si>
  <si>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</si>
  <si>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</si>
  <si>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</si>
  <si>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</si>
  <si>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</si>
  <si>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</si>
  <si>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</si>
  <si>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</si>
  <si>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</si>
  <si>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</si>
  <si>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</si>
  <si>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</si>
  <si>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</si>
  <si>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</si>
  <si>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</si>
  <si>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</si>
  <si>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</si>
  <si>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</si>
  <si>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</si>
  <si>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</si>
  <si>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</si>
  <si>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</si>
  <si>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</si>
  <si>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</si>
  <si>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</si>
  <si>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</si>
  <si>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</si>
  <si>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</si>
  <si>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</si>
  <si>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</si>
  <si>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</si>
  <si>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</si>
  <si>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</si>
  <si>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</si>
  <si>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</si>
  <si>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</si>
  <si>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</si>
  <si>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</si>
  <si>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</si>
  <si>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</si>
  <si>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</si>
  <si>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</si>
  <si>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</si>
  <si>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</si>
  <si>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</si>
  <si>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</si>
  <si>
    <t xml:space="preserve">Pioneer Trail</t>
  </si>
  <si>
    <t xml:space="preserve">Garmin not charged</t>
  </si>
  <si>
    <t xml:space="preserve">Light Drizzle </t>
  </si>
  <si>
    <t xml:space="preserve">Wet</t>
  </si>
  <si>
    <t xml:space="preserve">SP2 food bank</t>
  </si>
  <si>
    <t xml:space="preserve">Cloudy / Windy </t>
  </si>
  <si>
    <t xml:space="preserve">Parks Mall – 2 laps</t>
  </si>
  <si>
    <t xml:space="preserve">Dental appointment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</si>
</sst>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4" activePane="bottomLeft" state="frozen"/>
      <selection pane="topLeft" activeCell="A1" activeCellId="0" sqref="A1"/>
      <selection pane="bottomLeft" activeCell="A264" activeCellId="0" sqref="A264"/>
    </sheetView>
  </sheetViews>
  <sheetFormatPr defaultColWidth="13.25390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132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134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135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136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134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132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136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136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2</v>
      </c>
      <c r="Z234" s="3" t="n">
        <f aca="false">Q234/Y234</f>
        <v>2.06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136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2</v>
      </c>
      <c r="Z236" s="3" t="n">
        <f aca="false">Q236/Y236</f>
        <v>2.48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82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120</v>
      </c>
      <c r="K237" s="2" t="n">
        <v>9</v>
      </c>
      <c r="L237" s="2" t="n">
        <v>0</v>
      </c>
      <c r="M237" s="0" t="s">
        <v>89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98</v>
      </c>
      <c r="K238" s="2" t="n">
        <v>22</v>
      </c>
      <c r="L238" s="2" t="n">
        <v>30</v>
      </c>
      <c r="M238" s="0" t="s">
        <v>89</v>
      </c>
      <c r="N238" s="0" t="n">
        <v>0</v>
      </c>
      <c r="O238" s="0" t="s">
        <v>136</v>
      </c>
      <c r="P238" s="13" t="s">
        <v>92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7" t="s">
        <v>119</v>
      </c>
      <c r="G239" s="2" t="n">
        <f aca="false">(77+81)/2</f>
        <v>79</v>
      </c>
      <c r="H239" s="2" t="n">
        <v>42</v>
      </c>
      <c r="I239" s="2" t="n">
        <v>26</v>
      </c>
      <c r="J239" s="2" t="s">
        <v>109</v>
      </c>
      <c r="K239" s="2" t="n">
        <v>6</v>
      </c>
      <c r="L239" s="2" t="n">
        <v>0</v>
      </c>
      <c r="M239" s="0" t="s">
        <v>89</v>
      </c>
      <c r="N239" s="0" t="n">
        <v>0</v>
      </c>
      <c r="O239" s="0" t="s">
        <v>136</v>
      </c>
      <c r="P239" s="0" t="s">
        <v>140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99</v>
      </c>
      <c r="K240" s="2" t="n">
        <v>13</v>
      </c>
      <c r="L240" s="2" t="n">
        <v>28</v>
      </c>
      <c r="M240" s="0" t="s">
        <v>89</v>
      </c>
      <c r="N240" s="0" t="n">
        <v>1</v>
      </c>
      <c r="O240" s="0" t="s">
        <v>136</v>
      </c>
      <c r="P240" s="0" t="s">
        <v>77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141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7" t="s">
        <v>134</v>
      </c>
      <c r="G241" s="2" t="n">
        <v>70</v>
      </c>
      <c r="H241" s="2" t="n">
        <v>57</v>
      </c>
      <c r="I241" s="2" t="n">
        <v>62</v>
      </c>
      <c r="J241" s="2" t="s">
        <v>130</v>
      </c>
      <c r="K241" s="2" t="n">
        <v>18</v>
      </c>
      <c r="L241" s="2" t="n">
        <v>31</v>
      </c>
      <c r="M241" s="0" t="s">
        <v>89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2</v>
      </c>
      <c r="Z241" s="3" t="n">
        <f aca="false">Q241/Y241</f>
        <v>2.45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7" t="s">
        <v>116</v>
      </c>
      <c r="G242" s="2" t="n">
        <v>71</v>
      </c>
      <c r="H242" s="2" t="n">
        <v>70</v>
      </c>
      <c r="I242" s="2" t="n">
        <v>79</v>
      </c>
      <c r="J242" s="2" t="s">
        <v>98</v>
      </c>
      <c r="K242" s="2" t="n">
        <v>6</v>
      </c>
      <c r="L242" s="2" t="n">
        <v>0</v>
      </c>
      <c r="M242" s="0" t="s">
        <v>89</v>
      </c>
      <c r="N242" s="0" t="n">
        <v>0</v>
      </c>
      <c r="O242" s="0" t="s">
        <v>136</v>
      </c>
      <c r="P242" s="0" t="s">
        <v>90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7" t="s">
        <v>134</v>
      </c>
      <c r="G243" s="2" t="n">
        <v>69</v>
      </c>
      <c r="H243" s="2" t="n">
        <v>55</v>
      </c>
      <c r="I243" s="2" t="n">
        <v>61</v>
      </c>
      <c r="J243" s="2" t="s">
        <v>99</v>
      </c>
      <c r="K243" s="2" t="n">
        <v>15</v>
      </c>
      <c r="L243" s="2" t="n">
        <v>29</v>
      </c>
      <c r="M243" s="0" t="s">
        <v>89</v>
      </c>
      <c r="N243" s="0" t="n">
        <v>0</v>
      </c>
      <c r="O243" s="0" t="s">
        <v>136</v>
      </c>
      <c r="P243" s="0" t="s">
        <v>76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7" t="s">
        <v>116</v>
      </c>
      <c r="G244" s="2" t="n">
        <v>82</v>
      </c>
      <c r="H244" s="2" t="n">
        <v>68</v>
      </c>
      <c r="I244" s="2" t="n">
        <f aca="false">(58+55)/2</f>
        <v>56.5</v>
      </c>
      <c r="J244" s="2" t="s">
        <v>99</v>
      </c>
      <c r="K244" s="2" t="n">
        <f aca="false">(18+21)/2</f>
        <v>19.5</v>
      </c>
      <c r="L244" s="2" t="n">
        <v>30</v>
      </c>
      <c r="M244" s="0" t="s">
        <v>89</v>
      </c>
      <c r="N244" s="0" t="n">
        <v>0</v>
      </c>
      <c r="O244" s="0" t="s">
        <v>136</v>
      </c>
      <c r="P244" s="0" t="s">
        <v>129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7" t="s">
        <v>82</v>
      </c>
      <c r="F245" s="7" t="s">
        <v>142</v>
      </c>
      <c r="G245" s="2" t="n">
        <v>56</v>
      </c>
      <c r="H245" s="2" t="n">
        <v>52</v>
      </c>
      <c r="I245" s="2" t="n">
        <v>87</v>
      </c>
      <c r="J245" s="7" t="s">
        <v>120</v>
      </c>
      <c r="K245" s="2" t="n">
        <v>70</v>
      </c>
      <c r="L245" s="2" t="n">
        <v>0</v>
      </c>
      <c r="M245" s="0" t="s">
        <v>143</v>
      </c>
    </row>
    <row r="246" customFormat="false" ht="12.8" hidden="false" customHeight="false" outlineLevel="0" collapsed="false">
      <c r="A246" s="0" t="n">
        <v>778</v>
      </c>
      <c r="B246" s="1" t="n">
        <v>44124.5625</v>
      </c>
      <c r="C246" s="0" t="n">
        <v>1</v>
      </c>
      <c r="F246" s="7" t="s">
        <v>139</v>
      </c>
      <c r="G246" s="2" t="n">
        <v>77</v>
      </c>
      <c r="H246" s="2" t="n">
        <v>62</v>
      </c>
      <c r="I246" s="2" t="n">
        <v>60</v>
      </c>
      <c r="J246" s="7" t="s">
        <v>122</v>
      </c>
      <c r="K246" s="2" t="n">
        <v>20</v>
      </c>
      <c r="L246" s="2" t="n">
        <v>0</v>
      </c>
      <c r="M246" s="0" t="s">
        <v>89</v>
      </c>
      <c r="N246" s="0" t="n">
        <v>0</v>
      </c>
      <c r="O246" s="0" t="s">
        <v>136</v>
      </c>
      <c r="P246" s="0" t="s">
        <v>81</v>
      </c>
      <c r="Q246" s="3" t="n">
        <v>6.31</v>
      </c>
      <c r="R246" s="2" t="n">
        <v>643</v>
      </c>
      <c r="S246" s="2" t="n">
        <v>14684</v>
      </c>
      <c r="T246" s="2" t="n">
        <f aca="false">S246-R246</f>
        <v>14041</v>
      </c>
      <c r="U246" s="3" t="n">
        <f aca="false">(60+42)/60</f>
        <v>1.7</v>
      </c>
      <c r="V246" s="3" t="n">
        <f aca="false">(60+53)/60</f>
        <v>1.88333333333333</v>
      </c>
      <c r="W246" s="3" t="n">
        <f aca="false">V246-U246</f>
        <v>0.183333333333333</v>
      </c>
      <c r="X246" s="3" t="n">
        <f aca="false">Q246/U246</f>
        <v>3.71176470588235</v>
      </c>
      <c r="Y246" s="0" t="n">
        <v>1</v>
      </c>
      <c r="Z246" s="3" t="n">
        <f aca="false">Q246/Y246</f>
        <v>6.31</v>
      </c>
      <c r="AA246" s="3" t="n">
        <f aca="false">16+14/60</f>
        <v>16.2333333333333</v>
      </c>
      <c r="AB246" s="2" t="n">
        <v>233</v>
      </c>
      <c r="AC246" s="2" t="n">
        <v>673</v>
      </c>
      <c r="AD246" s="2" t="n">
        <v>136</v>
      </c>
      <c r="AE246" s="0" t="n">
        <v>140</v>
      </c>
      <c r="AF246" s="3" t="n">
        <f aca="false">16+8/60</f>
        <v>16.1333333333333</v>
      </c>
      <c r="AG246" s="3" t="n">
        <f aca="false">16+27/60</f>
        <v>16.45</v>
      </c>
      <c r="AH246" s="3" t="n">
        <f aca="false">15+58/60</f>
        <v>15.9666666666667</v>
      </c>
      <c r="AI246" s="3" t="n">
        <f aca="false">16+30/60</f>
        <v>16.5</v>
      </c>
      <c r="AJ246" s="3" t="n">
        <f aca="false">16</f>
        <v>16</v>
      </c>
      <c r="AK246" s="3" t="n">
        <f aca="false">16+18/60</f>
        <v>16.3</v>
      </c>
      <c r="AL246" s="3" t="n">
        <f aca="false">60/3.7</f>
        <v>16.2162162162162</v>
      </c>
      <c r="AP246" s="2" t="n">
        <v>0</v>
      </c>
      <c r="AQ246" s="0" t="n">
        <v>2</v>
      </c>
      <c r="AR246" s="0" t="n">
        <v>1</v>
      </c>
      <c r="AS246" s="0" t="n">
        <v>0</v>
      </c>
      <c r="AT246" s="4" t="n">
        <v>0</v>
      </c>
      <c r="AU246" s="3" t="n">
        <f aca="false">53/60</f>
        <v>0.883333333333333</v>
      </c>
      <c r="AV246" s="3" t="n">
        <f aca="false">6+1/60</f>
        <v>6.01666666666667</v>
      </c>
      <c r="AW246" s="3" t="n">
        <f aca="false">81+35/60</f>
        <v>81.5833333333333</v>
      </c>
      <c r="AX246" s="3" t="n">
        <f aca="false">14+2/60</f>
        <v>14.0333333333333</v>
      </c>
      <c r="AY246" s="3" t="n">
        <v>0</v>
      </c>
      <c r="AZ246" s="0" t="s">
        <v>58</v>
      </c>
      <c r="BA246" s="0" t="s">
        <v>59</v>
      </c>
      <c r="BB246" s="0" t="n">
        <v>0</v>
      </c>
    </row>
    <row r="247" customFormat="false" ht="12.8" hidden="false" customHeight="false" outlineLevel="0" collapsed="false">
      <c r="A247" s="0" t="n">
        <v>779</v>
      </c>
      <c r="B247" s="1" t="n">
        <v>44125.5173611111</v>
      </c>
      <c r="C247" s="0" t="n">
        <v>1</v>
      </c>
      <c r="F247" s="7" t="s">
        <v>116</v>
      </c>
      <c r="G247" s="2" t="n">
        <v>79</v>
      </c>
      <c r="H247" s="2" t="n">
        <v>66</v>
      </c>
      <c r="I247" s="2" t="n">
        <v>64</v>
      </c>
      <c r="J247" s="2" t="s">
        <v>99</v>
      </c>
      <c r="K247" s="2" t="n">
        <v>17</v>
      </c>
      <c r="L247" s="2" t="n">
        <v>29</v>
      </c>
      <c r="M247" s="0" t="s">
        <v>89</v>
      </c>
      <c r="N247" s="0" t="n">
        <v>0</v>
      </c>
      <c r="O247" s="0" t="s">
        <v>136</v>
      </c>
      <c r="P247" s="7" t="s">
        <v>75</v>
      </c>
      <c r="Q247" s="3" t="n">
        <v>4.14</v>
      </c>
      <c r="R247" s="2" t="n">
        <v>878</v>
      </c>
      <c r="S247" s="2" t="n">
        <v>9876</v>
      </c>
      <c r="T247" s="2" t="n">
        <f aca="false">S247-R247</f>
        <v>8998</v>
      </c>
      <c r="U247" s="3" t="n">
        <f aca="false">71/60</f>
        <v>1.18333333333333</v>
      </c>
      <c r="V247" s="3" t="n">
        <f aca="false">75/60</f>
        <v>1.25</v>
      </c>
      <c r="W247" s="3" t="n">
        <f aca="false">V247-U247</f>
        <v>0.0666666666666667</v>
      </c>
      <c r="X247" s="3" t="n">
        <f aca="false">Q247/U247</f>
        <v>3.49859154929577</v>
      </c>
      <c r="Y247" s="0" t="n">
        <v>2</v>
      </c>
      <c r="Z247" s="3" t="n">
        <f aca="false">Q247/Y247</f>
        <v>2.07</v>
      </c>
      <c r="AA247" s="3" t="n">
        <f aca="false">17+15/60</f>
        <v>17.25</v>
      </c>
      <c r="AB247" s="2" t="n">
        <v>545</v>
      </c>
      <c r="AC247" s="2" t="n">
        <v>459</v>
      </c>
      <c r="AD247" s="2" t="n">
        <v>122</v>
      </c>
      <c r="AE247" s="0" t="n">
        <v>152</v>
      </c>
      <c r="AF247" s="3" t="n">
        <f aca="false">17+17/60</f>
        <v>17.2833333333333</v>
      </c>
      <c r="AG247" s="3" t="n">
        <f aca="false">16+17/60</f>
        <v>16.2833333333333</v>
      </c>
      <c r="AH247" s="3" t="n">
        <f aca="false">18+47.6</f>
        <v>65.6</v>
      </c>
      <c r="AI247" s="3" t="n">
        <f aca="false">16+34/60</f>
        <v>16.5666666666667</v>
      </c>
      <c r="AJ247" s="3" t="n">
        <f aca="false">60/3.5</f>
        <v>17.1428571428571</v>
      </c>
      <c r="AP247" s="2" t="n">
        <v>0</v>
      </c>
      <c r="AQ247" s="0" t="n">
        <v>2</v>
      </c>
      <c r="AR247" s="0" t="n">
        <v>0</v>
      </c>
      <c r="AS247" s="0" t="n">
        <v>0</v>
      </c>
      <c r="AT247" s="4" t="n">
        <f aca="false">60*U247-SUM(AU247:AY247)</f>
        <v>0.0033333333333303</v>
      </c>
      <c r="AU247" s="3" t="n">
        <f aca="false">11+33/60</f>
        <v>11.55</v>
      </c>
      <c r="AV247" s="3" t="n">
        <f aca="false">24+27/60</f>
        <v>24.45</v>
      </c>
      <c r="AW247" s="3" t="n">
        <f aca="false">32+43/60</f>
        <v>32.7166666666667</v>
      </c>
      <c r="AX247" s="3" t="n">
        <v>2.28</v>
      </c>
      <c r="AY247" s="3" t="n">
        <v>0</v>
      </c>
      <c r="AZ247" s="0" t="s">
        <v>58</v>
      </c>
      <c r="BA247" s="0" t="s">
        <v>59</v>
      </c>
      <c r="BB247" s="0" t="n">
        <v>0</v>
      </c>
    </row>
    <row r="248" customFormat="false" ht="13.8" hidden="false" customHeight="false" outlineLevel="0" collapsed="false">
      <c r="A248" s="0" t="n">
        <v>780</v>
      </c>
      <c r="B248" s="1" t="n">
        <v>44126.4777777778</v>
      </c>
      <c r="C248" s="0" t="n">
        <v>1</v>
      </c>
      <c r="F248" s="7" t="s">
        <v>116</v>
      </c>
      <c r="G248" s="2" t="n">
        <f aca="false">AVERAGE(82,84,84,86)</f>
        <v>84</v>
      </c>
      <c r="H248" s="2" t="n">
        <f aca="false">AVERAGE(66,66,66,67)</f>
        <v>66.25</v>
      </c>
      <c r="I248" s="2" t="n">
        <f aca="false">AVERAGE(62,59,55,55)</f>
        <v>57.75</v>
      </c>
      <c r="J248" s="2" t="s">
        <v>101</v>
      </c>
      <c r="K248" s="2" t="n">
        <f aca="false">AVERAGE(14,14,16,20)</f>
        <v>16</v>
      </c>
      <c r="L248" s="2" t="n">
        <v>29</v>
      </c>
      <c r="M248" s="0" t="s">
        <v>89</v>
      </c>
      <c r="N248" s="0" t="n">
        <v>0</v>
      </c>
      <c r="O248" s="0" t="s">
        <v>136</v>
      </c>
      <c r="P248" s="13" t="s">
        <v>92</v>
      </c>
      <c r="Q248" s="3" t="n">
        <v>6.94</v>
      </c>
      <c r="R248" s="2" t="n">
        <v>667</v>
      </c>
      <c r="S248" s="2" t="n">
        <v>15896</v>
      </c>
      <c r="T248" s="2" t="n">
        <f aca="false">S248-R248</f>
        <v>15229</v>
      </c>
      <c r="U248" s="3" t="n">
        <f aca="false">(120+2)/60</f>
        <v>2.03333333333333</v>
      </c>
      <c r="V248" s="3" t="n">
        <f aca="false">(120+14)/60</f>
        <v>2.23333333333333</v>
      </c>
      <c r="W248" s="3" t="n">
        <f aca="false">V248-U248</f>
        <v>0.2</v>
      </c>
      <c r="X248" s="3" t="n">
        <f aca="false">Q248/U248</f>
        <v>3.41311475409836</v>
      </c>
      <c r="Y248" s="0" t="n">
        <v>1</v>
      </c>
      <c r="Z248" s="3" t="n">
        <f aca="false">Q248/Y248</f>
        <v>6.94</v>
      </c>
      <c r="AA248" s="3" t="n">
        <f aca="false">17+37/60</f>
        <v>17.6166666666667</v>
      </c>
      <c r="AB248" s="2" t="n">
        <v>761</v>
      </c>
      <c r="AC248" s="2" t="n">
        <v>749</v>
      </c>
      <c r="AD248" s="2" t="n">
        <v>125</v>
      </c>
      <c r="AE248" s="0" t="n">
        <v>149</v>
      </c>
      <c r="AF248" s="3" t="n">
        <f aca="false">17+1/60</f>
        <v>17.0166666666667</v>
      </c>
      <c r="AG248" s="3" t="n">
        <f aca="false">17+17/60</f>
        <v>17.2833333333333</v>
      </c>
      <c r="AH248" s="3" t="n">
        <f aca="false">17+36/60</f>
        <v>17.6</v>
      </c>
      <c r="AI248" s="3" t="n">
        <f aca="false">18+8/60</f>
        <v>18.1333333333333</v>
      </c>
      <c r="AJ248" s="3" t="n">
        <f aca="false">17+36/60</f>
        <v>17.6</v>
      </c>
      <c r="AK248" s="3" t="n">
        <f aca="false">17+17/60</f>
        <v>17.2833333333333</v>
      </c>
      <c r="AL248" s="3" t="n">
        <f aca="false">60/3.3</f>
        <v>18.1818181818182</v>
      </c>
      <c r="AP248" s="2" t="n">
        <v>7</v>
      </c>
      <c r="AQ248" s="0" t="n">
        <v>1</v>
      </c>
      <c r="AR248" s="0" t="n">
        <v>0</v>
      </c>
      <c r="AS248" s="0" t="n">
        <v>0</v>
      </c>
      <c r="AT248" s="4" t="n">
        <f aca="false">60*U248-SUM(AU248:AY248)</f>
        <v>2.78333333333333</v>
      </c>
      <c r="AU248" s="3" t="n">
        <f aca="false">9+10/60</f>
        <v>9.16666666666667</v>
      </c>
      <c r="AV248" s="3" t="n">
        <f aca="false">29+2/60</f>
        <v>29.0333333333333</v>
      </c>
      <c r="AW248" s="3" t="n">
        <f aca="false">79+59/60</f>
        <v>79.9833333333333</v>
      </c>
      <c r="AX248" s="3" t="n">
        <f aca="false">1+2/60</f>
        <v>1.03333333333333</v>
      </c>
      <c r="AY248" s="3" t="n">
        <v>0</v>
      </c>
      <c r="AZ248" s="0" t="s">
        <v>58</v>
      </c>
      <c r="BA248" s="0" t="s">
        <v>59</v>
      </c>
      <c r="BB248" s="0" t="n">
        <v>0</v>
      </c>
    </row>
    <row r="249" customFormat="false" ht="12.8" hidden="false" customHeight="false" outlineLevel="0" collapsed="false">
      <c r="A249" s="0" t="n">
        <v>781</v>
      </c>
      <c r="B249" s="1" t="n">
        <v>44127</v>
      </c>
      <c r="C249" s="0" t="n">
        <v>1</v>
      </c>
      <c r="F249" s="7" t="s">
        <v>134</v>
      </c>
      <c r="G249" s="2" t="n">
        <v>51</v>
      </c>
      <c r="H249" s="2" t="n">
        <v>45</v>
      </c>
      <c r="I249" s="2" t="n">
        <v>83</v>
      </c>
      <c r="J249" s="2" t="s">
        <v>120</v>
      </c>
      <c r="K249" s="2" t="n">
        <v>18</v>
      </c>
      <c r="L249" s="2" t="n">
        <v>0</v>
      </c>
      <c r="M249" s="0" t="s">
        <v>89</v>
      </c>
      <c r="N249" s="0" t="n">
        <v>0</v>
      </c>
      <c r="O249" s="0" t="s">
        <v>136</v>
      </c>
      <c r="P249" s="0" t="s">
        <v>77</v>
      </c>
      <c r="Q249" s="3" t="n">
        <v>4.35</v>
      </c>
      <c r="R249" s="2" t="n">
        <v>459</v>
      </c>
      <c r="S249" s="2" t="n">
        <v>10458</v>
      </c>
      <c r="T249" s="2" t="n">
        <f aca="false">S249-R249</f>
        <v>9999</v>
      </c>
      <c r="U249" s="3" t="n">
        <f aca="false">64/60</f>
        <v>1.06666666666667</v>
      </c>
      <c r="V249" s="3" t="n">
        <f aca="false">79/60</f>
        <v>1.31666666666667</v>
      </c>
      <c r="W249" s="3" t="n">
        <f aca="false">V249-U249</f>
        <v>0.25</v>
      </c>
      <c r="X249" s="3" t="n">
        <f aca="false">Q249/U249</f>
        <v>4.07812499999999</v>
      </c>
      <c r="Y249" s="0" t="n">
        <v>4</v>
      </c>
      <c r="Z249" s="3" t="n">
        <f aca="false">Q249/Y249</f>
        <v>1.0875</v>
      </c>
      <c r="AA249" s="3" t="n">
        <f aca="false">15+37/60</f>
        <v>15.6166666666667</v>
      </c>
      <c r="AB249" s="2" t="n">
        <v>105</v>
      </c>
      <c r="AC249" s="2" t="n">
        <v>465</v>
      </c>
      <c r="AD249" s="2" t="n">
        <v>80</v>
      </c>
      <c r="AE249" s="0" t="n">
        <v>117</v>
      </c>
      <c r="AF249" s="3" t="n">
        <f aca="false">15+32/60</f>
        <v>15.5333333333333</v>
      </c>
      <c r="AG249" s="3" t="n">
        <f aca="false">15+35/60</f>
        <v>15.5833333333333</v>
      </c>
      <c r="AH249" s="3" t="n">
        <f aca="false">15+37/60</f>
        <v>15.6166666666667</v>
      </c>
      <c r="AI249" s="3" t="n">
        <f aca="false">15+39/60</f>
        <v>15.65</v>
      </c>
      <c r="AJ249" s="3" t="n">
        <f aca="false">60/3.8</f>
        <v>15.7894736842105</v>
      </c>
      <c r="AP249" s="2" t="n">
        <v>0</v>
      </c>
      <c r="AQ249" s="0" t="n">
        <v>1</v>
      </c>
      <c r="AR249" s="0" t="n">
        <v>0</v>
      </c>
      <c r="AS249" s="0" t="n">
        <v>0</v>
      </c>
      <c r="AT249" s="4" t="n">
        <f aca="false">60*U249-SUM(AU249:AY249)</f>
        <v>57</v>
      </c>
      <c r="AU249" s="3" t="n">
        <f aca="false">5+36/60</f>
        <v>5.6</v>
      </c>
      <c r="AV249" s="3" t="n">
        <f aca="false">1+24/60</f>
        <v>1.4</v>
      </c>
      <c r="AW249" s="3" t="n">
        <v>0</v>
      </c>
      <c r="AX249" s="3" t="n">
        <v>0</v>
      </c>
      <c r="AY249" s="3" t="n">
        <v>0</v>
      </c>
      <c r="AZ249" s="0" t="s">
        <v>58</v>
      </c>
      <c r="BA249" s="0" t="s">
        <v>59</v>
      </c>
      <c r="BB249" s="0" t="n">
        <v>0</v>
      </c>
    </row>
    <row r="250" customFormat="false" ht="12.8" hidden="false" customHeight="false" outlineLevel="0" collapsed="false">
      <c r="A250" s="0" t="n">
        <v>782</v>
      </c>
      <c r="B250" s="1" t="n">
        <v>44128.4951388889</v>
      </c>
      <c r="C250" s="0" t="n">
        <v>0</v>
      </c>
      <c r="D250" s="0" t="s">
        <v>144</v>
      </c>
      <c r="F250" s="7" t="s">
        <v>121</v>
      </c>
      <c r="G250" s="0" t="n">
        <v>51</v>
      </c>
      <c r="H250" s="0" t="n">
        <v>40</v>
      </c>
      <c r="I250" s="0" t="n">
        <v>61</v>
      </c>
      <c r="J250" s="0" t="s">
        <v>127</v>
      </c>
      <c r="K250" s="0" t="n">
        <v>7</v>
      </c>
      <c r="L250" s="0" t="n">
        <v>0</v>
      </c>
      <c r="M250" s="0" t="s">
        <v>89</v>
      </c>
    </row>
    <row r="251" customFormat="false" ht="12.8" hidden="false" customHeight="false" outlineLevel="0" collapsed="false">
      <c r="A251" s="0" t="n">
        <v>783</v>
      </c>
      <c r="B251" s="1" t="n">
        <v>44129.4951388889</v>
      </c>
      <c r="C251" s="0" t="n">
        <v>0</v>
      </c>
      <c r="D251" s="0" t="s">
        <v>69</v>
      </c>
      <c r="F251" s="7" t="s">
        <v>134</v>
      </c>
      <c r="G251" s="2" t="n">
        <v>59</v>
      </c>
      <c r="H251" s="2" t="n">
        <v>55</v>
      </c>
      <c r="I251" s="2" t="n">
        <v>87</v>
      </c>
      <c r="J251" s="7" t="s">
        <v>117</v>
      </c>
      <c r="K251" s="2" t="n">
        <v>12</v>
      </c>
      <c r="L251" s="2" t="n">
        <v>0</v>
      </c>
      <c r="M251" s="0" t="s">
        <v>89</v>
      </c>
    </row>
    <row r="252" customFormat="false" ht="12.8" hidden="false" customHeight="false" outlineLevel="0" collapsed="false">
      <c r="A252" s="0" t="n">
        <v>784</v>
      </c>
      <c r="B252" s="1" t="n">
        <v>44130.5777777778</v>
      </c>
      <c r="C252" s="0" t="n">
        <v>1</v>
      </c>
      <c r="F252" s="7" t="s">
        <v>145</v>
      </c>
      <c r="G252" s="2" t="n">
        <v>45</v>
      </c>
      <c r="H252" s="2" t="n">
        <v>43</v>
      </c>
      <c r="I252" s="2" t="n">
        <v>93</v>
      </c>
      <c r="J252" s="2" t="s">
        <v>98</v>
      </c>
      <c r="K252" s="2" t="n">
        <v>21</v>
      </c>
      <c r="L252" s="2" t="n">
        <v>0</v>
      </c>
      <c r="M252" s="0" t="s">
        <v>89</v>
      </c>
      <c r="N252" s="0" t="n">
        <v>0</v>
      </c>
      <c r="O252" s="0" t="s">
        <v>136</v>
      </c>
      <c r="P252" s="0" t="s">
        <v>146</v>
      </c>
      <c r="Q252" s="3" t="n">
        <v>3.52</v>
      </c>
      <c r="R252" s="2" t="n">
        <v>1140</v>
      </c>
      <c r="S252" s="2" t="n">
        <v>12443</v>
      </c>
      <c r="T252" s="2" t="n">
        <f aca="false">S252-R252</f>
        <v>11303</v>
      </c>
      <c r="U252" s="3" t="n">
        <f aca="false">89/60</f>
        <v>1.48333333333333</v>
      </c>
      <c r="V252" s="3" t="n">
        <f aca="false">89/60</f>
        <v>1.48333333333333</v>
      </c>
      <c r="W252" s="3" t="n">
        <f aca="false">V252-U252</f>
        <v>0</v>
      </c>
      <c r="X252" s="3" t="n">
        <f aca="false">Q252/U252</f>
        <v>2.37303370786517</v>
      </c>
      <c r="Y252" s="0" t="n">
        <v>2</v>
      </c>
      <c r="Z252" s="3" t="n">
        <f aca="false">Q252/Y252</f>
        <v>1.76</v>
      </c>
      <c r="AA252" s="3" t="n">
        <f aca="false">25+12/60</f>
        <v>25.2</v>
      </c>
      <c r="AB252" s="2" t="n">
        <v>39</v>
      </c>
      <c r="AC252" s="2" t="n">
        <v>327</v>
      </c>
      <c r="AD252" s="2" t="n">
        <v>81</v>
      </c>
      <c r="AE252" s="0" t="n">
        <v>111</v>
      </c>
      <c r="AF252" s="3" t="n">
        <f aca="false">24+55/60</f>
        <v>24.9166666666667</v>
      </c>
      <c r="AG252" s="3" t="n">
        <f aca="false">25+7/60</f>
        <v>25.1166666666667</v>
      </c>
      <c r="AH252" s="3" t="n">
        <f aca="false">26+32/60</f>
        <v>26.5333333333333</v>
      </c>
      <c r="AI252" s="3" t="n">
        <f aca="false">60/2.4</f>
        <v>25</v>
      </c>
      <c r="AP252" s="2" t="n">
        <v>0</v>
      </c>
      <c r="AQ252" s="0" t="n">
        <v>0</v>
      </c>
      <c r="AR252" s="0" t="n">
        <v>0</v>
      </c>
      <c r="AS252" s="0" t="n">
        <v>0</v>
      </c>
      <c r="AT252" s="4" t="n">
        <f aca="false">60*U252-SUM(AU252:AY252)</f>
        <v>76.2166666666667</v>
      </c>
      <c r="AU252" s="3" t="n">
        <f aca="false">11+56/60</f>
        <v>11.9333333333333</v>
      </c>
      <c r="AV252" s="3" t="n">
        <f aca="false">51/60</f>
        <v>0.85</v>
      </c>
      <c r="AW252" s="3" t="n">
        <v>0</v>
      </c>
      <c r="AX252" s="3" t="n">
        <v>0</v>
      </c>
      <c r="AY252" s="3" t="n">
        <v>0</v>
      </c>
      <c r="AZ252" s="0" t="s">
        <v>58</v>
      </c>
      <c r="BA252" s="0" t="s">
        <v>59</v>
      </c>
      <c r="BB252" s="0" t="n">
        <v>0</v>
      </c>
    </row>
    <row r="253" customFormat="false" ht="12.8" hidden="false" customHeight="false" outlineLevel="0" collapsed="false">
      <c r="A253" s="0" t="n">
        <v>785</v>
      </c>
      <c r="B253" s="1" t="n">
        <v>44131.4951388889</v>
      </c>
      <c r="C253" s="0" t="n">
        <v>0</v>
      </c>
      <c r="F253" s="7" t="s">
        <v>142</v>
      </c>
      <c r="G253" s="2" t="n">
        <v>39</v>
      </c>
      <c r="H253" s="2" t="n">
        <v>38</v>
      </c>
      <c r="I253" s="2" t="n">
        <v>96</v>
      </c>
      <c r="J253" s="2" t="s">
        <v>98</v>
      </c>
      <c r="K253" s="2" t="n">
        <v>14</v>
      </c>
      <c r="L253" s="2" t="n">
        <v>0</v>
      </c>
      <c r="M253" s="0" t="s">
        <v>143</v>
      </c>
    </row>
    <row r="254" customFormat="false" ht="12.8" hidden="false" customHeight="false" outlineLevel="0" collapsed="false">
      <c r="A254" s="0" t="n">
        <v>786</v>
      </c>
      <c r="B254" s="1" t="n">
        <v>44132.4770833333</v>
      </c>
      <c r="C254" s="0" t="n">
        <v>1</v>
      </c>
      <c r="F254" s="7" t="s">
        <v>118</v>
      </c>
      <c r="G254" s="2" t="n">
        <v>40</v>
      </c>
      <c r="H254" s="2" t="n">
        <v>38</v>
      </c>
      <c r="I254" s="2" t="n">
        <v>93</v>
      </c>
      <c r="J254" s="7" t="s">
        <v>135</v>
      </c>
      <c r="K254" s="2" t="n">
        <v>10</v>
      </c>
      <c r="L254" s="2" t="n">
        <v>0</v>
      </c>
      <c r="M254" s="0" t="s">
        <v>143</v>
      </c>
      <c r="N254" s="0" t="n">
        <v>0</v>
      </c>
      <c r="O254" s="0" t="s">
        <v>136</v>
      </c>
      <c r="P254" s="0" t="s">
        <v>146</v>
      </c>
      <c r="Q254" s="3" t="n">
        <v>3.86</v>
      </c>
      <c r="R254" s="2" t="n">
        <v>836</v>
      </c>
      <c r="S254" s="2" t="n">
        <v>13040</v>
      </c>
      <c r="T254" s="2" t="n">
        <f aca="false">S254-R254</f>
        <v>12204</v>
      </c>
      <c r="U254" s="3" t="n">
        <f aca="false">96/60</f>
        <v>1.6</v>
      </c>
      <c r="V254" s="3" t="n">
        <f aca="false">97/60</f>
        <v>1.61666666666667</v>
      </c>
      <c r="W254" s="3" t="n">
        <f aca="false">V254-U254</f>
        <v>0.0166666666666699</v>
      </c>
      <c r="X254" s="3" t="n">
        <f aca="false">Q254/U254</f>
        <v>2.4125</v>
      </c>
      <c r="Y254" s="0" t="n">
        <v>2</v>
      </c>
      <c r="Z254" s="3" t="n">
        <f aca="false">Q254/Y254</f>
        <v>1.93</v>
      </c>
      <c r="AA254" s="3" t="n">
        <f aca="false">24+54/60</f>
        <v>24.9</v>
      </c>
      <c r="AB254" s="2" t="n">
        <v>56</v>
      </c>
      <c r="AC254" s="2" t="n">
        <v>377</v>
      </c>
      <c r="AD254" s="2" t="n">
        <v>86</v>
      </c>
      <c r="AE254" s="0" t="n">
        <v>131</v>
      </c>
      <c r="AF254" s="3" t="n">
        <f aca="false">23+50/60</f>
        <v>23.8333333333333</v>
      </c>
      <c r="AG254" s="3" t="n">
        <f aca="false">23+34/60</f>
        <v>23.5666666666667</v>
      </c>
      <c r="AH254" s="3" t="n">
        <f aca="false">26+22/60</f>
        <v>26.3666666666667</v>
      </c>
      <c r="AI254" s="3" t="n">
        <f aca="false">60/2.3</f>
        <v>26.0869565217391</v>
      </c>
      <c r="AP254" s="2" t="n">
        <v>0</v>
      </c>
      <c r="AQ254" s="0" t="n">
        <v>0</v>
      </c>
      <c r="AR254" s="0" t="n">
        <v>0</v>
      </c>
      <c r="AS254" s="0" t="n">
        <v>0</v>
      </c>
      <c r="AT254" s="4" t="n">
        <f aca="false">60*U254-SUM(AU254:AY254)</f>
        <v>67.6533333333333</v>
      </c>
      <c r="AU254" s="3" t="n">
        <f aca="false">26+16/60</f>
        <v>26.2666666666667</v>
      </c>
      <c r="AV254" s="3" t="n">
        <f aca="false">1+54/50</f>
        <v>2.08</v>
      </c>
      <c r="AW254" s="3" t="n">
        <v>0</v>
      </c>
      <c r="AX254" s="3" t="n">
        <v>0</v>
      </c>
      <c r="AY254" s="3" t="n">
        <v>0</v>
      </c>
      <c r="AZ254" s="0" t="s">
        <v>58</v>
      </c>
      <c r="BA254" s="0" t="s">
        <v>59</v>
      </c>
      <c r="BB254" s="0" t="n">
        <v>0</v>
      </c>
    </row>
    <row r="255" customFormat="false" ht="12.8" hidden="false" customHeight="false" outlineLevel="0" collapsed="false">
      <c r="A255" s="0" t="n">
        <v>787</v>
      </c>
      <c r="B255" s="1" t="n">
        <v>44133.5270833333</v>
      </c>
      <c r="C255" s="0" t="n">
        <v>1</v>
      </c>
      <c r="F255" s="7" t="s">
        <v>134</v>
      </c>
      <c r="G255" s="2" t="n">
        <v>51</v>
      </c>
      <c r="H255" s="2" t="n">
        <v>41</v>
      </c>
      <c r="I255" s="2" t="n">
        <v>68</v>
      </c>
      <c r="J255" s="7" t="s">
        <v>120</v>
      </c>
      <c r="K255" s="2" t="n">
        <v>16</v>
      </c>
      <c r="L255" s="2" t="n">
        <v>0</v>
      </c>
      <c r="M255" s="0" t="s">
        <v>89</v>
      </c>
      <c r="N255" s="0" t="n">
        <v>0</v>
      </c>
      <c r="O255" s="0" t="s">
        <v>136</v>
      </c>
      <c r="P255" s="0" t="s">
        <v>72</v>
      </c>
      <c r="Q255" s="3" t="n">
        <v>4.5</v>
      </c>
      <c r="R255" s="2" t="n">
        <v>799</v>
      </c>
      <c r="S255" s="2" t="n">
        <v>10170</v>
      </c>
      <c r="T255" s="2" t="n">
        <f aca="false">S255-R255</f>
        <v>9371</v>
      </c>
      <c r="U255" s="3" t="n">
        <f aca="false">75/60</f>
        <v>1.25</v>
      </c>
      <c r="V255" s="3" t="n">
        <f aca="false">75/60</f>
        <v>1.25</v>
      </c>
      <c r="W255" s="3" t="n">
        <f aca="false">V255-U255</f>
        <v>0</v>
      </c>
      <c r="X255" s="3" t="n">
        <f aca="false">Q255/U255</f>
        <v>3.6</v>
      </c>
      <c r="Y255" s="0" t="n">
        <v>1</v>
      </c>
      <c r="Z255" s="3" t="n">
        <f aca="false">Q255/Y255</f>
        <v>4.5</v>
      </c>
      <c r="AA255" s="3" t="n">
        <f aca="false">16+36/60</f>
        <v>16.6</v>
      </c>
      <c r="AB255" s="2" t="n">
        <v>72</v>
      </c>
      <c r="AC255" s="2" t="n">
        <v>471</v>
      </c>
      <c r="AD255" s="2" t="n">
        <v>112</v>
      </c>
      <c r="AE255" s="0" t="n">
        <v>130</v>
      </c>
      <c r="AF255" s="3" t="n">
        <f aca="false">16+4/60</f>
        <v>16.0666666666667</v>
      </c>
      <c r="AG255" s="3" t="n">
        <f aca="false">16+38/60</f>
        <v>16.6333333333333</v>
      </c>
      <c r="AH255" s="3" t="n">
        <f aca="false">16+44/60</f>
        <v>16.7333333333333</v>
      </c>
      <c r="AI255" s="3" t="n">
        <f aca="false">16+40/60</f>
        <v>16.6666666666667</v>
      </c>
      <c r="AJ255" s="3" t="n">
        <f aca="false">60/3.5</f>
        <v>17.1428571428571</v>
      </c>
      <c r="AP255" s="2" t="n">
        <v>0</v>
      </c>
      <c r="AQ255" s="0" t="n">
        <v>0</v>
      </c>
      <c r="AR255" s="0" t="n">
        <v>1</v>
      </c>
      <c r="AS255" s="0" t="n">
        <v>0</v>
      </c>
      <c r="AT255" s="4" t="n">
        <f aca="false">60*U255-SUM(AU255:AY255)</f>
        <v>1</v>
      </c>
      <c r="AU255" s="3" t="n">
        <f aca="false">21+52/60</f>
        <v>21.8666666666667</v>
      </c>
      <c r="AV255" s="3" t="n">
        <f aca="false">50+16/60</f>
        <v>50.2666666666667</v>
      </c>
      <c r="AW255" s="3" t="n">
        <f aca="false">1+52/60</f>
        <v>1.86666666666667</v>
      </c>
      <c r="AX255" s="3" t="n">
        <v>0</v>
      </c>
      <c r="AY255" s="3" t="n">
        <v>0</v>
      </c>
      <c r="AZ255" s="0" t="s">
        <v>58</v>
      </c>
      <c r="BA255" s="0" t="s">
        <v>59</v>
      </c>
      <c r="BB255" s="0" t="n">
        <v>0</v>
      </c>
    </row>
    <row r="256" customFormat="false" ht="12.8" hidden="false" customHeight="false" outlineLevel="0" collapsed="false">
      <c r="A256" s="0" t="n">
        <v>788</v>
      </c>
      <c r="B256" s="1" t="n">
        <v>44134.5444444444</v>
      </c>
      <c r="C256" s="0" t="n">
        <v>1</v>
      </c>
      <c r="F256" s="7" t="s">
        <v>119</v>
      </c>
      <c r="G256" s="2" t="n">
        <f aca="false">(61+64)/2</f>
        <v>62.5</v>
      </c>
      <c r="H256" s="2" t="n">
        <v>36</v>
      </c>
      <c r="I256" s="2" t="n">
        <f aca="false">(39+35)/2</f>
        <v>37</v>
      </c>
      <c r="J256" s="7" t="s">
        <v>125</v>
      </c>
      <c r="K256" s="2" t="n">
        <v>0</v>
      </c>
      <c r="L256" s="2" t="n">
        <v>0</v>
      </c>
      <c r="M256" s="0" t="s">
        <v>89</v>
      </c>
      <c r="N256" s="0" t="n">
        <v>0</v>
      </c>
      <c r="O256" s="0" t="s">
        <v>136</v>
      </c>
      <c r="P256" s="0" t="s">
        <v>140</v>
      </c>
      <c r="Q256" s="3" t="n">
        <v>7.66</v>
      </c>
      <c r="R256" s="2" t="n">
        <v>506</v>
      </c>
      <c r="S256" s="2" t="n">
        <v>16909</v>
      </c>
      <c r="T256" s="2" t="n">
        <f aca="false">S256-R256</f>
        <v>16403</v>
      </c>
      <c r="U256" s="3" t="n">
        <f aca="false">128/60</f>
        <v>2.13333333333333</v>
      </c>
      <c r="V256" s="3" t="n">
        <f aca="false">(120+22)/60</f>
        <v>2.36666666666667</v>
      </c>
      <c r="W256" s="3" t="n">
        <f aca="false">V256-U256</f>
        <v>0.233333333333333</v>
      </c>
      <c r="X256" s="3" t="n">
        <f aca="false">Q256/U256</f>
        <v>3.590625</v>
      </c>
      <c r="Y256" s="0" t="n">
        <v>1</v>
      </c>
      <c r="Z256" s="3" t="n">
        <f aca="false">Q256/Y256</f>
        <v>7.66</v>
      </c>
      <c r="AA256" s="3" t="n">
        <f aca="false">16+40/60</f>
        <v>16.6666666666667</v>
      </c>
      <c r="AB256" s="2" t="n">
        <f aca="false">105</f>
        <v>105</v>
      </c>
      <c r="AC256" s="2" t="n">
        <v>813</v>
      </c>
      <c r="AD256" s="2" t="n">
        <v>77</v>
      </c>
      <c r="AE256" s="0" t="n">
        <v>125</v>
      </c>
      <c r="AF256" s="3" t="n">
        <f aca="false">16</f>
        <v>16</v>
      </c>
      <c r="AG256" s="3" t="n">
        <f aca="false">15+50/60</f>
        <v>15.8333333333333</v>
      </c>
      <c r="AH256" s="3" t="n">
        <f aca="false">16+9/60</f>
        <v>16.15</v>
      </c>
      <c r="AI256" s="3" t="n">
        <v>18</v>
      </c>
      <c r="AJ256" s="3" t="n">
        <f aca="false">16+33/60</f>
        <v>16.55</v>
      </c>
      <c r="AK256" s="3" t="n">
        <f aca="false">16.1</f>
        <v>16.1</v>
      </c>
      <c r="AL256" s="3" t="n">
        <f aca="false">17+4/60</f>
        <v>17.0666666666667</v>
      </c>
      <c r="AM256" s="3" t="n">
        <f aca="false">60/3.3</f>
        <v>18.1818181818182</v>
      </c>
      <c r="AP256" s="2" t="n">
        <v>0</v>
      </c>
      <c r="AQ256" s="0" t="n">
        <v>0</v>
      </c>
      <c r="AR256" s="0" t="n">
        <v>0</v>
      </c>
      <c r="AS256" s="0" t="n">
        <v>0</v>
      </c>
      <c r="AT256" s="4" t="n">
        <f aca="false">60*U256-SUM(AU256:AY256)</f>
        <v>110.433333333333</v>
      </c>
      <c r="AU256" s="3" t="n">
        <f aca="false">5+2/60</f>
        <v>5.03333333333333</v>
      </c>
      <c r="AV256" s="3" t="n">
        <f aca="false">12+32/60</f>
        <v>12.5333333333333</v>
      </c>
      <c r="AW256" s="3" t="n">
        <v>0</v>
      </c>
      <c r="AX256" s="3" t="n">
        <v>0</v>
      </c>
      <c r="AY256" s="3" t="n">
        <v>0</v>
      </c>
      <c r="AZ256" s="0" t="s">
        <v>58</v>
      </c>
      <c r="BA256" s="0" t="s">
        <v>59</v>
      </c>
      <c r="BB256" s="0" t="n">
        <v>0</v>
      </c>
    </row>
    <row r="257" customFormat="false" ht="12.8" hidden="false" customHeight="false" outlineLevel="0" collapsed="false">
      <c r="A257" s="0" t="n">
        <v>789</v>
      </c>
      <c r="B257" s="1" t="n">
        <v>44135.5472222222</v>
      </c>
      <c r="C257" s="0" t="n">
        <v>1</v>
      </c>
      <c r="F257" s="0" t="s">
        <v>60</v>
      </c>
      <c r="G257" s="2" t="n">
        <f aca="false">(66+68+69)/3</f>
        <v>67.6666666666667</v>
      </c>
      <c r="H257" s="2" t="n">
        <v>44</v>
      </c>
      <c r="I257" s="2" t="n">
        <f aca="false">(45+42+29)/3</f>
        <v>38.6666666666667</v>
      </c>
      <c r="J257" s="2" t="s">
        <v>99</v>
      </c>
      <c r="K257" s="2" t="n">
        <f aca="false">(12+13+9)/3</f>
        <v>11.3333333333333</v>
      </c>
      <c r="L257" s="2" t="n">
        <v>0</v>
      </c>
      <c r="M257" s="0" t="s">
        <v>89</v>
      </c>
      <c r="N257" s="0" t="n">
        <v>0</v>
      </c>
      <c r="O257" s="0" t="s">
        <v>136</v>
      </c>
      <c r="P257" s="0" t="s">
        <v>76</v>
      </c>
      <c r="Q257" s="3" t="n">
        <v>8.67</v>
      </c>
      <c r="R257" s="2" t="n">
        <v>1808</v>
      </c>
      <c r="S257" s="2" t="n">
        <v>19656</v>
      </c>
      <c r="T257" s="2" t="n">
        <f aca="false">S257-R257</f>
        <v>17848</v>
      </c>
      <c r="U257" s="3" t="n">
        <f aca="false">(120+21)/60</f>
        <v>2.35</v>
      </c>
      <c r="V257" s="3" t="n">
        <f aca="false">(120+30)/60</f>
        <v>2.5</v>
      </c>
      <c r="W257" s="3" t="n">
        <f aca="false">V257-U257</f>
        <v>0.15</v>
      </c>
      <c r="X257" s="3" t="n">
        <f aca="false">Q257/U257</f>
        <v>3.68936170212766</v>
      </c>
      <c r="Y257" s="0" t="n">
        <v>1</v>
      </c>
      <c r="Z257" s="3" t="n">
        <f aca="false">Q257/Y257</f>
        <v>8.67</v>
      </c>
      <c r="AA257" s="3" t="n">
        <f aca="false">16+14/60</f>
        <v>16.2333333333333</v>
      </c>
      <c r="AB257" s="2" t="n">
        <v>135</v>
      </c>
      <c r="AC257" s="2" t="n">
        <v>925</v>
      </c>
      <c r="AD257" s="2" t="n">
        <v>120</v>
      </c>
      <c r="AE257" s="0" t="n">
        <v>144</v>
      </c>
      <c r="AF257" s="3" t="n">
        <f aca="false">16+14/60</f>
        <v>16.2333333333333</v>
      </c>
      <c r="AG257" s="3" t="n">
        <f aca="false">15+43/60</f>
        <v>15.7166666666667</v>
      </c>
      <c r="AH257" s="3" t="n">
        <f aca="false">15+56/60</f>
        <v>15.9333333333333</v>
      </c>
      <c r="AI257" s="3" t="n">
        <f aca="false">15+48/60</f>
        <v>15.8</v>
      </c>
      <c r="AJ257" s="3" t="n">
        <f aca="false">16+16/60</f>
        <v>16.2666666666667</v>
      </c>
      <c r="AK257" s="3" t="n">
        <f aca="false">16+40/60</f>
        <v>16.6666666666667</v>
      </c>
      <c r="AL257" s="3" t="n">
        <f aca="false">16+27/60</f>
        <v>16.45</v>
      </c>
      <c r="AM257" s="3" t="n">
        <f aca="false">16+40/60</f>
        <v>16.6666666666667</v>
      </c>
      <c r="AN257" s="3" t="n">
        <f aca="false">60/3.6</f>
        <v>16.6666666666667</v>
      </c>
      <c r="AP257" s="2" t="n">
        <v>2</v>
      </c>
      <c r="AQ257" s="0" t="n">
        <v>4</v>
      </c>
      <c r="AR257" s="0" t="n">
        <v>0</v>
      </c>
      <c r="AS257" s="0" t="n">
        <v>0</v>
      </c>
      <c r="AT257" s="4" t="n">
        <f aca="false">60*U257-SUM(AU257:AY257)</f>
        <v>2.83333333333334</v>
      </c>
      <c r="AU257" s="3" t="n">
        <f aca="false">37+59/60</f>
        <v>37.9833333333333</v>
      </c>
      <c r="AV257" s="3" t="n">
        <f aca="false">25+35/60</f>
        <v>25.5833333333333</v>
      </c>
      <c r="AW257" s="3" t="n">
        <f aca="false">74+33/60</f>
        <v>74.55</v>
      </c>
      <c r="AX257" s="3" t="n">
        <f aca="false">3/60</f>
        <v>0.05</v>
      </c>
      <c r="AY257" s="3" t="n">
        <v>0</v>
      </c>
      <c r="AZ257" s="0" t="s">
        <v>58</v>
      </c>
      <c r="BA257" s="0" t="s">
        <v>59</v>
      </c>
      <c r="BB257" s="0" t="n">
        <v>0</v>
      </c>
    </row>
    <row r="258" customFormat="false" ht="12.8" hidden="false" customHeight="false" outlineLevel="0" collapsed="false">
      <c r="A258" s="0" t="n">
        <v>790</v>
      </c>
      <c r="B258" s="1" t="n">
        <v>44136.5645833333</v>
      </c>
      <c r="C258" s="0" t="n">
        <v>1</v>
      </c>
      <c r="F258" s="7" t="s">
        <v>119</v>
      </c>
      <c r="G258" s="2" t="n">
        <v>72</v>
      </c>
      <c r="H258" s="2" t="n">
        <v>37</v>
      </c>
      <c r="I258" s="2" t="n">
        <v>28</v>
      </c>
      <c r="J258" s="2" t="s">
        <v>98</v>
      </c>
      <c r="K258" s="2" t="n">
        <v>17</v>
      </c>
      <c r="L258" s="2" t="n">
        <v>29</v>
      </c>
      <c r="M258" s="0" t="s">
        <v>89</v>
      </c>
      <c r="N258" s="0" t="n">
        <v>0</v>
      </c>
      <c r="O258" s="0" t="s">
        <v>136</v>
      </c>
      <c r="P258" s="0" t="s">
        <v>61</v>
      </c>
      <c r="Q258" s="3" t="n">
        <v>5</v>
      </c>
      <c r="R258" s="2" t="n">
        <v>1405</v>
      </c>
      <c r="S258" s="2" t="n">
        <v>12243</v>
      </c>
      <c r="T258" s="2" t="n">
        <f aca="false">S258-R258</f>
        <v>10838</v>
      </c>
      <c r="U258" s="3" t="n">
        <f aca="false">(60+23)/60</f>
        <v>1.38333333333333</v>
      </c>
      <c r="V258" s="3" t="n">
        <f aca="false">(60+27)/60</f>
        <v>1.45</v>
      </c>
      <c r="W258" s="3" t="n">
        <f aca="false">V258-U258</f>
        <v>0.0666666666666667</v>
      </c>
      <c r="X258" s="3" t="n">
        <f aca="false">Q258/U258</f>
        <v>3.6144578313253</v>
      </c>
      <c r="Y258" s="0" t="n">
        <v>1</v>
      </c>
      <c r="Z258" s="3" t="n">
        <f aca="false">Q258/Y258</f>
        <v>5</v>
      </c>
      <c r="AA258" s="3" t="n">
        <f aca="false">16+36/60</f>
        <v>16.6</v>
      </c>
      <c r="AB258" s="2" t="n">
        <v>121</v>
      </c>
      <c r="AC258" s="2" t="n">
        <v>528</v>
      </c>
      <c r="AD258" s="2" t="n">
        <v>121</v>
      </c>
      <c r="AE258" s="0" t="n">
        <v>142</v>
      </c>
      <c r="AF258" s="3" t="n">
        <f aca="false">16+7/60</f>
        <v>16.1166666666667</v>
      </c>
      <c r="AG258" s="3" t="n">
        <f aca="false">16+27/60</f>
        <v>16.45</v>
      </c>
      <c r="AH258" s="3" t="n">
        <f aca="false">16+53/60</f>
        <v>16.8833333333333</v>
      </c>
      <c r="AI258" s="3" t="n">
        <f aca="false">16+46/60</f>
        <v>16.7666666666667</v>
      </c>
      <c r="AJ258" s="3" t="n">
        <f aca="false">16+45/60</f>
        <v>16.75</v>
      </c>
      <c r="AP258" s="2" t="n">
        <v>0</v>
      </c>
      <c r="AQ258" s="0" t="n">
        <v>2</v>
      </c>
      <c r="AR258" s="0" t="n">
        <v>0</v>
      </c>
      <c r="AS258" s="0" t="n">
        <v>0</v>
      </c>
      <c r="AT258" s="4" t="n">
        <f aca="false">60*U258-SUM(AU258:AY258)</f>
        <v>4.40000000000001</v>
      </c>
      <c r="AU258" s="3" t="n">
        <f aca="false">14+40/60</f>
        <v>14.6666666666667</v>
      </c>
      <c r="AV258" s="3" t="n">
        <f aca="false">6+53/60</f>
        <v>6.88333333333333</v>
      </c>
      <c r="AW258" s="3" t="n">
        <f aca="false">57+3/60</f>
        <v>57.05</v>
      </c>
      <c r="AX258" s="3" t="n">
        <v>0</v>
      </c>
      <c r="AY258" s="3" t="n">
        <v>0</v>
      </c>
      <c r="AZ258" s="0" t="s">
        <v>58</v>
      </c>
      <c r="BA258" s="0" t="s">
        <v>59</v>
      </c>
      <c r="BB258" s="0" t="n">
        <v>0</v>
      </c>
    </row>
    <row r="259" customFormat="false" ht="12.8" hidden="false" customHeight="false" outlineLevel="0" collapsed="false">
      <c r="A259" s="0" t="n">
        <v>791</v>
      </c>
      <c r="B259" s="1" t="n">
        <v>44137.4951388889</v>
      </c>
      <c r="C259" s="0" t="n">
        <v>0</v>
      </c>
      <c r="D259" s="0" t="s">
        <v>147</v>
      </c>
      <c r="F259" s="7" t="s">
        <v>121</v>
      </c>
      <c r="G259" s="2" t="n">
        <v>63</v>
      </c>
      <c r="H259" s="2" t="n">
        <v>35</v>
      </c>
      <c r="I259" s="2" t="n">
        <v>34</v>
      </c>
      <c r="J259" s="2" t="s">
        <v>113</v>
      </c>
      <c r="K259" s="2" t="n">
        <v>8</v>
      </c>
      <c r="L259" s="2" t="n">
        <v>0</v>
      </c>
      <c r="M259" s="0" t="s">
        <v>89</v>
      </c>
      <c r="Q259" s="0"/>
      <c r="R259" s="0"/>
      <c r="S259" s="0"/>
      <c r="T259" s="0"/>
      <c r="U259" s="0"/>
      <c r="V259" s="0"/>
      <c r="W259" s="0"/>
      <c r="X259" s="0"/>
      <c r="Z259" s="0"/>
      <c r="AA259" s="0"/>
      <c r="AB259" s="0"/>
      <c r="AC259" s="0"/>
      <c r="AD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T259" s="0"/>
      <c r="AU259" s="0"/>
      <c r="AV259" s="0"/>
      <c r="AW259" s="0"/>
      <c r="AX259" s="0"/>
      <c r="AY259" s="0"/>
    </row>
    <row r="260" customFormat="false" ht="12.8" hidden="false" customHeight="false" outlineLevel="0" collapsed="false">
      <c r="A260" s="0" t="n">
        <v>792</v>
      </c>
      <c r="B260" s="1" t="n">
        <v>44138.4583333333</v>
      </c>
      <c r="C260" s="0" t="n">
        <v>1</v>
      </c>
      <c r="F260" s="0" t="s">
        <v>60</v>
      </c>
      <c r="G260" s="2" t="n">
        <f aca="false">(68+72+75)/3</f>
        <v>71.6666666666667</v>
      </c>
      <c r="H260" s="2" t="n">
        <f aca="false">(38+41+29)/3</f>
        <v>36</v>
      </c>
      <c r="I260" s="2" t="n">
        <f aca="false">(33+33+27)/3</f>
        <v>31</v>
      </c>
      <c r="J260" s="7" t="s">
        <v>122</v>
      </c>
      <c r="K260" s="2" t="n">
        <f aca="false">+(12+6)/2</f>
        <v>9</v>
      </c>
      <c r="L260" s="2" t="n">
        <v>0</v>
      </c>
      <c r="M260" s="0" t="s">
        <v>89</v>
      </c>
      <c r="N260" s="0" t="n">
        <v>0</v>
      </c>
      <c r="O260" s="0" t="s">
        <v>136</v>
      </c>
      <c r="P260" s="0" t="s">
        <v>90</v>
      </c>
      <c r="Q260" s="3" t="n">
        <v>6.32</v>
      </c>
      <c r="R260" s="2" t="n">
        <v>733</v>
      </c>
      <c r="S260" s="2" t="n">
        <v>15083</v>
      </c>
      <c r="T260" s="2" t="n">
        <f aca="false">S260-R260</f>
        <v>14350</v>
      </c>
      <c r="U260" s="3" t="n">
        <f aca="false">(60+55)/60</f>
        <v>1.91666666666667</v>
      </c>
      <c r="V260" s="3" t="n">
        <f aca="false">(120+16)/60</f>
        <v>2.26666666666667</v>
      </c>
      <c r="W260" s="3" t="n">
        <f aca="false">V260-U260</f>
        <v>0.35</v>
      </c>
      <c r="X260" s="3" t="n">
        <f aca="false">Q260/U260</f>
        <v>3.29739130434783</v>
      </c>
      <c r="Y260" s="0" t="n">
        <v>1</v>
      </c>
      <c r="Z260" s="3" t="n">
        <f aca="false">Q260/Y260</f>
        <v>6.32</v>
      </c>
      <c r="AA260" s="3" t="n">
        <f aca="false">18+10/60</f>
        <v>18.1666666666667</v>
      </c>
      <c r="AB260" s="2" t="n">
        <v>131</v>
      </c>
      <c r="AC260" s="2" t="n">
        <v>688</v>
      </c>
      <c r="AD260" s="2" t="n">
        <v>86</v>
      </c>
      <c r="AE260" s="0" t="n">
        <v>119</v>
      </c>
      <c r="AF260" s="3" t="n">
        <f aca="false">16+22/60</f>
        <v>16.3666666666667</v>
      </c>
      <c r="AG260" s="3" t="n">
        <f aca="false">17+10/60</f>
        <v>17.1666666666667</v>
      </c>
      <c r="AH260" s="3" t="n">
        <f aca="false">18+29/60</f>
        <v>18.4833333333333</v>
      </c>
      <c r="AI260" s="3" t="n">
        <f aca="false">19+34/60</f>
        <v>19.5666666666667</v>
      </c>
      <c r="AJ260" s="3" t="n">
        <f aca="false">18+58/60</f>
        <v>18.9666666666667</v>
      </c>
      <c r="AK260" s="3" t="n">
        <f aca="false">18+24/60</f>
        <v>18.4</v>
      </c>
      <c r="AL260" s="3" t="n">
        <f aca="false">60/3.3</f>
        <v>18.1818181818182</v>
      </c>
      <c r="AP260" s="2" t="n">
        <v>0</v>
      </c>
      <c r="AQ260" s="0" t="n">
        <v>7</v>
      </c>
      <c r="AR260" s="0" t="n">
        <v>0</v>
      </c>
      <c r="AS260" s="0" t="n">
        <v>0</v>
      </c>
      <c r="AT260" s="4" t="n">
        <f aca="false">60*U260-SUM(AU260:AY260)</f>
        <v>58.7333333333333</v>
      </c>
      <c r="AU260" s="3" t="n">
        <f aca="false">54+4/60</f>
        <v>54.0666666666667</v>
      </c>
      <c r="AV260" s="3" t="n">
        <f aca="false">2+12/60</f>
        <v>2.2</v>
      </c>
      <c r="AW260" s="3" t="n">
        <v>0</v>
      </c>
      <c r="AX260" s="3" t="n">
        <v>0</v>
      </c>
      <c r="AY260" s="3" t="n">
        <v>0</v>
      </c>
      <c r="AZ260" s="0" t="s">
        <v>58</v>
      </c>
      <c r="BA260" s="0" t="s">
        <v>59</v>
      </c>
      <c r="BB260" s="0" t="n">
        <v>0</v>
      </c>
    </row>
    <row r="261" customFormat="false" ht="12.8" hidden="false" customHeight="false" outlineLevel="0" collapsed="false">
      <c r="A261" s="0" t="n">
        <v>793</v>
      </c>
      <c r="B261" s="1" t="n">
        <v>44139.6125</v>
      </c>
      <c r="C261" s="0" t="n">
        <v>1</v>
      </c>
      <c r="F261" s="0" t="s">
        <v>60</v>
      </c>
      <c r="G261" s="2" t="n">
        <v>73</v>
      </c>
      <c r="H261" s="2" t="n">
        <v>44</v>
      </c>
      <c r="I261" s="2" t="n">
        <v>35</v>
      </c>
      <c r="J261" s="2" t="s">
        <v>99</v>
      </c>
      <c r="K261" s="2" t="n">
        <v>20</v>
      </c>
      <c r="L261" s="2" t="n">
        <v>25</v>
      </c>
      <c r="M261" s="0" t="s">
        <v>89</v>
      </c>
      <c r="N261" s="0" t="n">
        <v>0</v>
      </c>
      <c r="O261" s="0" t="s">
        <v>136</v>
      </c>
      <c r="P261" s="0" t="s">
        <v>77</v>
      </c>
      <c r="Q261" s="3" t="n">
        <v>4.37</v>
      </c>
      <c r="R261" s="2" t="n">
        <v>1340</v>
      </c>
      <c r="S261" s="2" t="n">
        <v>10172</v>
      </c>
      <c r="T261" s="2" t="n">
        <f aca="false">S261-R261</f>
        <v>8832</v>
      </c>
      <c r="U261" s="3" t="n">
        <f aca="false">70/60</f>
        <v>1.16666666666667</v>
      </c>
      <c r="V261" s="3" t="n">
        <f aca="false">70/60</f>
        <v>1.16666666666667</v>
      </c>
      <c r="W261" s="3" t="n">
        <f aca="false">V261-U261</f>
        <v>0</v>
      </c>
      <c r="X261" s="3" t="n">
        <f aca="false">Q261/U261</f>
        <v>3.74571428571429</v>
      </c>
      <c r="Y261" s="0" t="n">
        <v>4</v>
      </c>
      <c r="Z261" s="3" t="n">
        <f aca="false">Q261/Y261</f>
        <v>1.0925</v>
      </c>
      <c r="AA261" s="3" t="n">
        <f aca="false">15+54/60</f>
        <v>15.9</v>
      </c>
      <c r="AB261" s="2" t="n">
        <v>89</v>
      </c>
      <c r="AC261" s="2" t="n">
        <v>462</v>
      </c>
      <c r="AD261" s="2" t="n">
        <v>85</v>
      </c>
      <c r="AE261" s="0" t="n">
        <f aca="false">127</f>
        <v>127</v>
      </c>
      <c r="AF261" s="3" t="n">
        <f aca="false">15+48/60</f>
        <v>15.8</v>
      </c>
      <c r="AG261" s="3" t="n">
        <f aca="false">15+57/60</f>
        <v>15.95</v>
      </c>
      <c r="AH261" s="3" t="n">
        <f aca="false">15+58/60</f>
        <v>15.9666666666667</v>
      </c>
      <c r="AI261" s="3" t="n">
        <f aca="false">15+50/60</f>
        <v>15.8333333333333</v>
      </c>
      <c r="AJ261" s="3" t="n">
        <f aca="false">60/3.8</f>
        <v>15.7894736842105</v>
      </c>
      <c r="AP261" s="2" t="n">
        <v>0</v>
      </c>
      <c r="AQ261" s="0" t="n">
        <v>0</v>
      </c>
      <c r="AR261" s="0" t="n">
        <v>0</v>
      </c>
      <c r="AS261" s="0" t="n">
        <v>0</v>
      </c>
      <c r="AT261" s="4" t="n">
        <f aca="false">60*U261-SUM(AU261:AY261)</f>
        <v>57.1666666666667</v>
      </c>
      <c r="AU261" s="3" t="n">
        <f aca="false">10+24/60</f>
        <v>10.4</v>
      </c>
      <c r="AV261" s="3" t="n">
        <f aca="false">2+18/60</f>
        <v>2.3</v>
      </c>
      <c r="AW261" s="3" t="n">
        <f aca="false">8/60</f>
        <v>0.133333333333333</v>
      </c>
      <c r="AX261" s="3" t="n">
        <v>0</v>
      </c>
      <c r="AY261" s="3" t="n">
        <v>0</v>
      </c>
      <c r="AZ261" s="0" t="s">
        <v>58</v>
      </c>
      <c r="BA261" s="0" t="s">
        <v>59</v>
      </c>
      <c r="BB261" s="0" t="n">
        <v>0</v>
      </c>
    </row>
    <row r="262" customFormat="false" ht="12.8" hidden="false" customHeight="false" outlineLevel="0" collapsed="false">
      <c r="A262" s="0" t="n">
        <v>794</v>
      </c>
      <c r="B262" s="1" t="n">
        <v>44140.5020833333</v>
      </c>
      <c r="C262" s="0" t="n">
        <v>1</v>
      </c>
      <c r="F262" s="7" t="s">
        <v>119</v>
      </c>
      <c r="G262" s="2" t="n">
        <v>76</v>
      </c>
      <c r="H262" s="2" t="n">
        <v>60</v>
      </c>
      <c r="I262" s="2" t="n">
        <v>58</v>
      </c>
      <c r="J262" s="7" t="s">
        <v>122</v>
      </c>
      <c r="K262" s="2" t="n">
        <v>17</v>
      </c>
      <c r="L262" s="2" t="n">
        <v>22</v>
      </c>
      <c r="M262" s="0" t="s">
        <v>89</v>
      </c>
      <c r="N262" s="0" t="n">
        <v>1</v>
      </c>
      <c r="O262" s="0" t="s">
        <v>136</v>
      </c>
      <c r="P262" s="0" t="s">
        <v>81</v>
      </c>
      <c r="Q262" s="3" t="n">
        <v>6.28</v>
      </c>
      <c r="T262" s="2" t="n">
        <f aca="false">T246</f>
        <v>14041</v>
      </c>
      <c r="U262" s="3" t="n">
        <f aca="false">(60+44)/60</f>
        <v>1.73333333333333</v>
      </c>
      <c r="V262" s="3" t="n">
        <f aca="false">(60+49)/60</f>
        <v>1.81666666666667</v>
      </c>
      <c r="W262" s="3" t="n">
        <f aca="false">V262-U262</f>
        <v>0.0833333333333333</v>
      </c>
      <c r="X262" s="3" t="n">
        <f aca="false">Q262/U262</f>
        <v>3.62307692307692</v>
      </c>
      <c r="Y262" s="0" t="n">
        <v>1</v>
      </c>
      <c r="Z262" s="3" t="n">
        <f aca="false">Q262/Y262</f>
        <v>6.28</v>
      </c>
      <c r="AA262" s="3" t="n">
        <f aca="false">16+32/60</f>
        <v>16.5333333333333</v>
      </c>
      <c r="AB262" s="2" t="n">
        <v>236</v>
      </c>
      <c r="AC262" s="2" t="n">
        <v>276</v>
      </c>
      <c r="AD262" s="2" t="n">
        <v>73</v>
      </c>
      <c r="AE262" s="0" t="n">
        <v>105</v>
      </c>
      <c r="AF262" s="3" t="n">
        <f aca="false">16+32/60</f>
        <v>16.5333333333333</v>
      </c>
      <c r="AG262" s="3" t="n">
        <f aca="false">16+41/60</f>
        <v>16.6833333333333</v>
      </c>
      <c r="AH262" s="3" t="n">
        <f aca="false">16+39/60</f>
        <v>16.65</v>
      </c>
      <c r="AI262" s="3" t="n">
        <f aca="false">16+59/60</f>
        <v>16.9833333333333</v>
      </c>
      <c r="AJ262" s="3" t="n">
        <f aca="false">16+3/60</f>
        <v>16.05</v>
      </c>
      <c r="AK262" s="3" t="n">
        <f aca="false">16+12/60</f>
        <v>16.2</v>
      </c>
      <c r="AL262" s="3" t="n">
        <f aca="false">60/3.6</f>
        <v>16.6666666666667</v>
      </c>
      <c r="AP262" s="2" t="n">
        <v>0</v>
      </c>
      <c r="AQ262" s="0" t="n">
        <v>0</v>
      </c>
      <c r="AR262" s="0" t="n">
        <v>0</v>
      </c>
      <c r="AS262" s="0" t="n">
        <v>0</v>
      </c>
      <c r="AT262" s="4" t="n">
        <f aca="false">60*U262-SUM(AU262:AY262)</f>
        <v>96.4666666666667</v>
      </c>
      <c r="AU262" s="3" t="n">
        <f aca="false">7+32/60</f>
        <v>7.53333333333333</v>
      </c>
      <c r="AV262" s="3" t="n">
        <v>0</v>
      </c>
      <c r="AW262" s="3" t="n">
        <v>0</v>
      </c>
      <c r="AX262" s="3" t="n">
        <v>0</v>
      </c>
      <c r="AY262" s="3" t="n">
        <v>0</v>
      </c>
      <c r="AZ262" s="0" t="s">
        <v>58</v>
      </c>
      <c r="BA262" s="0" t="s">
        <v>59</v>
      </c>
      <c r="BB262" s="0" t="n">
        <v>0</v>
      </c>
    </row>
    <row r="263" customFormat="false" ht="12.8" hidden="false" customHeight="false" outlineLevel="0" collapsed="false">
      <c r="A263" s="0" t="n">
        <v>795</v>
      </c>
      <c r="B263" s="1" t="n">
        <v>44141.5145833333</v>
      </c>
      <c r="C263" s="0" t="n">
        <v>1</v>
      </c>
      <c r="F263" s="7" t="s">
        <v>116</v>
      </c>
      <c r="G263" s="2" t="n">
        <v>75</v>
      </c>
      <c r="H263" s="2" t="n">
        <v>59</v>
      </c>
      <c r="I263" s="2" t="n">
        <v>57</v>
      </c>
      <c r="J263" s="7" t="s">
        <v>114</v>
      </c>
      <c r="K263" s="2" t="n">
        <v>12</v>
      </c>
      <c r="L263" s="2" t="n">
        <v>0</v>
      </c>
      <c r="M263" s="0" t="s">
        <v>89</v>
      </c>
      <c r="N263" s="0" t="n">
        <v>0</v>
      </c>
      <c r="O263" s="0" t="s">
        <v>136</v>
      </c>
      <c r="P263" s="0" t="s">
        <v>129</v>
      </c>
      <c r="Q263" s="3" t="n">
        <v>5.47</v>
      </c>
      <c r="R263" s="2" t="n">
        <v>787</v>
      </c>
      <c r="S263" s="2" t="n">
        <v>13490</v>
      </c>
      <c r="T263" s="2" t="n">
        <f aca="false">S263-R263</f>
        <v>12703</v>
      </c>
      <c r="U263" s="3" t="n">
        <f aca="false">(60+47)/60</f>
        <v>1.78333333333333</v>
      </c>
      <c r="V263" s="3" t="n">
        <f aca="false">(60+58)/60</f>
        <v>1.96666666666667</v>
      </c>
      <c r="W263" s="3" t="n">
        <f aca="false">V263-U263</f>
        <v>0.183333333333333</v>
      </c>
      <c r="X263" s="3" t="n">
        <f aca="false">Q263/U263</f>
        <v>3.06728971962617</v>
      </c>
      <c r="Y263" s="0" t="n">
        <v>1</v>
      </c>
      <c r="Z263" s="3" t="n">
        <f aca="false">Q263/Y263</f>
        <v>5.47</v>
      </c>
      <c r="AA263" s="3" t="n">
        <f aca="false">19+37/60</f>
        <v>19.6166666666667</v>
      </c>
      <c r="AB263" s="2" t="n">
        <v>367</v>
      </c>
      <c r="AC263" s="2" t="n">
        <v>621</v>
      </c>
      <c r="AD263" s="2" t="n">
        <v>126</v>
      </c>
      <c r="AE263" s="0" t="n">
        <v>141</v>
      </c>
      <c r="AF263" s="3" t="n">
        <f aca="false">16+40/60</f>
        <v>16.6666666666667</v>
      </c>
      <c r="AG263" s="3" t="n">
        <f aca="false">17+17/60</f>
        <v>17.2833333333333</v>
      </c>
      <c r="AH263" s="3" t="n">
        <f aca="false">24+20/60</f>
        <v>24.3333333333333</v>
      </c>
      <c r="AI263" s="3" t="n">
        <f aca="false">22+34/60</f>
        <v>22.5666666666667</v>
      </c>
      <c r="AJ263" s="3" t="n">
        <f aca="false">17+17/60</f>
        <v>17.2833333333333</v>
      </c>
      <c r="AK263" s="3" t="n">
        <f aca="false">60/3.1</f>
        <v>19.3548387096774</v>
      </c>
      <c r="AP263" s="2" t="n">
        <v>4</v>
      </c>
      <c r="AQ263" s="0" t="n">
        <v>2</v>
      </c>
      <c r="AR263" s="0" t="n">
        <v>1</v>
      </c>
      <c r="AS263" s="0" t="n">
        <v>0</v>
      </c>
      <c r="AT263" s="4" t="n">
        <v>0</v>
      </c>
      <c r="AU263" s="3" t="n">
        <f aca="false">2+10/60</f>
        <v>2.16666666666667</v>
      </c>
      <c r="AV263" s="3" t="n">
        <f aca="false">46+47/60</f>
        <v>46.7833333333333</v>
      </c>
      <c r="AW263" s="3" t="n">
        <f aca="false">68+26/60</f>
        <v>68.4333333333333</v>
      </c>
      <c r="AX263" s="3" t="n">
        <v>0</v>
      </c>
      <c r="AY263" s="3" t="n">
        <v>0</v>
      </c>
      <c r="AZ263" s="0" t="s">
        <v>58</v>
      </c>
      <c r="BA263" s="0" t="s">
        <v>59</v>
      </c>
      <c r="BB263" s="0" t="n">
        <v>0</v>
      </c>
    </row>
    <row r="264" customFormat="false" ht="12.8" hidden="false" customHeight="false" outlineLevel="0" collapsed="false">
      <c r="A264" s="0" t="n">
        <v>796</v>
      </c>
      <c r="B264" s="1" t="n">
        <v>44142.4847222222</v>
      </c>
      <c r="C264" s="0" t="n">
        <v>1</v>
      </c>
      <c r="F264" s="0" t="s">
        <v>60</v>
      </c>
      <c r="G264" s="2" t="n">
        <v>73</v>
      </c>
      <c r="H264" s="2" t="n">
        <v>54</v>
      </c>
      <c r="I264" s="2" t="n">
        <v>50</v>
      </c>
      <c r="J264" s="2" t="s">
        <v>99</v>
      </c>
      <c r="K264" s="2" t="n">
        <f aca="false">19/2</f>
        <v>9.5</v>
      </c>
      <c r="L264" s="2" t="n">
        <v>0</v>
      </c>
      <c r="M264" s="0" t="s">
        <v>89</v>
      </c>
      <c r="N264" s="0" t="n">
        <v>0</v>
      </c>
      <c r="O264" s="0" t="s">
        <v>136</v>
      </c>
      <c r="P264" s="7" t="s">
        <v>75</v>
      </c>
      <c r="Q264" s="3" t="n">
        <v>4.06</v>
      </c>
      <c r="R264" s="2" t="n">
        <v>1005</v>
      </c>
      <c r="S264" s="2" t="n">
        <v>9998</v>
      </c>
      <c r="T264" s="2" t="n">
        <f aca="false">S264-R264</f>
        <v>8993</v>
      </c>
      <c r="U264" s="3" t="n">
        <f aca="false">73/60</f>
        <v>1.21666666666667</v>
      </c>
      <c r="V264" s="3" t="n">
        <f aca="false">78/60</f>
        <v>1.3</v>
      </c>
      <c r="W264" s="3" t="n">
        <f aca="false">V264-U264</f>
        <v>0.0833333333333335</v>
      </c>
      <c r="X264" s="3" t="n">
        <f aca="false">Q264/U264</f>
        <v>3.33698630136986</v>
      </c>
      <c r="Y264" s="0" t="n">
        <v>2</v>
      </c>
      <c r="Z264" s="3" t="n">
        <f aca="false">Q264/Y264</f>
        <v>2.03</v>
      </c>
      <c r="AA264" s="3" t="n">
        <f aca="false">17+53/60</f>
        <v>17.8833333333333</v>
      </c>
      <c r="AB264" s="2" t="n">
        <v>233</v>
      </c>
      <c r="AC264" s="2" t="n">
        <v>449</v>
      </c>
      <c r="AD264" s="2" t="n">
        <v>111</v>
      </c>
      <c r="AE264" s="0" t="n">
        <v>138</v>
      </c>
      <c r="AF264" s="3" t="n">
        <f aca="false">17+42/60</f>
        <v>17.7</v>
      </c>
      <c r="AG264" s="3" t="n">
        <f aca="false">17+12/60</f>
        <v>17.2</v>
      </c>
      <c r="AH264" s="3" t="n">
        <f aca="false">19+6/60</f>
        <v>19.1</v>
      </c>
      <c r="AI264" s="3" t="n">
        <f aca="false">17+30/60</f>
        <v>17.5</v>
      </c>
      <c r="AJ264" s="3" t="n">
        <f aca="false">60/3.4</f>
        <v>17.6470588235294</v>
      </c>
      <c r="AP264" s="2" t="n">
        <v>0</v>
      </c>
      <c r="AQ264" s="0" t="n">
        <v>2</v>
      </c>
      <c r="AR264" s="0" t="n">
        <v>0</v>
      </c>
      <c r="AS264" s="0" t="n">
        <v>0</v>
      </c>
      <c r="AT264" s="4" t="n">
        <f aca="false">60*U264-SUM(AU264:AY264)</f>
        <v>1.16666666666666</v>
      </c>
      <c r="AU264" s="3" t="n">
        <f aca="false">33+25/60</f>
        <v>33.4166666666667</v>
      </c>
      <c r="AV264" s="3" t="n">
        <f aca="false">21+48/60</f>
        <v>21.8</v>
      </c>
      <c r="AW264" s="3" t="n">
        <f aca="false">16+37/60</f>
        <v>16.6166666666667</v>
      </c>
      <c r="AX264" s="3" t="n">
        <v>0</v>
      </c>
      <c r="AY264" s="3" t="n">
        <v>0</v>
      </c>
      <c r="AZ264" s="0" t="s">
        <v>58</v>
      </c>
      <c r="BA264" s="0" t="s">
        <v>59</v>
      </c>
      <c r="BB26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2317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2020-11-07T14:20:32Z</dcterms:modified>
  <cp:revision>156</cp:revision>
  <dc:subject/>
  <dc:title/>
</cp:coreProperties>
</file>