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43" i="1" l="1"/>
  <c r="AU143" i="1"/>
  <c r="AT143" i="1"/>
  <c r="AS143" i="1"/>
  <c r="AR143" i="1"/>
  <c r="AI143" i="1"/>
  <c r="AH143" i="1"/>
  <c r="AG143" i="1"/>
  <c r="AF143" i="1"/>
  <c r="AE143" i="1"/>
  <c r="Z143" i="1"/>
  <c r="Y143" i="1"/>
  <c r="W143" i="1"/>
  <c r="V143" i="1"/>
  <c r="U143" i="1"/>
  <c r="S143" i="1"/>
  <c r="K143" i="1"/>
  <c r="I143" i="1"/>
  <c r="H143" i="1"/>
  <c r="G143" i="1"/>
  <c r="AT142" i="1" l="1"/>
  <c r="AS142" i="1"/>
  <c r="AR142" i="1"/>
  <c r="AI142" i="1"/>
  <c r="AH142" i="1"/>
  <c r="AG142" i="1"/>
  <c r="AF142" i="1"/>
  <c r="AE142" i="1"/>
  <c r="Z142" i="1"/>
  <c r="Y142" i="1"/>
  <c r="W142" i="1"/>
  <c r="V142" i="1"/>
  <c r="T142" i="1"/>
  <c r="S142" i="1"/>
  <c r="I142" i="1"/>
  <c r="H142" i="1"/>
  <c r="G142" i="1"/>
  <c r="A141" i="1" l="1"/>
  <c r="AU140" i="1"/>
  <c r="AT140" i="1"/>
  <c r="AS140" i="1"/>
  <c r="AR140" i="1"/>
  <c r="AJ140" i="1"/>
  <c r="AI140" i="1"/>
  <c r="AH140" i="1"/>
  <c r="AG140" i="1"/>
  <c r="AF140" i="1"/>
  <c r="AE140" i="1"/>
  <c r="Z140" i="1"/>
  <c r="Y140" i="1"/>
  <c r="U140" i="1"/>
  <c r="V140" i="1" s="1"/>
  <c r="T140" i="1"/>
  <c r="W140" i="1" s="1"/>
  <c r="S140" i="1"/>
  <c r="I140" i="1"/>
  <c r="H140" i="1"/>
  <c r="G140" i="1"/>
  <c r="A140" i="1"/>
  <c r="AU139" i="1" l="1"/>
  <c r="AT139" i="1"/>
  <c r="AS139" i="1"/>
  <c r="AR139" i="1"/>
  <c r="AJ139" i="1"/>
  <c r="AI139" i="1"/>
  <c r="AH139" i="1"/>
  <c r="AG139" i="1"/>
  <c r="AF139" i="1"/>
  <c r="AE139" i="1"/>
  <c r="Z139" i="1"/>
  <c r="Y139" i="1"/>
  <c r="W139" i="1"/>
  <c r="V139" i="1"/>
  <c r="U139" i="1"/>
  <c r="T139" i="1"/>
  <c r="S139" i="1"/>
  <c r="I139" i="1"/>
  <c r="H139" i="1"/>
  <c r="G139" i="1"/>
  <c r="A139" i="1"/>
  <c r="AU138" i="1" l="1"/>
  <c r="AT138" i="1"/>
  <c r="AS138" i="1"/>
  <c r="AR138" i="1"/>
  <c r="AJ138" i="1"/>
  <c r="AI138" i="1"/>
  <c r="AH138" i="1"/>
  <c r="AG138" i="1"/>
  <c r="AF138" i="1"/>
  <c r="AE138" i="1"/>
  <c r="Z138" i="1"/>
  <c r="Y138" i="1"/>
  <c r="W138" i="1"/>
  <c r="V138" i="1"/>
  <c r="U138" i="1"/>
  <c r="T138" i="1"/>
  <c r="S138" i="1"/>
  <c r="I138" i="1"/>
  <c r="H138" i="1"/>
  <c r="G138" i="1"/>
  <c r="A138" i="1"/>
  <c r="AV137" i="1" l="1"/>
  <c r="AU137" i="1"/>
  <c r="AT137" i="1"/>
  <c r="AS137" i="1"/>
  <c r="AR137" i="1"/>
  <c r="AH137" i="1"/>
  <c r="AG137" i="1"/>
  <c r="AF137" i="1"/>
  <c r="AE137" i="1"/>
  <c r="Z137" i="1"/>
  <c r="Y137" i="1"/>
  <c r="W137" i="1"/>
  <c r="V137" i="1"/>
  <c r="U137" i="1"/>
  <c r="T137" i="1"/>
  <c r="S137" i="1"/>
  <c r="K137" i="1"/>
  <c r="I137" i="1"/>
  <c r="H137" i="1"/>
  <c r="G137" i="1"/>
  <c r="A137" i="1"/>
  <c r="AT136" i="1" l="1"/>
  <c r="AS136" i="1"/>
  <c r="AR136" i="1"/>
  <c r="AJ136" i="1"/>
  <c r="AI136" i="1"/>
  <c r="AH136" i="1"/>
  <c r="AG136" i="1"/>
  <c r="AF136" i="1"/>
  <c r="AE136" i="1"/>
  <c r="Z136" i="1"/>
  <c r="Y136" i="1"/>
  <c r="W136" i="1"/>
  <c r="V136" i="1"/>
  <c r="U136" i="1"/>
  <c r="T136" i="1"/>
  <c r="I136" i="1"/>
  <c r="H136" i="1"/>
  <c r="G136" i="1"/>
  <c r="AT135" i="1"/>
  <c r="AS135" i="1"/>
  <c r="AR135" i="1"/>
  <c r="AG135" i="1"/>
  <c r="AF135" i="1"/>
  <c r="AE135" i="1"/>
  <c r="Z135" i="1"/>
  <c r="Y135" i="1"/>
  <c r="W135" i="1"/>
  <c r="V135" i="1"/>
  <c r="U135" i="1"/>
  <c r="T135" i="1"/>
  <c r="S136" i="1"/>
  <c r="A135" i="1"/>
  <c r="A136" i="1" s="1"/>
  <c r="AV134" i="1" l="1"/>
  <c r="AU134" i="1"/>
  <c r="AT134" i="1"/>
  <c r="AS134" i="1"/>
  <c r="AR134" i="1"/>
  <c r="AH134" i="1"/>
  <c r="AG134" i="1"/>
  <c r="AF134" i="1"/>
  <c r="AE134" i="1"/>
  <c r="Z134" i="1"/>
  <c r="Y134" i="1"/>
  <c r="W134" i="1"/>
  <c r="V134" i="1"/>
  <c r="U134" i="1"/>
  <c r="T134" i="1"/>
  <c r="K134" i="1"/>
  <c r="I134" i="1"/>
  <c r="H134" i="1"/>
  <c r="G134" i="1"/>
  <c r="S134" i="1"/>
  <c r="A134" i="1"/>
  <c r="AT133" i="1" l="1"/>
  <c r="AS133" i="1"/>
  <c r="AR133" i="1"/>
  <c r="AI133" i="1"/>
  <c r="AH133" i="1"/>
  <c r="AG133" i="1"/>
  <c r="AF133" i="1"/>
  <c r="AE133" i="1"/>
  <c r="Z133" i="1"/>
  <c r="Y133" i="1"/>
  <c r="W133" i="1"/>
  <c r="V133" i="1"/>
  <c r="U133" i="1"/>
  <c r="T133" i="1"/>
  <c r="S133" i="1"/>
  <c r="K133" i="1"/>
  <c r="G133" i="1"/>
  <c r="A133" i="1"/>
  <c r="AU132" i="1" l="1"/>
  <c r="AT132" i="1"/>
  <c r="AS132" i="1"/>
  <c r="AR132" i="1"/>
  <c r="AI132" i="1"/>
  <c r="AH132" i="1"/>
  <c r="AG132" i="1"/>
  <c r="AF132" i="1"/>
  <c r="AE132" i="1"/>
  <c r="Z132" i="1"/>
  <c r="Y132" i="1"/>
  <c r="W132" i="1"/>
  <c r="V132" i="1"/>
  <c r="U132" i="1"/>
  <c r="T132" i="1"/>
  <c r="S132" i="1"/>
  <c r="L132" i="1"/>
  <c r="K132" i="1"/>
  <c r="I132" i="1"/>
  <c r="H132" i="1"/>
  <c r="G132" i="1"/>
  <c r="A132" i="1"/>
  <c r="A131" i="1" l="1"/>
  <c r="A130" i="1"/>
  <c r="AV130" i="1" l="1"/>
  <c r="AU130" i="1"/>
  <c r="AT130" i="1"/>
  <c r="AS130" i="1"/>
  <c r="AR130" i="1"/>
  <c r="AI130" i="1"/>
  <c r="AH130" i="1"/>
  <c r="AG130" i="1"/>
  <c r="AF130" i="1"/>
  <c r="AE130" i="1"/>
  <c r="Z130" i="1"/>
  <c r="Y130" i="1"/>
  <c r="W130" i="1"/>
  <c r="V130" i="1"/>
  <c r="U130" i="1"/>
  <c r="T130" i="1"/>
  <c r="I130" i="1"/>
  <c r="H130" i="1"/>
  <c r="G130" i="1"/>
  <c r="S130" i="1"/>
  <c r="AT129" i="1" l="1"/>
  <c r="AS129" i="1"/>
  <c r="AR129" i="1"/>
  <c r="AJ129" i="1"/>
  <c r="AI129" i="1"/>
  <c r="AH129" i="1"/>
  <c r="AG129" i="1"/>
  <c r="AF129" i="1"/>
  <c r="AE129" i="1"/>
  <c r="Z129" i="1"/>
  <c r="Y129" i="1"/>
  <c r="W129" i="1"/>
  <c r="V129" i="1"/>
  <c r="U129" i="1"/>
  <c r="T129" i="1"/>
  <c r="S129" i="1"/>
  <c r="I129" i="1"/>
  <c r="H129" i="1"/>
  <c r="G129" i="1"/>
  <c r="AV128" i="1" l="1"/>
  <c r="AU128" i="1"/>
  <c r="AT128" i="1"/>
  <c r="AS128" i="1"/>
  <c r="AI128" i="1"/>
  <c r="AH128" i="1"/>
  <c r="AG128" i="1"/>
  <c r="AF128" i="1"/>
  <c r="AE128" i="1"/>
  <c r="Z128" i="1"/>
  <c r="Y128" i="1"/>
  <c r="W128" i="1"/>
  <c r="V128" i="1"/>
  <c r="U128" i="1"/>
  <c r="T128" i="1"/>
  <c r="A128" i="1"/>
  <c r="AT127" i="1" l="1"/>
  <c r="AS127" i="1"/>
  <c r="AR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V126" i="1" l="1"/>
  <c r="AU126" i="1"/>
  <c r="AT126" i="1"/>
  <c r="AS126" i="1"/>
  <c r="AR126" i="1"/>
  <c r="AI126" i="1"/>
  <c r="AH126" i="1"/>
  <c r="AG126" i="1"/>
  <c r="AF126" i="1"/>
  <c r="AE126" i="1"/>
  <c r="Z126" i="1"/>
  <c r="V126" i="1"/>
  <c r="T126" i="1"/>
  <c r="S126" i="1"/>
  <c r="I126" i="1"/>
  <c r="A126" i="1"/>
  <c r="AU125" i="1" l="1"/>
  <c r="AT125" i="1"/>
  <c r="AS125" i="1"/>
  <c r="AR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V124" i="1" l="1"/>
  <c r="AU124" i="1"/>
  <c r="AT124" i="1"/>
  <c r="AS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U123" i="1" l="1"/>
  <c r="AT123" i="1"/>
  <c r="AS123" i="1"/>
  <c r="AR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V121" i="1" l="1"/>
  <c r="AU121" i="1"/>
  <c r="AS121" i="1"/>
  <c r="AR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V120" i="1" l="1"/>
  <c r="AU120" i="1"/>
  <c r="AT120" i="1"/>
  <c r="AS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V119" i="1" l="1"/>
  <c r="AU119" i="1"/>
  <c r="AT119" i="1"/>
  <c r="AS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U118" i="1" l="1"/>
  <c r="AT118" i="1"/>
  <c r="AS118" i="1"/>
  <c r="AR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U117" i="1" l="1"/>
  <c r="AT117" i="1"/>
  <c r="AS117" i="1"/>
  <c r="AR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U116" i="1"/>
  <c r="AT116" i="1"/>
  <c r="AS116" i="1"/>
  <c r="AR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U115" i="1" l="1"/>
  <c r="AT115" i="1"/>
  <c r="AS115" i="1"/>
  <c r="AR115" i="1"/>
  <c r="AU114" i="1"/>
  <c r="AT114" i="1"/>
  <c r="AS114" i="1"/>
  <c r="AV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V113" i="1" l="1"/>
  <c r="AU113" i="1"/>
  <c r="AT113" i="1"/>
  <c r="AS113" i="1"/>
  <c r="AR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T112" i="1" l="1"/>
  <c r="AS112" i="1"/>
  <c r="AF112" i="1"/>
  <c r="AE112" i="1"/>
  <c r="Z112" i="1"/>
  <c r="Y112" i="1"/>
  <c r="W112" i="1"/>
  <c r="V112" i="1"/>
  <c r="U112" i="1"/>
  <c r="T112" i="1"/>
  <c r="AV111" i="1"/>
  <c r="AU111" i="1"/>
  <c r="AT111" i="1"/>
  <c r="AS111" i="1"/>
  <c r="AR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V110" i="1"/>
  <c r="AU110" i="1"/>
  <c r="AT110" i="1"/>
  <c r="AR110" i="1"/>
  <c r="AS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V108" i="1" l="1"/>
  <c r="AU108" i="1"/>
  <c r="AT108" i="1"/>
  <c r="AS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U106" i="1"/>
  <c r="AT106" i="1"/>
  <c r="AS106" i="1"/>
  <c r="AR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V105" i="1"/>
  <c r="AU105" i="1"/>
  <c r="AT105" i="1"/>
  <c r="AS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V104" i="1" l="1"/>
  <c r="AU104" i="1"/>
  <c r="AT104" i="1"/>
  <c r="AS104" i="1"/>
  <c r="AR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U103" i="1" l="1"/>
  <c r="AT103" i="1"/>
  <c r="AS103" i="1"/>
  <c r="AR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V101" i="1"/>
  <c r="AU101" i="1"/>
  <c r="AT101" i="1"/>
  <c r="AS101" i="1"/>
  <c r="AR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V100" i="1" l="1"/>
  <c r="AU100" i="1"/>
  <c r="AT100" i="1"/>
  <c r="AS100" i="1"/>
  <c r="AR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V98" i="1" l="1"/>
  <c r="AU98" i="1"/>
  <c r="AT98" i="1"/>
  <c r="AS98" i="1"/>
  <c r="AR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V97" i="1" l="1"/>
  <c r="AU97" i="1"/>
  <c r="AT97" i="1"/>
  <c r="AS97" i="1"/>
  <c r="AR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V95" i="1" l="1"/>
  <c r="AU95" i="1"/>
  <c r="AT95" i="1"/>
  <c r="AS95" i="1"/>
  <c r="AR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V89" i="1"/>
  <c r="AU89" i="1"/>
  <c r="AT89" i="1"/>
  <c r="AS89" i="1"/>
  <c r="AR89" i="1"/>
  <c r="AV90" i="1"/>
  <c r="AU90" i="1"/>
  <c r="AS90" i="1"/>
  <c r="AR90" i="1"/>
  <c r="AV91" i="1"/>
  <c r="AU91" i="1"/>
  <c r="AT91" i="1"/>
  <c r="AS91" i="1"/>
  <c r="AR91" i="1"/>
  <c r="AV92" i="1"/>
  <c r="AU92" i="1"/>
  <c r="AT92" i="1"/>
  <c r="AS92" i="1"/>
  <c r="AR92" i="1"/>
  <c r="AU93" i="1"/>
  <c r="AT93" i="1"/>
  <c r="AS93" i="1"/>
  <c r="AR93" i="1"/>
  <c r="AV94" i="1"/>
  <c r="AU94" i="1"/>
  <c r="AT94" i="1"/>
  <c r="AS94" i="1"/>
  <c r="AR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<sst xmlns="http://schemas.openxmlformats.org/spreadsheetml/2006/main" count="788" uniqueCount="109">
  <si>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</si>
  <si>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</si>
  <si>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</si>
  <si>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</si>
  <si>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</si>
  <si>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</si>
  <si>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</si>
  <si>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</si>
  <si>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</si>
  <si>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</si>
  <si>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</si>
  <si>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</si>
  <si>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</si>
  <si>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</si>
  <si>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</si>
  <si>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</si>
  <si>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</si>
  <si>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</si>
  <si>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</si>
  <si>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</si>
  <si>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</si>
  <si>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</si>
  <si>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</si>
  <si>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</si>
  <si>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</si>
  <si>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</si>
  <si>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</si>
  <si>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</si>
  <si>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</si>
  <si>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</si>
  <si>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</si>
  <si>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</si>
  <si>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</si>
  <si>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</si>
  <si>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</si>
  <si>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</si>
  <si>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</si>
  <si>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</si>
  <si>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</si>
  <si>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</si>
  <si>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</si>
  <si>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</si>
  <si>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</si>
  <si>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</si>
  <si>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</si>
  <si>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</si>
  <si>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</si>
  <si>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</si>
  <si>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</si>
  <si>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</si>
  <si>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</si>
  <si>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</si>
  <si>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</si>
  <si>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</si>
  <si>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</si>
  <si>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</si>
  <si>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</si>
  <si>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</si>
  <si>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</si>
  <si>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</si>
  <si>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</si>
  <si>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</si>
  <si>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</si>
  <si>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</si>
  <si>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</si>
  <si>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</si>
  <si>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</si>
  <si>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</si>
  <si>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</si>
  <si>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</si>
  <si>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</si>
  <si>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</si>
  <si>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</si>
  <si>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</si>
  <si>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</si>
  <si>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</si>
  <si>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</si>
  <si>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</si>
  <si>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</si>
  <si>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</si>
  <si>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</si>
  <si>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</si>
  <si>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</si>
  <si>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</si>
  <si>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</si>
  <si>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</si>
  <si>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</si>
  <si>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</si>
  <si>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</si>
  <si>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</si>
  <si>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</si>
  <si>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</si>
  <si>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</si>
  <si>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</si>
  <si>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</si>
  <si>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</si>
  <si>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</si>
  <si>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</si>
  <si>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</si>
  <si>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NNE</t>
  </si>
  <si>
    <t>E</t>
  </si>
  <si>
    <t>Parks Mall - 3 laps</t>
  </si>
  <si>
    <t>Parks Mall - 4 laps</t>
  </si>
  <si>
    <t>Skechers 2</t>
  </si>
  <si>
    <t>Widespread Dust</t>
  </si>
  <si>
    <t>SSW</t>
  </si>
  <si>
    <t>falls</t>
  </si>
  <si>
    <t>Equpment failure</t>
  </si>
  <si>
    <t>07/092020 11:01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</si>
</sst>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3"/>
  <sheetViews>
    <sheetView tabSelected="1" zoomScale="115" zoomScaleNormal="115" workbookViewId="0">
      <pane ySplit="1" topLeftCell="A49" activePane="bottomLeft" state="frozen"/>
      <selection activeCell="B1" sqref="B1"/>
      <selection pane="bottomLeft" activeCell="A146" sqref="A146"/>
    </sheetView>
  </sheetViews>
  <sheetFormatPr defaultRowHeight="15" x14ac:dyDescent="0.25"/>
  <cols>
    <col min="1" max="1" width="5.42578125" customWidth="1"/>
    <col min="2" max="2" width="14.140625" style="18" customWidth="1"/>
    <col min="4" max="4" width="15.5703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11.14062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7.85546875" style="16" customWidth="1"/>
    <col min="44" max="44" width="6.7109375" style="1" customWidth="1"/>
    <col min="45" max="45" width="6.85546875" style="1" customWidth="1"/>
    <col min="46" max="46" width="6.5703125" style="1" customWidth="1"/>
    <col min="47" max="48" width="6.7109375" style="1" customWidth="1"/>
    <col min="49" max="49" width="20.28515625" customWidth="1"/>
    <col min="51" max="51" width="11.140625" customWidth="1"/>
    <col min="52" max="52" width="17.7109375" customWidth="1"/>
  </cols>
  <sheetData>
    <row r="1" spans="1:52" x14ac:dyDescent="0.25">
      <c r="A1" t="s">
        <v>84</v>
      </c>
      <c r="B1" s="18" t="s">
        <v>54</v>
      </c>
      <c r="C1" t="s">
        <v>0</v>
      </c>
      <c r="D1" t="s">
        <v>1</v>
      </c>
      <c r="E1" s="16" t="s">
        <v>80</v>
      </c>
      <c r="F1" t="s">
        <v>86</v>
      </c>
      <c r="G1" s="17" t="s">
        <v>2</v>
      </c>
      <c r="H1" s="17" t="s">
        <v>87</v>
      </c>
      <c r="I1" s="17" t="s">
        <v>3</v>
      </c>
      <c r="J1" s="17" t="s">
        <v>91</v>
      </c>
      <c r="K1" s="17" t="s">
        <v>88</v>
      </c>
      <c r="L1" s="17" t="s">
        <v>89</v>
      </c>
      <c r="M1" s="16" t="s">
        <v>85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106</v>
      </c>
      <c r="AR1" s="1" t="s">
        <v>74</v>
      </c>
      <c r="AS1" s="1" t="s">
        <v>75</v>
      </c>
      <c r="AT1" s="1" t="s">
        <v>76</v>
      </c>
      <c r="AU1" s="1" t="s">
        <v>77</v>
      </c>
      <c r="AV1" s="1" t="s">
        <v>78</v>
      </c>
      <c r="AW1" t="s">
        <v>25</v>
      </c>
      <c r="AX1" t="s">
        <v>26</v>
      </c>
      <c r="AY1" t="s">
        <v>27</v>
      </c>
      <c r="AZ1" t="s">
        <v>34</v>
      </c>
    </row>
    <row r="2" spans="1:52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96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R2" s="1"/>
      <c r="AS2" s="1"/>
      <c r="AT2" s="1"/>
      <c r="AU2" s="1"/>
      <c r="AV2" s="1"/>
      <c r="AW2" s="16" t="s">
        <v>29</v>
      </c>
      <c r="AX2" s="16" t="s">
        <v>30</v>
      </c>
      <c r="AY2" s="16">
        <v>0</v>
      </c>
    </row>
    <row r="3" spans="1:52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6"/>
      <c r="AR3" s="1"/>
      <c r="AS3" s="1"/>
      <c r="AT3" s="1"/>
      <c r="AU3" s="1"/>
      <c r="AV3" s="1"/>
      <c r="AW3" s="16" t="s">
        <v>29</v>
      </c>
      <c r="AX3" s="16" t="s">
        <v>30</v>
      </c>
      <c r="AY3" s="16">
        <v>0</v>
      </c>
      <c r="AZ3" s="16"/>
    </row>
    <row r="4" spans="1:52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W4" s="16" t="s">
        <v>29</v>
      </c>
      <c r="AX4" s="9" t="s">
        <v>30</v>
      </c>
      <c r="AY4" s="9">
        <v>0</v>
      </c>
      <c r="AZ4" s="9"/>
    </row>
    <row r="5" spans="1:52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96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W5" s="16" t="s">
        <v>29</v>
      </c>
      <c r="AX5" s="16" t="s">
        <v>30</v>
      </c>
      <c r="AY5">
        <v>0</v>
      </c>
      <c r="AZ5" t="s">
        <v>34</v>
      </c>
    </row>
    <row r="6" spans="1:52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W6" t="s">
        <v>29</v>
      </c>
      <c r="AX6" t="s">
        <v>30</v>
      </c>
      <c r="AY6">
        <v>0</v>
      </c>
    </row>
    <row r="7" spans="1:52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96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W7" t="s">
        <v>29</v>
      </c>
      <c r="AX7" t="s">
        <v>30</v>
      </c>
      <c r="AY7">
        <v>0</v>
      </c>
    </row>
    <row r="8" spans="1:52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W8" t="s">
        <v>29</v>
      </c>
      <c r="AX8" t="s">
        <v>30</v>
      </c>
      <c r="AY8">
        <v>0</v>
      </c>
    </row>
    <row r="9" spans="1:52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W9" t="s">
        <v>29</v>
      </c>
      <c r="AX9" t="s">
        <v>30</v>
      </c>
      <c r="AY9">
        <v>0</v>
      </c>
    </row>
    <row r="10" spans="1:52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W10" t="s">
        <v>29</v>
      </c>
      <c r="AX10" t="s">
        <v>30</v>
      </c>
      <c r="AY10">
        <v>1</v>
      </c>
      <c r="AZ10" t="s">
        <v>43</v>
      </c>
    </row>
    <row r="11" spans="1:52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2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2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2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96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W14" t="s">
        <v>29</v>
      </c>
      <c r="AX14" t="s">
        <v>30</v>
      </c>
      <c r="AY14">
        <v>0</v>
      </c>
    </row>
    <row r="15" spans="1:52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W15" t="s">
        <v>29</v>
      </c>
      <c r="AX15" t="s">
        <v>30</v>
      </c>
      <c r="AY15">
        <v>0</v>
      </c>
    </row>
    <row r="16" spans="1:52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W16" t="s">
        <v>29</v>
      </c>
      <c r="AX16" t="s">
        <v>30</v>
      </c>
      <c r="AY16">
        <v>0</v>
      </c>
    </row>
    <row r="17" spans="1:52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W17" t="s">
        <v>29</v>
      </c>
      <c r="AX17" t="s">
        <v>30</v>
      </c>
      <c r="AY17">
        <v>0</v>
      </c>
    </row>
    <row r="18" spans="1:52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2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96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W19" s="9" t="s">
        <v>29</v>
      </c>
      <c r="AX19" s="9" t="s">
        <v>30</v>
      </c>
      <c r="AY19" s="9">
        <v>0</v>
      </c>
      <c r="AZ19" s="9"/>
    </row>
    <row r="20" spans="1:52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W20" s="16" t="s">
        <v>29</v>
      </c>
      <c r="AX20" s="16" t="s">
        <v>30</v>
      </c>
      <c r="AY20">
        <v>0</v>
      </c>
    </row>
    <row r="21" spans="1:52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2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W22" s="16" t="s">
        <v>29</v>
      </c>
      <c r="AX22" s="16" t="s">
        <v>30</v>
      </c>
      <c r="AY22" s="16">
        <v>0</v>
      </c>
    </row>
    <row r="23" spans="1:52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2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96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2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2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W26" s="16" t="s">
        <v>29</v>
      </c>
      <c r="AX26" s="16" t="s">
        <v>30</v>
      </c>
      <c r="AY26" s="16">
        <v>0</v>
      </c>
    </row>
    <row r="27" spans="1:52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W27" s="16" t="s">
        <v>29</v>
      </c>
      <c r="AX27" s="16" t="s">
        <v>30</v>
      </c>
      <c r="AY27" s="16">
        <v>0</v>
      </c>
    </row>
    <row r="28" spans="1:52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W28" s="16" t="s">
        <v>29</v>
      </c>
      <c r="AX28" s="16" t="s">
        <v>30</v>
      </c>
      <c r="AY28" s="16">
        <v>0</v>
      </c>
    </row>
    <row r="29" spans="1:52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Y29">
        <v>1</v>
      </c>
      <c r="AZ29" t="s">
        <v>50</v>
      </c>
    </row>
    <row r="30" spans="1:52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W30" s="16" t="s">
        <v>29</v>
      </c>
      <c r="AX30" s="16" t="s">
        <v>30</v>
      </c>
      <c r="AY30" s="16">
        <v>0</v>
      </c>
    </row>
    <row r="31" spans="1:52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W31" s="16" t="s">
        <v>29</v>
      </c>
      <c r="AX31" s="16" t="s">
        <v>30</v>
      </c>
      <c r="AY31" s="16">
        <v>0</v>
      </c>
    </row>
    <row r="32" spans="1:52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W32" s="16" t="s">
        <v>29</v>
      </c>
      <c r="AX32" s="16" t="s">
        <v>30</v>
      </c>
      <c r="AY32" s="16">
        <v>0</v>
      </c>
    </row>
    <row r="33" spans="1:52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W33" s="16" t="s">
        <v>29</v>
      </c>
      <c r="AX33" s="16" t="s">
        <v>30</v>
      </c>
      <c r="AY33" s="16">
        <v>0</v>
      </c>
      <c r="AZ33" s="16"/>
    </row>
    <row r="34" spans="1:52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W34" s="16" t="s">
        <v>29</v>
      </c>
      <c r="AX34" s="16" t="s">
        <v>30</v>
      </c>
      <c r="AY34" s="16">
        <v>0</v>
      </c>
      <c r="AZ34" s="16"/>
    </row>
    <row r="35" spans="1:52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W35" s="16" t="s">
        <v>29</v>
      </c>
      <c r="AX35" s="16" t="s">
        <v>30</v>
      </c>
      <c r="AY35" s="16">
        <v>0</v>
      </c>
    </row>
    <row r="36" spans="1:52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W36" s="16" t="s">
        <v>29</v>
      </c>
      <c r="AX36" s="16" t="s">
        <v>30</v>
      </c>
      <c r="AY36" s="16">
        <v>0</v>
      </c>
    </row>
    <row r="37" spans="1:52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W37" t="s">
        <v>29</v>
      </c>
      <c r="AX37" t="s">
        <v>30</v>
      </c>
      <c r="AY37">
        <v>0</v>
      </c>
    </row>
    <row r="38" spans="1:52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W38" s="16" t="s">
        <v>29</v>
      </c>
      <c r="AX38" s="16" t="s">
        <v>30</v>
      </c>
      <c r="AY38" s="16">
        <v>0</v>
      </c>
    </row>
    <row r="39" spans="1:52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2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2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W41" s="16" t="s">
        <v>29</v>
      </c>
      <c r="AX41" s="16" t="s">
        <v>30</v>
      </c>
      <c r="AY41" s="16">
        <v>0</v>
      </c>
    </row>
    <row r="42" spans="1:52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W42" s="16" t="s">
        <v>29</v>
      </c>
      <c r="AX42" s="16" t="s">
        <v>30</v>
      </c>
      <c r="AY42" s="16">
        <v>0</v>
      </c>
    </row>
    <row r="43" spans="1:52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W43" s="16" t="s">
        <v>29</v>
      </c>
      <c r="AX43" s="16" t="s">
        <v>30</v>
      </c>
      <c r="AY43" s="16">
        <v>0</v>
      </c>
    </row>
    <row r="44" spans="1:52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2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2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2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W47" s="16" t="s">
        <v>29</v>
      </c>
      <c r="AX47" s="16" t="s">
        <v>30</v>
      </c>
      <c r="AY47" s="16">
        <v>0</v>
      </c>
    </row>
    <row r="48" spans="1:52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W48" s="16" t="s">
        <v>29</v>
      </c>
      <c r="AX48" s="16" t="s">
        <v>30</v>
      </c>
      <c r="AY48" s="16">
        <v>0</v>
      </c>
    </row>
    <row r="49" spans="1:52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W49" t="s">
        <v>29</v>
      </c>
      <c r="AX49" t="s">
        <v>30</v>
      </c>
      <c r="AY49">
        <v>0</v>
      </c>
    </row>
    <row r="50" spans="1:52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W50" t="s">
        <v>29</v>
      </c>
      <c r="AX50" t="s">
        <v>30</v>
      </c>
      <c r="AY50">
        <v>0</v>
      </c>
    </row>
    <row r="51" spans="1:52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W51" t="s">
        <v>29</v>
      </c>
      <c r="AX51" t="s">
        <v>30</v>
      </c>
      <c r="AY51">
        <v>0</v>
      </c>
    </row>
    <row r="52" spans="1:52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2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2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W54" t="s">
        <v>29</v>
      </c>
      <c r="AX54" t="s">
        <v>30</v>
      </c>
      <c r="AY54">
        <v>0</v>
      </c>
    </row>
    <row r="55" spans="1:52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W55" s="16" t="s">
        <v>29</v>
      </c>
      <c r="AX55" s="16" t="s">
        <v>30</v>
      </c>
      <c r="AY55" s="16">
        <v>0</v>
      </c>
    </row>
    <row r="56" spans="1:52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W56" t="s">
        <v>29</v>
      </c>
      <c r="AX56" t="s">
        <v>30</v>
      </c>
      <c r="AY56">
        <v>0</v>
      </c>
    </row>
    <row r="57" spans="1:52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W57" t="s">
        <v>29</v>
      </c>
      <c r="AX57" t="s">
        <v>30</v>
      </c>
      <c r="AY57">
        <v>0</v>
      </c>
    </row>
    <row r="58" spans="1:52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W58" s="16" t="s">
        <v>29</v>
      </c>
      <c r="AX58" s="16" t="s">
        <v>30</v>
      </c>
      <c r="AY58" s="16">
        <v>0</v>
      </c>
    </row>
    <row r="59" spans="1:52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W59" t="s">
        <v>29</v>
      </c>
      <c r="AX59" t="s">
        <v>30</v>
      </c>
      <c r="AY59">
        <v>0</v>
      </c>
    </row>
    <row r="60" spans="1:52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W60" t="s">
        <v>29</v>
      </c>
      <c r="AX60" t="s">
        <v>30</v>
      </c>
      <c r="AY60">
        <v>0</v>
      </c>
    </row>
    <row r="61" spans="1:52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W61" s="16" t="s">
        <v>29</v>
      </c>
      <c r="AX61" s="16" t="s">
        <v>30</v>
      </c>
      <c r="AY61" s="16">
        <v>0</v>
      </c>
    </row>
    <row r="62" spans="1:52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W62" s="16"/>
      <c r="AX62" s="16"/>
      <c r="AY62" s="16">
        <v>1</v>
      </c>
      <c r="AZ62" s="16" t="s">
        <v>59</v>
      </c>
    </row>
    <row r="63" spans="1:52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W63" s="16" t="s">
        <v>29</v>
      </c>
      <c r="AX63" s="16" t="s">
        <v>30</v>
      </c>
      <c r="AY63" s="16">
        <v>0</v>
      </c>
    </row>
    <row r="64" spans="1:52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1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W65" t="s">
        <v>29</v>
      </c>
      <c r="AX65" t="s">
        <v>30</v>
      </c>
      <c r="AY65">
        <v>0</v>
      </c>
    </row>
    <row r="66" spans="1:51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W66" s="16" t="s">
        <v>29</v>
      </c>
      <c r="AX66" s="16" t="s">
        <v>30</v>
      </c>
      <c r="AY66">
        <v>0</v>
      </c>
    </row>
    <row r="67" spans="1:51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W67" s="16" t="s">
        <v>29</v>
      </c>
      <c r="AX67" s="16" t="s">
        <v>30</v>
      </c>
      <c r="AY67" s="16">
        <v>0</v>
      </c>
    </row>
    <row r="68" spans="1:51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W68" t="s">
        <v>29</v>
      </c>
      <c r="AX68" t="s">
        <v>30</v>
      </c>
      <c r="AY68">
        <v>0</v>
      </c>
    </row>
    <row r="69" spans="1:51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W69" s="16" t="s">
        <v>29</v>
      </c>
      <c r="AX69" s="16" t="s">
        <v>30</v>
      </c>
      <c r="AY69" s="16">
        <v>0</v>
      </c>
    </row>
    <row r="70" spans="1:51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W70" t="s">
        <v>29</v>
      </c>
      <c r="AX70" t="s">
        <v>30</v>
      </c>
      <c r="AY70">
        <v>0</v>
      </c>
    </row>
    <row r="71" spans="1:51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W71" s="16" t="s">
        <v>29</v>
      </c>
      <c r="AX71" s="16" t="s">
        <v>30</v>
      </c>
      <c r="AY71" s="16">
        <v>0</v>
      </c>
    </row>
    <row r="72" spans="1:51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W72" s="16" t="s">
        <v>29</v>
      </c>
      <c r="AX72" s="16" t="s">
        <v>30</v>
      </c>
      <c r="AY72">
        <v>0</v>
      </c>
    </row>
    <row r="73" spans="1:51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W73" s="16" t="s">
        <v>29</v>
      </c>
      <c r="AX73" s="16" t="s">
        <v>30</v>
      </c>
      <c r="AY73" s="16">
        <v>0</v>
      </c>
    </row>
    <row r="74" spans="1:51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W74" t="s">
        <v>29</v>
      </c>
      <c r="AX74" t="s">
        <v>30</v>
      </c>
      <c r="AY74">
        <v>0</v>
      </c>
    </row>
    <row r="75" spans="1:51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W75" s="16" t="s">
        <v>29</v>
      </c>
      <c r="AX75" s="16" t="s">
        <v>30</v>
      </c>
      <c r="AY75">
        <v>0</v>
      </c>
    </row>
    <row r="76" spans="1:51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W76" t="s">
        <v>29</v>
      </c>
      <c r="AX76" t="s">
        <v>30</v>
      </c>
      <c r="AY76">
        <v>0</v>
      </c>
    </row>
    <row r="77" spans="1:51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W77" t="s">
        <v>29</v>
      </c>
      <c r="AX77" t="s">
        <v>30</v>
      </c>
      <c r="AY77">
        <v>0</v>
      </c>
    </row>
    <row r="78" spans="1:51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W78" t="s">
        <v>29</v>
      </c>
      <c r="AX78" t="s">
        <v>30</v>
      </c>
      <c r="AY78">
        <v>0</v>
      </c>
    </row>
    <row r="79" spans="1:51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W79" t="s">
        <v>29</v>
      </c>
      <c r="AX79" t="s">
        <v>30</v>
      </c>
      <c r="AY79">
        <v>0</v>
      </c>
    </row>
    <row r="80" spans="1:51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W80" t="s">
        <v>29</v>
      </c>
      <c r="AX80" t="s">
        <v>30</v>
      </c>
      <c r="AY80">
        <v>0</v>
      </c>
    </row>
    <row r="81" spans="1:52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2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W82" s="16" t="s">
        <v>29</v>
      </c>
      <c r="AX82" s="16" t="s">
        <v>30</v>
      </c>
      <c r="AY82" s="16">
        <v>0</v>
      </c>
      <c r="AZ82" s="16"/>
    </row>
    <row r="83" spans="1:52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W83" s="16" t="s">
        <v>29</v>
      </c>
      <c r="AX83" s="16" t="s">
        <v>30</v>
      </c>
      <c r="AY83" s="16">
        <v>0</v>
      </c>
      <c r="AZ83" s="16"/>
    </row>
    <row r="84" spans="1:52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2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W85" t="s">
        <v>29</v>
      </c>
      <c r="AX85" t="s">
        <v>30</v>
      </c>
      <c r="AY85">
        <v>0</v>
      </c>
    </row>
    <row r="86" spans="1:52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2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W87" s="16" t="s">
        <v>29</v>
      </c>
      <c r="AX87" s="16" t="s">
        <v>30</v>
      </c>
      <c r="AY87" s="16">
        <v>0</v>
      </c>
    </row>
    <row r="88" spans="1:52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2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R89" s="1">
        <f>4+50/60</f>
        <v>4.833333333333333</v>
      </c>
      <c r="AS89" s="1">
        <f>13+36/60</f>
        <v>13.6</v>
      </c>
      <c r="AT89" s="1">
        <f>20+25/60</f>
        <v>20.416666666666668</v>
      </c>
      <c r="AU89" s="1">
        <f>30+52/60</f>
        <v>30.866666666666667</v>
      </c>
      <c r="AV89" s="1">
        <f>13+18/60</f>
        <v>13.3</v>
      </c>
      <c r="AW89" s="16" t="s">
        <v>29</v>
      </c>
      <c r="AX89" s="16" t="s">
        <v>30</v>
      </c>
      <c r="AY89" s="16">
        <v>0</v>
      </c>
    </row>
    <row r="90" spans="1:52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R90" s="1">
        <f>7+18/60</f>
        <v>7.3</v>
      </c>
      <c r="AS90" s="1">
        <f>8+18/60</f>
        <v>8.3000000000000007</v>
      </c>
      <c r="AT90" s="1">
        <v>1</v>
      </c>
      <c r="AU90" s="1">
        <f>54+50/60</f>
        <v>54.833333333333336</v>
      </c>
      <c r="AV90" s="1">
        <f>19+6/60</f>
        <v>19.100000000000001</v>
      </c>
      <c r="AW90" t="s">
        <v>29</v>
      </c>
      <c r="AX90" t="s">
        <v>30</v>
      </c>
      <c r="AY90">
        <v>0</v>
      </c>
    </row>
    <row r="91" spans="1:52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R91" s="1">
        <f>1+16/60</f>
        <v>1.2666666666666666</v>
      </c>
      <c r="AS91" s="1">
        <f>14+28/60</f>
        <v>14.466666666666667</v>
      </c>
      <c r="AT91" s="1">
        <f>16+20/60</f>
        <v>16.333333333333332</v>
      </c>
      <c r="AU91" s="1">
        <f>58+46/60</f>
        <v>58.766666666666666</v>
      </c>
      <c r="AV91" s="1">
        <f>8+40/60</f>
        <v>8.6666666666666661</v>
      </c>
      <c r="AW91" s="16" t="s">
        <v>29</v>
      </c>
      <c r="AX91" s="16" t="s">
        <v>30</v>
      </c>
      <c r="AY91" s="16">
        <v>0</v>
      </c>
    </row>
    <row r="92" spans="1:52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R92" s="1">
        <f>27+50/60</f>
        <v>27.833333333333332</v>
      </c>
      <c r="AS92" s="1">
        <f>36+21/60</f>
        <v>36.35</v>
      </c>
      <c r="AT92" s="1">
        <f>20+56/60</f>
        <v>20.933333333333334</v>
      </c>
      <c r="AU92" s="1">
        <f>17+21/60</f>
        <v>17.350000000000001</v>
      </c>
      <c r="AV92" s="1">
        <f>8+12/60</f>
        <v>8.1999999999999993</v>
      </c>
      <c r="AW92" s="16" t="s">
        <v>29</v>
      </c>
      <c r="AX92" s="16" t="s">
        <v>30</v>
      </c>
      <c r="AY92" s="16">
        <v>0</v>
      </c>
      <c r="AZ92" s="16"/>
    </row>
    <row r="93" spans="1:52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R93" s="1">
        <f>41+4/60</f>
        <v>41.06666666666667</v>
      </c>
      <c r="AS93" s="1">
        <f>54+30/60</f>
        <v>54.5</v>
      </c>
      <c r="AT93" s="1">
        <f>3+58/60</f>
        <v>3.9666666666666668</v>
      </c>
      <c r="AU93" s="1">
        <f>30/60</f>
        <v>0.5</v>
      </c>
      <c r="AV93" s="1">
        <v>0</v>
      </c>
      <c r="AW93" t="s">
        <v>29</v>
      </c>
      <c r="AX93" t="s">
        <v>30</v>
      </c>
      <c r="AY93">
        <v>0</v>
      </c>
    </row>
    <row r="94" spans="1:52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R94" s="1">
        <f>17+9/60</f>
        <v>17.149999999999999</v>
      </c>
      <c r="AS94" s="1">
        <f>25</f>
        <v>25</v>
      </c>
      <c r="AT94" s="1">
        <f>14+8/60</f>
        <v>14.133333333333333</v>
      </c>
      <c r="AU94" s="1">
        <f>27+43/60</f>
        <v>27.716666666666665</v>
      </c>
      <c r="AV94" s="1">
        <f>48+56/60</f>
        <v>48.93333333333333</v>
      </c>
      <c r="AW94" s="16" t="s">
        <v>29</v>
      </c>
      <c r="AX94" s="16" t="s">
        <v>30</v>
      </c>
      <c r="AY94" s="16">
        <v>0</v>
      </c>
    </row>
    <row r="95" spans="1:52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R95" s="1">
        <f>6+4/60</f>
        <v>6.0666666666666664</v>
      </c>
      <c r="AS95" s="1">
        <f>26+21/60</f>
        <v>26.35</v>
      </c>
      <c r="AT95" s="1">
        <f>13+33/60</f>
        <v>13.55</v>
      </c>
      <c r="AU95" s="1">
        <f>32+14/60</f>
        <v>32.233333333333334</v>
      </c>
      <c r="AV95" s="1">
        <f>35+52/60</f>
        <v>35.866666666666667</v>
      </c>
      <c r="AW95" t="s">
        <v>29</v>
      </c>
      <c r="AX95" t="s">
        <v>30</v>
      </c>
      <c r="AY95">
        <v>0</v>
      </c>
    </row>
    <row r="96" spans="1:52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1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R97" s="1">
        <f>27+11/60</f>
        <v>27.183333333333334</v>
      </c>
      <c r="AS97" s="1">
        <f>44+1/6</f>
        <v>44.166666666666664</v>
      </c>
      <c r="AT97" s="1">
        <f>25+24/60</f>
        <v>25.4</v>
      </c>
      <c r="AU97" s="1">
        <f>11+32/60</f>
        <v>11.533333333333333</v>
      </c>
      <c r="AV97" s="1">
        <f>28+9/60</f>
        <v>28.15</v>
      </c>
      <c r="AW97" t="s">
        <v>29</v>
      </c>
      <c r="AX97" t="s">
        <v>30</v>
      </c>
      <c r="AY97">
        <v>0</v>
      </c>
    </row>
    <row r="98" spans="1:51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R98" s="1">
        <f>22/60</f>
        <v>0.36666666666666664</v>
      </c>
      <c r="AS98" s="1">
        <f>5+2/60</f>
        <v>5.0333333333333332</v>
      </c>
      <c r="AT98" s="1">
        <f>36+57/60</f>
        <v>36.950000000000003</v>
      </c>
      <c r="AU98" s="1">
        <f>60+6/60</f>
        <v>60.1</v>
      </c>
      <c r="AV98" s="1">
        <f>3.08/60</f>
        <v>5.1333333333333335E-2</v>
      </c>
      <c r="AW98" t="s">
        <v>29</v>
      </c>
      <c r="AX98" t="s">
        <v>30</v>
      </c>
      <c r="AY98">
        <v>0</v>
      </c>
    </row>
    <row r="99" spans="1:51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1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R100" s="1">
        <f>13/60</f>
        <v>0.21666666666666667</v>
      </c>
      <c r="AS100" s="1">
        <f>28*37/60</f>
        <v>17.266666666666666</v>
      </c>
      <c r="AT100" s="1">
        <f>47+14/60</f>
        <v>47.233333333333334</v>
      </c>
      <c r="AU100" s="1">
        <f>34+46/60</f>
        <v>34.766666666666666</v>
      </c>
      <c r="AV100" s="1">
        <f>0.53/60</f>
        <v>8.8333333333333337E-3</v>
      </c>
      <c r="AW100" s="16" t="s">
        <v>29</v>
      </c>
      <c r="AX100" s="16" t="s">
        <v>30</v>
      </c>
      <c r="AY100" s="16">
        <v>0</v>
      </c>
    </row>
    <row r="101" spans="1:51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R101" s="1">
        <f>1+26/60</f>
        <v>1.4333333333333333</v>
      </c>
      <c r="AS101" s="1">
        <f>65+39/60</f>
        <v>65.650000000000006</v>
      </c>
      <c r="AT101" s="1">
        <f>20+35/60</f>
        <v>20.583333333333332</v>
      </c>
      <c r="AU101" s="1">
        <f>25+54/60</f>
        <v>25.9</v>
      </c>
      <c r="AV101" s="1">
        <f>1+48/60</f>
        <v>1.8</v>
      </c>
      <c r="AW101" t="s">
        <v>29</v>
      </c>
      <c r="AX101" t="s">
        <v>30</v>
      </c>
      <c r="AY101">
        <v>0</v>
      </c>
    </row>
    <row r="102" spans="1:51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1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R103" s="1">
        <f>27.25</f>
        <v>27.25</v>
      </c>
      <c r="AS103" s="1">
        <f>13+43/60</f>
        <v>13.716666666666667</v>
      </c>
      <c r="AT103" s="1">
        <f>14+50/60</f>
        <v>14.833333333333334</v>
      </c>
      <c r="AU103" s="1">
        <f>6+13/60</f>
        <v>6.2166666666666668</v>
      </c>
      <c r="AV103" s="1">
        <v>0</v>
      </c>
      <c r="AW103" t="s">
        <v>29</v>
      </c>
      <c r="AX103" t="s">
        <v>30</v>
      </c>
      <c r="AY103">
        <v>0</v>
      </c>
    </row>
    <row r="104" spans="1:51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R104" s="1">
        <f>3+28/60</f>
        <v>3.4666666666666668</v>
      </c>
      <c r="AS104" s="1">
        <f>36+3/60</f>
        <v>36.049999999999997</v>
      </c>
      <c r="AT104" s="1">
        <f>25+52/60</f>
        <v>25.866666666666667</v>
      </c>
      <c r="AU104" s="1">
        <f>15+28/60</f>
        <v>15.466666666666667</v>
      </c>
      <c r="AV104" s="1">
        <f>37+54/60</f>
        <v>37.9</v>
      </c>
      <c r="AW104" t="s">
        <v>29</v>
      </c>
      <c r="AX104" t="s">
        <v>30</v>
      </c>
      <c r="AY104">
        <v>0</v>
      </c>
    </row>
    <row r="105" spans="1:51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96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R105" s="1">
        <v>3.25</v>
      </c>
      <c r="AS105" s="1">
        <f>19+33/60</f>
        <v>19.55</v>
      </c>
      <c r="AT105" s="1">
        <f>6+2/60</f>
        <v>6.0333333333333332</v>
      </c>
      <c r="AU105" s="1">
        <f>70+13/60</f>
        <v>70.216666666666669</v>
      </c>
      <c r="AV105" s="1">
        <f>2.5</f>
        <v>2.5</v>
      </c>
      <c r="AW105" t="s">
        <v>29</v>
      </c>
      <c r="AX105" t="s">
        <v>30</v>
      </c>
      <c r="AY105">
        <v>0</v>
      </c>
    </row>
    <row r="106" spans="1:51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96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R106" s="1">
        <f>5+38/60</f>
        <v>5.6333333333333329</v>
      </c>
      <c r="AS106" s="1">
        <f>10+45/60</f>
        <v>10.75</v>
      </c>
      <c r="AT106" s="1">
        <f>53+46/60</f>
        <v>53.766666666666666</v>
      </c>
      <c r="AU106" s="1">
        <f>20</f>
        <v>20</v>
      </c>
      <c r="AV106" s="1">
        <v>0</v>
      </c>
      <c r="AW106" s="16" t="s">
        <v>29</v>
      </c>
      <c r="AX106" s="16" t="s">
        <v>30</v>
      </c>
      <c r="AY106" s="16">
        <v>0</v>
      </c>
    </row>
    <row r="107" spans="1:51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1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96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R108" s="1">
        <v>0</v>
      </c>
      <c r="AS108" s="1">
        <f>25/60</f>
        <v>0.41666666666666669</v>
      </c>
      <c r="AT108" s="1">
        <f>5+33/60</f>
        <v>5.55</v>
      </c>
      <c r="AU108" s="1">
        <f>81+3/60</f>
        <v>81.05</v>
      </c>
      <c r="AV108" s="1">
        <f>35+41/60</f>
        <v>35.68333333333333</v>
      </c>
      <c r="AW108" t="s">
        <v>29</v>
      </c>
      <c r="AX108" t="s">
        <v>30</v>
      </c>
      <c r="AY108">
        <v>0</v>
      </c>
    </row>
    <row r="109" spans="1:51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1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96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39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R110" s="1">
        <f>4+27/60</f>
        <v>4.45</v>
      </c>
      <c r="AS110" s="1">
        <f>20+54/60</f>
        <v>20.9</v>
      </c>
      <c r="AT110" s="1">
        <f>9+35/60</f>
        <v>9.5833333333333339</v>
      </c>
      <c r="AU110" s="1">
        <f>67+24/60</f>
        <v>67.400000000000006</v>
      </c>
      <c r="AV110" s="1">
        <f>23+55/60</f>
        <v>23.916666666666668</v>
      </c>
      <c r="AW110" t="s">
        <v>29</v>
      </c>
      <c r="AX110" t="s">
        <v>30</v>
      </c>
      <c r="AY110">
        <v>0</v>
      </c>
    </row>
    <row r="111" spans="1:51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96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R111" s="1">
        <f>19/60</f>
        <v>0.31666666666666665</v>
      </c>
      <c r="AS111" s="1">
        <f>9+11/60</f>
        <v>9.1833333333333336</v>
      </c>
      <c r="AT111" s="1">
        <f>14+1/60</f>
        <v>14.016666666666667</v>
      </c>
      <c r="AU111" s="1">
        <f>39+45/60</f>
        <v>39.75</v>
      </c>
      <c r="AV111" s="1">
        <f>41/60</f>
        <v>0.68333333333333335</v>
      </c>
      <c r="AW111" t="s">
        <v>29</v>
      </c>
      <c r="AX111" t="s">
        <v>30</v>
      </c>
      <c r="AY111">
        <v>0</v>
      </c>
    </row>
    <row r="112" spans="1:51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101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R112" s="1">
        <v>0</v>
      </c>
      <c r="AS112" s="1">
        <f>9+20/60</f>
        <v>9.3333333333333339</v>
      </c>
      <c r="AT112" s="1">
        <f>21+26/60</f>
        <v>21.433333333333334</v>
      </c>
      <c r="AU112" s="1">
        <v>0.33333333333333331</v>
      </c>
      <c r="AV112" s="1">
        <v>0</v>
      </c>
      <c r="AW112" t="s">
        <v>29</v>
      </c>
      <c r="AX112" t="s">
        <v>30</v>
      </c>
      <c r="AY112">
        <v>0</v>
      </c>
    </row>
    <row r="113" spans="1:51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90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R113" s="1">
        <f>51/60</f>
        <v>0.85</v>
      </c>
      <c r="AS113" s="1">
        <f>(33+3/60)</f>
        <v>33.049999999999997</v>
      </c>
      <c r="AT113" s="1">
        <f>17/60</f>
        <v>0.28333333333333333</v>
      </c>
      <c r="AU113" s="1">
        <f>(14+54/60)/60</f>
        <v>0.24833333333333335</v>
      </c>
      <c r="AV113" s="1">
        <f>(53+18/60)/60</f>
        <v>0.88833333333333331</v>
      </c>
      <c r="AW113" t="s">
        <v>29</v>
      </c>
      <c r="AX113" t="s">
        <v>30</v>
      </c>
      <c r="AY113">
        <v>0</v>
      </c>
    </row>
    <row r="114" spans="1:51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92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R114" s="1">
        <v>0</v>
      </c>
      <c r="AS114" s="1">
        <f>7+16/60</f>
        <v>7.2666666666666666</v>
      </c>
      <c r="AT114" s="1">
        <f>25+43/60</f>
        <v>25.716666666666665</v>
      </c>
      <c r="AU114" s="1">
        <f>53+38/60</f>
        <v>53.633333333333333</v>
      </c>
      <c r="AV114" s="1">
        <v>0</v>
      </c>
      <c r="AW114" t="s">
        <v>29</v>
      </c>
      <c r="AX114" t="s">
        <v>30</v>
      </c>
      <c r="AY114">
        <v>0</v>
      </c>
    </row>
    <row r="115" spans="1:51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93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R115" s="1">
        <f>1+20/60</f>
        <v>1.3333333333333333</v>
      </c>
      <c r="AS115" s="1">
        <f>23+7/60</f>
        <v>23.116666666666667</v>
      </c>
      <c r="AT115" s="1">
        <f>16+33/60</f>
        <v>16.55</v>
      </c>
      <c r="AU115" s="1">
        <f>49+58/60</f>
        <v>49.966666666666669</v>
      </c>
      <c r="AV115" s="1">
        <f>(41+16/60)/60</f>
        <v>0.68777777777777771</v>
      </c>
      <c r="AW115" s="16" t="s">
        <v>29</v>
      </c>
      <c r="AX115" s="16" t="s">
        <v>30</v>
      </c>
      <c r="AY115" s="16">
        <v>0</v>
      </c>
    </row>
    <row r="116" spans="1:51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93</v>
      </c>
      <c r="K116" s="17">
        <v>13</v>
      </c>
      <c r="L116" s="17">
        <v>22</v>
      </c>
      <c r="M116" s="16" t="s">
        <v>66</v>
      </c>
      <c r="N116" t="s">
        <v>33</v>
      </c>
      <c r="O116" t="s">
        <v>101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R116" s="1">
        <f>52+36/60</f>
        <v>52.6</v>
      </c>
      <c r="AS116" s="1">
        <f>15+57/60</f>
        <v>15.95</v>
      </c>
      <c r="AT116" s="1">
        <f>20+35/60</f>
        <v>20.583333333333332</v>
      </c>
      <c r="AU116" s="1">
        <f>59/60</f>
        <v>0.98333333333333328</v>
      </c>
      <c r="AV116" s="1">
        <v>0</v>
      </c>
      <c r="AW116" t="s">
        <v>29</v>
      </c>
      <c r="AX116" t="s">
        <v>30</v>
      </c>
      <c r="AY116">
        <v>0</v>
      </c>
    </row>
    <row r="117" spans="1:51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94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101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R117" s="1">
        <f>9+3/60</f>
        <v>9.0500000000000007</v>
      </c>
      <c r="AS117" s="1">
        <f>62+3/60</f>
        <v>62.05</v>
      </c>
      <c r="AT117" s="1">
        <f>32+42/60</f>
        <v>32.700000000000003</v>
      </c>
      <c r="AU117" s="1">
        <f>5+2/60</f>
        <v>5.0333333333333332</v>
      </c>
      <c r="AV117" s="1">
        <v>0</v>
      </c>
      <c r="AW117" t="s">
        <v>29</v>
      </c>
      <c r="AX117" t="s">
        <v>30</v>
      </c>
      <c r="AY117">
        <v>0</v>
      </c>
    </row>
    <row r="118" spans="1:51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93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101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R118" s="1">
        <f>0+12/60</f>
        <v>0.2</v>
      </c>
      <c r="AS118" s="1">
        <f>5+24/60</f>
        <v>5.4</v>
      </c>
      <c r="AT118" s="1">
        <f>7+26/60</f>
        <v>7.4333333333333336</v>
      </c>
      <c r="AU118" s="1">
        <f>87+58/60</f>
        <v>87.966666666666669</v>
      </c>
      <c r="AV118" s="1">
        <v>2</v>
      </c>
      <c r="AW118" s="16" t="s">
        <v>29</v>
      </c>
      <c r="AX118" s="16" t="s">
        <v>30</v>
      </c>
      <c r="AY118" s="16">
        <v>0</v>
      </c>
    </row>
    <row r="119" spans="1:51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95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96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R119" s="1">
        <v>0</v>
      </c>
      <c r="AS119" s="1">
        <f>1+27/60</f>
        <v>1.45</v>
      </c>
      <c r="AT119" s="1">
        <f>11+15/60</f>
        <v>11.25</v>
      </c>
      <c r="AU119" s="1">
        <f>37+4/60</f>
        <v>37.06666666666667</v>
      </c>
      <c r="AV119" s="1">
        <f>74+33/60</f>
        <v>74.55</v>
      </c>
      <c r="AW119" s="16" t="s">
        <v>29</v>
      </c>
      <c r="AX119" s="16" t="s">
        <v>30</v>
      </c>
      <c r="AY119" s="16">
        <v>0</v>
      </c>
    </row>
    <row r="120" spans="1:51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95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96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R120" s="1">
        <v>0</v>
      </c>
      <c r="AS120" s="1">
        <f>11+9/60</f>
        <v>11.15</v>
      </c>
      <c r="AT120" s="1">
        <f>34+10/60</f>
        <v>34.166666666666664</v>
      </c>
      <c r="AU120" s="1">
        <f>78+24/60</f>
        <v>78.400000000000006</v>
      </c>
      <c r="AV120" s="1">
        <f>11+23/60</f>
        <v>11.383333333333333</v>
      </c>
      <c r="AW120" s="16" t="s">
        <v>29</v>
      </c>
      <c r="AX120" s="16" t="s">
        <v>30</v>
      </c>
      <c r="AY120" s="16">
        <v>0</v>
      </c>
    </row>
    <row r="121" spans="1:51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93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96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R121" s="1">
        <f>0.11/60</f>
        <v>1.8333333333333333E-3</v>
      </c>
      <c r="AS121" s="1">
        <f>3+57/60</f>
        <v>3.95</v>
      </c>
      <c r="AT121" s="1">
        <v>25</v>
      </c>
      <c r="AU121" s="1">
        <f>71+42/60</f>
        <v>71.7</v>
      </c>
      <c r="AV121" s="1">
        <f>32+14/60</f>
        <v>32.233333333333334</v>
      </c>
      <c r="AW121" t="s">
        <v>29</v>
      </c>
      <c r="AX121" t="s">
        <v>30</v>
      </c>
      <c r="AY121">
        <v>0</v>
      </c>
    </row>
    <row r="122" spans="1:51" x14ac:dyDescent="0.25">
      <c r="A122">
        <f t="shared" ref="A122:A128" si="104">A121+1</f>
        <v>654</v>
      </c>
      <c r="B122" s="18">
        <v>44001.453472222223</v>
      </c>
      <c r="C122">
        <v>0</v>
      </c>
      <c r="D122" t="s">
        <v>38</v>
      </c>
      <c r="F122" t="s">
        <v>31</v>
      </c>
      <c r="G122" s="17">
        <v>88</v>
      </c>
      <c r="H122" s="17">
        <v>68</v>
      </c>
      <c r="I122" s="17">
        <v>52</v>
      </c>
      <c r="J122" s="17" t="s">
        <v>97</v>
      </c>
      <c r="K122" s="17">
        <v>16</v>
      </c>
      <c r="L122" s="17">
        <v>0</v>
      </c>
      <c r="M122" s="16" t="s">
        <v>65</v>
      </c>
    </row>
    <row r="123" spans="1:51" x14ac:dyDescent="0.25">
      <c r="A123">
        <f t="shared" si="104"/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93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96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 t="shared" ref="W123:W130" si="105">P123/T123</f>
        <v>2.953846153846154</v>
      </c>
      <c r="X123">
        <v>2</v>
      </c>
      <c r="Y123" s="1">
        <f t="shared" ref="Y123" si="106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R123" s="1">
        <f>35+11/60</f>
        <v>35.18333333333333</v>
      </c>
      <c r="AS123" s="1">
        <f>86+30/60</f>
        <v>86.5</v>
      </c>
      <c r="AT123" s="1">
        <f>18+2/60</f>
        <v>18.033333333333335</v>
      </c>
      <c r="AU123" s="1">
        <f>57/60</f>
        <v>0.95</v>
      </c>
      <c r="AV123" s="1">
        <v>0</v>
      </c>
      <c r="AW123" s="16" t="s">
        <v>29</v>
      </c>
      <c r="AX123" s="16" t="s">
        <v>30</v>
      </c>
      <c r="AY123" s="16">
        <v>0</v>
      </c>
    </row>
    <row r="124" spans="1:51" x14ac:dyDescent="0.25">
      <c r="A124">
        <f t="shared" si="104"/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98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96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 t="shared" si="105"/>
        <v>2.8571428571428572</v>
      </c>
      <c r="X124">
        <v>2</v>
      </c>
      <c r="Y124" s="1">
        <f t="shared" ref="Y124" si="107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R124" s="1">
        <v>0</v>
      </c>
      <c r="AS124" s="1">
        <f>6+55/60</f>
        <v>6.916666666666667</v>
      </c>
      <c r="AT124" s="1">
        <f>10.5</f>
        <v>10.5</v>
      </c>
      <c r="AU124" s="1">
        <f>40+15/60</f>
        <v>40.25</v>
      </c>
      <c r="AV124" s="1">
        <f>5+17/60</f>
        <v>5.2833333333333332</v>
      </c>
      <c r="AW124" s="16" t="s">
        <v>29</v>
      </c>
      <c r="AX124" s="16" t="s">
        <v>30</v>
      </c>
      <c r="AY124" s="16">
        <v>0</v>
      </c>
    </row>
    <row r="125" spans="1:51" x14ac:dyDescent="0.25">
      <c r="A125">
        <f t="shared" si="104"/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93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96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 t="shared" si="105"/>
        <v>2.9781021897810218</v>
      </c>
      <c r="X125">
        <v>2</v>
      </c>
      <c r="Y125" s="1">
        <f t="shared" ref="Y125:Y126" si="108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R125" s="1">
        <f>39+18/60</f>
        <v>39.299999999999997</v>
      </c>
      <c r="AS125" s="1">
        <f>86+17/60</f>
        <v>86.283333333333331</v>
      </c>
      <c r="AT125" s="1">
        <f>10+39/60</f>
        <v>10.65</v>
      </c>
      <c r="AU125" s="1">
        <f>0.75</f>
        <v>0.75</v>
      </c>
      <c r="AV125" s="1">
        <v>0</v>
      </c>
      <c r="AW125" s="16" t="s">
        <v>29</v>
      </c>
      <c r="AX125" s="16" t="s">
        <v>30</v>
      </c>
      <c r="AY125" s="16">
        <v>0</v>
      </c>
    </row>
    <row r="126" spans="1:51" x14ac:dyDescent="0.25">
      <c r="A126">
        <f t="shared" si="104"/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98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101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 t="shared" si="105"/>
        <v>2.4055555555555554</v>
      </c>
      <c r="X126">
        <v>3</v>
      </c>
      <c r="Y126" s="1">
        <f t="shared" si="108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R126" s="1">
        <f>5+27/60</f>
        <v>5.45</v>
      </c>
      <c r="AS126" s="1">
        <f>31+9/60</f>
        <v>31.15</v>
      </c>
      <c r="AT126" s="1">
        <f>47+1/60</f>
        <v>47.016666666666666</v>
      </c>
      <c r="AU126" s="1">
        <f>24+47/60</f>
        <v>24.783333333333335</v>
      </c>
      <c r="AV126" s="1">
        <f>16/60</f>
        <v>0.26666666666666666</v>
      </c>
      <c r="AW126" t="s">
        <v>29</v>
      </c>
      <c r="AX126" t="s">
        <v>30</v>
      </c>
      <c r="AY126">
        <v>0</v>
      </c>
    </row>
    <row r="127" spans="1:51" x14ac:dyDescent="0.25">
      <c r="A127">
        <f t="shared" si="104"/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99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96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 t="shared" si="105"/>
        <v>2.9108108108108106</v>
      </c>
      <c r="X127">
        <v>3</v>
      </c>
      <c r="Y127" s="1">
        <f t="shared" ref="Y127" si="109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R127" s="1">
        <f>41+7/60</f>
        <v>41.116666666666667</v>
      </c>
      <c r="AS127" s="1">
        <f>26+16/60</f>
        <v>26.266666666666666</v>
      </c>
      <c r="AT127" s="1">
        <f>20+31/60</f>
        <v>20.516666666666666</v>
      </c>
      <c r="AU127" s="1">
        <v>0</v>
      </c>
      <c r="AV127" s="1">
        <v>0</v>
      </c>
      <c r="AW127" s="16" t="s">
        <v>29</v>
      </c>
      <c r="AX127" s="16" t="s">
        <v>30</v>
      </c>
      <c r="AY127" s="16">
        <v>0</v>
      </c>
    </row>
    <row r="128" spans="1:51" x14ac:dyDescent="0.25">
      <c r="A128">
        <f t="shared" si="104"/>
        <v>660</v>
      </c>
      <c r="B128" s="18">
        <v>44007.490277777775</v>
      </c>
      <c r="C128">
        <v>1</v>
      </c>
      <c r="F128" t="s">
        <v>31</v>
      </c>
      <c r="G128" s="17">
        <v>85</v>
      </c>
      <c r="H128" s="17">
        <v>70</v>
      </c>
      <c r="I128" s="17">
        <v>61</v>
      </c>
      <c r="J128" s="17" t="s">
        <v>100</v>
      </c>
      <c r="K128" s="17">
        <v>9</v>
      </c>
      <c r="L128" s="17">
        <v>0</v>
      </c>
      <c r="M128" s="16" t="s">
        <v>65</v>
      </c>
      <c r="N128" t="s">
        <v>33</v>
      </c>
      <c r="O128" s="16" t="s">
        <v>101</v>
      </c>
      <c r="P128" s="1">
        <v>4.51</v>
      </c>
      <c r="T128" s="1">
        <f>106/60</f>
        <v>1.7666666666666666</v>
      </c>
      <c r="U128" s="1">
        <f>108/60</f>
        <v>1.8</v>
      </c>
      <c r="V128" s="1">
        <f t="shared" si="85"/>
        <v>3.3333333333333437E-2</v>
      </c>
      <c r="W128" s="1">
        <f t="shared" si="105"/>
        <v>2.5528301886792453</v>
      </c>
      <c r="X128">
        <v>3</v>
      </c>
      <c r="Y128" s="1">
        <f t="shared" ref="Y128:Y130" si="110">P128/X128</f>
        <v>1.5033333333333332</v>
      </c>
      <c r="Z128" s="1">
        <f>23+34/60</f>
        <v>23.566666666666666</v>
      </c>
      <c r="AA128" s="17">
        <v>56</v>
      </c>
      <c r="AB128" s="17">
        <v>995</v>
      </c>
      <c r="AC128" s="17">
        <v>116</v>
      </c>
      <c r="AD128" s="17">
        <v>143</v>
      </c>
      <c r="AE128" s="1">
        <f>24+18/60</f>
        <v>24.3</v>
      </c>
      <c r="AF128" s="1">
        <f>24+21/60</f>
        <v>24.35</v>
      </c>
      <c r="AG128" s="1">
        <f>22+57/60</f>
        <v>22.95</v>
      </c>
      <c r="AH128" s="1">
        <f>24+11/60</f>
        <v>24.183333333333334</v>
      </c>
      <c r="AI128" s="1">
        <f>60/2.9</f>
        <v>20.689655172413794</v>
      </c>
      <c r="AO128">
        <v>0</v>
      </c>
      <c r="AP128">
        <v>1</v>
      </c>
      <c r="AR128" s="1">
        <v>0</v>
      </c>
      <c r="AS128" s="1">
        <f>15+31/60</f>
        <v>15.516666666666667</v>
      </c>
      <c r="AT128" s="1">
        <f>34+5/60</f>
        <v>34.083333333333336</v>
      </c>
      <c r="AU128" s="1">
        <f>55+49/60</f>
        <v>55.81666666666667</v>
      </c>
      <c r="AV128" s="1">
        <f>49/60</f>
        <v>0.81666666666666665</v>
      </c>
      <c r="AW128" s="16" t="s">
        <v>29</v>
      </c>
      <c r="AX128" s="16" t="s">
        <v>30</v>
      </c>
      <c r="AY128" s="16">
        <v>0</v>
      </c>
    </row>
    <row r="129" spans="1:52" x14ac:dyDescent="0.25">
      <c r="A129">
        <v>661</v>
      </c>
      <c r="B129" s="18">
        <v>44008.481249999997</v>
      </c>
      <c r="C129">
        <v>1</v>
      </c>
      <c r="F129" t="s">
        <v>45</v>
      </c>
      <c r="G129" s="17">
        <f>AVERAGE(86,90,91)</f>
        <v>89</v>
      </c>
      <c r="H129" s="17">
        <f>AVERAGE(71,70,71)</f>
        <v>70.666666666666671</v>
      </c>
      <c r="I129" s="17">
        <f>AVERAGE(61,55,52)</f>
        <v>56</v>
      </c>
      <c r="J129" s="17" t="s">
        <v>93</v>
      </c>
      <c r="K129" s="17">
        <v>15</v>
      </c>
      <c r="L129" s="17">
        <v>23</v>
      </c>
      <c r="M129" s="16" t="s">
        <v>65</v>
      </c>
      <c r="N129" s="16" t="s">
        <v>103</v>
      </c>
      <c r="O129" t="s">
        <v>102</v>
      </c>
      <c r="P129" s="1">
        <v>5.85</v>
      </c>
      <c r="Q129" s="17">
        <v>720</v>
      </c>
      <c r="R129" s="17">
        <v>19311</v>
      </c>
      <c r="S129" s="17">
        <f>R129-Q129</f>
        <v>18591</v>
      </c>
      <c r="T129" s="1">
        <f>(120+27)/60</f>
        <v>2.4500000000000002</v>
      </c>
      <c r="U129" s="1">
        <f>(120+33)/60</f>
        <v>2.5499999999999998</v>
      </c>
      <c r="V129" s="1">
        <f t="shared" si="85"/>
        <v>9.9999999999999645E-2</v>
      </c>
      <c r="W129" s="1">
        <f t="shared" si="105"/>
        <v>2.3877551020408161</v>
      </c>
      <c r="X129">
        <v>4</v>
      </c>
      <c r="Y129" s="1">
        <f t="shared" si="110"/>
        <v>1.4624999999999999</v>
      </c>
      <c r="Z129" s="1">
        <f>25+4/60</f>
        <v>25.066666666666666</v>
      </c>
      <c r="AA129" s="17">
        <v>85</v>
      </c>
      <c r="AB129" s="17">
        <v>647</v>
      </c>
      <c r="AC129" s="17">
        <v>82</v>
      </c>
      <c r="AD129" s="17">
        <v>111</v>
      </c>
      <c r="AE129" s="1">
        <f>26+37/60</f>
        <v>26.616666666666667</v>
      </c>
      <c r="AF129" s="1">
        <f>25+6/60</f>
        <v>25.1</v>
      </c>
      <c r="AG129" s="1">
        <f>25+34/60</f>
        <v>25.566666666666666</v>
      </c>
      <c r="AH129" s="1">
        <f>22+3/60</f>
        <v>22.05</v>
      </c>
      <c r="AI129" s="1">
        <f>24+49/60</f>
        <v>24.816666666666666</v>
      </c>
      <c r="AJ129" s="1">
        <f>60/2.3</f>
        <v>26.086956521739133</v>
      </c>
      <c r="AO129">
        <v>2</v>
      </c>
      <c r="AP129">
        <v>0</v>
      </c>
      <c r="AR129" s="1">
        <f>60+3/60</f>
        <v>60.05</v>
      </c>
      <c r="AS129" s="1">
        <f>42+38/60</f>
        <v>42.633333333333333</v>
      </c>
      <c r="AT129" s="1">
        <f>3+29/60</f>
        <v>3.4833333333333334</v>
      </c>
      <c r="AU129" s="1">
        <v>0</v>
      </c>
      <c r="AV129" s="1">
        <v>0</v>
      </c>
      <c r="AW129" s="16" t="s">
        <v>29</v>
      </c>
      <c r="AX129" s="16" t="s">
        <v>30</v>
      </c>
      <c r="AY129" s="16">
        <v>0</v>
      </c>
    </row>
    <row r="130" spans="1:52" x14ac:dyDescent="0.25">
      <c r="A130">
        <f>A129+1</f>
        <v>662</v>
      </c>
      <c r="B130" s="18">
        <v>44009.458333333336</v>
      </c>
      <c r="C130">
        <v>1</v>
      </c>
      <c r="F130" s="19" t="s">
        <v>104</v>
      </c>
      <c r="G130" s="17">
        <f>AVERAGE(86,89)</f>
        <v>87.5</v>
      </c>
      <c r="H130" s="17">
        <f>AVERAGE(71,72)</f>
        <v>71.5</v>
      </c>
      <c r="I130" s="17">
        <f>AVERAGE(61,57)</f>
        <v>59</v>
      </c>
      <c r="J130" s="17" t="s">
        <v>93</v>
      </c>
      <c r="K130" s="17">
        <v>14</v>
      </c>
      <c r="L130" s="17">
        <v>26</v>
      </c>
      <c r="M130" s="16" t="s">
        <v>65</v>
      </c>
      <c r="N130" s="16" t="s">
        <v>33</v>
      </c>
      <c r="O130" s="16" t="s">
        <v>101</v>
      </c>
      <c r="P130" s="1">
        <v>4.5599999999999996</v>
      </c>
      <c r="Q130" s="17">
        <v>751</v>
      </c>
      <c r="R130" s="17">
        <v>14944</v>
      </c>
      <c r="S130" s="17">
        <f>R130-Q130</f>
        <v>14193</v>
      </c>
      <c r="T130" s="1">
        <f>(60+45)/60</f>
        <v>1.75</v>
      </c>
      <c r="U130" s="1">
        <f>(60+ 47)/60</f>
        <v>1.7833333333333334</v>
      </c>
      <c r="V130" s="1">
        <f t="shared" si="85"/>
        <v>3.3333333333333437E-2</v>
      </c>
      <c r="W130" s="1">
        <f t="shared" si="105"/>
        <v>2.6057142857142854</v>
      </c>
      <c r="X130">
        <v>3</v>
      </c>
      <c r="Y130" s="1">
        <f t="shared" si="110"/>
        <v>1.5199999999999998</v>
      </c>
      <c r="Z130" s="1">
        <f>22+59/60</f>
        <v>22.983333333333334</v>
      </c>
      <c r="AA130" s="17">
        <v>171</v>
      </c>
      <c r="AB130" s="17">
        <v>817</v>
      </c>
      <c r="AC130" s="17">
        <v>113</v>
      </c>
      <c r="AD130" s="17">
        <v>147</v>
      </c>
      <c r="AE130" s="1">
        <f>26+9/60</f>
        <v>26.15</v>
      </c>
      <c r="AF130" s="1">
        <f>26+3/60</f>
        <v>26.05</v>
      </c>
      <c r="AG130" s="1">
        <f>20+30/60</f>
        <v>20.5</v>
      </c>
      <c r="AH130" s="1">
        <f>19+2/60</f>
        <v>19.033333333333335</v>
      </c>
      <c r="AI130" s="1">
        <f>60/2.6</f>
        <v>23.076923076923077</v>
      </c>
      <c r="AO130">
        <v>1</v>
      </c>
      <c r="AP130">
        <v>2</v>
      </c>
      <c r="AR130" s="1">
        <f>0+52/60</f>
        <v>0.8666666666666667</v>
      </c>
      <c r="AS130" s="1">
        <f>36+30/60</f>
        <v>36.5</v>
      </c>
      <c r="AT130" s="1">
        <f>25+38/50</f>
        <v>25.76</v>
      </c>
      <c r="AU130" s="1">
        <f>35+22/60</f>
        <v>35.366666666666667</v>
      </c>
      <c r="AV130" s="1">
        <f>6+30/60</f>
        <v>6.5</v>
      </c>
      <c r="AW130" s="16" t="s">
        <v>29</v>
      </c>
      <c r="AX130" s="16" t="s">
        <v>30</v>
      </c>
      <c r="AY130" s="16">
        <v>0</v>
      </c>
    </row>
    <row r="131" spans="1:52" x14ac:dyDescent="0.25">
      <c r="A131">
        <f>A130+1</f>
        <v>663</v>
      </c>
      <c r="B131" s="18">
        <v>44010.495138888888</v>
      </c>
      <c r="C131">
        <v>0</v>
      </c>
      <c r="D131" t="s">
        <v>38</v>
      </c>
      <c r="F131" s="16" t="s">
        <v>49</v>
      </c>
      <c r="G131" s="17">
        <v>88</v>
      </c>
      <c r="H131" s="17">
        <v>72</v>
      </c>
      <c r="I131" s="17">
        <v>58</v>
      </c>
      <c r="J131" s="17" t="s">
        <v>93</v>
      </c>
      <c r="K131" s="17">
        <v>15</v>
      </c>
      <c r="L131" s="17">
        <v>33</v>
      </c>
      <c r="M131" s="16" t="s">
        <v>65</v>
      </c>
    </row>
    <row r="132" spans="1:52" x14ac:dyDescent="0.25">
      <c r="A132">
        <f>A131+1</f>
        <v>664</v>
      </c>
      <c r="B132" s="18">
        <v>44011.505555555559</v>
      </c>
      <c r="C132">
        <v>1</v>
      </c>
      <c r="F132" t="s">
        <v>31</v>
      </c>
      <c r="G132" s="17">
        <f>AVERAGE(90,92)</f>
        <v>91</v>
      </c>
      <c r="H132" s="17">
        <f>AVERAGE(72,70)</f>
        <v>71</v>
      </c>
      <c r="I132" s="17">
        <f>AVERAGE(48,47)</f>
        <v>47.5</v>
      </c>
      <c r="J132" s="17" t="s">
        <v>93</v>
      </c>
      <c r="K132" s="17">
        <f>AVERAGE(16,17)</f>
        <v>16.5</v>
      </c>
      <c r="L132" s="17">
        <f>AVERAGE(29,30)</f>
        <v>29.5</v>
      </c>
      <c r="M132" s="16" t="s">
        <v>65</v>
      </c>
      <c r="N132" s="16" t="s">
        <v>103</v>
      </c>
      <c r="O132" s="16" t="s">
        <v>101</v>
      </c>
      <c r="P132" s="1">
        <v>4.25</v>
      </c>
      <c r="Q132" s="17">
        <v>854</v>
      </c>
      <c r="R132" s="17">
        <v>14500</v>
      </c>
      <c r="S132" s="17">
        <f>R132-Q132</f>
        <v>13646</v>
      </c>
      <c r="T132" s="1">
        <f>(60+49)/60</f>
        <v>1.8166666666666667</v>
      </c>
      <c r="U132" s="1">
        <f>(60+53)/60</f>
        <v>1.8833333333333333</v>
      </c>
      <c r="V132" s="1">
        <f t="shared" si="85"/>
        <v>6.6666666666666652E-2</v>
      </c>
      <c r="W132" s="1">
        <f t="shared" ref="W132" si="111">P132/T132</f>
        <v>2.3394495412844036</v>
      </c>
      <c r="X132">
        <v>3</v>
      </c>
      <c r="Y132" s="1">
        <f t="shared" ref="Y132" si="112">P132/X132</f>
        <v>1.4166666666666667</v>
      </c>
      <c r="Z132" s="1">
        <f>25+37/60</f>
        <v>25.616666666666667</v>
      </c>
      <c r="AA132" s="17">
        <v>56</v>
      </c>
      <c r="AB132" s="17">
        <v>546</v>
      </c>
      <c r="AC132" s="17">
        <v>93</v>
      </c>
      <c r="AD132" s="17">
        <v>127</v>
      </c>
      <c r="AE132" s="1">
        <f>24+27/60</f>
        <v>24.45</v>
      </c>
      <c r="AF132" s="1">
        <f>23+23/60</f>
        <v>23.383333333333333</v>
      </c>
      <c r="AG132" s="1">
        <f>26+58/60</f>
        <v>26.966666666666665</v>
      </c>
      <c r="AH132" s="1">
        <f>27+5/60</f>
        <v>27.083333333333332</v>
      </c>
      <c r="AI132" s="1">
        <f>60/2.2</f>
        <v>27.27272727272727</v>
      </c>
      <c r="AO132">
        <v>1</v>
      </c>
      <c r="AP132">
        <v>0</v>
      </c>
      <c r="AQ132" s="16">
        <v>0</v>
      </c>
      <c r="AR132" s="1">
        <f>42+15/60</f>
        <v>42.25</v>
      </c>
      <c r="AS132" s="1">
        <f>48+32/60</f>
        <v>48.533333333333331</v>
      </c>
      <c r="AT132" s="1">
        <f>15+22/60</f>
        <v>15.366666666666667</v>
      </c>
      <c r="AU132" s="1">
        <f>2+6/60</f>
        <v>2.1</v>
      </c>
      <c r="AV132" s="1">
        <v>0</v>
      </c>
      <c r="AW132" s="16" t="s">
        <v>29</v>
      </c>
      <c r="AX132" s="16" t="s">
        <v>30</v>
      </c>
      <c r="AY132" s="16">
        <v>0</v>
      </c>
    </row>
    <row r="133" spans="1:52" x14ac:dyDescent="0.25">
      <c r="A133">
        <f>A132+1</f>
        <v>665</v>
      </c>
      <c r="B133" s="18">
        <v>44012.512499999997</v>
      </c>
      <c r="C133">
        <v>1</v>
      </c>
      <c r="F133" t="s">
        <v>49</v>
      </c>
      <c r="G133" s="17">
        <f>AVERAGE(90,92)</f>
        <v>91</v>
      </c>
      <c r="H133" s="17">
        <v>73</v>
      </c>
      <c r="I133" s="17">
        <v>57</v>
      </c>
      <c r="J133" s="17" t="s">
        <v>93</v>
      </c>
      <c r="K133" s="17">
        <f>AVERAGE(18,21)</f>
        <v>19.5</v>
      </c>
      <c r="L133" s="17">
        <v>20</v>
      </c>
      <c r="M133" s="16" t="s">
        <v>65</v>
      </c>
      <c r="N133" s="16" t="s">
        <v>103</v>
      </c>
      <c r="O133" s="16" t="s">
        <v>101</v>
      </c>
      <c r="P133" s="1">
        <v>4.33</v>
      </c>
      <c r="Q133" s="17">
        <v>2862</v>
      </c>
      <c r="R133" s="17">
        <v>17088</v>
      </c>
      <c r="S133" s="17">
        <f>R133-Q133</f>
        <v>14226</v>
      </c>
      <c r="T133" s="1">
        <f>(60+52)/60</f>
        <v>1.8666666666666667</v>
      </c>
      <c r="U133" s="1">
        <f>(60+52)/60</f>
        <v>1.8666666666666667</v>
      </c>
      <c r="V133" s="1">
        <f t="shared" si="85"/>
        <v>0</v>
      </c>
      <c r="W133" s="1">
        <f t="shared" ref="W133" si="113">P133/T133</f>
        <v>2.3196428571428571</v>
      </c>
      <c r="X133">
        <v>3</v>
      </c>
      <c r="Y133" s="1">
        <f t="shared" ref="Y133" si="114">P133/X133</f>
        <v>1.4433333333333334</v>
      </c>
      <c r="Z133" s="1">
        <f>25+46/60</f>
        <v>25.766666666666666</v>
      </c>
      <c r="AA133" s="17">
        <v>177</v>
      </c>
      <c r="AB133" s="17">
        <v>492</v>
      </c>
      <c r="AC133" s="17">
        <v>82</v>
      </c>
      <c r="AD133" s="17">
        <v>116</v>
      </c>
      <c r="AE133" s="1">
        <f>23+45/60</f>
        <v>23.75</v>
      </c>
      <c r="AF133" s="1">
        <f>23+27/60</f>
        <v>23.45</v>
      </c>
      <c r="AG133" s="1">
        <f>25+19/60</f>
        <v>25.316666666666666</v>
      </c>
      <c r="AH133" s="1">
        <f>20+19/60</f>
        <v>20.316666666666666</v>
      </c>
      <c r="AI133" s="1">
        <f>60/2</f>
        <v>30</v>
      </c>
      <c r="AO133">
        <v>0</v>
      </c>
      <c r="AP133">
        <v>1</v>
      </c>
      <c r="AQ133" s="16">
        <v>1</v>
      </c>
      <c r="AR133" s="1">
        <f>52+17/60</f>
        <v>52.283333333333331</v>
      </c>
      <c r="AS133" s="1">
        <f>18+48/60</f>
        <v>18.8</v>
      </c>
      <c r="AT133" s="1">
        <f>8+37/60</f>
        <v>8.6166666666666671</v>
      </c>
      <c r="AU133" s="1">
        <v>0</v>
      </c>
      <c r="AV133" s="1">
        <v>0</v>
      </c>
      <c r="AW133" s="16" t="s">
        <v>29</v>
      </c>
      <c r="AX133" s="16" t="s">
        <v>30</v>
      </c>
      <c r="AY133" s="16">
        <v>0</v>
      </c>
    </row>
    <row r="134" spans="1:52" x14ac:dyDescent="0.25">
      <c r="A134">
        <f>A133+1</f>
        <v>666</v>
      </c>
      <c r="B134" s="18">
        <v>44013.49722222222</v>
      </c>
      <c r="C134">
        <v>1</v>
      </c>
      <c r="F134" t="s">
        <v>49</v>
      </c>
      <c r="G134" s="17">
        <f>AVERAGE(91,92,94)</f>
        <v>92.333333333333329</v>
      </c>
      <c r="H134" s="17">
        <f>AVERAGE(76,75)</f>
        <v>75.5</v>
      </c>
      <c r="I134" s="17">
        <f>AVERAGE(58,59,56)</f>
        <v>57.666666666666664</v>
      </c>
      <c r="J134" s="17" t="s">
        <v>93</v>
      </c>
      <c r="K134" s="17">
        <f>AVERAGE(15,13,13)</f>
        <v>13.666666666666666</v>
      </c>
      <c r="L134" s="17">
        <v>25</v>
      </c>
      <c r="M134" s="16" t="s">
        <v>65</v>
      </c>
      <c r="N134" s="16" t="s">
        <v>33</v>
      </c>
      <c r="O134" s="16" t="s">
        <v>101</v>
      </c>
      <c r="P134" s="1">
        <v>4.88</v>
      </c>
      <c r="Q134" s="17">
        <v>1252</v>
      </c>
      <c r="R134" s="17">
        <v>16054</v>
      </c>
      <c r="S134" s="17">
        <f>R134-Q134</f>
        <v>14802</v>
      </c>
      <c r="T134" s="1">
        <f>(60+52)/60</f>
        <v>1.8666666666666667</v>
      </c>
      <c r="U134" s="1">
        <f>(60+58)/60</f>
        <v>1.9666666666666666</v>
      </c>
      <c r="V134" s="1">
        <f t="shared" si="85"/>
        <v>9.9999999999999867E-2</v>
      </c>
      <c r="W134" s="1">
        <f t="shared" ref="W134" si="115">P134/T134</f>
        <v>2.6142857142857143</v>
      </c>
      <c r="X134">
        <v>3</v>
      </c>
      <c r="Y134" s="1">
        <f t="shared" ref="Y134" si="116">P134/X134</f>
        <v>1.6266666666666667</v>
      </c>
      <c r="Z134" s="1">
        <f>22+57/60</f>
        <v>22.95</v>
      </c>
      <c r="AA134" s="17">
        <v>469</v>
      </c>
      <c r="AB134" s="17">
        <v>999</v>
      </c>
      <c r="AC134" s="17">
        <v>116</v>
      </c>
      <c r="AD134" s="17">
        <v>157</v>
      </c>
      <c r="AE134" s="1">
        <f>24+43/60</f>
        <v>24.716666666666665</v>
      </c>
      <c r="AF134" s="1">
        <f>12+6/60</f>
        <v>12.1</v>
      </c>
      <c r="AG134" s="1">
        <f>22+54/60</f>
        <v>22.9</v>
      </c>
      <c r="AH134" s="1">
        <f>60/2.8</f>
        <v>21.428571428571431</v>
      </c>
      <c r="AO134">
        <v>2</v>
      </c>
      <c r="AP134">
        <v>1</v>
      </c>
      <c r="AQ134" s="16">
        <v>0</v>
      </c>
      <c r="AR134" s="1">
        <f>1+23/60</f>
        <v>1.3833333333333333</v>
      </c>
      <c r="AS134" s="1">
        <f>22+44/60</f>
        <v>22.733333333333334</v>
      </c>
      <c r="AT134" s="1">
        <f>27+52/60</f>
        <v>27.866666666666667</v>
      </c>
      <c r="AU134" s="1">
        <f>57+46/60</f>
        <v>57.766666666666666</v>
      </c>
      <c r="AV134" s="1">
        <f>2+12/60</f>
        <v>2.2000000000000002</v>
      </c>
      <c r="AW134" s="16" t="s">
        <v>29</v>
      </c>
      <c r="AX134" s="16" t="s">
        <v>30</v>
      </c>
      <c r="AY134" s="16">
        <v>0</v>
      </c>
    </row>
    <row r="135" spans="1:52" x14ac:dyDescent="0.25">
      <c r="A135">
        <f t="shared" ref="A135:A141" si="117">A134+1</f>
        <v>667</v>
      </c>
      <c r="B135" s="18">
        <v>44014.55</v>
      </c>
      <c r="C135">
        <v>1</v>
      </c>
      <c r="F135" t="s">
        <v>45</v>
      </c>
      <c r="G135" s="17">
        <v>92</v>
      </c>
      <c r="H135" s="17">
        <v>76</v>
      </c>
      <c r="I135" s="17">
        <v>59</v>
      </c>
      <c r="J135" s="17" t="s">
        <v>105</v>
      </c>
      <c r="K135" s="17">
        <v>10</v>
      </c>
      <c r="L135" s="17">
        <v>0</v>
      </c>
      <c r="M135" s="16" t="s">
        <v>65</v>
      </c>
      <c r="N135" t="s">
        <v>33</v>
      </c>
      <c r="O135" t="s">
        <v>101</v>
      </c>
      <c r="P135" s="1">
        <v>2.52</v>
      </c>
      <c r="T135" s="1">
        <f>64/60</f>
        <v>1.0666666666666667</v>
      </c>
      <c r="U135" s="1">
        <f>64/60</f>
        <v>1.0666666666666667</v>
      </c>
      <c r="V135" s="1">
        <f t="shared" si="85"/>
        <v>0</v>
      </c>
      <c r="W135" s="1">
        <f t="shared" ref="W135" si="118">P135/T135</f>
        <v>2.3625000000000003</v>
      </c>
      <c r="X135">
        <v>2</v>
      </c>
      <c r="Y135" s="1">
        <f t="shared" ref="Y135" si="119">P135/X135</f>
        <v>1.26</v>
      </c>
      <c r="Z135" s="1">
        <f>25+28/60</f>
        <v>25.466666666666665</v>
      </c>
      <c r="AA135" s="17">
        <v>79</v>
      </c>
      <c r="AB135" s="17">
        <v>277</v>
      </c>
      <c r="AC135" s="17">
        <v>79</v>
      </c>
      <c r="AD135" s="17">
        <v>110</v>
      </c>
      <c r="AE135" s="1">
        <f>25+18/60</f>
        <v>25.3</v>
      </c>
      <c r="AF135" s="1">
        <f>24+59/60</f>
        <v>24.983333333333334</v>
      </c>
      <c r="AG135" s="1">
        <f>60/2.4</f>
        <v>25</v>
      </c>
      <c r="AO135">
        <v>0</v>
      </c>
      <c r="AP135">
        <v>0</v>
      </c>
      <c r="AQ135" s="16">
        <v>0</v>
      </c>
      <c r="AR135" s="1">
        <f>13+23/60</f>
        <v>13.383333333333333</v>
      </c>
      <c r="AS135" s="1">
        <f>23+15/60</f>
        <v>23.25</v>
      </c>
      <c r="AT135" s="1">
        <f>39/60</f>
        <v>0.65</v>
      </c>
      <c r="AU135" s="1">
        <v>0</v>
      </c>
      <c r="AV135" s="1">
        <v>0</v>
      </c>
      <c r="AW135" s="16" t="s">
        <v>29</v>
      </c>
      <c r="AX135" s="16" t="s">
        <v>30</v>
      </c>
      <c r="AY135" s="16">
        <v>0</v>
      </c>
    </row>
    <row r="136" spans="1:52" x14ac:dyDescent="0.25">
      <c r="A136">
        <f t="shared" si="117"/>
        <v>668</v>
      </c>
      <c r="B136" s="18">
        <v>44015.503472222219</v>
      </c>
      <c r="C136">
        <v>1</v>
      </c>
      <c r="F136" t="s">
        <v>31</v>
      </c>
      <c r="G136" s="17">
        <f>AVERAGE(95,96)</f>
        <v>95.5</v>
      </c>
      <c r="H136" s="17">
        <f>AVERAGE(67,64)</f>
        <v>65.5</v>
      </c>
      <c r="I136" s="17">
        <f>AVERAGE(40,35)</f>
        <v>37.5</v>
      </c>
      <c r="J136" s="17" t="s">
        <v>95</v>
      </c>
      <c r="K136" s="17">
        <v>3</v>
      </c>
      <c r="L136" s="17">
        <v>0</v>
      </c>
      <c r="M136" s="16" t="s">
        <v>65</v>
      </c>
      <c r="N136" t="s">
        <v>103</v>
      </c>
      <c r="O136" s="16" t="s">
        <v>102</v>
      </c>
      <c r="P136" s="1">
        <v>5.08</v>
      </c>
      <c r="Q136" s="17">
        <v>995</v>
      </c>
      <c r="R136" s="17">
        <v>16402</v>
      </c>
      <c r="S136" s="17">
        <f>R136-Q136</f>
        <v>15407</v>
      </c>
      <c r="T136" s="1">
        <f>122/60</f>
        <v>2.0333333333333332</v>
      </c>
      <c r="U136" s="1">
        <f>122/60</f>
        <v>2.0333333333333332</v>
      </c>
      <c r="V136" s="1">
        <f t="shared" si="85"/>
        <v>0</v>
      </c>
      <c r="W136" s="1">
        <f t="shared" ref="W136" si="120">P136/T136</f>
        <v>2.4983606557377049</v>
      </c>
      <c r="X136">
        <v>4</v>
      </c>
      <c r="Y136" s="1">
        <f t="shared" ref="Y136" si="121">P136/X136</f>
        <v>1.27</v>
      </c>
      <c r="Z136" s="1">
        <f>24+2/60</f>
        <v>24.033333333333335</v>
      </c>
      <c r="AA136" s="17">
        <v>62</v>
      </c>
      <c r="AB136" s="17">
        <v>709</v>
      </c>
      <c r="AC136" s="17">
        <v>97</v>
      </c>
      <c r="AD136" s="17">
        <v>129</v>
      </c>
      <c r="AE136" s="1">
        <f>23+25/60</f>
        <v>23.416666666666668</v>
      </c>
      <c r="AF136" s="1">
        <f>22+45/60</f>
        <v>22.75</v>
      </c>
      <c r="AG136" s="1">
        <f>28+21/60</f>
        <v>28.35</v>
      </c>
      <c r="AH136" s="1">
        <f>25+59/60</f>
        <v>25.983333333333334</v>
      </c>
      <c r="AI136" s="1">
        <f>19+52/60</f>
        <v>19.866666666666667</v>
      </c>
      <c r="AJ136" s="1">
        <f>60/2.8</f>
        <v>21.428571428571431</v>
      </c>
      <c r="AO136">
        <v>0</v>
      </c>
      <c r="AP136">
        <v>0</v>
      </c>
      <c r="AQ136" s="16">
        <v>0</v>
      </c>
      <c r="AR136" s="1">
        <f>16+9/60</f>
        <v>16.149999999999999</v>
      </c>
      <c r="AS136" s="1">
        <f>39+14/60</f>
        <v>39.233333333333334</v>
      </c>
      <c r="AT136" s="1">
        <f>27+38/60</f>
        <v>27.633333333333333</v>
      </c>
      <c r="AU136" s="1">
        <v>0</v>
      </c>
      <c r="AV136" s="1">
        <v>0</v>
      </c>
      <c r="AW136" s="16" t="s">
        <v>29</v>
      </c>
      <c r="AX136" s="16" t="s">
        <v>30</v>
      </c>
      <c r="AY136" s="16">
        <v>0</v>
      </c>
    </row>
    <row r="137" spans="1:52" x14ac:dyDescent="0.25">
      <c r="A137">
        <f t="shared" si="117"/>
        <v>669</v>
      </c>
      <c r="B137" s="18">
        <v>412910.3673611111</v>
      </c>
      <c r="C137">
        <v>1</v>
      </c>
      <c r="F137" t="s">
        <v>31</v>
      </c>
      <c r="G137" s="17">
        <f>AVERAGE(82,86)</f>
        <v>84</v>
      </c>
      <c r="H137" s="17">
        <f>AVERAGE(70,71)</f>
        <v>70.5</v>
      </c>
      <c r="I137" s="17">
        <f>AVERAGE(67,71)</f>
        <v>69</v>
      </c>
      <c r="J137" s="17" t="s">
        <v>93</v>
      </c>
      <c r="K137" s="17">
        <f>AVERAGE(5,6)</f>
        <v>5.5</v>
      </c>
      <c r="L137" s="17">
        <v>0</v>
      </c>
      <c r="M137" s="16" t="s">
        <v>65</v>
      </c>
      <c r="N137" s="16" t="s">
        <v>33</v>
      </c>
      <c r="O137" s="16" t="s">
        <v>101</v>
      </c>
      <c r="P137" s="1">
        <v>3.36</v>
      </c>
      <c r="Q137" s="17">
        <v>349</v>
      </c>
      <c r="R137" s="17">
        <v>12124</v>
      </c>
      <c r="S137" s="17">
        <f>R137-Q137</f>
        <v>11775</v>
      </c>
      <c r="T137" s="1">
        <f>(60+27)/60</f>
        <v>1.45</v>
      </c>
      <c r="U137" s="1">
        <f>(60+27)/60</f>
        <v>1.45</v>
      </c>
      <c r="V137" s="1">
        <f t="shared" si="85"/>
        <v>0</v>
      </c>
      <c r="W137" s="1">
        <f t="shared" ref="W137" si="122">P137/T137</f>
        <v>2.317241379310345</v>
      </c>
      <c r="X137">
        <v>3</v>
      </c>
      <c r="Y137" s="1">
        <f t="shared" ref="Y137" si="123">P137/X137</f>
        <v>1.1199999999999999</v>
      </c>
      <c r="Z137" s="1">
        <f>25+52/60</f>
        <v>25.866666666666667</v>
      </c>
      <c r="AA137" s="17">
        <v>46</v>
      </c>
      <c r="AB137" s="17">
        <v>996</v>
      </c>
      <c r="AC137" s="17">
        <v>129</v>
      </c>
      <c r="AD137" s="17">
        <v>149</v>
      </c>
      <c r="AE137" s="1">
        <f>24+44/60</f>
        <v>24.733333333333334</v>
      </c>
      <c r="AF137" s="1">
        <f>25+48/60</f>
        <v>25.8</v>
      </c>
      <c r="AG137" s="1">
        <f>25+59/60</f>
        <v>25.983333333333334</v>
      </c>
      <c r="AH137" s="1">
        <f>60/2.1</f>
        <v>28.571428571428569</v>
      </c>
      <c r="AO137">
        <v>0</v>
      </c>
      <c r="AP137">
        <v>1</v>
      </c>
      <c r="AR137" s="1">
        <f>2/60</f>
        <v>3.3333333333333333E-2</v>
      </c>
      <c r="AS137" s="1">
        <f>2</f>
        <v>2</v>
      </c>
      <c r="AT137" s="1">
        <f>8+43/60</f>
        <v>8.7166666666666668</v>
      </c>
      <c r="AU137" s="1">
        <f>51+31/60</f>
        <v>51.516666666666666</v>
      </c>
      <c r="AV137" s="1">
        <f>24+31/60</f>
        <v>24.516666666666666</v>
      </c>
      <c r="AW137" s="16" t="s">
        <v>29</v>
      </c>
      <c r="AX137" s="16" t="s">
        <v>30</v>
      </c>
      <c r="AY137" s="16">
        <v>0</v>
      </c>
    </row>
    <row r="138" spans="1:52" x14ac:dyDescent="0.25">
      <c r="A138">
        <f t="shared" si="117"/>
        <v>670</v>
      </c>
      <c r="B138" s="18">
        <v>44017.510416666664</v>
      </c>
      <c r="C138">
        <v>1</v>
      </c>
      <c r="F138" t="s">
        <v>31</v>
      </c>
      <c r="G138" s="17">
        <f>AVERAGE(86,89)</f>
        <v>87.5</v>
      </c>
      <c r="H138" s="17">
        <f>AVERAGE(74,72)</f>
        <v>73</v>
      </c>
      <c r="I138" s="17">
        <f>AVERAGE(67,57)</f>
        <v>62</v>
      </c>
      <c r="J138" s="17" t="s">
        <v>99</v>
      </c>
      <c r="K138" s="17">
        <v>5</v>
      </c>
      <c r="L138" s="17">
        <v>0</v>
      </c>
      <c r="M138" s="16" t="s">
        <v>65</v>
      </c>
      <c r="N138" s="16" t="s">
        <v>103</v>
      </c>
      <c r="O138" s="16" t="s">
        <v>102</v>
      </c>
      <c r="P138" s="1">
        <v>5.08</v>
      </c>
      <c r="Q138" s="17">
        <v>1593</v>
      </c>
      <c r="R138" s="17">
        <v>18923</v>
      </c>
      <c r="S138" s="17">
        <f>R138-Q138</f>
        <v>17330</v>
      </c>
      <c r="T138" s="1">
        <f>(120+9)/60</f>
        <v>2.15</v>
      </c>
      <c r="U138" s="1">
        <f>(120+10)/60</f>
        <v>2.1666666666666665</v>
      </c>
      <c r="V138" s="1">
        <f t="shared" si="85"/>
        <v>1.6666666666666607E-2</v>
      </c>
      <c r="W138" s="1">
        <f t="shared" ref="W138" si="124">P138/T138</f>
        <v>2.3627906976744186</v>
      </c>
      <c r="X138">
        <v>4</v>
      </c>
      <c r="Y138" s="1">
        <f t="shared" ref="Y138" si="125">P138/X138</f>
        <v>1.27</v>
      </c>
      <c r="Z138" s="1">
        <f>25+25/60</f>
        <v>25.416666666666668</v>
      </c>
      <c r="AA138" s="17">
        <v>79</v>
      </c>
      <c r="AB138" s="17">
        <v>680</v>
      </c>
      <c r="AC138" s="17">
        <v>97</v>
      </c>
      <c r="AD138" s="17">
        <v>132</v>
      </c>
      <c r="AE138" s="1">
        <f>25+50/60</f>
        <v>25.833333333333332</v>
      </c>
      <c r="AF138" s="1">
        <f>28+40/60</f>
        <v>28.666666666666668</v>
      </c>
      <c r="AG138" s="1">
        <f>24+18/60</f>
        <v>24.3</v>
      </c>
      <c r="AH138" s="1">
        <f>23+41/60</f>
        <v>23.683333333333334</v>
      </c>
      <c r="AI138" s="1">
        <f>24+48/60</f>
        <v>24.8</v>
      </c>
      <c r="AJ138" s="1">
        <f>60/2.6</f>
        <v>23.076923076923077</v>
      </c>
      <c r="AO138">
        <v>0</v>
      </c>
      <c r="AP138">
        <v>0</v>
      </c>
      <c r="AQ138" s="16">
        <v>0</v>
      </c>
      <c r="AR138" s="1">
        <f>38+56/60</f>
        <v>38.93333333333333</v>
      </c>
      <c r="AS138" s="1">
        <f>46+46/60</f>
        <v>46.766666666666666</v>
      </c>
      <c r="AT138" s="1">
        <f>18+40/60</f>
        <v>18.666666666666668</v>
      </c>
      <c r="AU138" s="1">
        <f>18+38/60</f>
        <v>18.633333333333333</v>
      </c>
      <c r="AV138" s="1">
        <v>0</v>
      </c>
      <c r="AW138" s="16" t="s">
        <v>29</v>
      </c>
      <c r="AX138" s="16" t="s">
        <v>30</v>
      </c>
      <c r="AY138" s="16">
        <v>0</v>
      </c>
    </row>
    <row r="139" spans="1:52" x14ac:dyDescent="0.25">
      <c r="A139">
        <f t="shared" si="117"/>
        <v>671</v>
      </c>
      <c r="B139" s="18">
        <v>44018.425000000003</v>
      </c>
      <c r="C139">
        <v>1</v>
      </c>
      <c r="F139" t="s">
        <v>49</v>
      </c>
      <c r="G139" s="17">
        <f>AVERAGE(76,77)</f>
        <v>76.5</v>
      </c>
      <c r="H139" s="17">
        <f>AVERAGE(76,75)</f>
        <v>75.5</v>
      </c>
      <c r="I139" s="17">
        <f>AVERAGE(100,94)</f>
        <v>97</v>
      </c>
      <c r="J139" s="17" t="s">
        <v>97</v>
      </c>
      <c r="K139" s="17">
        <v>0</v>
      </c>
      <c r="L139" s="17">
        <v>0</v>
      </c>
      <c r="M139" s="16" t="s">
        <v>65</v>
      </c>
      <c r="N139" s="16" t="s">
        <v>33</v>
      </c>
      <c r="O139" s="16" t="s">
        <v>102</v>
      </c>
      <c r="P139" s="1">
        <v>5.16</v>
      </c>
      <c r="Q139" s="17">
        <v>904</v>
      </c>
      <c r="R139" s="17">
        <v>16075</v>
      </c>
      <c r="S139" s="17">
        <f>R139-Q139</f>
        <v>15171</v>
      </c>
      <c r="T139" s="1">
        <f>(120+1)/60</f>
        <v>2.0166666666666666</v>
      </c>
      <c r="U139" s="1">
        <f>(120+2)/60</f>
        <v>2.0333333333333332</v>
      </c>
      <c r="V139" s="1">
        <f t="shared" si="85"/>
        <v>1.6666666666666607E-2</v>
      </c>
      <c r="W139" s="1">
        <f t="shared" ref="W139" si="126">P139/T139</f>
        <v>2.5586776859504132</v>
      </c>
      <c r="X139">
        <v>4</v>
      </c>
      <c r="Y139" s="1">
        <f t="shared" ref="Y139" si="127">P139/X139</f>
        <v>1.29</v>
      </c>
      <c r="Z139" s="1">
        <f>23+28/60</f>
        <v>23.466666666666665</v>
      </c>
      <c r="AA139" s="17">
        <v>121</v>
      </c>
      <c r="AB139" s="17">
        <v>611</v>
      </c>
      <c r="AC139" s="17">
        <v>88</v>
      </c>
      <c r="AD139" s="17">
        <v>133</v>
      </c>
      <c r="AE139" s="1">
        <f>21+5/60</f>
        <v>21.083333333333332</v>
      </c>
      <c r="AF139" s="1">
        <f>25+37/60</f>
        <v>25.616666666666667</v>
      </c>
      <c r="AG139" s="1">
        <f>22+29/60</f>
        <v>22.483333333333334</v>
      </c>
      <c r="AH139" s="1">
        <f>23+14/60</f>
        <v>23.233333333333334</v>
      </c>
      <c r="AI139" s="1">
        <f>24+49/60</f>
        <v>24.816666666666666</v>
      </c>
      <c r="AJ139" s="1">
        <f>60/2.5</f>
        <v>24</v>
      </c>
      <c r="AO139">
        <v>1</v>
      </c>
      <c r="AP139">
        <v>3</v>
      </c>
      <c r="AQ139" s="16">
        <v>0</v>
      </c>
      <c r="AR139" s="1">
        <f>68+50/60</f>
        <v>68.833333333333329</v>
      </c>
      <c r="AS139" s="1">
        <f>29+24/60</f>
        <v>29.4</v>
      </c>
      <c r="AT139" s="1">
        <f>11</f>
        <v>11</v>
      </c>
      <c r="AU139" s="1">
        <f>4+49/60</f>
        <v>4.8166666666666664</v>
      </c>
      <c r="AV139" s="1">
        <v>0</v>
      </c>
      <c r="AW139" s="16" t="s">
        <v>29</v>
      </c>
      <c r="AX139" s="16" t="s">
        <v>30</v>
      </c>
      <c r="AY139" s="16">
        <v>0</v>
      </c>
    </row>
    <row r="140" spans="1:52" x14ac:dyDescent="0.25">
      <c r="A140">
        <f t="shared" si="117"/>
        <v>672</v>
      </c>
      <c r="B140" s="18">
        <v>44018.453472222223</v>
      </c>
      <c r="C140">
        <v>1</v>
      </c>
      <c r="F140" t="s">
        <v>49</v>
      </c>
      <c r="G140" s="17">
        <f>AVERAGE(76,77)</f>
        <v>76.5</v>
      </c>
      <c r="H140" s="17">
        <f>AVERAGE(76,75)</f>
        <v>75.5</v>
      </c>
      <c r="I140" s="17">
        <f>AVERAGE(100,94)</f>
        <v>97</v>
      </c>
      <c r="J140" s="17" t="s">
        <v>97</v>
      </c>
      <c r="K140" s="17">
        <v>0</v>
      </c>
      <c r="L140" s="17">
        <v>0</v>
      </c>
      <c r="M140" s="16" t="s">
        <v>65</v>
      </c>
      <c r="N140" s="16" t="s">
        <v>103</v>
      </c>
      <c r="O140" t="s">
        <v>102</v>
      </c>
      <c r="P140" s="1">
        <v>5.16</v>
      </c>
      <c r="Q140" s="17">
        <v>904</v>
      </c>
      <c r="R140" s="17">
        <v>16075</v>
      </c>
      <c r="S140" s="17">
        <f>R140-Q140</f>
        <v>15171</v>
      </c>
      <c r="T140" s="1">
        <f>(120+1)/60</f>
        <v>2.0166666666666666</v>
      </c>
      <c r="U140" s="1">
        <f>(120+2)/60</f>
        <v>2.0333333333333332</v>
      </c>
      <c r="V140" s="1">
        <f t="shared" ref="V140:V143" si="128">U140-T140</f>
        <v>1.6666666666666607E-2</v>
      </c>
      <c r="W140" s="1">
        <f t="shared" ref="W140" si="129">P140/T140</f>
        <v>2.5586776859504132</v>
      </c>
      <c r="X140">
        <v>4</v>
      </c>
      <c r="Y140" s="1">
        <f t="shared" ref="Y140" si="130">P140/X140</f>
        <v>1.29</v>
      </c>
      <c r="Z140" s="1">
        <f>23+28/60</f>
        <v>23.466666666666665</v>
      </c>
      <c r="AA140" s="17">
        <v>121</v>
      </c>
      <c r="AB140" s="17">
        <v>611</v>
      </c>
      <c r="AC140" s="17">
        <v>88</v>
      </c>
      <c r="AD140">
        <v>133</v>
      </c>
      <c r="AE140" s="1">
        <f>21+5/60</f>
        <v>21.083333333333332</v>
      </c>
      <c r="AF140" s="1">
        <f>25+37/60</f>
        <v>25.616666666666667</v>
      </c>
      <c r="AG140" s="1">
        <f>22+29/60</f>
        <v>22.483333333333334</v>
      </c>
      <c r="AH140" s="1">
        <f>23+14/60</f>
        <v>23.233333333333334</v>
      </c>
      <c r="AI140" s="1">
        <f>24+49/60</f>
        <v>24.816666666666666</v>
      </c>
      <c r="AJ140" s="1">
        <f>60/2.5</f>
        <v>24</v>
      </c>
      <c r="AO140">
        <v>1</v>
      </c>
      <c r="AP140">
        <v>3</v>
      </c>
      <c r="AQ140" s="16">
        <v>1</v>
      </c>
      <c r="AR140" s="1">
        <f>68+50/60</f>
        <v>68.833333333333329</v>
      </c>
      <c r="AS140" s="1">
        <f>29+24/60</f>
        <v>29.4</v>
      </c>
      <c r="AT140" s="1">
        <f>11</f>
        <v>11</v>
      </c>
      <c r="AU140" s="1">
        <f>4+49/60</f>
        <v>4.8166666666666664</v>
      </c>
      <c r="AV140" s="1">
        <v>0</v>
      </c>
      <c r="AW140" t="s">
        <v>29</v>
      </c>
      <c r="AX140" t="s">
        <v>30</v>
      </c>
      <c r="AY140">
        <v>0</v>
      </c>
    </row>
    <row r="141" spans="1:52" x14ac:dyDescent="0.25">
      <c r="A141">
        <f t="shared" si="117"/>
        <v>673</v>
      </c>
      <c r="B141" s="18">
        <v>44019.453472222223</v>
      </c>
      <c r="C141">
        <v>0</v>
      </c>
      <c r="D141" t="s">
        <v>107</v>
      </c>
      <c r="F141" s="16" t="s">
        <v>45</v>
      </c>
      <c r="G141" s="17">
        <v>79</v>
      </c>
      <c r="H141" s="17">
        <v>75</v>
      </c>
      <c r="I141" s="17">
        <v>88</v>
      </c>
      <c r="J141" s="17" t="s">
        <v>97</v>
      </c>
      <c r="K141" s="17">
        <v>10</v>
      </c>
      <c r="L141" s="17">
        <v>0</v>
      </c>
      <c r="M141" s="16" t="s">
        <v>65</v>
      </c>
      <c r="N141" s="16" t="s">
        <v>33</v>
      </c>
      <c r="O141" s="16" t="s">
        <v>101</v>
      </c>
      <c r="AW141" s="16" t="s">
        <v>29</v>
      </c>
      <c r="AX141" s="16" t="s">
        <v>30</v>
      </c>
      <c r="AY141" s="16">
        <v>1</v>
      </c>
      <c r="AZ141" t="s">
        <v>59</v>
      </c>
    </row>
    <row r="142" spans="1:52" x14ac:dyDescent="0.25">
      <c r="A142">
        <v>674</v>
      </c>
      <c r="B142" s="18">
        <v>39637.574999999997</v>
      </c>
      <c r="C142">
        <v>1</v>
      </c>
      <c r="F142" t="s">
        <v>49</v>
      </c>
      <c r="G142" s="17">
        <f>AVERAGE(90,91)</f>
        <v>90.5</v>
      </c>
      <c r="H142" s="17">
        <f>AVERAGE(77,78)</f>
        <v>77.5</v>
      </c>
      <c r="I142" s="17">
        <f>AVERAGE(65,66)</f>
        <v>65.5</v>
      </c>
      <c r="J142" s="17" t="s">
        <v>95</v>
      </c>
      <c r="K142" s="17">
        <v>15</v>
      </c>
      <c r="L142" s="17">
        <v>0</v>
      </c>
      <c r="M142" s="16" t="s">
        <v>65</v>
      </c>
      <c r="N142" s="16" t="s">
        <v>103</v>
      </c>
      <c r="O142" s="16" t="s">
        <v>102</v>
      </c>
      <c r="P142" s="1">
        <v>4.88</v>
      </c>
      <c r="Q142" s="17">
        <v>3071</v>
      </c>
      <c r="R142" s="17">
        <v>18579</v>
      </c>
      <c r="S142" s="17">
        <f>R142-Q142</f>
        <v>15508</v>
      </c>
      <c r="T142" s="1">
        <f>(60+59)/60</f>
        <v>1.9833333333333334</v>
      </c>
      <c r="U142" s="1">
        <v>2</v>
      </c>
      <c r="V142" s="1">
        <f t="shared" si="128"/>
        <v>1.6666666666666607E-2</v>
      </c>
      <c r="W142" s="1">
        <f t="shared" ref="W142" si="131">P142/T142</f>
        <v>2.460504201680672</v>
      </c>
      <c r="X142">
        <v>4</v>
      </c>
      <c r="Y142" s="1">
        <f t="shared" ref="Y142" si="132">P142/X142</f>
        <v>1.22</v>
      </c>
      <c r="Z142" s="1">
        <f>24+27/60</f>
        <v>24.45</v>
      </c>
      <c r="AA142" s="17">
        <v>69</v>
      </c>
      <c r="AB142" s="17">
        <v>557</v>
      </c>
      <c r="AC142" s="17">
        <v>82</v>
      </c>
      <c r="AD142" s="17">
        <v>121</v>
      </c>
      <c r="AE142" s="1">
        <f>24+13/60</f>
        <v>24.216666666666665</v>
      </c>
      <c r="AF142" s="1">
        <f>23+45/60</f>
        <v>23.75</v>
      </c>
      <c r="AG142" s="1">
        <f>24+34/60</f>
        <v>24.566666666666666</v>
      </c>
      <c r="AH142" s="1">
        <f>25+41/60</f>
        <v>25.683333333333334</v>
      </c>
      <c r="AI142" s="1">
        <f>60/2.3</f>
        <v>26.086956521739133</v>
      </c>
      <c r="AO142">
        <v>0</v>
      </c>
      <c r="AP142">
        <v>0</v>
      </c>
      <c r="AQ142" s="16">
        <v>0</v>
      </c>
      <c r="AR142" s="1">
        <f>60+41/60</f>
        <v>60.68333333333333</v>
      </c>
      <c r="AS142" s="1">
        <f>22+43/60</f>
        <v>22.716666666666665</v>
      </c>
      <c r="AT142" s="1">
        <f>5</f>
        <v>5</v>
      </c>
      <c r="AU142" s="1">
        <v>0.26666666666666666</v>
      </c>
      <c r="AV142" s="1">
        <v>0</v>
      </c>
      <c r="AW142" t="s">
        <v>29</v>
      </c>
      <c r="AX142" t="s">
        <v>30</v>
      </c>
      <c r="AY142">
        <v>0</v>
      </c>
    </row>
    <row r="143" spans="1:52" x14ac:dyDescent="0.25">
      <c r="A143">
        <v>675</v>
      </c>
      <c r="B143" s="18" t="s">
        <v>108</v>
      </c>
      <c r="C143">
        <v>1</v>
      </c>
      <c r="F143" t="s">
        <v>31</v>
      </c>
      <c r="G143" s="17">
        <f>AVERAGE(83,88,91)</f>
        <v>87.333333333333329</v>
      </c>
      <c r="H143" s="17">
        <f>AVERAGE(75,74,76)</f>
        <v>75</v>
      </c>
      <c r="I143" s="17">
        <f>AVERAGE(73,70,70)</f>
        <v>71</v>
      </c>
      <c r="J143" s="17" t="s">
        <v>93</v>
      </c>
      <c r="K143" s="17">
        <f>AVERAGE(14,13,9)</f>
        <v>12</v>
      </c>
      <c r="L143" s="17">
        <v>24</v>
      </c>
      <c r="M143" s="16" t="s">
        <v>65</v>
      </c>
      <c r="N143" s="16" t="s">
        <v>33</v>
      </c>
      <c r="O143" s="16" t="s">
        <v>102</v>
      </c>
      <c r="P143" s="1">
        <v>4.99</v>
      </c>
      <c r="Q143" s="17">
        <v>1331</v>
      </c>
      <c r="R143" s="17">
        <v>17122</v>
      </c>
      <c r="S143" s="17">
        <f>R143-Q143</f>
        <v>15791</v>
      </c>
      <c r="T143" s="1">
        <v>2</v>
      </c>
      <c r="U143" s="1">
        <f>122/60</f>
        <v>2.0333333333333332</v>
      </c>
      <c r="V143" s="1">
        <f t="shared" si="128"/>
        <v>3.3333333333333215E-2</v>
      </c>
      <c r="W143" s="1">
        <f t="shared" ref="W143" si="133">P143/T143</f>
        <v>2.4950000000000001</v>
      </c>
      <c r="X143">
        <v>4</v>
      </c>
      <c r="Y143" s="1">
        <f t="shared" ref="Y143" si="134">P143/X143</f>
        <v>1.2475000000000001</v>
      </c>
      <c r="Z143" s="1">
        <f>24+1/60</f>
        <v>24.016666666666666</v>
      </c>
      <c r="AA143" s="17">
        <v>33</v>
      </c>
      <c r="AB143" s="17">
        <v>612</v>
      </c>
      <c r="AC143" s="17">
        <v>90</v>
      </c>
      <c r="AD143" s="17">
        <v>136</v>
      </c>
      <c r="AE143" s="1">
        <f>24+20/60</f>
        <v>24.333333333333332</v>
      </c>
      <c r="AF143" s="1">
        <f>21+53/60</f>
        <v>21.883333333333333</v>
      </c>
      <c r="AG143" s="1">
        <f>22+59/60</f>
        <v>22.983333333333334</v>
      </c>
      <c r="AH143" s="1">
        <f>24+6/60</f>
        <v>24.1</v>
      </c>
      <c r="AI143" s="1">
        <f>60/2.2</f>
        <v>27.27272727272727</v>
      </c>
      <c r="AO143">
        <v>1</v>
      </c>
      <c r="AP143">
        <v>0</v>
      </c>
      <c r="AQ143" s="16">
        <v>0</v>
      </c>
      <c r="AR143" s="1">
        <f>60+47/60</f>
        <v>60.783333333333331</v>
      </c>
      <c r="AS143" s="1">
        <f>37+38/60</f>
        <v>37.633333333333333</v>
      </c>
      <c r="AT143" s="1">
        <f>11+6/60</f>
        <v>11.1</v>
      </c>
      <c r="AU143" s="1">
        <f>5+11/60</f>
        <v>5.1833333333333336</v>
      </c>
      <c r="AV143" s="1">
        <f>14/60</f>
        <v>0.23333333333333334</v>
      </c>
      <c r="AW143" s="16" t="s">
        <v>29</v>
      </c>
      <c r="AX143" s="16" t="s">
        <v>30</v>
      </c>
      <c r="AY143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2020-07-09T18:55:00Z</dcterms:modified>
</cp:coreProperties>
</file>